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mc:AlternateContent xmlns:mc="http://schemas.openxmlformats.org/markup-compatibility/2006">
    <mc:Choice Requires="x15">
      <x15ac:absPath xmlns:x15ac="http://schemas.microsoft.com/office/spreadsheetml/2010/11/ac" url="C:\Users\emastro\Documents\OreSat\GitHub\oresat-dxwifi\Link-Model\"/>
    </mc:Choice>
  </mc:AlternateContent>
  <xr:revisionPtr revIDLastSave="0" documentId="13_ncr:1_{B5D91356-AFA5-4E4D-998C-C52122BEB39E}" xr6:coauthVersionLast="40" xr6:coauthVersionMax="40" xr10:uidLastSave="{00000000-0000-0000-0000-000000000000}"/>
  <bookViews>
    <workbookView xWindow="0" yWindow="0" windowWidth="32000" windowHeight="13620"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16"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160" i="15" l="1"/>
  <c r="Z160" i="15"/>
  <c r="Y160" i="15"/>
  <c r="X160" i="15"/>
  <c r="W160" i="15"/>
  <c r="V160" i="15"/>
  <c r="U160" i="15"/>
  <c r="AA159" i="15"/>
  <c r="Z159" i="15"/>
  <c r="Y159" i="15"/>
  <c r="X159" i="15"/>
  <c r="W159" i="15"/>
  <c r="V159" i="15"/>
  <c r="U159" i="15"/>
  <c r="AA158" i="15"/>
  <c r="Z158" i="15"/>
  <c r="Y158" i="15"/>
  <c r="X158" i="15"/>
  <c r="W158" i="15"/>
  <c r="V158" i="15"/>
  <c r="U158" i="15"/>
  <c r="AA157" i="15"/>
  <c r="Z157" i="15"/>
  <c r="Y157" i="15"/>
  <c r="X157" i="15"/>
  <c r="W157" i="15"/>
  <c r="V157" i="15"/>
  <c r="U157" i="15"/>
  <c r="AA156" i="15"/>
  <c r="Z156" i="15"/>
  <c r="Y156" i="15"/>
  <c r="X156" i="15"/>
  <c r="W156" i="15"/>
  <c r="V156" i="15"/>
  <c r="U156" i="15"/>
  <c r="X155" i="15"/>
  <c r="V155" i="15"/>
  <c r="U155" i="15"/>
  <c r="X154" i="15"/>
  <c r="V154" i="15"/>
  <c r="U154" i="15"/>
  <c r="V153" i="15"/>
  <c r="X153" i="15" s="1"/>
  <c r="U153" i="15"/>
  <c r="V152" i="15"/>
  <c r="X152" i="15" s="1"/>
  <c r="U152" i="15"/>
  <c r="W151" i="15"/>
  <c r="V151" i="15"/>
  <c r="Z151" i="15" s="1"/>
  <c r="AA151" i="15" s="1"/>
  <c r="U151" i="15"/>
  <c r="J118" i="15"/>
  <c r="J117" i="15"/>
  <c r="J116" i="15"/>
  <c r="J146" i="15"/>
  <c r="J138" i="15"/>
  <c r="J125" i="15"/>
  <c r="J122" i="15"/>
  <c r="J121" i="15"/>
  <c r="J120" i="15"/>
  <c r="AA85" i="15"/>
  <c r="Z85" i="15"/>
  <c r="Y85" i="15"/>
  <c r="X85" i="15"/>
  <c r="W85" i="15"/>
  <c r="V85" i="15"/>
  <c r="U85" i="15"/>
  <c r="AA84" i="15"/>
  <c r="Z84" i="15"/>
  <c r="Y84" i="15"/>
  <c r="X84" i="15"/>
  <c r="W84" i="15"/>
  <c r="V84" i="15"/>
  <c r="U84" i="15"/>
  <c r="AA83" i="15"/>
  <c r="Z83" i="15"/>
  <c r="Y83" i="15"/>
  <c r="X83" i="15"/>
  <c r="W83" i="15"/>
  <c r="V83" i="15"/>
  <c r="U83" i="15"/>
  <c r="AA82" i="15"/>
  <c r="Z82" i="15"/>
  <c r="Y82" i="15"/>
  <c r="X82" i="15"/>
  <c r="W82" i="15"/>
  <c r="V82" i="15"/>
  <c r="U82" i="15"/>
  <c r="AA81" i="15"/>
  <c r="Z81" i="15"/>
  <c r="Y81" i="15"/>
  <c r="X81" i="15"/>
  <c r="W81" i="15"/>
  <c r="V81" i="15"/>
  <c r="U81" i="15"/>
  <c r="AA80" i="15"/>
  <c r="Z80" i="15"/>
  <c r="Y80" i="15"/>
  <c r="X80" i="15"/>
  <c r="W80" i="15"/>
  <c r="V80" i="15"/>
  <c r="U80" i="15"/>
  <c r="V79" i="15"/>
  <c r="X79" i="15" s="1"/>
  <c r="U79" i="15"/>
  <c r="V78" i="15"/>
  <c r="X78" i="15" s="1"/>
  <c r="U78" i="15"/>
  <c r="V77" i="15"/>
  <c r="X77" i="15" s="1"/>
  <c r="U77" i="15"/>
  <c r="W76" i="15"/>
  <c r="V76" i="15"/>
  <c r="Z76" i="15" s="1"/>
  <c r="AA76" i="15" s="1"/>
  <c r="U76" i="15"/>
  <c r="J45" i="15"/>
  <c r="J44" i="15"/>
  <c r="J43" i="15"/>
  <c r="J52" i="15"/>
  <c r="J49" i="15"/>
  <c r="J48" i="15"/>
  <c r="J47" i="15"/>
  <c r="J65" i="15"/>
  <c r="G28" i="14"/>
  <c r="G27" i="14"/>
  <c r="G26" i="14"/>
  <c r="I34" i="14"/>
  <c r="I28" i="14"/>
  <c r="I27" i="14"/>
  <c r="I26" i="14"/>
  <c r="I23" i="14"/>
  <c r="W152" i="15" l="1"/>
  <c r="W153" i="15" s="1"/>
  <c r="W154" i="15" s="1"/>
  <c r="W155" i="15" s="1"/>
  <c r="J55" i="15"/>
  <c r="J57" i="15" s="1"/>
  <c r="J70" i="15" s="1"/>
  <c r="X151" i="15"/>
  <c r="Y151" i="15" s="1"/>
  <c r="Y153" i="15"/>
  <c r="Y152" i="15"/>
  <c r="Z154" i="15"/>
  <c r="Y155" i="15"/>
  <c r="Y154" i="15"/>
  <c r="Z155" i="15"/>
  <c r="Z153" i="15"/>
  <c r="Z152" i="15"/>
  <c r="AA152" i="15" s="1"/>
  <c r="J128" i="15"/>
  <c r="J130" i="15" s="1"/>
  <c r="J151" i="15" s="1"/>
  <c r="W77" i="15"/>
  <c r="W78" i="15" s="1"/>
  <c r="W79" i="15" s="1"/>
  <c r="Y79" i="15" s="1"/>
  <c r="X76" i="15"/>
  <c r="Y76" i="15" s="1"/>
  <c r="Z79" i="15"/>
  <c r="Y78" i="15"/>
  <c r="Z78" i="15"/>
  <c r="Z77" i="15"/>
  <c r="AA77" i="15" s="1"/>
  <c r="I30" i="14"/>
  <c r="I41" i="14" s="1"/>
  <c r="AA78" i="15" l="1"/>
  <c r="AA79" i="15" s="1"/>
  <c r="Y162" i="15"/>
  <c r="AA153" i="15"/>
  <c r="AA154" i="15" s="1"/>
  <c r="AA155" i="15" s="1"/>
  <c r="Y77" i="15"/>
  <c r="Y87" i="15" s="1"/>
  <c r="M16" i="20" l="1"/>
  <c r="G70" i="14"/>
  <c r="G69" i="14"/>
  <c r="G68" i="14"/>
  <c r="I68" i="14"/>
  <c r="I69" i="14"/>
  <c r="G58" i="14"/>
  <c r="I58" i="14" s="1"/>
  <c r="I76" i="14"/>
  <c r="I70" i="14"/>
  <c r="I65" i="14"/>
  <c r="I23" i="4"/>
  <c r="F39" i="9"/>
  <c r="F55" i="9"/>
  <c r="N62" i="9"/>
  <c r="G99" i="12"/>
  <c r="N61" i="9"/>
  <c r="G98" i="12"/>
  <c r="N60" i="9"/>
  <c r="G97" i="12"/>
  <c r="F55" i="7"/>
  <c r="F53" i="7"/>
  <c r="F35" i="7"/>
  <c r="F33" i="7"/>
  <c r="F7" i="10"/>
  <c r="S7" i="10"/>
  <c r="I34" i="10"/>
  <c r="C34" i="10"/>
  <c r="D34" i="10"/>
  <c r="E34" i="10"/>
  <c r="F34" i="10"/>
  <c r="I25" i="10"/>
  <c r="C25" i="10"/>
  <c r="D25" i="10"/>
  <c r="E25" i="10"/>
  <c r="F25" i="10"/>
  <c r="F9" i="10"/>
  <c r="F11" i="10"/>
  <c r="H11" i="10"/>
  <c r="M10" i="20"/>
  <c r="D4" i="1"/>
  <c r="G4" i="20" s="1"/>
  <c r="B31" i="1"/>
  <c r="B32" i="1"/>
  <c r="B36" i="1"/>
  <c r="D6" i="1" s="1"/>
  <c r="G4" i="1" s="1"/>
  <c r="G6" i="20" s="1"/>
  <c r="B91" i="1"/>
  <c r="B101" i="1"/>
  <c r="B110" i="1"/>
  <c r="B104" i="1"/>
  <c r="D8" i="1"/>
  <c r="D23" i="8"/>
  <c r="B16" i="5"/>
  <c r="O102" i="1"/>
  <c r="O101" i="1"/>
  <c r="C29" i="21"/>
  <c r="B17" i="3"/>
  <c r="B48" i="8"/>
  <c r="B35" i="8"/>
  <c r="B17" i="5"/>
  <c r="B45" i="1"/>
  <c r="B46" i="1"/>
  <c r="B77" i="1"/>
  <c r="D77" i="1"/>
  <c r="C63" i="1"/>
  <c r="B50" i="1"/>
  <c r="C26" i="21"/>
  <c r="C27" i="21"/>
  <c r="B106" i="1"/>
  <c r="C5" i="21"/>
  <c r="C6" i="21"/>
  <c r="C8" i="21"/>
  <c r="C9" i="21"/>
  <c r="C10" i="21"/>
  <c r="D125" i="1"/>
  <c r="D9" i="1"/>
  <c r="E17" i="20"/>
  <c r="E10" i="20"/>
  <c r="E19" i="20"/>
  <c r="E18" i="20"/>
  <c r="E16" i="20"/>
  <c r="E13" i="20"/>
  <c r="E12" i="20"/>
  <c r="E11" i="20"/>
  <c r="F3" i="16"/>
  <c r="B89" i="1"/>
  <c r="E78" i="1"/>
  <c r="B78" i="1"/>
  <c r="D78" i="1"/>
  <c r="E77" i="1"/>
  <c r="E76" i="1"/>
  <c r="B76" i="1"/>
  <c r="D76" i="1"/>
  <c r="E75" i="1"/>
  <c r="B75" i="1"/>
  <c r="D75" i="1"/>
  <c r="E74" i="1"/>
  <c r="B74" i="1"/>
  <c r="D74" i="1"/>
  <c r="E73" i="1"/>
  <c r="B73" i="1"/>
  <c r="D73" i="1"/>
  <c r="E72" i="1"/>
  <c r="B72" i="1"/>
  <c r="D72" i="1"/>
  <c r="E71" i="1"/>
  <c r="B71" i="1"/>
  <c r="D71" i="1"/>
  <c r="E70" i="1"/>
  <c r="B70" i="1"/>
  <c r="D70" i="1"/>
  <c r="E69" i="1"/>
  <c r="B69" i="1"/>
  <c r="D69" i="1"/>
  <c r="E68" i="1"/>
  <c r="B68" i="1"/>
  <c r="D68" i="1"/>
  <c r="E67" i="1"/>
  <c r="B67" i="1"/>
  <c r="D67" i="1"/>
  <c r="E66" i="1"/>
  <c r="B66" i="1"/>
  <c r="D66" i="1"/>
  <c r="E65" i="1"/>
  <c r="B65" i="1"/>
  <c r="D65" i="1"/>
  <c r="B53" i="1"/>
  <c r="B52" i="1"/>
  <c r="B51" i="1"/>
  <c r="O54" i="16"/>
  <c r="O67" i="16"/>
  <c r="O65" i="16"/>
  <c r="O62" i="16"/>
  <c r="O59" i="16"/>
  <c r="K76" i="12"/>
  <c r="K77" i="12"/>
  <c r="K78" i="12"/>
  <c r="K79" i="12"/>
  <c r="K80" i="12"/>
  <c r="H76" i="12"/>
  <c r="H77" i="12"/>
  <c r="H45" i="9"/>
  <c r="H78" i="12"/>
  <c r="H79" i="12"/>
  <c r="H80" i="12"/>
  <c r="K54" i="12"/>
  <c r="K55" i="12"/>
  <c r="K56" i="12"/>
  <c r="K57" i="12"/>
  <c r="K58" i="12"/>
  <c r="H54" i="12"/>
  <c r="H55" i="12"/>
  <c r="H28" i="9"/>
  <c r="H56" i="12"/>
  <c r="H57" i="12"/>
  <c r="H58" i="12"/>
  <c r="J41" i="12"/>
  <c r="U58" i="15"/>
  <c r="F58" i="9"/>
  <c r="J45" i="16" s="1"/>
  <c r="F41" i="9"/>
  <c r="J38" i="16"/>
  <c r="F11" i="9"/>
  <c r="B76" i="16"/>
  <c r="F24" i="9"/>
  <c r="B67" i="16"/>
  <c r="B50" i="5"/>
  <c r="E74" i="12"/>
  <c r="K74" i="12"/>
  <c r="K95" i="12"/>
  <c r="R78" i="12"/>
  <c r="K85" i="12"/>
  <c r="K82" i="12"/>
  <c r="H82" i="12"/>
  <c r="B10" i="3"/>
  <c r="O35" i="16" s="1"/>
  <c r="E52" i="12"/>
  <c r="R54" i="12"/>
  <c r="K63" i="12"/>
  <c r="K60" i="12"/>
  <c r="H60" i="12"/>
  <c r="B23" i="5"/>
  <c r="C217" i="13"/>
  <c r="C218" i="13"/>
  <c r="C219" i="13"/>
  <c r="D19" i="13"/>
  <c r="D18" i="13"/>
  <c r="D17" i="13"/>
  <c r="D16" i="13"/>
  <c r="D15" i="13"/>
  <c r="D14" i="13"/>
  <c r="D13" i="13"/>
  <c r="D12" i="13"/>
  <c r="D11" i="13"/>
  <c r="D10" i="13"/>
  <c r="D9" i="13"/>
  <c r="D20" i="13"/>
  <c r="D21" i="13"/>
  <c r="D22" i="13"/>
  <c r="D23" i="13"/>
  <c r="D24" i="13"/>
  <c r="D25" i="13"/>
  <c r="D26" i="13"/>
  <c r="D27" i="13"/>
  <c r="C16" i="10"/>
  <c r="D16" i="10"/>
  <c r="E16" i="10"/>
  <c r="F16" i="10"/>
  <c r="I43" i="14"/>
  <c r="G16" i="14"/>
  <c r="L1" i="16"/>
  <c r="G1" i="16"/>
  <c r="D1" i="3"/>
  <c r="D1" i="5"/>
  <c r="G1" i="6"/>
  <c r="E1" i="6"/>
  <c r="M1" i="8"/>
  <c r="H1" i="8"/>
  <c r="N1" i="7"/>
  <c r="J1" i="7"/>
  <c r="K1" i="12"/>
  <c r="G1" i="12"/>
  <c r="L1" i="9"/>
  <c r="G1" i="9"/>
  <c r="K1" i="15"/>
  <c r="H1" i="15"/>
  <c r="J1" i="14"/>
  <c r="F1" i="14"/>
  <c r="E1" i="1"/>
  <c r="M1" i="19"/>
  <c r="J1" i="19"/>
  <c r="K23" i="4"/>
  <c r="B6" i="3"/>
  <c r="B7" i="3" s="1"/>
  <c r="F57" i="7"/>
  <c r="F59" i="7"/>
  <c r="F60" i="7"/>
  <c r="B14" i="3"/>
  <c r="B49" i="3"/>
  <c r="E95" i="12"/>
  <c r="J100" i="12"/>
  <c r="Q61" i="9"/>
  <c r="J98" i="12"/>
  <c r="R97" i="12"/>
  <c r="K102" i="12" s="1"/>
  <c r="B48" i="3" s="1"/>
  <c r="B50" i="3"/>
  <c r="D218" i="13"/>
  <c r="D217" i="13"/>
  <c r="D216" i="13"/>
  <c r="C177" i="13"/>
  <c r="C178" i="13"/>
  <c r="D177" i="13"/>
  <c r="D176" i="13"/>
  <c r="R79" i="12"/>
  <c r="P80" i="12"/>
  <c r="V20" i="18"/>
  <c r="V18" i="18"/>
  <c r="O23" i="18"/>
  <c r="B23" i="3"/>
  <c r="O47" i="16" s="1"/>
  <c r="B24" i="3"/>
  <c r="B29" i="3"/>
  <c r="H32" i="6"/>
  <c r="B41" i="3"/>
  <c r="B6" i="5"/>
  <c r="B7" i="5" s="1"/>
  <c r="N14" i="9"/>
  <c r="B10" i="5"/>
  <c r="G76" i="16" s="1"/>
  <c r="E36" i="12"/>
  <c r="N13" i="9"/>
  <c r="Q13" i="9"/>
  <c r="J38" i="12"/>
  <c r="Q14" i="9"/>
  <c r="J39" i="12"/>
  <c r="R38" i="12"/>
  <c r="K43" i="12"/>
  <c r="B13" i="5" s="1"/>
  <c r="F37" i="7"/>
  <c r="F39" i="7"/>
  <c r="F40" i="7"/>
  <c r="B14" i="5"/>
  <c r="R55" i="12"/>
  <c r="K52" i="12"/>
  <c r="K36" i="12"/>
  <c r="B29" i="5"/>
  <c r="H5" i="6"/>
  <c r="B41" i="5"/>
  <c r="G21" i="16"/>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c r="H14" i="18"/>
  <c r="F59" i="16"/>
  <c r="O56" i="16"/>
  <c r="N57" i="16"/>
  <c r="L105" i="16"/>
  <c r="B33" i="3"/>
  <c r="N101" i="16"/>
  <c r="O96" i="16"/>
  <c r="B32" i="3"/>
  <c r="N95" i="16"/>
  <c r="B35" i="3"/>
  <c r="O93" i="16"/>
  <c r="O88" i="16"/>
  <c r="G77" i="16"/>
  <c r="O75" i="16"/>
  <c r="O71" i="16"/>
  <c r="O69" i="16"/>
  <c r="O48" i="16"/>
  <c r="O36" i="16"/>
  <c r="O29" i="16"/>
  <c r="N27" i="16"/>
  <c r="O26" i="16"/>
  <c r="O24" i="16"/>
  <c r="O22" i="16"/>
  <c r="O20" i="16"/>
  <c r="N10" i="16"/>
  <c r="N7" i="16"/>
  <c r="L5" i="16"/>
  <c r="O18" i="16"/>
  <c r="O14" i="16" s="1"/>
  <c r="O16" i="16" s="1"/>
  <c r="G67" i="16"/>
  <c r="D10" i="16"/>
  <c r="B33" i="5"/>
  <c r="F107" i="16"/>
  <c r="B32" i="5"/>
  <c r="F104" i="16"/>
  <c r="B35" i="5"/>
  <c r="G18" i="16"/>
  <c r="G25" i="16"/>
  <c r="G39" i="16"/>
  <c r="G45" i="16"/>
  <c r="G47" i="16"/>
  <c r="G53" i="16"/>
  <c r="G58" i="16"/>
  <c r="G51" i="16"/>
  <c r="G55" i="16"/>
  <c r="G61" i="16"/>
  <c r="G66" i="16"/>
  <c r="G84" i="16"/>
  <c r="F88" i="16"/>
  <c r="G87" i="16"/>
  <c r="G90" i="16"/>
  <c r="G93" i="16"/>
  <c r="G95" i="16"/>
  <c r="G97" i="16"/>
  <c r="D109" i="16"/>
  <c r="B39" i="5"/>
  <c r="B37" i="5"/>
  <c r="F30" i="6"/>
  <c r="B39" i="3"/>
  <c r="B37" i="3"/>
  <c r="E29" i="8"/>
  <c r="E42" i="8"/>
  <c r="R76" i="12"/>
  <c r="R80" i="12"/>
  <c r="R77" i="12"/>
  <c r="R58" i="12"/>
  <c r="R57" i="12"/>
  <c r="Q60" i="9"/>
  <c r="J97" i="12"/>
  <c r="G41" i="12"/>
  <c r="F95" i="12"/>
  <c r="F36" i="12"/>
  <c r="F74" i="12"/>
  <c r="K39" i="9"/>
  <c r="K72" i="12"/>
  <c r="F72" i="12"/>
  <c r="T141" i="15"/>
  <c r="T145" i="15" s="1"/>
  <c r="T132" i="15"/>
  <c r="T130" i="15"/>
  <c r="T143" i="15"/>
  <c r="U65" i="15"/>
  <c r="U61" i="15"/>
  <c r="I16" i="14"/>
  <c r="D85" i="13"/>
  <c r="D84" i="13"/>
  <c r="D82" i="13"/>
  <c r="D81" i="13"/>
  <c r="D63" i="13"/>
  <c r="D62" i="13"/>
  <c r="D60" i="13"/>
  <c r="D59" i="13"/>
  <c r="C51" i="13"/>
  <c r="D50" i="13"/>
  <c r="E171" i="13"/>
  <c r="D171" i="13"/>
  <c r="C100" i="13"/>
  <c r="C101" i="13"/>
  <c r="C102" i="13"/>
  <c r="C103" i="13"/>
  <c r="E102" i="13"/>
  <c r="E100" i="13"/>
  <c r="E99" i="13"/>
  <c r="D101" i="13"/>
  <c r="D100" i="13"/>
  <c r="D99" i="13"/>
  <c r="F52" i="12"/>
  <c r="G39" i="12"/>
  <c r="G38" i="12"/>
  <c r="F64" i="7"/>
  <c r="F65" i="7"/>
  <c r="F63" i="7"/>
  <c r="H60" i="9"/>
  <c r="H13" i="9"/>
  <c r="J3" i="10"/>
  <c r="C104" i="10"/>
  <c r="D104" i="10"/>
  <c r="E104" i="10"/>
  <c r="F104" i="10"/>
  <c r="C103" i="10"/>
  <c r="D103" i="10"/>
  <c r="E103" i="10"/>
  <c r="F103" i="10"/>
  <c r="C102" i="10"/>
  <c r="D102" i="10"/>
  <c r="E102" i="10"/>
  <c r="F102" i="10"/>
  <c r="C101" i="10"/>
  <c r="D101" i="10"/>
  <c r="E101" i="10"/>
  <c r="F101" i="10"/>
  <c r="C100" i="10"/>
  <c r="D100" i="10"/>
  <c r="E100" i="10"/>
  <c r="F100" i="10"/>
  <c r="C99" i="10"/>
  <c r="D99" i="10"/>
  <c r="E99" i="10"/>
  <c r="F99" i="10"/>
  <c r="C98" i="10"/>
  <c r="D98" i="10"/>
  <c r="E98" i="10"/>
  <c r="F98" i="10"/>
  <c r="C97" i="10"/>
  <c r="D97" i="10"/>
  <c r="E97" i="10"/>
  <c r="F97" i="10"/>
  <c r="C96" i="10"/>
  <c r="D96" i="10"/>
  <c r="E96" i="10"/>
  <c r="F96" i="10"/>
  <c r="C95" i="10"/>
  <c r="D95" i="10"/>
  <c r="E95" i="10"/>
  <c r="F95" i="10"/>
  <c r="C94" i="10"/>
  <c r="D94" i="10"/>
  <c r="E94" i="10"/>
  <c r="F94" i="10"/>
  <c r="C93" i="10"/>
  <c r="D93" i="10"/>
  <c r="E93" i="10"/>
  <c r="F93" i="10"/>
  <c r="C92" i="10"/>
  <c r="D92" i="10"/>
  <c r="E92" i="10"/>
  <c r="F92" i="10"/>
  <c r="C91" i="10"/>
  <c r="D91" i="10"/>
  <c r="E91" i="10"/>
  <c r="F91" i="10"/>
  <c r="C90" i="10"/>
  <c r="D90" i="10"/>
  <c r="E90" i="10"/>
  <c r="F90" i="10"/>
  <c r="C89" i="10"/>
  <c r="D89" i="10"/>
  <c r="E89" i="10"/>
  <c r="F89" i="10"/>
  <c r="C88" i="10"/>
  <c r="D88" i="10"/>
  <c r="E88" i="10"/>
  <c r="F88" i="10"/>
  <c r="C87" i="10"/>
  <c r="D87" i="10"/>
  <c r="E87" i="10"/>
  <c r="F87" i="10"/>
  <c r="C86" i="10"/>
  <c r="D86" i="10"/>
  <c r="E86" i="10"/>
  <c r="F86" i="10"/>
  <c r="C85" i="10"/>
  <c r="D85" i="10"/>
  <c r="E85" i="10"/>
  <c r="F85" i="10"/>
  <c r="C84" i="10"/>
  <c r="D84" i="10"/>
  <c r="E84" i="10"/>
  <c r="F84" i="10"/>
  <c r="C83" i="10"/>
  <c r="D83" i="10"/>
  <c r="E83" i="10"/>
  <c r="F83" i="10"/>
  <c r="C82" i="10"/>
  <c r="D82" i="10"/>
  <c r="E82" i="10"/>
  <c r="F82" i="10"/>
  <c r="C81" i="10"/>
  <c r="D81" i="10"/>
  <c r="E81" i="10"/>
  <c r="F81" i="10"/>
  <c r="C80" i="10"/>
  <c r="D80" i="10"/>
  <c r="E80" i="10"/>
  <c r="F80" i="10"/>
  <c r="C79" i="10"/>
  <c r="D79" i="10"/>
  <c r="E79" i="10"/>
  <c r="F79" i="10"/>
  <c r="C78" i="10"/>
  <c r="D78" i="10"/>
  <c r="E78" i="10"/>
  <c r="F78" i="10"/>
  <c r="C77" i="10"/>
  <c r="D77" i="10"/>
  <c r="E77" i="10"/>
  <c r="F77" i="10"/>
  <c r="C76" i="10"/>
  <c r="D76" i="10"/>
  <c r="E76" i="10"/>
  <c r="F76" i="10"/>
  <c r="C75" i="10"/>
  <c r="D75" i="10"/>
  <c r="E75" i="10"/>
  <c r="F75" i="10"/>
  <c r="C74" i="10"/>
  <c r="D74" i="10"/>
  <c r="E74" i="10"/>
  <c r="F74" i="10"/>
  <c r="C73" i="10"/>
  <c r="D73" i="10"/>
  <c r="E73" i="10"/>
  <c r="F73" i="10"/>
  <c r="C72" i="10"/>
  <c r="D72" i="10"/>
  <c r="E72" i="10"/>
  <c r="F72" i="10"/>
  <c r="C71" i="10"/>
  <c r="D71" i="10"/>
  <c r="E71" i="10"/>
  <c r="F71" i="10"/>
  <c r="C70" i="10"/>
  <c r="D70" i="10"/>
  <c r="E70" i="10"/>
  <c r="F70" i="10"/>
  <c r="C69" i="10"/>
  <c r="D69" i="10"/>
  <c r="E69" i="10"/>
  <c r="F69" i="10"/>
  <c r="C68" i="10"/>
  <c r="D68" i="10"/>
  <c r="E68" i="10"/>
  <c r="F68" i="10"/>
  <c r="C67" i="10"/>
  <c r="D67" i="10"/>
  <c r="E67" i="10"/>
  <c r="F67" i="10"/>
  <c r="C66" i="10"/>
  <c r="D66" i="10"/>
  <c r="E66" i="10"/>
  <c r="F66" i="10"/>
  <c r="C65" i="10"/>
  <c r="D65" i="10"/>
  <c r="E65" i="10"/>
  <c r="F65" i="10"/>
  <c r="C64" i="10"/>
  <c r="D64" i="10"/>
  <c r="E64" i="10"/>
  <c r="F64" i="10"/>
  <c r="C63" i="10"/>
  <c r="D63" i="10"/>
  <c r="E63" i="10"/>
  <c r="F63" i="10"/>
  <c r="C62" i="10"/>
  <c r="D62" i="10"/>
  <c r="E62" i="10"/>
  <c r="F62" i="10"/>
  <c r="C61" i="10"/>
  <c r="D61" i="10"/>
  <c r="E61" i="10"/>
  <c r="F61" i="10"/>
  <c r="C60" i="10"/>
  <c r="D60" i="10"/>
  <c r="E60" i="10"/>
  <c r="F60" i="10"/>
  <c r="C59" i="10"/>
  <c r="D59" i="10"/>
  <c r="E59" i="10"/>
  <c r="F59" i="10"/>
  <c r="C58" i="10"/>
  <c r="D58" i="10"/>
  <c r="E58" i="10"/>
  <c r="F58" i="10"/>
  <c r="C57" i="10"/>
  <c r="D57" i="10"/>
  <c r="E57" i="10"/>
  <c r="F57" i="10"/>
  <c r="C56" i="10"/>
  <c r="D56" i="10"/>
  <c r="E56" i="10"/>
  <c r="F56" i="10"/>
  <c r="C55" i="10"/>
  <c r="D55" i="10"/>
  <c r="E55" i="10"/>
  <c r="F55" i="10"/>
  <c r="C54" i="10"/>
  <c r="D54" i="10"/>
  <c r="E54" i="10"/>
  <c r="F54" i="10"/>
  <c r="C53" i="10"/>
  <c r="D53" i="10"/>
  <c r="E53" i="10"/>
  <c r="F53" i="10"/>
  <c r="C52" i="10"/>
  <c r="D52" i="10"/>
  <c r="E52" i="10"/>
  <c r="F52" i="10"/>
  <c r="C51" i="10"/>
  <c r="D51" i="10"/>
  <c r="E51" i="10"/>
  <c r="F51" i="10"/>
  <c r="C50" i="10"/>
  <c r="D50" i="10"/>
  <c r="E50" i="10"/>
  <c r="F50" i="10"/>
  <c r="C49" i="10"/>
  <c r="D49" i="10"/>
  <c r="E49" i="10"/>
  <c r="F49" i="10"/>
  <c r="C48" i="10"/>
  <c r="D48" i="10"/>
  <c r="E48" i="10"/>
  <c r="F48" i="10"/>
  <c r="C47" i="10"/>
  <c r="D47" i="10"/>
  <c r="E47" i="10"/>
  <c r="F47" i="10"/>
  <c r="C46" i="10"/>
  <c r="D46" i="10"/>
  <c r="E46" i="10"/>
  <c r="F46" i="10"/>
  <c r="C45" i="10"/>
  <c r="D45" i="10"/>
  <c r="E45" i="10"/>
  <c r="F45" i="10"/>
  <c r="C44" i="10"/>
  <c r="D44" i="10"/>
  <c r="E44" i="10"/>
  <c r="F44" i="10"/>
  <c r="C43" i="10"/>
  <c r="D43" i="10"/>
  <c r="E43" i="10"/>
  <c r="F43" i="10"/>
  <c r="C42" i="10"/>
  <c r="D42" i="10"/>
  <c r="E42" i="10"/>
  <c r="F42" i="10"/>
  <c r="C41" i="10"/>
  <c r="D41" i="10"/>
  <c r="E41" i="10"/>
  <c r="F41" i="10"/>
  <c r="C40" i="10"/>
  <c r="D40" i="10"/>
  <c r="E40" i="10"/>
  <c r="F40" i="10"/>
  <c r="C39" i="10"/>
  <c r="D39" i="10"/>
  <c r="E39" i="10"/>
  <c r="F39" i="10"/>
  <c r="C38" i="10"/>
  <c r="D38" i="10"/>
  <c r="E38" i="10"/>
  <c r="F38" i="10"/>
  <c r="C37" i="10"/>
  <c r="D37" i="10"/>
  <c r="E37" i="10"/>
  <c r="F37" i="10"/>
  <c r="C36" i="10"/>
  <c r="D36" i="10"/>
  <c r="E36" i="10"/>
  <c r="F36" i="10"/>
  <c r="C35" i="10"/>
  <c r="D35" i="10"/>
  <c r="E35" i="10"/>
  <c r="F35" i="10"/>
  <c r="C33" i="10"/>
  <c r="D33" i="10"/>
  <c r="E33" i="10"/>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I24" i="10"/>
  <c r="C24" i="10"/>
  <c r="D24" i="10"/>
  <c r="E24" i="10"/>
  <c r="F24" i="10"/>
  <c r="C23" i="10"/>
  <c r="D23" i="10"/>
  <c r="E23" i="10"/>
  <c r="F23" i="10"/>
  <c r="I22" i="10"/>
  <c r="C22" i="10"/>
  <c r="D22" i="10"/>
  <c r="E22" i="10"/>
  <c r="F22" i="10"/>
  <c r="C21" i="10"/>
  <c r="D21" i="10"/>
  <c r="E21" i="10"/>
  <c r="F21" i="10"/>
  <c r="I20" i="10"/>
  <c r="C20" i="10"/>
  <c r="D20" i="10"/>
  <c r="E20" i="10"/>
  <c r="F20" i="10"/>
  <c r="C19" i="10"/>
  <c r="D19" i="10"/>
  <c r="E19" i="10"/>
  <c r="F19" i="10"/>
  <c r="I18" i="10"/>
  <c r="C18" i="10"/>
  <c r="D18" i="10"/>
  <c r="E18" i="10"/>
  <c r="F18" i="10"/>
  <c r="C17" i="10"/>
  <c r="D17" i="10"/>
  <c r="E17" i="10"/>
  <c r="F17" i="10"/>
  <c r="I16" i="10"/>
  <c r="C15" i="10"/>
  <c r="D15" i="10"/>
  <c r="E15" i="10"/>
  <c r="F5" i="10"/>
  <c r="F44" i="7"/>
  <c r="F45" i="7"/>
  <c r="F43" i="7"/>
  <c r="F3" i="6"/>
  <c r="A1" i="3"/>
  <c r="D2" i="3"/>
  <c r="F2" i="3"/>
  <c r="F1" i="3"/>
  <c r="K1" i="1"/>
  <c r="I1" i="1"/>
  <c r="B22" i="1"/>
  <c r="B21" i="1"/>
  <c r="B29" i="1"/>
  <c r="B27" i="1"/>
  <c r="E40" i="2"/>
  <c r="F4" i="2"/>
  <c r="C4" i="2"/>
  <c r="B3" i="2"/>
  <c r="F43" i="2"/>
  <c r="F44" i="2"/>
  <c r="E43" i="2"/>
  <c r="E42" i="2"/>
  <c r="E41" i="2"/>
  <c r="C43" i="2"/>
  <c r="C44" i="2"/>
  <c r="B43" i="2"/>
  <c r="B42" i="2"/>
  <c r="A1" i="5"/>
  <c r="D2" i="5"/>
  <c r="F2" i="5"/>
  <c r="F20" i="16"/>
  <c r="R56" i="12"/>
  <c r="O107" i="1"/>
  <c r="C38" i="21"/>
  <c r="O110" i="1"/>
  <c r="O104" i="1"/>
  <c r="C30" i="21"/>
  <c r="C31" i="21"/>
  <c r="B107" i="1"/>
  <c r="C17" i="21"/>
  <c r="C45" i="2"/>
  <c r="B44" i="2"/>
  <c r="F45" i="2"/>
  <c r="E44" i="2"/>
  <c r="F5" i="2"/>
  <c r="E3" i="2"/>
  <c r="B33" i="1"/>
  <c r="B28" i="1"/>
  <c r="C5" i="2"/>
  <c r="B4" i="2"/>
  <c r="I104" i="10"/>
  <c r="I102" i="10"/>
  <c r="I100" i="10"/>
  <c r="I98" i="10"/>
  <c r="I94" i="10"/>
  <c r="I92" i="10"/>
  <c r="I88" i="10"/>
  <c r="I82" i="10"/>
  <c r="I76" i="10"/>
  <c r="I70" i="10"/>
  <c r="I64" i="10"/>
  <c r="I62" i="10"/>
  <c r="I56" i="10"/>
  <c r="I50" i="10"/>
  <c r="I44" i="10"/>
  <c r="I42" i="10"/>
  <c r="I40" i="10"/>
  <c r="I36" i="10"/>
  <c r="I33" i="10"/>
  <c r="I29" i="10"/>
  <c r="I103" i="10"/>
  <c r="I101" i="10"/>
  <c r="I99" i="10"/>
  <c r="I97" i="10"/>
  <c r="I95" i="10"/>
  <c r="I93" i="10"/>
  <c r="I91" i="10"/>
  <c r="I89" i="10"/>
  <c r="I87" i="10"/>
  <c r="I85" i="10"/>
  <c r="I83" i="10"/>
  <c r="I81" i="10"/>
  <c r="I79" i="10"/>
  <c r="I77" i="10"/>
  <c r="I75" i="10"/>
  <c r="I73" i="10"/>
  <c r="I71" i="10"/>
  <c r="I69" i="10"/>
  <c r="I67" i="10"/>
  <c r="I65" i="10"/>
  <c r="I63" i="10"/>
  <c r="I61" i="10"/>
  <c r="I59" i="10"/>
  <c r="I57" i="10"/>
  <c r="I55" i="10"/>
  <c r="I53" i="10"/>
  <c r="I51" i="10"/>
  <c r="I49" i="10"/>
  <c r="I47" i="10"/>
  <c r="I45" i="10"/>
  <c r="I43" i="10"/>
  <c r="I41" i="10"/>
  <c r="I39" i="10"/>
  <c r="I37" i="10"/>
  <c r="I35" i="10"/>
  <c r="I32" i="10"/>
  <c r="I30" i="10"/>
  <c r="I28" i="10"/>
  <c r="I26" i="10"/>
  <c r="I23" i="10"/>
  <c r="I21" i="10"/>
  <c r="I19" i="10"/>
  <c r="I17" i="10"/>
  <c r="I15" i="10"/>
  <c r="I96" i="10"/>
  <c r="I90" i="10"/>
  <c r="I86" i="10"/>
  <c r="I84" i="10"/>
  <c r="I80" i="10"/>
  <c r="I78" i="10"/>
  <c r="I74" i="10"/>
  <c r="I72" i="10"/>
  <c r="I68" i="10"/>
  <c r="I66" i="10"/>
  <c r="I60" i="10"/>
  <c r="I58" i="10"/>
  <c r="I54" i="10"/>
  <c r="I52" i="10"/>
  <c r="I48" i="10"/>
  <c r="I46" i="10"/>
  <c r="I38" i="10"/>
  <c r="I31" i="10"/>
  <c r="I27" i="10"/>
  <c r="C104" i="13"/>
  <c r="D103" i="13"/>
  <c r="E103" i="13"/>
  <c r="C52" i="13"/>
  <c r="D51" i="13"/>
  <c r="B9" i="5"/>
  <c r="B25" i="3"/>
  <c r="B51" i="3"/>
  <c r="B58" i="3" s="1"/>
  <c r="K55" i="9"/>
  <c r="L48" i="9"/>
  <c r="K81" i="12"/>
  <c r="U81" i="12"/>
  <c r="R81" i="12"/>
  <c r="H48" i="9"/>
  <c r="H81" i="12"/>
  <c r="C28" i="21"/>
  <c r="K68" i="1"/>
  <c r="K70" i="1"/>
  <c r="K63" i="1"/>
  <c r="D7" i="1"/>
  <c r="D102" i="13"/>
  <c r="E101" i="13"/>
  <c r="B51" i="5"/>
  <c r="B24" i="5"/>
  <c r="G49" i="16"/>
  <c r="C179" i="13"/>
  <c r="D178" i="13"/>
  <c r="C220" i="13"/>
  <c r="D219" i="13"/>
  <c r="C7" i="21"/>
  <c r="C14" i="21"/>
  <c r="E14" i="21"/>
  <c r="F14" i="16"/>
  <c r="K10" i="18"/>
  <c r="K12" i="18"/>
  <c r="F8" i="9"/>
  <c r="F22" i="9"/>
  <c r="N3" i="16"/>
  <c r="O106" i="1"/>
  <c r="B52" i="5"/>
  <c r="B59" i="5" s="1"/>
  <c r="B25" i="5"/>
  <c r="G36" i="16" s="1"/>
  <c r="L31" i="9"/>
  <c r="K59" i="12"/>
  <c r="U59" i="12"/>
  <c r="R59" i="12"/>
  <c r="H31" i="9"/>
  <c r="H59" i="12"/>
  <c r="K8" i="9"/>
  <c r="U14" i="9"/>
  <c r="C15" i="21"/>
  <c r="E15" i="21"/>
  <c r="Q62" i="9"/>
  <c r="J99" i="12"/>
  <c r="F92" i="12"/>
  <c r="C53" i="13"/>
  <c r="D52" i="13"/>
  <c r="B5" i="2"/>
  <c r="C6" i="2"/>
  <c r="F6" i="2"/>
  <c r="E4" i="2"/>
  <c r="F46" i="2"/>
  <c r="E45" i="2"/>
  <c r="B45" i="2"/>
  <c r="C46" i="2"/>
  <c r="C221" i="13"/>
  <c r="D220" i="13"/>
  <c r="C180" i="13"/>
  <c r="D179" i="13"/>
  <c r="C105" i="13"/>
  <c r="E104" i="13"/>
  <c r="D104" i="13"/>
  <c r="C181" i="13"/>
  <c r="D180" i="13"/>
  <c r="F47" i="2"/>
  <c r="E46" i="2"/>
  <c r="F7" i="2"/>
  <c r="E5" i="2"/>
  <c r="C54" i="13"/>
  <c r="D53" i="13"/>
  <c r="C47" i="2"/>
  <c r="B46" i="2"/>
  <c r="C7" i="2"/>
  <c r="B6" i="2"/>
  <c r="C106" i="13"/>
  <c r="E105" i="13"/>
  <c r="D105" i="13"/>
  <c r="C222" i="13"/>
  <c r="D221" i="13"/>
  <c r="U13" i="9"/>
  <c r="C8" i="2"/>
  <c r="B7" i="2"/>
  <c r="C223" i="13"/>
  <c r="D222" i="13"/>
  <c r="D54" i="13"/>
  <c r="C55" i="13"/>
  <c r="E6" i="2"/>
  <c r="F8" i="2"/>
  <c r="F48" i="2"/>
  <c r="E47" i="2"/>
  <c r="C182" i="13"/>
  <c r="D181" i="13"/>
  <c r="E106" i="13"/>
  <c r="C107" i="13"/>
  <c r="D106" i="13"/>
  <c r="C48" i="2"/>
  <c r="B47" i="2"/>
  <c r="C49" i="2"/>
  <c r="B48" i="2"/>
  <c r="C183" i="13"/>
  <c r="D182" i="13"/>
  <c r="C224" i="13"/>
  <c r="D223" i="13"/>
  <c r="F9" i="2"/>
  <c r="E7" i="2"/>
  <c r="C56" i="13"/>
  <c r="D55" i="13"/>
  <c r="C9" i="2"/>
  <c r="B8" i="2"/>
  <c r="C108" i="13"/>
  <c r="D107" i="13"/>
  <c r="E107" i="13"/>
  <c r="F49" i="2"/>
  <c r="E48" i="2"/>
  <c r="C109" i="13"/>
  <c r="E108" i="13"/>
  <c r="D108" i="13"/>
  <c r="B9" i="2"/>
  <c r="C10" i="2"/>
  <c r="C57" i="13"/>
  <c r="D56" i="13"/>
  <c r="F10" i="2"/>
  <c r="E8" i="2"/>
  <c r="C225" i="13"/>
  <c r="D224" i="13"/>
  <c r="C184" i="13"/>
  <c r="D183" i="13"/>
  <c r="F50" i="2"/>
  <c r="E49" i="2"/>
  <c r="C50" i="2"/>
  <c r="B49" i="2"/>
  <c r="C11" i="2"/>
  <c r="B10" i="2"/>
  <c r="C110" i="13"/>
  <c r="D109" i="13"/>
  <c r="E109" i="13"/>
  <c r="C51" i="2"/>
  <c r="B50" i="2"/>
  <c r="F51" i="2"/>
  <c r="E50" i="2"/>
  <c r="C185" i="13"/>
  <c r="D184" i="13"/>
  <c r="C226" i="13"/>
  <c r="D225" i="13"/>
  <c r="F11" i="2"/>
  <c r="E9" i="2"/>
  <c r="C58" i="13"/>
  <c r="D57" i="13"/>
  <c r="D58" i="13"/>
  <c r="C61" i="13"/>
  <c r="C64" i="13"/>
  <c r="E10" i="2"/>
  <c r="F12" i="2"/>
  <c r="C227" i="13"/>
  <c r="D226" i="13"/>
  <c r="C186" i="13"/>
  <c r="D185" i="13"/>
  <c r="F52" i="2"/>
  <c r="E51" i="2"/>
  <c r="E110" i="13"/>
  <c r="C111" i="13"/>
  <c r="D110" i="13"/>
  <c r="C12" i="2"/>
  <c r="B11" i="2"/>
  <c r="C52" i="2"/>
  <c r="B51" i="2"/>
  <c r="C53" i="2"/>
  <c r="B52" i="2"/>
  <c r="C13" i="2"/>
  <c r="B12" i="2"/>
  <c r="C112" i="13"/>
  <c r="D111" i="13"/>
  <c r="E111" i="13"/>
  <c r="F13" i="2"/>
  <c r="E11" i="2"/>
  <c r="D64" i="13"/>
  <c r="C65" i="13"/>
  <c r="F53" i="2"/>
  <c r="E52" i="2"/>
  <c r="C187" i="13"/>
  <c r="D186" i="13"/>
  <c r="C228" i="13"/>
  <c r="D227" i="13"/>
  <c r="C229" i="13"/>
  <c r="D228" i="13"/>
  <c r="C188" i="13"/>
  <c r="D187" i="13"/>
  <c r="F54" i="2"/>
  <c r="E53" i="2"/>
  <c r="F14" i="2"/>
  <c r="E12" i="2"/>
  <c r="C66" i="13"/>
  <c r="D65" i="13"/>
  <c r="C113" i="13"/>
  <c r="E112" i="13"/>
  <c r="D112" i="13"/>
  <c r="B13" i="2"/>
  <c r="C14" i="2"/>
  <c r="B53" i="2"/>
  <c r="C54" i="2"/>
  <c r="C55" i="2"/>
  <c r="B54" i="2"/>
  <c r="C15" i="2"/>
  <c r="B14" i="2"/>
  <c r="C114" i="13"/>
  <c r="E113" i="13"/>
  <c r="D113" i="13"/>
  <c r="D66" i="13"/>
  <c r="C67" i="13"/>
  <c r="F15" i="2"/>
  <c r="E13" i="2"/>
  <c r="F55" i="2"/>
  <c r="E54" i="2"/>
  <c r="C189" i="13"/>
  <c r="D188" i="13"/>
  <c r="C230" i="13"/>
  <c r="D229" i="13"/>
  <c r="C231" i="13"/>
  <c r="D230" i="13"/>
  <c r="C190" i="13"/>
  <c r="D189" i="13"/>
  <c r="F56" i="2"/>
  <c r="E55" i="2"/>
  <c r="C68" i="13"/>
  <c r="D67" i="13"/>
  <c r="E114" i="13"/>
  <c r="C115" i="13"/>
  <c r="D114" i="13"/>
  <c r="C16" i="2"/>
  <c r="B15" i="2"/>
  <c r="C56" i="2"/>
  <c r="B55" i="2"/>
  <c r="E14" i="2"/>
  <c r="F16" i="2"/>
  <c r="C57" i="2"/>
  <c r="B56" i="2"/>
  <c r="C17" i="2"/>
  <c r="B16" i="2"/>
  <c r="F17" i="2"/>
  <c r="E15" i="2"/>
  <c r="D68" i="13"/>
  <c r="C69" i="13"/>
  <c r="F57" i="2"/>
  <c r="E56" i="2"/>
  <c r="C191" i="13"/>
  <c r="D190" i="13"/>
  <c r="C232" i="13"/>
  <c r="D231" i="13"/>
  <c r="C116" i="13"/>
  <c r="D115" i="13"/>
  <c r="E115" i="13"/>
  <c r="C70" i="13"/>
  <c r="D69" i="13"/>
  <c r="C117" i="13"/>
  <c r="E116" i="13"/>
  <c r="D116" i="13"/>
  <c r="C233" i="13"/>
  <c r="D232" i="13"/>
  <c r="C192" i="13"/>
  <c r="D191" i="13"/>
  <c r="F58" i="2"/>
  <c r="E57" i="2"/>
  <c r="F18" i="2"/>
  <c r="E16" i="2"/>
  <c r="B17" i="2"/>
  <c r="C18" i="2"/>
  <c r="C58" i="2"/>
  <c r="B57" i="2"/>
  <c r="F19" i="2"/>
  <c r="E17" i="2"/>
  <c r="F59" i="2"/>
  <c r="E58" i="2"/>
  <c r="C193" i="13"/>
  <c r="D192" i="13"/>
  <c r="C234" i="13"/>
  <c r="D233" i="13"/>
  <c r="C19" i="2"/>
  <c r="B18" i="2"/>
  <c r="C118" i="13"/>
  <c r="D117" i="13"/>
  <c r="E117" i="13"/>
  <c r="D70" i="13"/>
  <c r="C71" i="13"/>
  <c r="C59" i="2"/>
  <c r="B58" i="2"/>
  <c r="C60" i="2"/>
  <c r="B59" i="2"/>
  <c r="C72" i="13"/>
  <c r="D71" i="13"/>
  <c r="E118" i="13"/>
  <c r="C119" i="13"/>
  <c r="D118" i="13"/>
  <c r="C20" i="2"/>
  <c r="B19" i="2"/>
  <c r="C235" i="13"/>
  <c r="D234" i="13"/>
  <c r="C194" i="13"/>
  <c r="D193" i="13"/>
  <c r="F60" i="2"/>
  <c r="E59" i="2"/>
  <c r="E18" i="2"/>
  <c r="F20" i="2"/>
  <c r="F61" i="2"/>
  <c r="E60" i="2"/>
  <c r="C195" i="13"/>
  <c r="D194" i="13"/>
  <c r="C21" i="2"/>
  <c r="B20" i="2"/>
  <c r="C120" i="13"/>
  <c r="D119" i="13"/>
  <c r="E119" i="13"/>
  <c r="F21" i="2"/>
  <c r="E19" i="2"/>
  <c r="D72" i="13"/>
  <c r="C73" i="13"/>
  <c r="C61" i="2"/>
  <c r="B60" i="2"/>
  <c r="C236" i="13"/>
  <c r="D235" i="13"/>
  <c r="C237" i="13"/>
  <c r="D236" i="13"/>
  <c r="B61" i="2"/>
  <c r="C62" i="2"/>
  <c r="F22" i="2"/>
  <c r="E20" i="2"/>
  <c r="C74" i="13"/>
  <c r="D73" i="13"/>
  <c r="E120" i="13"/>
  <c r="C121" i="13"/>
  <c r="D120" i="13"/>
  <c r="B21" i="2"/>
  <c r="C22" i="2"/>
  <c r="C196" i="13"/>
  <c r="D195" i="13"/>
  <c r="F62" i="2"/>
  <c r="E61" i="2"/>
  <c r="F63" i="2"/>
  <c r="E62" i="2"/>
  <c r="C197" i="13"/>
  <c r="D196" i="13"/>
  <c r="C122" i="13"/>
  <c r="D121" i="13"/>
  <c r="E121" i="13"/>
  <c r="C63" i="2"/>
  <c r="B62" i="2"/>
  <c r="C23" i="2"/>
  <c r="B22" i="2"/>
  <c r="D74" i="13"/>
  <c r="C75" i="13"/>
  <c r="F23" i="2"/>
  <c r="E21" i="2"/>
  <c r="C238" i="13"/>
  <c r="D237" i="13"/>
  <c r="C239" i="13"/>
  <c r="D238" i="13"/>
  <c r="C24" i="2"/>
  <c r="B23" i="2"/>
  <c r="C64" i="2"/>
  <c r="B63" i="2"/>
  <c r="C76" i="13"/>
  <c r="D75" i="13"/>
  <c r="E122" i="13"/>
  <c r="C123" i="13"/>
  <c r="D122" i="13"/>
  <c r="C198" i="13"/>
  <c r="D197" i="13"/>
  <c r="F64" i="2"/>
  <c r="E63" i="2"/>
  <c r="E22" i="2"/>
  <c r="F24" i="2"/>
  <c r="F65" i="2"/>
  <c r="E64" i="2"/>
  <c r="C199" i="13"/>
  <c r="D198" i="13"/>
  <c r="F25" i="2"/>
  <c r="E23" i="2"/>
  <c r="D76" i="13"/>
  <c r="C77" i="13"/>
  <c r="C65" i="2"/>
  <c r="B64" i="2"/>
  <c r="C25" i="2"/>
  <c r="B24" i="2"/>
  <c r="C240" i="13"/>
  <c r="D239" i="13"/>
  <c r="C124" i="13"/>
  <c r="D123" i="13"/>
  <c r="E123" i="13"/>
  <c r="C78" i="13"/>
  <c r="D77" i="13"/>
  <c r="E124" i="13"/>
  <c r="C125" i="13"/>
  <c r="D124" i="13"/>
  <c r="C241" i="13"/>
  <c r="D240" i="13"/>
  <c r="B25" i="2"/>
  <c r="C26" i="2"/>
  <c r="C66" i="2"/>
  <c r="B65" i="2"/>
  <c r="F26" i="2"/>
  <c r="E24" i="2"/>
  <c r="C200" i="13"/>
  <c r="D199" i="13"/>
  <c r="F66" i="2"/>
  <c r="E65" i="2"/>
  <c r="F67" i="2"/>
  <c r="E66" i="2"/>
  <c r="C201" i="13"/>
  <c r="D200" i="13"/>
  <c r="F27" i="2"/>
  <c r="E25" i="2"/>
  <c r="C242" i="13"/>
  <c r="D241" i="13"/>
  <c r="C126" i="13"/>
  <c r="D125" i="13"/>
  <c r="E125" i="13"/>
  <c r="C27" i="2"/>
  <c r="B26" i="2"/>
  <c r="D78" i="13"/>
  <c r="C79" i="13"/>
  <c r="C67" i="2"/>
  <c r="B66" i="2"/>
  <c r="C68" i="2"/>
  <c r="B67" i="2"/>
  <c r="C80" i="13"/>
  <c r="D79" i="13"/>
  <c r="E126" i="13"/>
  <c r="C127" i="13"/>
  <c r="D126" i="13"/>
  <c r="C243" i="13"/>
  <c r="D242" i="13"/>
  <c r="E26" i="2"/>
  <c r="F28" i="2"/>
  <c r="C202" i="13"/>
  <c r="D201" i="13"/>
  <c r="F68" i="2"/>
  <c r="E67" i="2"/>
  <c r="C28" i="2"/>
  <c r="B27" i="2"/>
  <c r="F29" i="2"/>
  <c r="E27" i="2"/>
  <c r="D80" i="13"/>
  <c r="C83" i="13"/>
  <c r="C86" i="13"/>
  <c r="C69" i="2"/>
  <c r="B68" i="2"/>
  <c r="C29" i="2"/>
  <c r="B28" i="2"/>
  <c r="F69" i="2"/>
  <c r="E68" i="2"/>
  <c r="C203" i="13"/>
  <c r="D202" i="13"/>
  <c r="C244" i="13"/>
  <c r="D243" i="13"/>
  <c r="C128" i="13"/>
  <c r="D127" i="13"/>
  <c r="E127" i="13"/>
  <c r="C87" i="13"/>
  <c r="D86" i="13"/>
  <c r="E128" i="13"/>
  <c r="C129" i="13"/>
  <c r="D128" i="13"/>
  <c r="C245" i="13"/>
  <c r="D244" i="13"/>
  <c r="C204" i="13"/>
  <c r="D203" i="13"/>
  <c r="F70" i="2"/>
  <c r="E69" i="2"/>
  <c r="B29" i="2"/>
  <c r="C30" i="2"/>
  <c r="B69" i="2"/>
  <c r="C70" i="2"/>
  <c r="F30" i="2"/>
  <c r="E28" i="2"/>
  <c r="F31" i="2"/>
  <c r="E29" i="2"/>
  <c r="F71" i="2"/>
  <c r="E70" i="2"/>
  <c r="C205" i="13"/>
  <c r="D204" i="13"/>
  <c r="C246" i="13"/>
  <c r="D245" i="13"/>
  <c r="C130" i="13"/>
  <c r="D129" i="13"/>
  <c r="E129" i="13"/>
  <c r="C71" i="2"/>
  <c r="B70" i="2"/>
  <c r="C31" i="2"/>
  <c r="B30" i="2"/>
  <c r="C88" i="13"/>
  <c r="D87" i="13"/>
  <c r="C89" i="13"/>
  <c r="D88" i="13"/>
  <c r="C32" i="2"/>
  <c r="B31" i="2"/>
  <c r="C72" i="2"/>
  <c r="B71" i="2"/>
  <c r="C131" i="13"/>
  <c r="D130" i="13"/>
  <c r="E130" i="13"/>
  <c r="C247" i="13"/>
  <c r="D246" i="13"/>
  <c r="C206" i="13"/>
  <c r="D205" i="13"/>
  <c r="F72" i="2"/>
  <c r="E71" i="2"/>
  <c r="E30" i="2"/>
  <c r="F32" i="2"/>
  <c r="C207" i="13"/>
  <c r="D206" i="13"/>
  <c r="C248" i="13"/>
  <c r="D247" i="13"/>
  <c r="F33" i="2"/>
  <c r="E31" i="2"/>
  <c r="C132" i="13"/>
  <c r="D131" i="13"/>
  <c r="E131" i="13"/>
  <c r="C73" i="2"/>
  <c r="B72" i="2"/>
  <c r="C33" i="2"/>
  <c r="B32" i="2"/>
  <c r="C90" i="13"/>
  <c r="D89" i="13"/>
  <c r="F73" i="2"/>
  <c r="E72" i="2"/>
  <c r="F74" i="2"/>
  <c r="E73" i="2"/>
  <c r="C91" i="13"/>
  <c r="D90" i="13"/>
  <c r="B33" i="2"/>
  <c r="C34" i="2"/>
  <c r="E132" i="13"/>
  <c r="C133" i="13"/>
  <c r="D132" i="13"/>
  <c r="F34" i="2"/>
  <c r="E32" i="2"/>
  <c r="C249" i="13"/>
  <c r="D248" i="13"/>
  <c r="C208" i="13"/>
  <c r="D207" i="13"/>
  <c r="C74" i="2"/>
  <c r="B73" i="2"/>
  <c r="C75" i="2"/>
  <c r="B74" i="2"/>
  <c r="C209" i="13"/>
  <c r="D208" i="13"/>
  <c r="C250" i="13"/>
  <c r="D249" i="13"/>
  <c r="C134" i="13"/>
  <c r="D133" i="13"/>
  <c r="E133" i="13"/>
  <c r="C35" i="2"/>
  <c r="B34" i="2"/>
  <c r="C92" i="13"/>
  <c r="D91" i="13"/>
  <c r="F75" i="2"/>
  <c r="E74" i="2"/>
  <c r="F35" i="2"/>
  <c r="E33" i="2"/>
  <c r="E34" i="2"/>
  <c r="F36" i="2"/>
  <c r="F76" i="2"/>
  <c r="E75" i="2"/>
  <c r="C93" i="13"/>
  <c r="D92" i="13"/>
  <c r="C36" i="2"/>
  <c r="B35" i="2"/>
  <c r="E134" i="13"/>
  <c r="C135" i="13"/>
  <c r="D134" i="13"/>
  <c r="C251" i="13"/>
  <c r="D250" i="13"/>
  <c r="C210" i="13"/>
  <c r="D209" i="13"/>
  <c r="C76" i="2"/>
  <c r="B75" i="2"/>
  <c r="C77" i="2"/>
  <c r="B76" i="2"/>
  <c r="C211" i="13"/>
  <c r="D210" i="13"/>
  <c r="C136" i="13"/>
  <c r="D135" i="13"/>
  <c r="E135" i="13"/>
  <c r="F37" i="2"/>
  <c r="E35" i="2"/>
  <c r="C37" i="2"/>
  <c r="B36" i="2"/>
  <c r="C94" i="13"/>
  <c r="D94" i="13"/>
  <c r="D93" i="13"/>
  <c r="F77" i="2"/>
  <c r="E76" i="2"/>
  <c r="C252" i="13"/>
  <c r="D251" i="13"/>
  <c r="C253" i="13"/>
  <c r="C254" i="13"/>
  <c r="C255" i="13"/>
  <c r="C256" i="13"/>
  <c r="C257" i="13"/>
  <c r="C258" i="13"/>
  <c r="C259" i="13"/>
  <c r="C260" i="13"/>
  <c r="C261" i="13"/>
  <c r="C262" i="13"/>
  <c r="C263" i="13"/>
  <c r="C264" i="13"/>
  <c r="C265" i="13"/>
  <c r="C266" i="13"/>
  <c r="C267" i="13"/>
  <c r="C268" i="13"/>
  <c r="C269" i="13"/>
  <c r="C270" i="13"/>
  <c r="C271" i="13"/>
  <c r="C272" i="13"/>
  <c r="C273" i="13"/>
  <c r="C274" i="13"/>
  <c r="C275" i="13"/>
  <c r="C276" i="13"/>
  <c r="C277" i="13"/>
  <c r="C278" i="13"/>
  <c r="C279" i="13"/>
  <c r="C280" i="13"/>
  <c r="C281" i="13"/>
  <c r="C282" i="13"/>
  <c r="C283" i="13"/>
  <c r="C284" i="13"/>
  <c r="C285" i="13"/>
  <c r="C286" i="13"/>
  <c r="C287" i="13"/>
  <c r="D252" i="13"/>
  <c r="F78" i="2"/>
  <c r="E77" i="2"/>
  <c r="B37" i="2"/>
  <c r="C38" i="2"/>
  <c r="D136" i="13"/>
  <c r="C137" i="13"/>
  <c r="E136" i="13"/>
  <c r="D211" i="13"/>
  <c r="C212" i="13"/>
  <c r="B77" i="2"/>
  <c r="C78" i="2"/>
  <c r="F38" i="2"/>
  <c r="E36" i="2"/>
  <c r="F39" i="2"/>
  <c r="E37" i="2"/>
  <c r="C138" i="13"/>
  <c r="E137" i="13"/>
  <c r="D137" i="13"/>
  <c r="C39" i="2"/>
  <c r="B38" i="2"/>
  <c r="C79" i="2"/>
  <c r="B79" i="2"/>
  <c r="B78" i="2"/>
  <c r="F79" i="2"/>
  <c r="E79" i="2"/>
  <c r="E78" i="2"/>
  <c r="C40" i="2"/>
  <c r="B40" i="2"/>
  <c r="B39" i="2"/>
  <c r="D138" i="13"/>
  <c r="C139" i="13"/>
  <c r="E138" i="13"/>
  <c r="E38" i="2"/>
  <c r="F40" i="2"/>
  <c r="E39" i="2"/>
  <c r="C140" i="13"/>
  <c r="E139" i="13"/>
  <c r="D139" i="13"/>
  <c r="D140" i="13"/>
  <c r="C141" i="13"/>
  <c r="E140" i="13"/>
  <c r="C142" i="13"/>
  <c r="E141" i="13"/>
  <c r="D141" i="13"/>
  <c r="D142" i="13"/>
  <c r="C143" i="13"/>
  <c r="E142" i="13"/>
  <c r="C144" i="13"/>
  <c r="E143" i="13"/>
  <c r="D143" i="13"/>
  <c r="D144" i="13"/>
  <c r="C145" i="13"/>
  <c r="E144" i="13"/>
  <c r="C146" i="13"/>
  <c r="E145" i="13"/>
  <c r="D145" i="13"/>
  <c r="D146" i="13"/>
  <c r="C147" i="13"/>
  <c r="E146" i="13"/>
  <c r="C148" i="13"/>
  <c r="E147" i="13"/>
  <c r="D147" i="13"/>
  <c r="D148" i="13"/>
  <c r="C149" i="13"/>
  <c r="E148" i="13"/>
  <c r="C150" i="13"/>
  <c r="E149" i="13"/>
  <c r="D149" i="13"/>
  <c r="D150" i="13"/>
  <c r="C151" i="13"/>
  <c r="E150" i="13"/>
  <c r="C152" i="13"/>
  <c r="E151" i="13"/>
  <c r="D151" i="13"/>
  <c r="D152" i="13"/>
  <c r="C153" i="13"/>
  <c r="E152" i="13"/>
  <c r="C154" i="13"/>
  <c r="E153" i="13"/>
  <c r="D153" i="13"/>
  <c r="D154" i="13"/>
  <c r="C155" i="13"/>
  <c r="E154" i="13"/>
  <c r="C156" i="13"/>
  <c r="E155" i="13"/>
  <c r="D155" i="13"/>
  <c r="D156" i="13"/>
  <c r="C157" i="13"/>
  <c r="E156" i="13"/>
  <c r="C158" i="13"/>
  <c r="E157" i="13"/>
  <c r="D157" i="13"/>
  <c r="D158" i="13"/>
  <c r="C159" i="13"/>
  <c r="E158" i="13"/>
  <c r="C160" i="13"/>
  <c r="E159" i="13"/>
  <c r="D159" i="13"/>
  <c r="D160" i="13"/>
  <c r="C161" i="13"/>
  <c r="E160" i="13"/>
  <c r="C162" i="13"/>
  <c r="E161" i="13"/>
  <c r="D161" i="13"/>
  <c r="D162" i="13"/>
  <c r="C163" i="13"/>
  <c r="E162" i="13"/>
  <c r="C164" i="13"/>
  <c r="E163" i="13"/>
  <c r="D163" i="13"/>
  <c r="D164" i="13"/>
  <c r="C165" i="13"/>
  <c r="E164" i="13"/>
  <c r="C166" i="13"/>
  <c r="E165" i="13"/>
  <c r="D165" i="13"/>
  <c r="D166" i="13"/>
  <c r="C167" i="13"/>
  <c r="E166" i="13"/>
  <c r="C168" i="13"/>
  <c r="E167" i="13"/>
  <c r="D167" i="13"/>
  <c r="D168" i="13"/>
  <c r="C169" i="13"/>
  <c r="E168" i="13"/>
  <c r="C170" i="13"/>
  <c r="E169" i="13"/>
  <c r="D169" i="13"/>
  <c r="D170" i="13"/>
  <c r="E170" i="13"/>
  <c r="U61" i="9"/>
  <c r="K92" i="12"/>
  <c r="U60" i="9"/>
  <c r="C33" i="21"/>
  <c r="E33" i="21"/>
  <c r="C34" i="21"/>
  <c r="E34" i="21"/>
  <c r="B49" i="5"/>
  <c r="B22" i="5"/>
  <c r="K71" i="1"/>
  <c r="K33" i="12"/>
  <c r="F33" i="12"/>
  <c r="N15" i="9"/>
  <c r="G40" i="12"/>
  <c r="Q15" i="9"/>
  <c r="J40" i="12"/>
  <c r="C36" i="21"/>
  <c r="E36" i="21"/>
  <c r="C35" i="21"/>
  <c r="E35" i="21"/>
  <c r="K22" i="9"/>
  <c r="K50" i="12"/>
  <c r="F50" i="12"/>
  <c r="K72" i="1"/>
  <c r="B13" i="3"/>
  <c r="E40" i="21"/>
  <c r="O108" i="1"/>
  <c r="C13" i="21"/>
  <c r="E13" i="21"/>
  <c r="C12" i="21"/>
  <c r="E12" i="21"/>
  <c r="E19" i="21"/>
  <c r="B108" i="1"/>
  <c r="B16" i="3"/>
  <c r="I72" i="14" l="1"/>
  <c r="I83" i="14" s="1"/>
  <c r="I85" i="14" s="1"/>
  <c r="B22" i="3"/>
  <c r="B52" i="3"/>
  <c r="B26" i="3"/>
  <c r="B53" i="5"/>
  <c r="B26" i="5"/>
  <c r="G34" i="16" s="1"/>
  <c r="G82" i="16"/>
  <c r="B11" i="5"/>
  <c r="G74" i="16" s="1"/>
  <c r="B8" i="3"/>
  <c r="B8" i="5"/>
  <c r="G16" i="20"/>
  <c r="G10" i="20"/>
  <c r="G12" i="20"/>
  <c r="G13" i="20"/>
  <c r="M12" i="20" s="1"/>
  <c r="B15" i="5" s="1"/>
  <c r="G19" i="20"/>
  <c r="M18" i="20" s="1"/>
  <c r="B15" i="3" s="1"/>
  <c r="G11" i="20"/>
  <c r="G18" i="20"/>
  <c r="G17" i="20"/>
  <c r="O31" i="16" l="1"/>
  <c r="B9" i="3"/>
  <c r="B11" i="3" s="1"/>
  <c r="O38" i="16" s="1"/>
  <c r="F72" i="16"/>
  <c r="G69" i="16"/>
  <c r="B19" i="5"/>
  <c r="N41" i="16"/>
  <c r="O43" i="16"/>
  <c r="B19" i="3" l="1"/>
  <c r="B27" i="5"/>
  <c r="B30" i="5" s="1"/>
  <c r="B55" i="5"/>
  <c r="B61" i="5" s="1"/>
  <c r="B54" i="3"/>
  <c r="B60" i="3" s="1"/>
  <c r="B27" i="3"/>
  <c r="B30" i="3" s="1"/>
  <c r="L109" i="16" l="1"/>
  <c r="B64" i="3"/>
  <c r="O109" i="16" s="1"/>
  <c r="P109" i="16" s="1"/>
  <c r="B65" i="5"/>
  <c r="F7" i="16" s="1"/>
  <c r="G7" i="16" s="1"/>
  <c r="C7" i="16"/>
  <c r="L107" i="16"/>
  <c r="B43" i="3"/>
  <c r="O107" i="16" s="1"/>
  <c r="P107" i="16" s="1"/>
  <c r="K73" i="1"/>
  <c r="B43" i="5"/>
  <c r="F5" i="16" s="1"/>
  <c r="G5" i="16" s="1"/>
  <c r="K74" i="1"/>
  <c r="C5"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rPr>
          <t xml:space="preserve">
</t>
        </r>
      </text>
    </comment>
    <comment ref="C48" authorId="1" shapeId="0" xr:uid="{00000000-0006-0000-0900-000003000000}">
      <text>
        <r>
          <rPr>
            <sz val="8"/>
            <color indexed="81"/>
            <rFont val="Tahoma"/>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5" authorId="0" shapeId="0" xr:uid="{00000000-0006-0000-0A00-000002000000}">
      <text>
        <r>
          <rPr>
            <sz val="8"/>
            <color indexed="81"/>
            <rFont val="Tahoma"/>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4" authorId="0" shapeId="0" xr:uid="{00000000-0006-0000-0A00-000003000000}">
      <text>
        <r>
          <rPr>
            <sz val="8"/>
            <color indexed="81"/>
            <rFont val="Tahoma"/>
          </rPr>
          <t xml:space="preserve">
</t>
        </r>
        <r>
          <rPr>
            <b/>
            <sz val="8"/>
            <color indexed="81"/>
            <rFont val="Tahoma"/>
            <family val="2"/>
          </rPr>
          <t>Figure 1</t>
        </r>
        <r>
          <rPr>
            <sz val="8"/>
            <color indexed="81"/>
            <rFont val="Tahoma"/>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rPr>
          <t xml:space="preserve">
</t>
        </r>
      </text>
    </comment>
    <comment ref="H57" authorId="0" shapeId="0" xr:uid="{00000000-0006-0000-0B00-000007000000}">
      <text>
        <r>
          <rPr>
            <sz val="8"/>
            <color indexed="81"/>
            <rFont val="Tahoma"/>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5" authorId="0" shapeId="0" xr:uid="{00000000-0006-0000-0B00-000009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rPr>
          <t xml:space="preserve">
</t>
        </r>
      </text>
    </comment>
    <comment ref="B27" authorId="0" shapeId="0" xr:uid="{00000000-0006-0000-0C00-000002000000}">
      <text>
        <r>
          <rPr>
            <sz val="10"/>
            <color indexed="81"/>
            <rFont val="Tahoma"/>
            <family val="2"/>
          </rPr>
          <t xml:space="preserve">
Also known as the C/N</t>
        </r>
        <r>
          <rPr>
            <sz val="8"/>
            <color indexed="81"/>
            <rFont val="Tahoma"/>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rPr>
          <t xml:space="preserve">
</t>
        </r>
        <r>
          <rPr>
            <sz val="10"/>
            <color indexed="81"/>
            <rFont val="Tahoma"/>
            <family val="2"/>
          </rPr>
          <t>This value is calculated by:
     S/N</t>
        </r>
        <r>
          <rPr>
            <sz val="8"/>
            <color indexed="81"/>
            <rFont val="Tahoma"/>
          </rPr>
          <t>o</t>
        </r>
        <r>
          <rPr>
            <sz val="10"/>
            <color indexed="81"/>
            <rFont val="Tahoma"/>
            <family val="2"/>
          </rPr>
          <t xml:space="preserve"> = P</t>
        </r>
        <r>
          <rPr>
            <sz val="8"/>
            <color indexed="81"/>
            <rFont val="Tahoma"/>
          </rPr>
          <t>iso</t>
        </r>
        <r>
          <rPr>
            <sz val="10"/>
            <color indexed="81"/>
            <rFont val="Tahoma"/>
            <family val="2"/>
          </rPr>
          <t xml:space="preserve">+(G/T)-K
     where:  K = Boltzman's Constant
</t>
        </r>
      </text>
    </comment>
    <comment ref="B30" authorId="0" shapeId="0" xr:uid="{00000000-0006-0000-0C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rPr>
          <t xml:space="preserve">o is known, </t>
        </r>
        <r>
          <rPr>
            <sz val="10"/>
            <color indexed="81"/>
            <rFont val="Tahoma"/>
            <family val="2"/>
          </rPr>
          <t>the E</t>
        </r>
        <r>
          <rPr>
            <sz val="8"/>
            <color indexed="81"/>
            <rFont val="Tahoma"/>
          </rPr>
          <t>b</t>
        </r>
        <r>
          <rPr>
            <sz val="10"/>
            <color indexed="81"/>
            <rFont val="Tahoma"/>
            <family val="2"/>
          </rPr>
          <t>/N</t>
        </r>
        <r>
          <rPr>
            <sz val="8"/>
            <color indexed="81"/>
            <rFont val="Tahoma"/>
          </rPr>
          <t>o</t>
        </r>
        <r>
          <rPr>
            <sz val="10"/>
            <color indexed="81"/>
            <rFont val="Tahoma"/>
            <family val="2"/>
          </rPr>
          <t xml:space="preserve"> is simply calculated by:  E</t>
        </r>
        <r>
          <rPr>
            <sz val="8"/>
            <color indexed="81"/>
            <rFont val="Tahoma"/>
          </rPr>
          <t>b</t>
        </r>
        <r>
          <rPr>
            <sz val="10"/>
            <color indexed="81"/>
            <rFont val="Tahoma"/>
            <family val="2"/>
          </rPr>
          <t>/N</t>
        </r>
        <r>
          <rPr>
            <sz val="8"/>
            <color indexed="81"/>
            <rFont val="Tahoma"/>
          </rPr>
          <t>o</t>
        </r>
        <r>
          <rPr>
            <sz val="10"/>
            <color indexed="81"/>
            <rFont val="Tahoma"/>
            <family val="2"/>
          </rPr>
          <t xml:space="preserve"> = S/N</t>
        </r>
        <r>
          <rPr>
            <sz val="8"/>
            <color indexed="81"/>
            <rFont val="Tahoma"/>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4" authorId="0" shapeId="0" xr:uid="{00000000-0006-0000-0C00-000008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00000000-0006-0000-0D00-000001000000}">
      <text>
        <r>
          <rPr>
            <sz val="8"/>
            <color indexed="81"/>
            <rFont val="Tahoma"/>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2" authorId="0" shapeId="0" xr:uid="{00000000-0006-0000-0D00-000002000000}">
      <text>
        <r>
          <rPr>
            <sz val="10"/>
            <color indexed="81"/>
            <rFont val="Tahoma"/>
            <family val="2"/>
          </rPr>
          <t xml:space="preserve">
Operator Enter Transmitter DC to RF Power Efficiency</t>
        </r>
        <r>
          <rPr>
            <sz val="8"/>
            <color indexed="81"/>
            <rFont val="Tahoma"/>
          </rPr>
          <t xml:space="preserve">
</t>
        </r>
      </text>
    </comment>
    <comment ref="O14" authorId="0" shapeId="0" xr:uid="{00000000-0006-0000-0D00-000003000000}">
      <text>
        <r>
          <rPr>
            <sz val="8"/>
            <color indexed="81"/>
            <rFont val="Tahoma"/>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rPr>
          <t xml:space="preserve">
</t>
        </r>
      </text>
    </comment>
    <comment ref="O16" authorId="0" shapeId="0" xr:uid="{00000000-0006-0000-0D00-000004000000}">
      <text>
        <r>
          <rPr>
            <sz val="8"/>
            <color indexed="81"/>
            <rFont val="Tahoma"/>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rPr>
          <t xml:space="preserve">
</t>
        </r>
      </text>
    </comment>
    <comment ref="A13" authorId="0" shapeId="0" xr:uid="{00000000-0006-0000-0F00-000004000000}">
      <text>
        <r>
          <rPr>
            <sz val="8"/>
            <color indexed="81"/>
            <rFont val="Tahoma"/>
          </rPr>
          <t xml:space="preserve">
</t>
        </r>
        <r>
          <rPr>
            <sz val="10"/>
            <color indexed="81"/>
            <rFont val="Tahoma"/>
            <family val="2"/>
          </rPr>
          <t>This is a tool for determining the performance of a small (and simple) parabolic reflector.  It uses a sin</t>
        </r>
        <r>
          <rPr>
            <sz val="10"/>
            <color indexed="81"/>
            <rFont val="Arial"/>
          </rPr>
          <t>²θ</t>
        </r>
        <r>
          <rPr>
            <sz val="10"/>
            <color indexed="81"/>
            <rFont val="Tahoma"/>
            <family val="2"/>
          </rPr>
          <t>/</t>
        </r>
        <r>
          <rPr>
            <sz val="10"/>
            <color indexed="81"/>
            <rFont val="Arial"/>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rPr>
          <t>°</t>
        </r>
        <r>
          <rPr>
            <sz val="10"/>
            <color indexed="81"/>
            <rFont val="Tahoma"/>
            <family val="2"/>
          </rPr>
          <t>. = 11.0</t>
        </r>
        <r>
          <rPr>
            <sz val="10"/>
            <color indexed="81"/>
            <rFont val="Arial"/>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rPr>
          <t>A</t>
        </r>
        <r>
          <rPr>
            <sz val="10"/>
            <color indexed="81"/>
            <rFont val="Tahoma"/>
            <family val="2"/>
          </rPr>
          <t>, L</t>
        </r>
        <r>
          <rPr>
            <sz val="8"/>
            <color indexed="81"/>
            <rFont val="Tahoma"/>
          </rPr>
          <t>B</t>
        </r>
        <r>
          <rPr>
            <sz val="10"/>
            <color indexed="81"/>
            <rFont val="Tahoma"/>
            <family val="2"/>
          </rPr>
          <t xml:space="preserve"> and L</t>
        </r>
        <r>
          <rPr>
            <sz val="8"/>
            <color indexed="81"/>
            <rFont val="Tahoma"/>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67" authorId="0" shapeId="0" xr:uid="{00000000-0006-0000-1100-000003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88" authorId="0" shapeId="0" xr:uid="{00000000-0006-0000-1100-000004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10" authorId="0" shapeId="0" xr:uid="{00000000-0006-0000-1100-000005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32" authorId="0" shapeId="0" xr:uid="{00000000-0006-0000-1100-000006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rPr>
          <t>tx</t>
        </r>
        <r>
          <rPr>
            <sz val="10"/>
            <color indexed="81"/>
            <rFont val="Tahoma"/>
            <family val="2"/>
          </rPr>
          <t>/Z</t>
        </r>
        <r>
          <rPr>
            <sz val="8"/>
            <color indexed="81"/>
            <rFont val="Tahoma"/>
          </rPr>
          <t>sys</t>
        </r>
        <r>
          <rPr>
            <sz val="10"/>
            <color indexed="81"/>
            <rFont val="Tahoma"/>
            <family val="2"/>
          </rPr>
          <t>,where Z</t>
        </r>
        <r>
          <rPr>
            <sz val="8"/>
            <color indexed="81"/>
            <rFont val="Tahoma"/>
          </rPr>
          <t>tx</t>
        </r>
        <r>
          <rPr>
            <sz val="10"/>
            <color indexed="81"/>
            <rFont val="Tahoma"/>
            <family val="2"/>
          </rPr>
          <t xml:space="preserve"> is the impedance of the transmitter and Z</t>
        </r>
        <r>
          <rPr>
            <sz val="8"/>
            <color indexed="81"/>
            <rFont val="Tahoma"/>
          </rPr>
          <t>sys</t>
        </r>
        <r>
          <rPr>
            <sz val="10"/>
            <color indexed="81"/>
            <rFont val="Tahoma"/>
            <family val="2"/>
          </rPr>
          <t xml:space="preserve"> is the impedance of the rest of the sytem looking into the feedline from the transmitter end.  </t>
        </r>
        <r>
          <rPr>
            <sz val="8"/>
            <color indexed="81"/>
            <rFont val="Tahoma"/>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rPr>
          <t xml:space="preserve">
</t>
        </r>
        <r>
          <rPr>
            <sz val="10"/>
            <color indexed="81"/>
            <rFont val="Tahoma"/>
            <family val="2"/>
          </rPr>
          <t>The VSWR of the transmitter system is equal to:
                  |Z</t>
        </r>
        <r>
          <rPr>
            <sz val="8"/>
            <color indexed="81"/>
            <rFont val="Tahoma"/>
          </rPr>
          <t>tx</t>
        </r>
        <r>
          <rPr>
            <sz val="10"/>
            <color indexed="81"/>
            <rFont val="Tahoma"/>
            <family val="2"/>
          </rPr>
          <t>|        |Z</t>
        </r>
        <r>
          <rPr>
            <sz val="8"/>
            <color indexed="81"/>
            <rFont val="Tahoma"/>
          </rPr>
          <t>sys</t>
        </r>
        <r>
          <rPr>
            <sz val="10"/>
            <color indexed="81"/>
            <rFont val="Tahoma"/>
            <family val="2"/>
          </rPr>
          <t>|
     VSWR = ------  or  --------
                  |Z</t>
        </r>
        <r>
          <rPr>
            <sz val="8"/>
            <color indexed="81"/>
            <rFont val="Tahoma"/>
          </rPr>
          <t>sys</t>
        </r>
        <r>
          <rPr>
            <sz val="10"/>
            <color indexed="81"/>
            <rFont val="Tahoma"/>
            <family val="2"/>
          </rPr>
          <t>|      |Z</t>
        </r>
        <r>
          <rPr>
            <sz val="8"/>
            <color indexed="81"/>
            <rFont val="Tahoma"/>
          </rPr>
          <t>tx</t>
        </r>
        <r>
          <rPr>
            <sz val="10"/>
            <color indexed="81"/>
            <rFont val="Tahoma"/>
            <family val="2"/>
          </rPr>
          <t>|
     whichever is greater.</t>
        </r>
      </text>
    </comment>
    <comment ref="G42" authorId="0" shapeId="0" xr:uid="{00000000-0006-0000-1200-000003000000}">
      <text>
        <r>
          <rPr>
            <sz val="8"/>
            <color indexed="81"/>
            <rFont val="Tahoma"/>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rPr>
          <t xml:space="preserve">
The Azimuth Calculation within a Quadrant.
</t>
        </r>
      </text>
    </comment>
    <comment ref="B38" authorId="0" shapeId="0" xr:uid="{00000000-0006-0000-1300-000002000000}">
      <text>
        <r>
          <rPr>
            <sz val="8"/>
            <color indexed="81"/>
            <rFont val="Tahoma"/>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rPr>
          <t xml:space="preserve">
Option #2 is intended for High Earth Orbits using eliptical orbits.  The link model operator selects
</t>
        </r>
      </text>
    </comment>
    <comment ref="J68" authorId="0" shapeId="0" xr:uid="{00000000-0006-0000-0200-000003000000}">
      <text>
        <r>
          <rPr>
            <sz val="8"/>
            <color indexed="81"/>
            <rFont val="Tahoma"/>
          </rPr>
          <t xml:space="preserve">
This is the Earth's diameter (not counting the atmosphere) as seen from the spacecraft.
</t>
        </r>
      </text>
    </comment>
    <comment ref="J69" authorId="0" shapeId="0" xr:uid="{00000000-0006-0000-0200-000004000000}">
      <text>
        <r>
          <rPr>
            <sz val="8"/>
            <color indexed="81"/>
            <rFont val="Tahoma"/>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rPr>
          <t xml:space="preserve">
</t>
        </r>
      </text>
    </comment>
    <comment ref="O96" authorId="0" shapeId="0" xr:uid="{00000000-0006-0000-0200-000009000000}">
      <text>
        <r>
          <rPr>
            <sz val="8"/>
            <color indexed="81"/>
            <rFont val="Tahoma"/>
          </rPr>
          <t xml:space="preserve">
This data entry allows a downlink to the same user or to a different user location. 
</t>
        </r>
      </text>
    </comment>
    <comment ref="A102" authorId="0" shapeId="0" xr:uid="{00000000-0006-0000-0200-00000A000000}">
      <text>
        <r>
          <rPr>
            <sz val="8"/>
            <color indexed="81"/>
            <rFont val="Tahoma"/>
          </rPr>
          <t xml:space="preserve">
Spacecraft Slot Latitude is 0</t>
        </r>
        <r>
          <rPr>
            <sz val="8"/>
            <color indexed="81"/>
            <rFont val="Arial"/>
          </rPr>
          <t>°</t>
        </r>
        <r>
          <rPr>
            <sz val="8"/>
            <color indexed="81"/>
            <rFont val="Tahoma"/>
          </rPr>
          <t xml:space="preserve"> by Definition.
</t>
        </r>
      </text>
    </comment>
    <comment ref="G115" authorId="0" shapeId="0" xr:uid="{00000000-0006-0000-0200-00000B000000}">
      <text>
        <r>
          <rPr>
            <sz val="8"/>
            <color indexed="81"/>
            <rFont val="Tahoma"/>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Vigely Mastro</author>
  </authors>
  <commentList>
    <comment ref="B6" authorId="0" shapeId="0" xr:uid="{00000000-0006-0000-0400-000001000000}">
      <text>
        <r>
          <rPr>
            <sz val="8"/>
            <color indexed="81"/>
            <rFont val="Tahoma"/>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 ref="E34" authorId="1" shapeId="0" xr:uid="{16775095-2921-49EF-B440-2583851543B8}">
      <text>
        <r>
          <rPr>
            <sz val="9"/>
            <color indexed="81"/>
            <rFont val="Tahoma"/>
            <family val="2"/>
          </rPr>
          <t>Includes PolyPhasers:
2x connectors = 1 PolyPhasers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Vigely Mastro</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00000000-0006-0000-0500-000002000000}">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rPr>
          <t xml:space="preserve">
</t>
        </r>
      </text>
    </comment>
    <comment ref="V54" authorId="0" shapeId="0" xr:uid="{00000000-0006-0000-0500-000003000000}">
      <text>
        <r>
          <rPr>
            <sz val="8"/>
            <color indexed="81"/>
            <rFont val="Tahoma"/>
          </rPr>
          <t xml:space="preserve">
</t>
        </r>
        <r>
          <rPr>
            <sz val="10"/>
            <color indexed="81"/>
            <rFont val="Tahoma"/>
            <family val="2"/>
          </rPr>
          <t>The</t>
        </r>
        <r>
          <rPr>
            <sz val="8"/>
            <color indexed="81"/>
            <rFont val="Tahoma"/>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rPr>
          <t xml:space="preserve"> </t>
        </r>
        <r>
          <rPr>
            <sz val="10"/>
            <color indexed="81"/>
            <rFont val="Tahoma"/>
            <family val="2"/>
          </rPr>
          <t>temperature in</t>
        </r>
        <r>
          <rPr>
            <sz val="8"/>
            <color indexed="81"/>
            <rFont val="Tahoma"/>
          </rPr>
          <t xml:space="preserve"> </t>
        </r>
        <r>
          <rPr>
            <sz val="10"/>
            <color indexed="81"/>
            <rFont val="Arial"/>
          </rPr>
          <t>°</t>
        </r>
        <r>
          <rPr>
            <sz val="10"/>
            <color indexed="81"/>
            <rFont val="Tahoma"/>
            <family val="2"/>
          </rPr>
          <t>K</t>
        </r>
        <r>
          <rPr>
            <sz val="8"/>
            <color indexed="81"/>
            <rFont val="Tahoma"/>
          </rPr>
          <t xml:space="preserve">.  </t>
        </r>
        <r>
          <rPr>
            <sz val="10"/>
            <color indexed="81"/>
            <rFont val="Tahoma"/>
            <family val="2"/>
          </rPr>
          <t>The translation between the two</t>
        </r>
        <r>
          <rPr>
            <sz val="8"/>
            <color indexed="81"/>
            <rFont val="Tahoma"/>
          </rPr>
          <t xml:space="preserve"> </t>
        </r>
        <r>
          <rPr>
            <sz val="10"/>
            <color indexed="81"/>
            <rFont val="Tahoma"/>
            <family val="2"/>
          </rPr>
          <t>depends upon the reference temperature of the</t>
        </r>
        <r>
          <rPr>
            <sz val="8"/>
            <color indexed="81"/>
            <rFont val="Tahoma"/>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rPr>
          <t xml:space="preserve">
</t>
        </r>
      </text>
    </comment>
    <comment ref="J70" authorId="1" shapeId="0" xr:uid="{49145808-16BB-4419-9B14-BD0B7C5295EC}">
      <text>
        <r>
          <rPr>
            <b/>
            <sz val="9"/>
            <color indexed="81"/>
            <rFont val="Tahoma"/>
            <family val="2"/>
          </rPr>
          <t xml:space="preserve">Vigely Mastro:
</t>
        </r>
        <r>
          <rPr>
            <sz val="9"/>
            <color indexed="81"/>
            <rFont val="Tahoma"/>
            <family val="2"/>
          </rPr>
          <t>System noise temp. model based on SME text.</t>
        </r>
      </text>
    </comment>
    <comment ref="I101" authorId="0" shapeId="0" xr:uid="{00000000-0006-0000-0500-000005000000}">
      <text>
        <r>
          <rPr>
            <sz val="8"/>
            <color indexed="81"/>
            <rFont val="Tahoma"/>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rPr>
          <t xml:space="preserve">
</t>
        </r>
      </text>
    </comment>
    <comment ref="H109" authorId="0" shapeId="0" xr:uid="{00000000-0006-0000-0500-000006000000}">
      <text>
        <r>
          <rPr>
            <sz val="8"/>
            <color indexed="81"/>
            <rFont val="Tahoma"/>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G132" authorId="0" shapeId="0" xr:uid="{F57E7C1D-F894-4CEA-804C-21DB41B6B702}">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P139" authorId="0" shapeId="0" xr:uid="{00000000-0006-0000-0500-000008000000}">
      <text>
        <r>
          <rPr>
            <sz val="8"/>
            <color indexed="81"/>
            <rFont val="Tahoma"/>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rPr>
          <t xml:space="preserve">LNA x </t>
        </r>
        <r>
          <rPr>
            <sz val="10"/>
            <color indexed="81"/>
            <rFont val="Tahoma"/>
            <family val="2"/>
          </rPr>
          <t>B).</t>
        </r>
      </text>
    </comment>
    <comment ref="G140" authorId="0" shapeId="0" xr:uid="{DF37ACCA-5628-4146-91C1-34B1E6D2EB3A}">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 ref="J151" authorId="1" shapeId="0" xr:uid="{7BCB6C9E-839E-4BED-94D0-5F28FD9E90DE}">
      <text>
        <r>
          <rPr>
            <b/>
            <sz val="9"/>
            <color indexed="81"/>
            <rFont val="Tahoma"/>
            <family val="2"/>
          </rPr>
          <t>Vigely Mastro:</t>
        </r>
        <r>
          <rPr>
            <sz val="9"/>
            <color indexed="81"/>
            <rFont val="Tahoma"/>
            <family val="2"/>
          </rPr>
          <t xml:space="preserve">
System noise temp. model based on SME text.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rPr>
          <t xml:space="preserve">Operator Enter RHCP, LHCP, Linear 
NOTE:  Linear antennas are discouraged.
</t>
        </r>
      </text>
    </comment>
    <comment ref="K24" authorId="0" shapeId="0" xr:uid="{00000000-0006-0000-0600-000003000000}">
      <text>
        <r>
          <rPr>
            <sz val="8"/>
            <color indexed="81"/>
            <rFont val="Tahoma"/>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rPr>
          <t xml:space="preserve">
</t>
        </r>
      </text>
    </comment>
    <comment ref="K41" authorId="0" shapeId="0" xr:uid="{00000000-0006-0000-0600-000006000000}">
      <text>
        <r>
          <rPr>
            <sz val="8"/>
            <color indexed="81"/>
            <rFont val="Tahoma"/>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rPr>
          <t xml:space="preserve">
</t>
        </r>
      </text>
    </comment>
    <comment ref="K58" authorId="0" shapeId="0" xr:uid="{00000000-0006-0000-0600-000009000000}">
      <text>
        <r>
          <rPr>
            <sz val="8"/>
            <color indexed="81"/>
            <rFont val="Tahoma"/>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rPr>
          <t>θ</t>
        </r>
        <r>
          <rPr>
            <b/>
            <sz val="8"/>
            <color indexed="81"/>
            <rFont val="Tahoma"/>
            <family val="2"/>
          </rPr>
          <t>3</t>
        </r>
        <r>
          <rPr>
            <sz val="8"/>
            <color indexed="81"/>
            <rFont val="Tahoma"/>
          </rPr>
          <t xml:space="preserve"> </t>
        </r>
        <r>
          <rPr>
            <sz val="10"/>
            <color indexed="81"/>
            <rFont val="Tahoma"/>
            <family val="2"/>
          </rPr>
          <t xml:space="preserve">is defined in the same manner as </t>
        </r>
        <r>
          <rPr>
            <b/>
            <sz val="10"/>
            <color indexed="81"/>
            <rFont val="Arial"/>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rPr>
          <t>²</t>
        </r>
        <r>
          <rPr>
            <sz val="10"/>
            <color indexed="81"/>
            <rFont val="Tahoma"/>
            <family val="2"/>
          </rPr>
          <t>/</t>
        </r>
        <r>
          <rPr>
            <sz val="10"/>
            <color indexed="81"/>
            <rFont val="Symbol"/>
            <family val="1"/>
          </rPr>
          <t>q</t>
        </r>
        <r>
          <rPr>
            <sz val="10"/>
            <color indexed="81"/>
            <rFont val="Arial"/>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rPr>
          <t>θ</t>
        </r>
        <r>
          <rPr>
            <sz val="8"/>
            <color indexed="81"/>
            <rFont val="Tahoma"/>
          </rPr>
          <t>1</t>
        </r>
        <r>
          <rPr>
            <sz val="10"/>
            <color indexed="81"/>
            <rFont val="Tahoma"/>
            <family val="2"/>
          </rPr>
          <t xml:space="preserve">, </t>
        </r>
        <r>
          <rPr>
            <sz val="10"/>
            <color indexed="81"/>
            <rFont val="Arial"/>
          </rPr>
          <t>θ</t>
        </r>
        <r>
          <rPr>
            <sz val="8"/>
            <color indexed="81"/>
            <rFont val="Tahoma"/>
          </rPr>
          <t>2</t>
        </r>
        <r>
          <rPr>
            <sz val="10"/>
            <color indexed="81"/>
            <rFont val="Tahoma"/>
            <family val="2"/>
          </rPr>
          <t xml:space="preserve">, </t>
        </r>
        <r>
          <rPr>
            <sz val="10"/>
            <color indexed="81"/>
            <rFont val="Arial"/>
          </rPr>
          <t>θ</t>
        </r>
        <r>
          <rPr>
            <sz val="8"/>
            <color indexed="81"/>
            <rFont val="Tahoma"/>
          </rPr>
          <t>3</t>
        </r>
        <r>
          <rPr>
            <sz val="10"/>
            <color indexed="81"/>
            <rFont val="Tahoma"/>
            <family val="2"/>
          </rPr>
          <t xml:space="preserve"> and </t>
        </r>
        <r>
          <rPr>
            <sz val="10"/>
            <color indexed="81"/>
            <rFont val="Arial"/>
          </rPr>
          <t>θ</t>
        </r>
        <r>
          <rPr>
            <sz val="8"/>
            <color indexed="81"/>
            <rFont val="Tahoma"/>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rPr>
          <t>θ</t>
        </r>
        <r>
          <rPr>
            <b/>
            <sz val="8"/>
            <color indexed="81"/>
            <rFont val="Tahoma"/>
            <family val="2"/>
          </rPr>
          <t>1</t>
        </r>
        <r>
          <rPr>
            <sz val="10"/>
            <color indexed="81"/>
            <rFont val="Tahoma"/>
            <family val="2"/>
          </rPr>
          <t xml:space="preserve"> thru </t>
        </r>
        <r>
          <rPr>
            <b/>
            <sz val="10"/>
            <color indexed="81"/>
            <rFont val="Arial"/>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rPr>
          <t>θ</t>
        </r>
        <r>
          <rPr>
            <sz val="10"/>
            <color indexed="81"/>
            <rFont val="Arial"/>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rPr>
          <t>θ</t>
        </r>
        <r>
          <rPr>
            <sz val="9"/>
            <color indexed="81"/>
            <rFont val="Tahoma"/>
            <family val="2"/>
          </rPr>
          <t xml:space="preserve"> </t>
        </r>
        <r>
          <rPr>
            <sz val="10"/>
            <color indexed="81"/>
            <rFont val="Tahoma"/>
            <family val="2"/>
          </rPr>
          <t xml:space="preserve">with the spacecraft attitude component </t>
        </r>
        <r>
          <rPr>
            <b/>
            <sz val="10"/>
            <color indexed="81"/>
            <rFont val="Arial"/>
          </rPr>
          <t>θ</t>
        </r>
        <r>
          <rPr>
            <sz val="10"/>
            <color indexed="81"/>
            <rFont val="Arial"/>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<sst xmlns="http://schemas.openxmlformats.org/spreadsheetml/2006/main" count="2796" uniqueCount="1112">
  <si>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</si>
  <si>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</si>
  <si>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</si>
  <si>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</si>
  <si>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</si>
  <si>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</si>
  <si>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</si>
  <si>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</si>
  <si>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</si>
  <si>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</si>
  <si>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</si>
  <si>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</si>
  <si>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</si>
  <si>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</si>
  <si>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</si>
  <si>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</si>
  <si>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</si>
  <si>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</si>
  <si>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</si>
  <si>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</si>
  <si>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</si>
  <si>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</si>
  <si>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</si>
  <si>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</si>
  <si>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</si>
  <si>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</si>
  <si>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</si>
  <si>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rPr>
      <t>1</t>
    </r>
    <r>
      <rPr>
        <sz val="10"/>
        <rFont val="Arial"/>
      </rPr>
      <t xml:space="preserve"> and F</t>
    </r>
    <r>
      <rPr>
        <sz val="8"/>
        <rFont val="Arial"/>
      </rPr>
      <t>2</t>
    </r>
    <r>
      <rPr>
        <sz val="10"/>
        <rFont val="Arial"/>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</si>
  <si>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</si>
  <si>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</si>
  <si>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</si>
  <si>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</si>
  <si>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</si>
  <si>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</si>
  <si>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</si>
  <si>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</si>
  <si>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</si>
  <si>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</si>
  <si>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</si>
  <si>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</si>
  <si>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</si>
  <si>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</si>
  <si>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</si>
  <si>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</si>
  <si>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</si>
  <si>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</si>
  <si>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</si>
  <si>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</si>
  <si>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</si>
  <si>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</si>
  <si>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</si>
  <si>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</si>
  <si>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</si>
  <si>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</si>
  <si>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</si>
  <si>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</si>
  <si>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</si>
  <si>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</si>
  <si>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</si>
  <si>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</si>
  <si>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</si>
  <si>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</si>
  <si>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</si>
  <si>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</si>
  <si>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rPr>
      <t>):</t>
    </r>
  </si>
  <si>
    <t>Turns (n):</t>
  </si>
  <si>
    <r>
      <t>Turn Spacing (</t>
    </r>
    <r>
      <rPr>
        <sz val="10"/>
        <rFont val="Symbol"/>
        <family val="1"/>
      </rPr>
      <t>l</t>
    </r>
    <r>
      <rPr>
        <sz val="10"/>
        <rFont val="Arial"/>
      </rPr>
      <t>):</t>
    </r>
  </si>
  <si>
    <r>
      <t>Loop (</t>
    </r>
    <r>
      <rPr>
        <sz val="10"/>
        <rFont val="Symbol"/>
        <family val="1"/>
      </rPr>
      <t>l</t>
    </r>
    <r>
      <rPr>
        <sz val="10"/>
        <rFont val="Arial"/>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</si>
  <si>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</si>
  <si>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</si>
  <si>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</si>
  <si>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</si>
  <si>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</si>
  <si>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</si>
  <si>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</si>
  <si>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</si>
  <si>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</si>
  <si>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</si>
  <si>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</si>
  <si>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</si>
  <si>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</si>
  <si>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</si>
  <si>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</si>
  <si>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</si>
  <si>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</si>
  <si>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</si>
  <si>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</si>
  <si>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</si>
  <si>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</si>
  <si>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</si>
  <si>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</si>
  <si>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</si>
  <si>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</si>
  <si>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</si>
  <si>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</si>
  <si>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</si>
  <si>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</si>
  <si>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</si>
  <si>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</si>
  <si>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</si>
  <si>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</si>
  <si>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</si>
  <si>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</si>
  <si>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</si>
  <si>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</si>
  <si>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</si>
  <si>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</si>
  <si>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</si>
  <si>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</si>
  <si>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</si>
  <si>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</si>
  <si>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</si>
  <si>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</si>
  <si>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</si>
  <si>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</si>
  <si>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</si>
  <si>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</si>
  <si>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</si>
  <si>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</si>
  <si>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</si>
  <si>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</si>
  <si>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</si>
  <si>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</si>
  <si>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</si>
  <si>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</si>
  <si>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</si>
  <si>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</si>
  <si>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</si>
  <si>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</si>
  <si>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</si>
  <si>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</si>
  <si>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</si>
  <si>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</si>
  <si>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</si>
  <si>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</si>
  <si>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</si>
  <si>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</si>
  <si>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</si>
  <si>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</si>
  <si>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</si>
  <si>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</si>
  <si>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</si>
  <si>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</si>
  <si>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</si>
  <si>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</si>
  <si>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</si>
  <si>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</si>
  <si>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</si>
  <si>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</si>
  <si>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</si>
  <si>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</si>
  <si>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</si>
  <si>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</si>
  <si>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rPr>
      <t xml:space="preserve"> wrt Symmetry Axis (</t>
    </r>
    <r>
      <rPr>
        <sz val="10"/>
        <rFont val="Arial"/>
      </rPr>
      <t>θ)°</t>
    </r>
    <r>
      <rPr>
        <sz val="10"/>
        <rFont val="Arial"/>
      </rPr>
      <t>:</t>
    </r>
  </si>
  <si>
    <t>LHCP</t>
  </si>
  <si>
    <t>Antenna Gain (dBi):</t>
  </si>
  <si>
    <t>Spacecraft Antennas:</t>
  </si>
  <si>
    <t>Uplink Transmitter System (At Ground Station):</t>
  </si>
  <si>
    <t>Downlink Transmitter System (At Spacecraft):</t>
  </si>
  <si>
    <t>Block Diagram:</t>
  </si>
  <si>
    <t>Transmitter Power:</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</si>
  <si>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</si>
  <si>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</si>
  <si>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</si>
  <si>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</si>
  <si>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</si>
  <si>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</si>
  <si>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</si>
  <si>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</si>
  <si>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</si>
  <si>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</si>
  <si>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Filter Insertion Losses:</t>
  </si>
  <si>
    <t>No. of In-Line Connectors:</t>
  </si>
  <si>
    <t>Other In-Line Losses:</t>
  </si>
  <si>
    <t>MHz =</t>
  </si>
  <si>
    <t>Other Components in Line:</t>
  </si>
  <si>
    <t>Total Line Losses:</t>
  </si>
  <si>
    <t>System Transmitters &amp; Line Losses:</t>
  </si>
  <si>
    <t>Antenna Mismatch Losses:</t>
  </si>
  <si>
    <t>Antenna Mismatch</t>
  </si>
  <si>
    <t xml:space="preserve">   Line B</t>
  </si>
  <si>
    <t xml:space="preserve">       Line C</t>
  </si>
  <si>
    <t>Line A Length:</t>
  </si>
  <si>
    <t>Line B Length:</t>
  </si>
  <si>
    <t>Line C Length:</t>
  </si>
  <si>
    <t>Line B</t>
  </si>
  <si>
    <t xml:space="preserve">   Line C</t>
  </si>
  <si>
    <t xml:space="preserve">Line A    </t>
  </si>
  <si>
    <t>Total Line Length (Line A+B+C):</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</si>
  <si>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</si>
  <si>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</si>
  <si>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</si>
  <si>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</si>
  <si>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</si>
  <si>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</si>
  <si>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</si>
  <si>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</si>
  <si>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</si>
  <si>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</si>
  <si>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</si>
  <si>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</si>
  <si>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r>
      <t>System Noise Temperature (T</t>
    </r>
    <r>
      <rPr>
        <sz val="8"/>
        <rFont val="Arial"/>
      </rPr>
      <t>s</t>
    </r>
    <r>
      <rPr>
        <sz val="10"/>
        <rFont val="Arial"/>
      </rPr>
      <t>):</t>
    </r>
  </si>
  <si>
    <t>Where:</t>
  </si>
  <si>
    <r>
      <t>L</t>
    </r>
    <r>
      <rPr>
        <sz val="8"/>
        <rFont val="Arial"/>
      </rPr>
      <t xml:space="preserve">A          </t>
    </r>
  </si>
  <si>
    <r>
      <t xml:space="preserve">       L</t>
    </r>
    <r>
      <rPr>
        <sz val="8"/>
        <rFont val="Arial"/>
      </rPr>
      <t xml:space="preserve">B   </t>
    </r>
  </si>
  <si>
    <r>
      <t xml:space="preserve">      L</t>
    </r>
    <r>
      <rPr>
        <sz val="8"/>
        <rFont val="Arial"/>
      </rPr>
      <t>C</t>
    </r>
  </si>
  <si>
    <r>
      <t>T</t>
    </r>
    <r>
      <rPr>
        <sz val="8"/>
        <rFont val="Arial"/>
      </rPr>
      <t>o</t>
    </r>
  </si>
  <si>
    <r>
      <t xml:space="preserve">      T</t>
    </r>
    <r>
      <rPr>
        <sz val="8"/>
        <rFont val="Arial"/>
      </rPr>
      <t>o</t>
    </r>
  </si>
  <si>
    <r>
      <t>a</t>
    </r>
    <r>
      <rPr>
        <sz val="10"/>
        <rFont val="Arial"/>
      </rPr>
      <t xml:space="preserve"> </t>
    </r>
    <r>
      <rPr>
        <sz val="10"/>
        <rFont val="Symbol"/>
        <family val="1"/>
      </rPr>
      <t xml:space="preserve">º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</si>
  <si>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T</t>
    </r>
    <r>
      <rPr>
        <sz val="8"/>
        <rFont val="Arial"/>
      </rPr>
      <t>LNA</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</si>
  <si>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2ndStage</t>
    </r>
    <r>
      <rPr>
        <b/>
        <sz val="10"/>
        <rFont val="Arial"/>
        <family val="2"/>
      </rPr>
      <t>/G</t>
    </r>
    <r>
      <rPr>
        <b/>
        <sz val="8"/>
        <rFont val="Arial"/>
        <family val="2"/>
      </rPr>
      <t>LNA</t>
    </r>
  </si>
  <si>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</si>
  <si>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</si>
  <si>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</si>
  <si>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</si>
  <si>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</si>
  <si>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</si>
  <si>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</si>
  <si>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r>
      <t>T</t>
    </r>
    <r>
      <rPr>
        <sz val="8"/>
        <rFont val="Arial"/>
      </rPr>
      <t>2nd Stage</t>
    </r>
  </si>
  <si>
    <t>Cable or Waveguide "Line" Losses:</t>
  </si>
  <si>
    <t>Cable or Waveguide ("Line") Losses:</t>
  </si>
  <si>
    <r>
      <t>L</t>
    </r>
    <r>
      <rPr>
        <sz val="8"/>
        <rFont val="Arial"/>
      </rPr>
      <t>A</t>
    </r>
    <r>
      <rPr>
        <sz val="10"/>
        <rFont val="Arial"/>
      </rPr>
      <t xml:space="preserve"> = </t>
    </r>
  </si>
  <si>
    <r>
      <t>L</t>
    </r>
    <r>
      <rPr>
        <sz val="8"/>
        <rFont val="Arial"/>
      </rPr>
      <t>B</t>
    </r>
    <r>
      <rPr>
        <sz val="10"/>
        <rFont val="Arial"/>
      </rPr>
      <t xml:space="preserve"> = </t>
    </r>
  </si>
  <si>
    <r>
      <t>L</t>
    </r>
    <r>
      <rPr>
        <sz val="8"/>
        <rFont val="Arial"/>
      </rPr>
      <t>C</t>
    </r>
    <r>
      <rPr>
        <sz val="10"/>
        <rFont val="Arial"/>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</si>
  <si>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</si>
  <si>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</si>
  <si>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</si>
  <si>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</si>
  <si>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</si>
  <si>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</si>
  <si>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</si>
  <si>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rPr>
      <t>BPF</t>
    </r>
    <r>
      <rPr>
        <sz val="10"/>
        <rFont val="Arial"/>
      </rPr>
      <t xml:space="preserve"> =</t>
    </r>
  </si>
  <si>
    <t>Insertion Loss of Other In-Line Devices:</t>
  </si>
  <si>
    <r>
      <t>L</t>
    </r>
    <r>
      <rPr>
        <sz val="8"/>
        <rFont val="Arial"/>
      </rPr>
      <t>other</t>
    </r>
    <r>
      <rPr>
        <sz val="10"/>
        <rFont val="Arial"/>
      </rPr>
      <t xml:space="preserve"> = </t>
    </r>
  </si>
  <si>
    <t>Total In-Line Losses from Antenna to LNA:</t>
  </si>
  <si>
    <t>Transmission Line Coefficient:</t>
  </si>
  <si>
    <r>
      <t>a</t>
    </r>
    <r>
      <rPr>
        <sz val="10"/>
        <rFont val="Arial"/>
      </rPr>
      <t xml:space="preserve"> = </t>
    </r>
  </si>
  <si>
    <t>Antenna or "Sky" Temperature:</t>
  </si>
  <si>
    <r>
      <t>T</t>
    </r>
    <r>
      <rPr>
        <sz val="8"/>
        <rFont val="Arial"/>
      </rPr>
      <t>a</t>
    </r>
    <r>
      <rPr>
        <sz val="10"/>
        <rFont val="Arial"/>
      </rPr>
      <t xml:space="preserve"> =</t>
    </r>
  </si>
  <si>
    <t>Spacecraft Temperature:</t>
  </si>
  <si>
    <r>
      <t>T</t>
    </r>
    <r>
      <rPr>
        <sz val="8"/>
        <rFont val="Arial"/>
      </rPr>
      <t>o</t>
    </r>
    <r>
      <rPr>
        <sz val="10"/>
        <rFont val="Arial"/>
      </rPr>
      <t xml:space="preserve"> =</t>
    </r>
  </si>
  <si>
    <t>LNA Temperature:</t>
  </si>
  <si>
    <r>
      <t>T</t>
    </r>
    <r>
      <rPr>
        <sz val="8"/>
        <rFont val="Arial"/>
      </rPr>
      <t>LNA</t>
    </r>
    <r>
      <rPr>
        <sz val="10"/>
        <rFont val="Arial"/>
      </rPr>
      <t xml:space="preserve"> =</t>
    </r>
  </si>
  <si>
    <t>2nd Stage Temperature:</t>
  </si>
  <si>
    <t>LNA Gain:</t>
  </si>
  <si>
    <r>
      <t>G</t>
    </r>
    <r>
      <rPr>
        <sz val="8"/>
        <rFont val="Arial"/>
      </rPr>
      <t>LNA</t>
    </r>
    <r>
      <rPr>
        <sz val="10"/>
        <rFont val="Arial"/>
      </rPr>
      <t xml:space="preserve"> =</t>
    </r>
  </si>
  <si>
    <r>
      <t>T</t>
    </r>
    <r>
      <rPr>
        <sz val="8"/>
        <rFont val="Arial"/>
      </rPr>
      <t>2ndStage</t>
    </r>
    <r>
      <rPr>
        <sz val="10"/>
        <rFont val="Arial"/>
      </rPr>
      <t xml:space="preserve"> =</t>
    </r>
  </si>
  <si>
    <t>System Noise Temperature:</t>
  </si>
  <si>
    <r>
      <t>T</t>
    </r>
    <r>
      <rPr>
        <sz val="8"/>
        <rFont val="Arial"/>
      </rPr>
      <t>s</t>
    </r>
    <r>
      <rPr>
        <sz val="10"/>
        <rFont val="Arial"/>
      </rPr>
      <t xml:space="preserve"> =</t>
    </r>
  </si>
  <si>
    <t>or</t>
  </si>
  <si>
    <r>
      <t>NF</t>
    </r>
    <r>
      <rPr>
        <sz val="8"/>
        <rFont val="Arial"/>
      </rPr>
      <t xml:space="preserve">dB </t>
    </r>
    <r>
      <rPr>
        <sz val="10"/>
        <rFont val="Arial"/>
      </rPr>
      <t>=</t>
    </r>
  </si>
  <si>
    <r>
      <t>T</t>
    </r>
    <r>
      <rPr>
        <sz val="10"/>
        <rFont val="Arial"/>
      </rPr>
      <t xml:space="preserve"> = T</t>
    </r>
    <r>
      <rPr>
        <sz val="8"/>
        <rFont val="Arial"/>
      </rPr>
      <t>o</t>
    </r>
    <r>
      <rPr>
        <sz val="10"/>
        <rFont val="Arial"/>
      </rPr>
      <t>[10^(NF</t>
    </r>
    <r>
      <rPr>
        <sz val="8"/>
        <rFont val="Arial"/>
      </rPr>
      <t>dB</t>
    </r>
    <r>
      <rPr>
        <sz val="10"/>
        <rFont val="Arial"/>
      </rPr>
      <t>/10)-1]</t>
    </r>
  </si>
  <si>
    <r>
      <t>NF</t>
    </r>
    <r>
      <rPr>
        <sz val="8"/>
        <rFont val="Arial"/>
      </rPr>
      <t>dB</t>
    </r>
    <r>
      <rPr>
        <sz val="10"/>
        <rFont val="Arial"/>
      </rPr>
      <t xml:space="preserve"> = 10 LOG</t>
    </r>
    <r>
      <rPr>
        <sz val="8"/>
        <rFont val="Arial"/>
      </rPr>
      <t>10</t>
    </r>
    <r>
      <rPr>
        <sz val="10"/>
        <rFont val="Arial"/>
      </rPr>
      <t>[1+(T</t>
    </r>
    <r>
      <rPr>
        <sz val="10"/>
        <rFont val="Arial"/>
      </rPr>
      <t>/T</t>
    </r>
    <r>
      <rPr>
        <sz val="8"/>
        <rFont val="Arial"/>
      </rPr>
      <t>o</t>
    </r>
    <r>
      <rPr>
        <sz val="10"/>
        <rFont val="Arial"/>
      </rPr>
      <t xml:space="preserve">)] </t>
    </r>
  </si>
  <si>
    <t>T =</t>
  </si>
  <si>
    <r>
      <t>NF</t>
    </r>
    <r>
      <rPr>
        <sz val="8"/>
        <rFont val="Arial"/>
      </rPr>
      <t xml:space="preserve">dB  </t>
    </r>
    <r>
      <rPr>
        <sz val="10"/>
        <rFont val="Arial"/>
      </rPr>
      <t>=</t>
    </r>
  </si>
  <si>
    <t>OR</t>
  </si>
  <si>
    <t>Enter Data Here:</t>
  </si>
  <si>
    <t>Result is Here</t>
  </si>
  <si>
    <t>Downlink Receiver System (At Ground Station):</t>
  </si>
  <si>
    <t xml:space="preserve">No. of In-Line Connectors: </t>
  </si>
  <si>
    <t>X .05 dB/Con.=</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</si>
  <si>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</si>
  <si>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</si>
  <si>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</si>
  <si>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</si>
  <si>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</si>
  <si>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</si>
  <si>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</si>
  <si>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</si>
  <si>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</si>
  <si>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</si>
  <si>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</si>
  <si>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</si>
  <si>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</si>
  <si>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</si>
  <si>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</si>
  <si>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</si>
  <si>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</si>
  <si>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</si>
  <si>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</si>
  <si>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</si>
  <si>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</si>
  <si>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</si>
  <si>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</si>
  <si>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</si>
  <si>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</si>
  <si>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</si>
  <si>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</si>
  <si>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</si>
  <si>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</si>
  <si>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</si>
  <si>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</si>
  <si>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</si>
  <si>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</si>
  <si>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</si>
  <si>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</si>
  <si>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</si>
  <si>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</si>
  <si>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</si>
  <si>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</si>
  <si>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</si>
  <si>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</si>
  <si>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</si>
  <si>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</si>
  <si>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</si>
  <si>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</si>
  <si>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</si>
  <si>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</si>
  <si>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</si>
  <si>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</si>
  <si>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</si>
  <si>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</si>
  <si>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</si>
  <si>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</si>
  <si>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</si>
  <si>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</si>
  <si>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</si>
  <si>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</si>
  <si>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</si>
  <si>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</si>
  <si>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</si>
  <si>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</si>
  <si>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</si>
  <si>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</si>
  <si>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</si>
  <si>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</si>
  <si>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</si>
  <si>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</si>
  <si>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</si>
  <si>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</si>
  <si>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</si>
  <si>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</si>
  <si>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</si>
  <si>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</si>
  <si>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</si>
  <si>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</si>
  <si>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</si>
  <si>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</si>
  <si>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</si>
  <si>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</si>
  <si>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</si>
  <si>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</si>
  <si>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</si>
  <si>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</si>
  <si>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</si>
  <si>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</si>
  <si>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</si>
  <si>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</si>
  <si>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</si>
  <si>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</si>
  <si>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</si>
  <si>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rPr>
      <t xml:space="preserve">Longitude </t>
    </r>
    <r>
      <rPr>
        <sz val="10"/>
        <rFont val="Symbol"/>
        <family val="1"/>
      </rPr>
      <t>£</t>
    </r>
    <r>
      <rPr>
        <sz val="10"/>
        <rFont val="Arial"/>
      </rPr>
      <t xml:space="preserve"> 81.3</t>
    </r>
    <r>
      <rPr>
        <sz val="10"/>
        <rFont val="Arial"/>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</si>
  <si>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</si>
  <si>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</si>
  <si>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</si>
  <si>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</si>
  <si>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</si>
  <si>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</si>
  <si>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</si>
  <si>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</si>
  <si>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</si>
  <si>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</si>
  <si>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</si>
  <si>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</si>
  <si>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</si>
  <si>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</si>
  <si>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</si>
  <si>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</si>
  <si>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</si>
  <si>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</si>
  <si>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</si>
  <si>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</si>
  <si>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</si>
  <si>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</si>
  <si>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</si>
  <si>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</si>
  <si>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</si>
  <si>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</si>
  <si>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</si>
  <si>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</si>
  <si>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</si>
  <si>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</si>
  <si>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</si>
  <si>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</si>
  <si>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</si>
  <si>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rPr>
      <t>); Transferred from "Frequency" W/S</t>
    </r>
  </si>
  <si>
    <r>
      <t xml:space="preserve">is clearly referred to as such in the budget </t>
    </r>
    <r>
      <rPr>
        <i/>
        <sz val="10"/>
        <rFont val="Arial"/>
        <family val="2"/>
      </rPr>
      <t>parameter</t>
    </r>
    <r>
      <rPr>
        <sz val="10"/>
        <rFont val="Arial"/>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</si>
  <si>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rPr>
      <t>,</t>
    </r>
  </si>
  <si>
    <r>
      <t xml:space="preserve">in the equations that sum the gains and losses to yield the result, the gains are </t>
    </r>
    <r>
      <rPr>
        <i/>
        <sz val="10"/>
        <rFont val="Arial"/>
        <family val="2"/>
      </rPr>
      <t>added</t>
    </r>
    <r>
      <rPr>
        <sz val="10"/>
        <rFont val="Arial"/>
      </rPr>
      <t xml:space="preserve"> and the losses are </t>
    </r>
    <r>
      <rPr>
        <i/>
        <sz val="10"/>
        <rFont val="Arial"/>
        <family val="2"/>
      </rPr>
      <t>subtracted</t>
    </r>
    <r>
      <rPr>
        <sz val="10"/>
        <rFont val="Arial"/>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</si>
  <si>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</si>
  <si>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</si>
  <si>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</si>
  <si>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</si>
  <si>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</si>
  <si>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</si>
  <si>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rPr>
      <t>X-712-67-441, NASA/Goddard Space Flight Center, 1967, Entire Document.</t>
    </r>
  </si>
  <si>
    <t>dBi (L or C)</t>
  </si>
  <si>
    <t>System Link Margin</t>
  </si>
  <si>
    <r>
      <t>G/T = Ga-L</t>
    </r>
    <r>
      <rPr>
        <sz val="8"/>
        <rFont val="Arial"/>
      </rPr>
      <t>tl</t>
    </r>
    <r>
      <rPr>
        <sz val="10"/>
        <rFont val="Arial"/>
      </rPr>
      <t>-10log(T</t>
    </r>
    <r>
      <rPr>
        <sz val="8"/>
        <rFont val="Arial"/>
      </rPr>
      <t>s</t>
    </r>
    <r>
      <rPr>
        <sz val="10"/>
        <rFont val="Arial"/>
      </rPr>
      <t>).  This is the uptimate measure of the receiver's performance.</t>
    </r>
  </si>
  <si>
    <r>
      <t>G/T = Ga-L</t>
    </r>
    <r>
      <rPr>
        <sz val="8"/>
        <rFont val="Arial"/>
      </rPr>
      <t>tl</t>
    </r>
    <r>
      <rPr>
        <sz val="10"/>
        <rFont val="Arial"/>
      </rPr>
      <t>-10log(T</t>
    </r>
    <r>
      <rPr>
        <sz val="8"/>
        <rFont val="Arial"/>
      </rPr>
      <t>s</t>
    </r>
    <r>
      <rPr>
        <sz val="10"/>
        <rFont val="Arial"/>
      </rPr>
      <t>). This is the ultimate measure of the receiver's performance.</t>
    </r>
  </si>
  <si>
    <r>
      <t>Ps = P</t>
    </r>
    <r>
      <rPr>
        <sz val="8"/>
        <rFont val="Arial"/>
      </rPr>
      <t>iso</t>
    </r>
    <r>
      <rPr>
        <sz val="10"/>
        <rFont val="Arial"/>
      </rPr>
      <t>+G</t>
    </r>
    <r>
      <rPr>
        <sz val="8"/>
        <rFont val="Arial"/>
      </rPr>
      <t>a</t>
    </r>
    <r>
      <rPr>
        <sz val="10"/>
        <rFont val="Arial"/>
      </rPr>
      <t>-L</t>
    </r>
    <r>
      <rPr>
        <sz val="8"/>
        <rFont val="Arial"/>
      </rPr>
      <t>pl</t>
    </r>
    <r>
      <rPr>
        <sz val="10"/>
        <rFont val="Arial"/>
      </rPr>
      <t>-L</t>
    </r>
    <r>
      <rPr>
        <sz val="8"/>
        <rFont val="Arial"/>
      </rPr>
      <t xml:space="preserve">tl;  </t>
    </r>
    <r>
      <rPr>
        <sz val="10"/>
        <rFont val="Arial"/>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</si>
  <si>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</si>
  <si>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</si>
  <si>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</si>
  <si>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</si>
  <si>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</si>
  <si>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</si>
  <si>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</si>
  <si>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</si>
  <si>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</si>
  <si>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</si>
  <si>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</si>
  <si>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</si>
  <si>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</si>
  <si>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</si>
  <si>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</si>
  <si>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</si>
  <si>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</si>
  <si>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</si>
  <si>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</si>
  <si>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</si>
  <si>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</si>
  <si>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</si>
  <si>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</si>
  <si>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</si>
  <si>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</si>
  <si>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</si>
  <si>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</si>
  <si>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</si>
  <si>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</si>
  <si>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</si>
  <si>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</si>
  <si>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</si>
  <si>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</si>
  <si>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</si>
  <si>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</si>
  <si>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</si>
  <si>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</si>
  <si>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</si>
  <si>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</si>
  <si>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</si>
  <si>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</si>
  <si>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</si>
  <si>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</si>
  <si>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</si>
  <si>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Line A</t>
  </si>
  <si>
    <t>Line C</t>
  </si>
  <si>
    <r>
      <t xml:space="preserve">    P</t>
    </r>
    <r>
      <rPr>
        <sz val="8"/>
        <rFont val="Arial"/>
      </rPr>
      <t>Tx</t>
    </r>
    <r>
      <rPr>
        <sz val="10"/>
        <rFont val="Arial"/>
      </rPr>
      <t xml:space="preserve"> =</t>
    </r>
  </si>
  <si>
    <r>
      <t xml:space="preserve">    L</t>
    </r>
    <r>
      <rPr>
        <sz val="8"/>
        <rFont val="Arial"/>
      </rPr>
      <t xml:space="preserve">A </t>
    </r>
    <r>
      <rPr>
        <sz val="10"/>
        <rFont val="Arial"/>
      </rPr>
      <t>=</t>
    </r>
  </si>
  <si>
    <r>
      <t xml:space="preserve">    L</t>
    </r>
    <r>
      <rPr>
        <sz val="8"/>
        <rFont val="Arial"/>
      </rPr>
      <t>B</t>
    </r>
    <r>
      <rPr>
        <sz val="10"/>
        <rFont val="Arial"/>
      </rPr>
      <t xml:space="preserve"> =</t>
    </r>
  </si>
  <si>
    <r>
      <t xml:space="preserve">    L</t>
    </r>
    <r>
      <rPr>
        <sz val="8"/>
        <rFont val="Arial"/>
      </rPr>
      <t>C</t>
    </r>
    <r>
      <rPr>
        <sz val="10"/>
        <rFont val="Arial"/>
      </rPr>
      <t xml:space="preserve"> = </t>
    </r>
  </si>
  <si>
    <t xml:space="preserve">    R = </t>
  </si>
  <si>
    <r>
      <t xml:space="preserve">    L</t>
    </r>
    <r>
      <rPr>
        <sz val="8"/>
        <rFont val="Arial"/>
      </rPr>
      <t>p</t>
    </r>
    <r>
      <rPr>
        <sz val="10"/>
        <rFont val="Arial"/>
      </rPr>
      <t xml:space="preserve"> =</t>
    </r>
  </si>
  <si>
    <r>
      <t xml:space="preserve">    L</t>
    </r>
    <r>
      <rPr>
        <sz val="8"/>
        <rFont val="Arial"/>
      </rPr>
      <t>Tbpf =</t>
    </r>
  </si>
  <si>
    <r>
      <t xml:space="preserve">    L</t>
    </r>
    <r>
      <rPr>
        <sz val="8"/>
        <rFont val="Arial"/>
      </rPr>
      <t>C=</t>
    </r>
  </si>
  <si>
    <r>
      <t xml:space="preserve">    L</t>
    </r>
    <r>
      <rPr>
        <sz val="8"/>
        <rFont val="Arial"/>
      </rPr>
      <t>B</t>
    </r>
    <r>
      <rPr>
        <sz val="10"/>
        <rFont val="Arial"/>
      </rPr>
      <t xml:space="preserve"> = </t>
    </r>
  </si>
  <si>
    <r>
      <t xml:space="preserve">    L</t>
    </r>
    <r>
      <rPr>
        <sz val="8"/>
        <rFont val="Arial"/>
      </rPr>
      <t>A</t>
    </r>
    <r>
      <rPr>
        <sz val="10"/>
        <rFont val="Arial"/>
      </rPr>
      <t xml:space="preserve"> =</t>
    </r>
  </si>
  <si>
    <r>
      <t xml:space="preserve">   L</t>
    </r>
    <r>
      <rPr>
        <sz val="8"/>
        <rFont val="Arial"/>
      </rPr>
      <t>Tother =</t>
    </r>
  </si>
  <si>
    <r>
      <t xml:space="preserve">    T</t>
    </r>
    <r>
      <rPr>
        <sz val="8"/>
        <rFont val="Arial"/>
      </rPr>
      <t>LNA</t>
    </r>
    <r>
      <rPr>
        <sz val="10"/>
        <rFont val="Arial"/>
      </rPr>
      <t xml:space="preserve"> =</t>
    </r>
    <r>
      <rPr>
        <sz val="8"/>
        <rFont val="Arial"/>
      </rPr>
      <t xml:space="preserve"> </t>
    </r>
  </si>
  <si>
    <r>
      <t xml:space="preserve">    G</t>
    </r>
    <r>
      <rPr>
        <sz val="8"/>
        <rFont val="Arial"/>
      </rPr>
      <t>LNA</t>
    </r>
    <r>
      <rPr>
        <sz val="10"/>
        <rFont val="Arial"/>
      </rPr>
      <t xml:space="preserve"> =</t>
    </r>
  </si>
  <si>
    <r>
      <t>L</t>
    </r>
    <r>
      <rPr>
        <sz val="8"/>
        <rFont val="Arial"/>
      </rPr>
      <t xml:space="preserve">total line </t>
    </r>
    <r>
      <rPr>
        <sz val="10"/>
        <rFont val="Arial"/>
      </rPr>
      <t>=</t>
    </r>
    <r>
      <rPr>
        <sz val="10"/>
        <rFont val="Arial"/>
      </rPr>
      <t xml:space="preserve"> </t>
    </r>
  </si>
  <si>
    <r>
      <t>L</t>
    </r>
    <r>
      <rPr>
        <sz val="8"/>
        <rFont val="Arial"/>
      </rPr>
      <t xml:space="preserve">total line </t>
    </r>
    <r>
      <rPr>
        <sz val="10"/>
        <rFont val="Arial"/>
      </rPr>
      <t>=</t>
    </r>
  </si>
  <si>
    <r>
      <t>T</t>
    </r>
    <r>
      <rPr>
        <sz val="8"/>
        <rFont val="Arial"/>
      </rPr>
      <t>2nd Amp</t>
    </r>
    <r>
      <rPr>
        <sz val="10"/>
        <rFont val="Arial"/>
      </rPr>
      <t xml:space="preserve"> =</t>
    </r>
  </si>
  <si>
    <t xml:space="preserve">  Demodulator Type:</t>
  </si>
  <si>
    <t>Link Margin:</t>
  </si>
  <si>
    <r>
      <t xml:space="preserve">    E</t>
    </r>
    <r>
      <rPr>
        <sz val="8"/>
        <rFont val="Arial"/>
      </rPr>
      <t>b</t>
    </r>
    <r>
      <rPr>
        <sz val="10"/>
        <rFont val="Arial"/>
      </rPr>
      <t>/N</t>
    </r>
    <r>
      <rPr>
        <sz val="8"/>
        <rFont val="Arial"/>
      </rPr>
      <t>o</t>
    </r>
    <r>
      <rPr>
        <sz val="10"/>
        <rFont val="Arial"/>
      </rPr>
      <t xml:space="preserve"> = </t>
    </r>
  </si>
  <si>
    <t xml:space="preserve">    S/N =</t>
  </si>
  <si>
    <r>
      <t xml:space="preserve">    T</t>
    </r>
    <r>
      <rPr>
        <sz val="8"/>
        <rFont val="Arial"/>
      </rPr>
      <t>sys</t>
    </r>
    <r>
      <rPr>
        <sz val="10"/>
        <rFont val="Arial"/>
      </rPr>
      <t xml:space="preserve"> =</t>
    </r>
  </si>
  <si>
    <t xml:space="preserve">    G/T =</t>
  </si>
  <si>
    <r>
      <t xml:space="preserve">    G</t>
    </r>
    <r>
      <rPr>
        <sz val="8"/>
        <rFont val="Arial"/>
      </rPr>
      <t xml:space="preserve">T </t>
    </r>
    <r>
      <rPr>
        <sz val="10"/>
        <rFont val="Arial"/>
      </rPr>
      <t>=</t>
    </r>
  </si>
  <si>
    <r>
      <t xml:space="preserve">  L</t>
    </r>
    <r>
      <rPr>
        <sz val="8"/>
        <rFont val="Arial"/>
      </rPr>
      <t>Rbpf</t>
    </r>
    <r>
      <rPr>
        <sz val="10"/>
        <rFont val="Arial"/>
      </rPr>
      <t xml:space="preserve"> =</t>
    </r>
  </si>
  <si>
    <r>
      <t xml:space="preserve">   G</t>
    </r>
    <r>
      <rPr>
        <sz val="8"/>
        <rFont val="Arial"/>
      </rPr>
      <t>R</t>
    </r>
    <r>
      <rPr>
        <sz val="10"/>
        <rFont val="Arial"/>
      </rPr>
      <t xml:space="preserve"> =</t>
    </r>
  </si>
  <si>
    <r>
      <t xml:space="preserve">  EIRP</t>
    </r>
    <r>
      <rPr>
        <sz val="8"/>
        <rFont val="Arial"/>
      </rPr>
      <t xml:space="preserve">gs </t>
    </r>
    <r>
      <rPr>
        <sz val="10"/>
        <rFont val="Arial"/>
      </rPr>
      <t>=</t>
    </r>
  </si>
  <si>
    <t xml:space="preserve">  Modulation Method:</t>
  </si>
  <si>
    <r>
      <t xml:space="preserve">   B</t>
    </r>
    <r>
      <rPr>
        <sz val="8"/>
        <rFont val="Arial"/>
      </rPr>
      <t>Rbpf</t>
    </r>
    <r>
      <rPr>
        <sz val="10"/>
        <rFont val="Arial"/>
      </rPr>
      <t xml:space="preserve"> = </t>
    </r>
  </si>
  <si>
    <t>(Used Only in S/N Calc.)</t>
  </si>
  <si>
    <t>S/N Method:</t>
  </si>
  <si>
    <r>
      <t>E</t>
    </r>
    <r>
      <rPr>
        <sz val="8"/>
        <rFont val="Arial"/>
      </rPr>
      <t>b</t>
    </r>
    <r>
      <rPr>
        <sz val="10"/>
        <rFont val="Arial"/>
      </rPr>
      <t>/No Method:</t>
    </r>
  </si>
  <si>
    <t>Spec. B.E.R.:</t>
  </si>
  <si>
    <r>
      <t xml:space="preserve">  </t>
    </r>
    <r>
      <rPr>
        <b/>
        <sz val="10"/>
        <rFont val="Arial"/>
        <family val="2"/>
      </rPr>
      <t>UPLINK SYSTEM:</t>
    </r>
  </si>
  <si>
    <t xml:space="preserve">    R =</t>
  </si>
  <si>
    <t>DOWNLINK SYSTEM:</t>
  </si>
  <si>
    <t xml:space="preserve">    Total Link Losses:</t>
  </si>
  <si>
    <t xml:space="preserve">  Polarization:</t>
  </si>
  <si>
    <t xml:space="preserve"> Polarization:</t>
  </si>
  <si>
    <r>
      <t xml:space="preserve">    P</t>
    </r>
    <r>
      <rPr>
        <sz val="8"/>
        <rFont val="Arial"/>
      </rPr>
      <t xml:space="preserve">Tx </t>
    </r>
    <r>
      <rPr>
        <sz val="10"/>
        <rFont val="Arial"/>
      </rPr>
      <t>=</t>
    </r>
  </si>
  <si>
    <r>
      <t xml:space="preserve">    h</t>
    </r>
    <r>
      <rPr>
        <sz val="8"/>
        <rFont val="Arial"/>
      </rPr>
      <t xml:space="preserve">Tx </t>
    </r>
    <r>
      <rPr>
        <sz val="10"/>
        <rFont val="Arial"/>
      </rPr>
      <t>=</t>
    </r>
  </si>
  <si>
    <t>Tx DC Pwr:</t>
  </si>
  <si>
    <t>Tx Dissipation:</t>
  </si>
  <si>
    <t xml:space="preserve">   Modulation Method:</t>
  </si>
  <si>
    <r>
      <t xml:space="preserve">   L</t>
    </r>
    <r>
      <rPr>
        <sz val="8"/>
        <rFont val="Arial"/>
      </rPr>
      <t>TXbpf</t>
    </r>
    <r>
      <rPr>
        <sz val="10"/>
        <rFont val="Arial"/>
      </rPr>
      <t xml:space="preserve"> =</t>
    </r>
  </si>
  <si>
    <r>
      <t xml:space="preserve">    L</t>
    </r>
    <r>
      <rPr>
        <sz val="8"/>
        <rFont val="Arial"/>
      </rPr>
      <t>B</t>
    </r>
    <r>
      <rPr>
        <sz val="10"/>
        <rFont val="Arial"/>
      </rPr>
      <t xml:space="preserve"> =</t>
    </r>
  </si>
  <si>
    <r>
      <t xml:space="preserve">    L</t>
    </r>
    <r>
      <rPr>
        <sz val="8"/>
        <rFont val="Arial"/>
      </rPr>
      <t>C</t>
    </r>
    <r>
      <rPr>
        <sz val="10"/>
        <rFont val="Arial"/>
      </rPr>
      <t xml:space="preserve"> =</t>
    </r>
  </si>
  <si>
    <r>
      <t xml:space="preserve"> L</t>
    </r>
    <r>
      <rPr>
        <sz val="8"/>
        <rFont val="Arial"/>
      </rPr>
      <t>total line</t>
    </r>
    <r>
      <rPr>
        <sz val="10"/>
        <rFont val="Arial"/>
      </rPr>
      <t xml:space="preserve"> =</t>
    </r>
  </si>
  <si>
    <r>
      <t xml:space="preserve">    G</t>
    </r>
    <r>
      <rPr>
        <sz val="8"/>
        <rFont val="Arial"/>
      </rPr>
      <t>T</t>
    </r>
    <r>
      <rPr>
        <sz val="10"/>
        <rFont val="Arial"/>
      </rPr>
      <t xml:space="preserve"> = </t>
    </r>
  </si>
  <si>
    <r>
      <t>EIRP</t>
    </r>
    <r>
      <rPr>
        <sz val="8"/>
        <rFont val="Arial"/>
      </rPr>
      <t>S/C</t>
    </r>
    <r>
      <rPr>
        <sz val="10"/>
        <rFont val="Arial"/>
      </rPr>
      <t xml:space="preserve"> =</t>
    </r>
  </si>
  <si>
    <r>
      <t xml:space="preserve">   L</t>
    </r>
    <r>
      <rPr>
        <sz val="8"/>
        <rFont val="Arial"/>
      </rPr>
      <t>Tother</t>
    </r>
    <r>
      <rPr>
        <sz val="10"/>
        <rFont val="Arial"/>
      </rPr>
      <t xml:space="preserve"> =</t>
    </r>
  </si>
  <si>
    <t xml:space="preserve">     Total Link Losses:</t>
  </si>
  <si>
    <r>
      <t xml:space="preserve">    L</t>
    </r>
    <r>
      <rPr>
        <sz val="8"/>
        <rFont val="Arial"/>
      </rPr>
      <t>P</t>
    </r>
    <r>
      <rPr>
        <sz val="10"/>
        <rFont val="Arial"/>
      </rPr>
      <t xml:space="preserve"> =</t>
    </r>
  </si>
  <si>
    <r>
      <t xml:space="preserve">    G</t>
    </r>
    <r>
      <rPr>
        <sz val="8"/>
        <rFont val="Arial"/>
      </rPr>
      <t>R</t>
    </r>
    <r>
      <rPr>
        <sz val="10"/>
        <rFont val="Arial"/>
      </rPr>
      <t xml:space="preserve"> =</t>
    </r>
  </si>
  <si>
    <r>
      <t xml:space="preserve">     L</t>
    </r>
    <r>
      <rPr>
        <sz val="8"/>
        <rFont val="Arial"/>
      </rPr>
      <t>C</t>
    </r>
    <r>
      <rPr>
        <sz val="10"/>
        <rFont val="Arial"/>
      </rPr>
      <t xml:space="preserve"> =</t>
    </r>
  </si>
  <si>
    <t>Angle between S/C antenna symmetry axis</t>
  </si>
  <si>
    <t>GROUND RCVR Eb/No:</t>
  </si>
  <si>
    <t>SOME KEY ORBIT &amp; LINK PARAMETERS</t>
  </si>
  <si>
    <r>
      <t xml:space="preserve">    L</t>
    </r>
    <r>
      <rPr>
        <sz val="8"/>
        <rFont val="Arial"/>
      </rPr>
      <t>B</t>
    </r>
    <r>
      <rPr>
        <sz val="10"/>
        <rFont val="Arial"/>
      </rPr>
      <t xml:space="preserve"> = </t>
    </r>
  </si>
  <si>
    <r>
      <t xml:space="preserve">    L</t>
    </r>
    <r>
      <rPr>
        <sz val="8"/>
        <rFont val="Arial"/>
      </rPr>
      <t>A</t>
    </r>
    <r>
      <rPr>
        <sz val="10"/>
        <rFont val="Arial"/>
      </rPr>
      <t xml:space="preserve"> =</t>
    </r>
  </si>
  <si>
    <r>
      <t xml:space="preserve">   L</t>
    </r>
    <r>
      <rPr>
        <sz val="8"/>
        <rFont val="Arial"/>
      </rPr>
      <t xml:space="preserve">Rbpf </t>
    </r>
    <r>
      <rPr>
        <sz val="10"/>
        <rFont val="Arial"/>
      </rPr>
      <t>=</t>
    </r>
  </si>
  <si>
    <r>
      <t xml:space="preserve">   L</t>
    </r>
    <r>
      <rPr>
        <sz val="8"/>
        <rFont val="Arial"/>
      </rPr>
      <t>total</t>
    </r>
    <r>
      <rPr>
        <sz val="10"/>
        <rFont val="Arial"/>
      </rPr>
      <t xml:space="preserve"> =</t>
    </r>
  </si>
  <si>
    <r>
      <t xml:space="preserve">    G</t>
    </r>
    <r>
      <rPr>
        <sz val="8"/>
        <rFont val="Arial"/>
      </rPr>
      <t>LNA</t>
    </r>
    <r>
      <rPr>
        <sz val="10"/>
        <rFont val="Arial"/>
      </rPr>
      <t xml:space="preserve"> =</t>
    </r>
  </si>
  <si>
    <r>
      <t xml:space="preserve">    T</t>
    </r>
    <r>
      <rPr>
        <sz val="8"/>
        <rFont val="Arial"/>
      </rPr>
      <t>LNA</t>
    </r>
    <r>
      <rPr>
        <sz val="10"/>
        <rFont val="Arial"/>
      </rPr>
      <t xml:space="preserve"> =</t>
    </r>
  </si>
  <si>
    <r>
      <t xml:space="preserve">  T</t>
    </r>
    <r>
      <rPr>
        <sz val="8"/>
        <rFont val="Arial"/>
      </rPr>
      <t>2nd amp</t>
    </r>
    <r>
      <rPr>
        <sz val="10"/>
        <rFont val="Arial"/>
      </rPr>
      <t xml:space="preserve"> =</t>
    </r>
  </si>
  <si>
    <r>
      <t xml:space="preserve">    B</t>
    </r>
    <r>
      <rPr>
        <sz val="8"/>
        <rFont val="Arial"/>
      </rPr>
      <t xml:space="preserve">Rbpf  </t>
    </r>
    <r>
      <rPr>
        <sz val="10"/>
        <rFont val="Arial"/>
      </rPr>
      <t>=</t>
    </r>
  </si>
  <si>
    <t>(Used only in S/N Calc.)</t>
  </si>
  <si>
    <t xml:space="preserve">   F.E.C. Decoder Type:</t>
  </si>
  <si>
    <t xml:space="preserve"> F.E.C. Decoder Type:</t>
  </si>
  <si>
    <t xml:space="preserve">   F.E.C. Encoder Type:</t>
  </si>
  <si>
    <t xml:space="preserve">     F.E.C. Encoder Type:</t>
  </si>
  <si>
    <t xml:space="preserve">     Demodulator Type:</t>
  </si>
  <si>
    <r>
      <t xml:space="preserve"> E</t>
    </r>
    <r>
      <rPr>
        <sz val="8"/>
        <rFont val="Arial"/>
      </rPr>
      <t>b</t>
    </r>
    <r>
      <rPr>
        <sz val="10"/>
        <rFont val="Arial"/>
      </rPr>
      <t>/N</t>
    </r>
    <r>
      <rPr>
        <sz val="8"/>
        <rFont val="Arial"/>
      </rPr>
      <t>o</t>
    </r>
    <r>
      <rPr>
        <sz val="10"/>
        <rFont val="Arial"/>
      </rPr>
      <t xml:space="preserve"> Method:</t>
    </r>
  </si>
  <si>
    <t>silver over copper over steel 0.039" (1 mm) dia.  Typically used with SMA or even TNC connectors.  This is a very rugged cable type.</t>
  </si>
  <si>
    <t xml:space="preserve"> S/N Method:</t>
  </si>
  <si>
    <r>
      <t xml:space="preserve">  E</t>
    </r>
    <r>
      <rPr>
        <sz val="8"/>
        <rFont val="Arial"/>
      </rPr>
      <t>b</t>
    </r>
    <r>
      <rPr>
        <sz val="10"/>
        <rFont val="Arial"/>
      </rPr>
      <t>/N</t>
    </r>
    <r>
      <rPr>
        <sz val="8"/>
        <rFont val="Arial"/>
      </rPr>
      <t>o</t>
    </r>
    <r>
      <rPr>
        <sz val="10"/>
        <rFont val="Arial"/>
      </rPr>
      <t xml:space="preserve"> =</t>
    </r>
  </si>
  <si>
    <t xml:space="preserve">   S/N =</t>
  </si>
  <si>
    <t xml:space="preserve">Link Margin: </t>
  </si>
  <si>
    <t xml:space="preserve">  Line C</t>
  </si>
  <si>
    <t xml:space="preserve">  Line A</t>
  </si>
  <si>
    <t xml:space="preserve">  Line B</t>
  </si>
  <si>
    <t>none</t>
  </si>
  <si>
    <t>Other In-Line Device Type:</t>
  </si>
  <si>
    <t>(See "VSWR Loss Tool" W/S)</t>
  </si>
  <si>
    <t>Measured or Estimated VSWR:</t>
  </si>
  <si>
    <t>Transmitter Power Output:</t>
  </si>
  <si>
    <t>Power Reflected and Lost:</t>
  </si>
  <si>
    <t>Power Transmitted:</t>
  </si>
  <si>
    <r>
      <t>:</t>
    </r>
    <r>
      <rPr>
        <sz val="10"/>
        <rFont val="Arial"/>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</si>
  <si>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</si>
  <si>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</si>
  <si>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</si>
  <si>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</si>
  <si>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</si>
  <si>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</si>
  <si>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</si>
  <si>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</si>
  <si>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</si>
  <si>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</si>
  <si>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</si>
  <si>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</si>
  <si>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</si>
  <si>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</si>
  <si>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</si>
  <si>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</si>
  <si>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</si>
  <si>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</si>
  <si>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</si>
  <si>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</si>
  <si>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</si>
  <si>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</si>
  <si>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</si>
  <si>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</si>
  <si>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</si>
  <si>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</si>
  <si>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</si>
  <si>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</si>
  <si>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</si>
  <si>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rPr>
      <t>isotropic</t>
    </r>
    <r>
      <rPr>
        <sz val="10"/>
        <rFont val="Arial"/>
      </rPr>
      <t>).  So, if the gain in a particular direction, is below that of an</t>
    </r>
  </si>
  <si>
    <r>
      <t xml:space="preserve">  L</t>
    </r>
    <r>
      <rPr>
        <sz val="8"/>
        <rFont val="Arial"/>
      </rPr>
      <t>Rother</t>
    </r>
    <r>
      <rPr>
        <sz val="10"/>
        <rFont val="Arial"/>
      </rPr>
      <t xml:space="preserve"> =</t>
    </r>
  </si>
  <si>
    <r>
      <t xml:space="preserve">  L</t>
    </r>
    <r>
      <rPr>
        <sz val="8"/>
        <rFont val="Arial"/>
      </rPr>
      <t>Tother</t>
    </r>
    <r>
      <rPr>
        <sz val="10"/>
        <rFont val="Arial"/>
      </rPr>
      <t xml:space="preserve"> = </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</si>
  <si>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</si>
  <si>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</si>
  <si>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</si>
  <si>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</si>
  <si>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</si>
  <si>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</si>
  <si>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rPr>
      <t>:</t>
    </r>
  </si>
  <si>
    <r>
      <t xml:space="preserve">Measured </t>
    </r>
    <r>
      <rPr>
        <b/>
        <sz val="10"/>
        <rFont val="Arial"/>
        <family val="2"/>
      </rPr>
      <t>Z</t>
    </r>
    <r>
      <rPr>
        <b/>
        <sz val="8"/>
        <rFont val="Arial"/>
        <family val="2"/>
      </rPr>
      <t>sys</t>
    </r>
    <r>
      <rPr>
        <sz val="10"/>
        <rFont val="Arial"/>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</si>
  <si>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</si>
  <si>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</si>
  <si>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</si>
  <si>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</si>
  <si>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</si>
  <si>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</si>
  <si>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</si>
  <si>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</si>
  <si>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</si>
  <si>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</si>
  <si>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</si>
  <si>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</si>
  <si>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</si>
  <si>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</si>
  <si>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</si>
  <si>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</si>
  <si>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</si>
  <si>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</si>
  <si>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</si>
  <si>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</si>
  <si>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</si>
  <si>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</si>
  <si>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</si>
  <si>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</si>
  <si>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</si>
  <si>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</si>
  <si>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</si>
  <si>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</si>
  <si>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</si>
  <si>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</si>
  <si>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</si>
  <si>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</si>
  <si>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</si>
  <si>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</si>
  <si>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</si>
  <si>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</si>
  <si>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</si>
  <si>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</si>
  <si>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</si>
  <si>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</si>
  <si>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</si>
  <si>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</si>
  <si>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</si>
  <si>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</si>
  <si>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</si>
  <si>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</si>
  <si>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</si>
  <si>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</si>
  <si>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</si>
  <si>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</si>
  <si>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</si>
  <si>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</si>
  <si>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</si>
  <si>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</si>
  <si>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</si>
  <si>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</si>
  <si>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</si>
  <si>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</si>
  <si>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</si>
  <si>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</si>
  <si>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rPr>
      <t xml:space="preserve">  An FEP (Teflon) solid covered "clean" cable for general purpose spacecraft transmission lines.</t>
    </r>
  </si>
  <si>
    <t>Can not find data source. Data estimated by VK4GEY.</t>
  </si>
  <si>
    <t>Ground Station Feedline Temperature:</t>
  </si>
  <si>
    <r>
      <t>RG-303 /U:</t>
    </r>
    <r>
      <rPr>
        <sz val="10"/>
        <rFont val="Arial"/>
      </rPr>
      <t xml:space="preserve">  A PTFE (Teflon) solid covered "clean" cable for ruggedized spacecraft transmission line applications.</t>
    </r>
  </si>
  <si>
    <r>
      <t xml:space="preserve">50 </t>
    </r>
    <r>
      <rPr>
        <sz val="10"/>
        <rFont val="Symbol"/>
        <family val="1"/>
      </rPr>
      <t>W</t>
    </r>
    <r>
      <rPr>
        <sz val="10"/>
        <rFont val="Arial"/>
      </rPr>
      <t xml:space="preserve"> </t>
    </r>
    <r>
      <rPr>
        <b/>
        <sz val="10"/>
        <rFont val="Arial"/>
        <family val="2"/>
      </rPr>
      <t xml:space="preserve">Semi-Rigid Cable (0.085" dia.):  </t>
    </r>
    <r>
      <rPr>
        <sz val="10"/>
        <rFont val="Arial"/>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</si>
  <si>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</si>
  <si>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</si>
  <si>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</si>
  <si>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</si>
  <si>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</si>
  <si>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</si>
  <si>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rPr>
      <t xml:space="preserve"> </t>
    </r>
    <r>
      <rPr>
        <b/>
        <sz val="10"/>
        <rFont val="Arial"/>
        <family val="2"/>
      </rPr>
      <t xml:space="preserve">Semi-Rigid Cable (0.141" dia.):  </t>
    </r>
    <r>
      <rPr>
        <sz val="10"/>
        <rFont val="Arial"/>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</si>
  <si>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</si>
  <si>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rPr>
      <t>].</t>
    </r>
  </si>
  <si>
    <r>
      <t>Data courtesy Storm Products Co.[</t>
    </r>
    <r>
      <rPr>
        <b/>
        <sz val="10"/>
        <rFont val="Arial"/>
        <family val="2"/>
      </rPr>
      <t>Bold Text</t>
    </r>
    <r>
      <rPr>
        <sz val="10"/>
        <rFont val="Arial"/>
      </rPr>
      <t>].</t>
    </r>
  </si>
  <si>
    <t>Don't Change These Formulas</t>
  </si>
  <si>
    <t>W</t>
  </si>
  <si>
    <t>TEST 1</t>
  </si>
  <si>
    <t>TEST 2</t>
  </si>
  <si>
    <t>% of Power</t>
  </si>
  <si>
    <t>Manually Enter Results of Test #1 or Test #2 at Cell [H8]</t>
  </si>
  <si>
    <r>
      <t>|Z</t>
    </r>
    <r>
      <rPr>
        <sz val="8"/>
        <rFont val="Arial"/>
      </rPr>
      <t>tx</t>
    </r>
    <r>
      <rPr>
        <sz val="10"/>
        <rFont val="Arial"/>
      </rPr>
      <t>| =</t>
    </r>
  </si>
  <si>
    <r>
      <t>|Z</t>
    </r>
    <r>
      <rPr>
        <sz val="8"/>
        <rFont val="Arial"/>
      </rPr>
      <t>sys</t>
    </r>
    <r>
      <rPr>
        <sz val="10"/>
        <rFont val="Arial"/>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</si>
  <si>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</si>
  <si>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</si>
  <si>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</si>
  <si>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</si>
  <si>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</si>
  <si>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</si>
  <si>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</si>
  <si>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</si>
  <si>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</si>
  <si>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</si>
  <si>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</si>
  <si>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</si>
  <si>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</si>
  <si>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</si>
  <si>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</si>
  <si>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</si>
  <si>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</si>
  <si>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</si>
  <si>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</si>
  <si>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</si>
  <si>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</si>
  <si>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</si>
  <si>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</si>
  <si>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</si>
  <si>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</si>
  <si>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</si>
  <si>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</si>
  <si>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</si>
  <si>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</si>
  <si>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</si>
  <si>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</si>
  <si>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</si>
  <si>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</si>
  <si>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</si>
  <si>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</si>
  <si>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</si>
  <si>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</si>
  <si>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</si>
  <si>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COMMAND</t>
  </si>
  <si>
    <t xml:space="preserve">        TELEMETRY</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</si>
  <si>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</si>
  <si>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</si>
  <si>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</si>
  <si>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</si>
  <si>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</si>
  <si>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</si>
  <si>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</si>
  <si>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</si>
  <si>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</si>
  <si>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</si>
  <si>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</si>
  <si>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</si>
  <si>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</si>
  <si>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</si>
  <si>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</si>
  <si>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</si>
  <si>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</si>
  <si>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</si>
  <si>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</si>
  <si>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</si>
  <si>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</si>
  <si>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</si>
  <si>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</si>
  <si>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</si>
  <si>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</si>
  <si>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</si>
  <si>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</si>
  <si>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</si>
  <si>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</si>
  <si>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</si>
  <si>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</si>
  <si>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</si>
  <si>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</si>
  <si>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</si>
  <si>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</si>
  <si>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</si>
  <si>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</si>
  <si>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</si>
  <si>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</si>
  <si>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</si>
  <si>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</si>
  <si>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</si>
  <si>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</si>
  <si>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</si>
  <si>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</si>
  <si>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</si>
  <si>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</si>
  <si>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</si>
  <si>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</si>
  <si>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</si>
  <si>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</si>
  <si>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</si>
  <si>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</si>
  <si>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</si>
  <si>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</si>
  <si>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</si>
  <si>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</si>
  <si>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</si>
  <si>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</si>
  <si>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</si>
  <si>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</si>
  <si>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</si>
  <si>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</si>
  <si>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</si>
  <si>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</si>
  <si>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</si>
  <si>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</si>
  <si>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sz val="8"/>
        <rFont val="Arial"/>
      </rPr>
      <t>ComRcvr</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</si>
  <si>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</si>
  <si>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</si>
  <si>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</si>
  <si>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</si>
  <si>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</si>
  <si>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</si>
  <si>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</si>
  <si>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rPr>
      <t xml:space="preserve">.  The important distinction is, that tools </t>
    </r>
    <r>
      <rPr>
        <i/>
        <sz val="10"/>
        <rFont val="Arial"/>
        <family val="2"/>
      </rPr>
      <t>never</t>
    </r>
    <r>
      <rPr>
        <sz val="10"/>
        <rFont val="Arial"/>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</si>
  <si>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</si>
  <si>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</si>
  <si>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</si>
  <si>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</si>
  <si>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</si>
  <si>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</si>
  <si>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</si>
  <si>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</si>
  <si>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</si>
  <si>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</si>
  <si>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</si>
  <si>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</si>
  <si>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</si>
  <si>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</si>
  <si>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</si>
  <si>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</si>
  <si>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</si>
  <si>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</si>
  <si>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</si>
  <si>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</si>
  <si>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</si>
  <si>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</si>
  <si>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</si>
  <si>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</si>
  <si>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</si>
  <si>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rPr>
      <t>American Radio Relay League, 1974, pp. 153-155.</t>
    </r>
  </si>
  <si>
    <r>
      <t xml:space="preserve">Feher, Dr. Kamilo, </t>
    </r>
    <r>
      <rPr>
        <i/>
        <sz val="10"/>
        <rFont val="Arial"/>
        <family val="2"/>
      </rPr>
      <t>Digital Communications, Satellite/Earth Station Engineering</t>
    </r>
    <r>
      <rPr>
        <sz val="10"/>
        <rFont val="Arial"/>
      </rPr>
      <t>, Prentice-Hall Books, 1983, Chapter 4.</t>
    </r>
  </si>
  <si>
    <r>
      <t xml:space="preserve">Ippolito, L.J.Jr., </t>
    </r>
    <r>
      <rPr>
        <i/>
        <sz val="10"/>
        <rFont val="Arial"/>
        <family val="2"/>
      </rPr>
      <t xml:space="preserve">Radiowave Propagation in Satellite Communications, </t>
    </r>
    <r>
      <rPr>
        <sz val="10"/>
        <rFont val="Arial"/>
      </rPr>
      <t>Van Norstrand Reinhold Co., 1986, Chapters 3 and 7.</t>
    </r>
  </si>
  <si>
    <r>
      <t xml:space="preserve">Jordan, E.C. (Edit.), </t>
    </r>
    <r>
      <rPr>
        <i/>
        <sz val="10"/>
        <rFont val="Arial"/>
        <family val="2"/>
      </rPr>
      <t>Reference Data for Engineers:  Radio, Electronics, Computer, and Communications, 7th Edition</t>
    </r>
    <r>
      <rPr>
        <sz val="10"/>
        <rFont val="Arial"/>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</si>
  <si>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</si>
  <si>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rPr>
      <t>Jet Propulsion Laboratory, TMOD Directorate, 1996, p.44-46.</t>
    </r>
  </si>
  <si>
    <r>
      <t xml:space="preserve">Morgan, W.L. and Gordon, G.D., </t>
    </r>
    <r>
      <rPr>
        <i/>
        <sz val="10"/>
        <rFont val="Arial"/>
        <family val="2"/>
      </rPr>
      <t>Principles of Communicaitons Satellites</t>
    </r>
    <r>
      <rPr>
        <sz val="10"/>
        <rFont val="Arial"/>
      </rPr>
      <t>, John Wiley &amp; Sons, Inc., 1993, Chapter 2 and pp.140-143.</t>
    </r>
  </si>
  <si>
    <r>
      <t xml:space="preserve">Van Wie, D.G. and Roark, R.C., </t>
    </r>
    <r>
      <rPr>
        <i/>
        <sz val="10"/>
        <rFont val="Arial"/>
        <family val="2"/>
      </rPr>
      <t xml:space="preserve">A New Alert Protocol, </t>
    </r>
    <r>
      <rPr>
        <sz val="10"/>
        <rFont val="Arial"/>
      </rPr>
      <t>Blue Water Design, LLC</t>
    </r>
    <r>
      <rPr>
        <i/>
        <sz val="10"/>
        <rFont val="Arial"/>
        <family val="2"/>
      </rPr>
      <t xml:space="preserve">, 2003, </t>
    </r>
    <r>
      <rPr>
        <sz val="10"/>
        <rFont val="Arial"/>
      </rPr>
      <t>pp. 18-23.</t>
    </r>
  </si>
  <si>
    <t xml:space="preserve">    Revisions:</t>
  </si>
  <si>
    <t xml:space="preserve">  The following formal revisons have been made to this Link Model System:</t>
  </si>
  <si>
    <t>Version:</t>
  </si>
  <si>
    <t>Date:</t>
  </si>
  <si>
    <r>
      <t>NEW</t>
    </r>
    <r>
      <rPr>
        <sz val="10"/>
        <rFont val="Arial"/>
      </rPr>
      <t xml:space="preserve">; </t>
    </r>
    <r>
      <rPr>
        <sz val="10"/>
        <rFont val="Symbol"/>
        <family val="1"/>
      </rPr>
      <t>b</t>
    </r>
    <r>
      <rPr>
        <sz val="10"/>
        <rFont val="Arial"/>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</si>
  <si>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</si>
  <si>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</si>
  <si>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</si>
  <si>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</si>
  <si>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</si>
  <si>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</si>
  <si>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</si>
  <si>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</si>
  <si>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</si>
  <si>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</si>
  <si>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</si>
  <si>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</si>
  <si>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</si>
  <si>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</si>
  <si>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</si>
  <si>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</si>
  <si>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</si>
  <si>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</si>
  <si>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</si>
  <si>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</si>
  <si>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rPr>
      <t>dt:</t>
    </r>
  </si>
  <si>
    <t>deg./day</t>
  </si>
  <si>
    <r>
      <t>d</t>
    </r>
    <r>
      <rPr>
        <sz val="10"/>
        <rFont val="Symbol"/>
        <family val="1"/>
      </rPr>
      <t>W</t>
    </r>
    <r>
      <rPr>
        <sz val="10"/>
        <rFont val="Arial"/>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</si>
  <si>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</si>
  <si>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</si>
  <si>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</si>
  <si>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</si>
  <si>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</si>
  <si>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</si>
  <si>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</si>
  <si>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</si>
  <si>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</si>
  <si>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</si>
  <si>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</si>
  <si>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</si>
  <si>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</si>
  <si>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</si>
  <si>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</si>
  <si>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</si>
  <si>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</si>
  <si>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</si>
  <si>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</si>
  <si>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</si>
  <si>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</si>
  <si>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</si>
  <si>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</si>
  <si>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</si>
  <si>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</si>
  <si>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</si>
  <si>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</si>
  <si>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</si>
  <si>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</si>
  <si>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</si>
  <si>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</si>
  <si>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</si>
  <si>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</si>
  <si>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</si>
  <si>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</si>
  <si>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</si>
  <si>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</si>
  <si>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</si>
  <si>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</si>
  <si>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</si>
  <si>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</si>
  <si>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</si>
  <si>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</si>
  <si>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</si>
  <si>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</si>
  <si>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</si>
  <si>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</si>
  <si>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</si>
  <si>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</si>
  <si>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</si>
  <si>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</si>
  <si>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</si>
  <si>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</si>
  <si>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</si>
  <si>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</si>
  <si>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</si>
  <si>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</si>
  <si>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</si>
  <si>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</si>
  <si>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</si>
  <si>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</si>
  <si>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</si>
  <si>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</si>
  <si>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</si>
  <si>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</si>
  <si>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</si>
  <si>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</si>
  <si>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</si>
  <si>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</si>
  <si>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</si>
  <si>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</si>
  <si>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</si>
  <si>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</si>
  <si>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</si>
  <si>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</si>
  <si>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</si>
  <si>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</si>
  <si>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</si>
  <si>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</si>
  <si>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</si>
  <si>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</si>
  <si>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</si>
  <si>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</si>
  <si>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</si>
  <si>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</si>
  <si>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</si>
  <si>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</si>
  <si>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</si>
  <si>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</si>
  <si>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</si>
  <si>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</si>
  <si>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</si>
  <si>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</si>
  <si>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</si>
  <si>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</si>
  <si>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</si>
  <si>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</si>
  <si>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</si>
  <si>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</si>
  <si>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</si>
  <si>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</si>
  <si>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rPr>
      <t xml:space="preserve"> </t>
    </r>
    <r>
      <rPr>
        <b/>
        <sz val="10"/>
        <rFont val="Arial"/>
        <family val="2"/>
      </rPr>
      <t>Data Entry</t>
    </r>
    <r>
      <rPr>
        <sz val="10"/>
        <rFont val="Arial"/>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</si>
  <si>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</si>
  <si>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</si>
  <si>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</si>
  <si>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</si>
  <si>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</si>
  <si>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</si>
  <si>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</si>
  <si>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</si>
  <si>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</si>
  <si>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</si>
  <si>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</si>
  <si>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</si>
  <si>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</si>
  <si>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</si>
  <si>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</si>
  <si>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</si>
  <si>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</si>
  <si>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</si>
  <si>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GMSK</t>
  </si>
  <si>
    <t>Convolutional R=1/2, K=7</t>
  </si>
  <si>
    <t>Conv. R=1/2,K=7 &amp; R.S. (255,223)</t>
  </si>
  <si>
    <t>Conv. R=1/6,K=15 &amp; R.S. (255,223)</t>
  </si>
  <si>
    <t>User Defined</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</si>
  <si>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</si>
  <si>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</si>
  <si>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</si>
  <si>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</si>
  <si>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</si>
  <si>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</si>
  <si>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</si>
  <si>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</si>
  <si>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</si>
  <si>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</si>
  <si>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</si>
  <si>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</si>
  <si>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</si>
  <si>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</si>
  <si>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</si>
  <si>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</si>
  <si>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</si>
  <si>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</si>
  <si>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</si>
  <si>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</si>
  <si>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</si>
  <si>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</si>
  <si>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</si>
  <si>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</si>
  <si>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</si>
  <si>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</si>
  <si>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</si>
  <si>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</si>
  <si>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</si>
  <si>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</si>
  <si>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</si>
  <si>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</si>
  <si>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</si>
  <si>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</si>
  <si>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</si>
  <si>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</si>
  <si>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</si>
  <si>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</si>
  <si>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</si>
  <si>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</si>
  <si>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</si>
  <si>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</si>
  <si>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</si>
  <si>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</si>
  <si>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</si>
  <si>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</si>
  <si>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</si>
  <si>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</si>
  <si>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</si>
  <si>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</si>
  <si>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</si>
  <si>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</si>
  <si>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</si>
  <si>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</si>
  <si>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</si>
  <si>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</si>
  <si>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</si>
  <si>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</si>
  <si>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</si>
  <si>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</si>
  <si>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</si>
  <si>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</si>
  <si>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</si>
  <si>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</si>
  <si>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</si>
  <si>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</si>
  <si>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</si>
  <si>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</si>
  <si>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</si>
  <si>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</si>
  <si>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</si>
  <si>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</si>
  <si>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</si>
  <si>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</si>
  <si>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</si>
  <si>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r>
      <t>T</t>
    </r>
    <r>
      <rPr>
        <sz val="8"/>
        <rFont val="Arial"/>
      </rPr>
      <t>a</t>
    </r>
    <r>
      <rPr>
        <sz val="10"/>
        <rFont val="Arial"/>
      </rPr>
      <t xml:space="preserve"> =</t>
    </r>
    <r>
      <rPr>
        <sz val="10"/>
        <rFont val="Arial"/>
      </rPr>
      <t xml:space="preserve"> Antenna Temperature or Sky Temperature (</t>
    </r>
    <r>
      <rPr>
        <sz val="10"/>
        <rFont val="Arial"/>
      </rPr>
      <t>°K)</t>
    </r>
  </si>
  <si>
    <r>
      <t>T</t>
    </r>
    <r>
      <rPr>
        <sz val="8"/>
        <rFont val="Arial"/>
      </rPr>
      <t>o</t>
    </r>
    <r>
      <rPr>
        <sz val="10"/>
        <rFont val="Arial"/>
      </rPr>
      <t xml:space="preserve"> = System Line Temperature (Physical Temperature) (</t>
    </r>
    <r>
      <rPr>
        <sz val="10"/>
        <rFont val="Arial"/>
      </rPr>
      <t xml:space="preserve">°K) </t>
    </r>
    <r>
      <rPr>
        <sz val="10"/>
        <rFont val="Symbol"/>
        <family val="1"/>
      </rPr>
      <t>º</t>
    </r>
    <r>
      <rPr>
        <sz val="10"/>
        <rFont val="Arial"/>
      </rPr>
      <t xml:space="preserve"> System Reference Temperature</t>
    </r>
  </si>
  <si>
    <r>
      <t>T</t>
    </r>
    <r>
      <rPr>
        <sz val="8"/>
        <rFont val="Arial"/>
      </rPr>
      <t>LNA</t>
    </r>
    <r>
      <rPr>
        <sz val="8"/>
        <rFont val="Arial"/>
      </rPr>
      <t>=</t>
    </r>
    <r>
      <rPr>
        <sz val="10"/>
        <rFont val="Arial"/>
      </rPr>
      <t xml:space="preserve"> Noise Temperature of the Low Noise Amplifier (</t>
    </r>
    <r>
      <rPr>
        <sz val="10"/>
        <rFont val="Arial"/>
      </rPr>
      <t>°K)</t>
    </r>
  </si>
  <si>
    <r>
      <t>T</t>
    </r>
    <r>
      <rPr>
        <sz val="8"/>
        <rFont val="Arial"/>
      </rPr>
      <t>2nd Stage</t>
    </r>
    <r>
      <rPr>
        <sz val="10"/>
        <rFont val="Arial"/>
      </rPr>
      <t xml:space="preserve"> </t>
    </r>
    <r>
      <rPr>
        <sz val="10"/>
        <rFont val="Symbol"/>
        <family val="1"/>
      </rPr>
      <t>=</t>
    </r>
    <r>
      <rPr>
        <sz val="10"/>
        <rFont val="Arial"/>
      </rPr>
      <t xml:space="preserve">  Noise Temperature of Next Stage Amplifier or Mixer (</t>
    </r>
    <r>
      <rPr>
        <sz val="10"/>
        <rFont val="Arial"/>
      </rPr>
      <t>°K)</t>
    </r>
  </si>
  <si>
    <r>
      <t>G</t>
    </r>
    <r>
      <rPr>
        <sz val="8"/>
        <rFont val="Arial"/>
      </rPr>
      <t>LNA</t>
    </r>
    <r>
      <rPr>
        <sz val="10"/>
        <rFont val="Arial"/>
      </rPr>
      <t xml:space="preserve"> = The gain of the LNA in linear (non-dB) units</t>
    </r>
  </si>
  <si>
    <r>
      <t>a</t>
    </r>
    <r>
      <rPr>
        <sz val="10"/>
        <rFont val="Arial"/>
      </rPr>
      <t xml:space="preserve"> </t>
    </r>
    <r>
      <rPr>
        <sz val="10"/>
        <rFont val="Arial"/>
      </rPr>
      <t>=</t>
    </r>
    <r>
      <rPr>
        <sz val="10"/>
        <rFont val="Symbol"/>
        <family val="1"/>
      </rPr>
      <t xml:space="preserve">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</si>
  <si>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L</t>
    </r>
    <r>
      <rPr>
        <sz val="8"/>
        <rFont val="Arial"/>
      </rPr>
      <t>A</t>
    </r>
    <r>
      <rPr>
        <sz val="10"/>
        <rFont val="Arial"/>
      </rPr>
      <t>, L</t>
    </r>
    <r>
      <rPr>
        <sz val="8"/>
        <rFont val="Arial"/>
      </rPr>
      <t>B</t>
    </r>
    <r>
      <rPr>
        <sz val="10"/>
        <rFont val="Arial"/>
      </rPr>
      <t>, L</t>
    </r>
    <r>
      <rPr>
        <sz val="8"/>
        <rFont val="Arial"/>
      </rPr>
      <t>C</t>
    </r>
    <r>
      <rPr>
        <sz val="10"/>
        <rFont val="Arial"/>
      </rPr>
      <t xml:space="preserve"> = All Cable or Waveguide Losses (expressed in dB)</t>
    </r>
  </si>
  <si>
    <r>
      <t>L</t>
    </r>
    <r>
      <rPr>
        <sz val="8"/>
        <rFont val="Arial"/>
      </rPr>
      <t>BPF</t>
    </r>
    <r>
      <rPr>
        <sz val="10"/>
        <rFont val="Arial"/>
      </rPr>
      <t xml:space="preserve"> = Insertion Loss of any bandpass fiter used in front of LNA (expressed in dB)</t>
    </r>
  </si>
  <si>
    <r>
      <t>L</t>
    </r>
    <r>
      <rPr>
        <sz val="8"/>
        <rFont val="Arial"/>
      </rPr>
      <t>other</t>
    </r>
    <r>
      <rPr>
        <sz val="10"/>
        <rFont val="Arial"/>
      </rPr>
      <t xml:space="preserve"> = Insertion Loss of any other In-Line device in front of LNA (expressed in dB)</t>
    </r>
  </si>
  <si>
    <r>
      <t>T</t>
    </r>
    <r>
      <rPr>
        <sz val="8"/>
        <rFont val="Arial"/>
      </rPr>
      <t>a</t>
    </r>
    <r>
      <rPr>
        <sz val="10"/>
        <rFont val="Arial"/>
      </rPr>
      <t xml:space="preserve"> =</t>
    </r>
    <r>
      <rPr>
        <sz val="10"/>
        <rFont val="Arial"/>
      </rPr>
      <t>Antenna Temperature or Sky Temperature (</t>
    </r>
    <r>
      <rPr>
        <sz val="10"/>
        <rFont val="Arial"/>
      </rPr>
      <t>°K)</t>
    </r>
  </si>
  <si>
    <r>
      <t>T</t>
    </r>
    <r>
      <rPr>
        <sz val="8"/>
        <rFont val="Arial"/>
      </rPr>
      <t>o</t>
    </r>
    <r>
      <rPr>
        <sz val="10"/>
        <rFont val="Arial"/>
      </rPr>
      <t xml:space="preserve"> = System Line Temperature (Physical Temperature) (</t>
    </r>
    <r>
      <rPr>
        <sz val="10"/>
        <rFont val="Arial"/>
      </rPr>
      <t>°K)</t>
    </r>
  </si>
  <si>
    <r>
      <t>T</t>
    </r>
    <r>
      <rPr>
        <sz val="8"/>
        <rFont val="Arial"/>
      </rPr>
      <t>ComRcvr</t>
    </r>
    <r>
      <rPr>
        <sz val="10"/>
        <rFont val="Arial"/>
      </rPr>
      <t xml:space="preserve"> =  Noise Temperature of Communications Receiver Front End (</t>
    </r>
    <r>
      <rPr>
        <sz val="10"/>
        <rFont val="Arial"/>
      </rPr>
      <t>°K)</t>
    </r>
  </si>
  <si>
    <t>Dish Size?</t>
  </si>
  <si>
    <t>Revised Beam Roll-off Tool Tab to Include Dish Diameter in Wavelengths and Test for 10 wavelength condition.</t>
  </si>
  <si>
    <t xml:space="preserve"> Version: 2.5.5</t>
  </si>
  <si>
    <r>
      <t>S/C Angle</t>
    </r>
    <r>
      <rPr>
        <sz val="10"/>
        <rFont val="Arial"/>
      </rPr>
      <t xml:space="preserve"> wrt Symmetry Axis (</t>
    </r>
    <r>
      <rPr>
        <sz val="10"/>
        <rFont val="Arial"/>
      </rPr>
      <t>θ)°</t>
    </r>
    <r>
      <rPr>
        <sz val="10"/>
        <rFont val="Arial"/>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</si>
  <si>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</si>
  <si>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</si>
  <si>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</si>
  <si>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Portland State University</t>
  </si>
  <si>
    <t>Glenn LeBrasseur, KJ7SU / Vigely Mastrogiannis, KJ7AOG</t>
  </si>
  <si>
    <t>Andrew Greenberg, KD7CJT</t>
  </si>
  <si>
    <t>LEO -- ELaNa Determined *ISS Deploy* CubeSat Satellite</t>
  </si>
  <si>
    <t>2U CubeSat Satellite</t>
  </si>
  <si>
    <t>OreSat - CS0 (DxWiFi)</t>
  </si>
  <si>
    <r>
      <t>PDX_CS0_v1/</t>
    </r>
    <r>
      <rPr>
        <b/>
        <sz val="12"/>
        <rFont val="Arial"/>
        <family val="2"/>
      </rPr>
      <t>2.5.5</t>
    </r>
  </si>
  <si>
    <t>Semi-Rigid 0.085"</t>
  </si>
  <si>
    <t>???</t>
  </si>
  <si>
    <t>Cable/Guide Type (loss/m):</t>
  </si>
  <si>
    <t>Cable A Spec:</t>
  </si>
  <si>
    <t>at freq.</t>
  </si>
  <si>
    <t>Cable B Spec:</t>
  </si>
  <si>
    <t>Cable C Spec:</t>
  </si>
  <si>
    <t>Total Line Loss (Line A+B+C):</t>
  </si>
  <si>
    <t>Connectors  X  0.05 dB/con. =</t>
  </si>
  <si>
    <t>[OreSat Helix]</t>
  </si>
  <si>
    <t>NEEDS FIX:  Some parameters in this section may not be mapped properly due to modifications on the transmitter and receiver pages even though the link margins are accurate.  See those pages and the uplink/downlink budget pages for details.</t>
  </si>
  <si>
    <t>High Gain Antenna on S/C;  High Gain Antenna at E.S.</t>
  </si>
  <si>
    <t>Cable/W. Guide Type (loss/m):</t>
  </si>
  <si>
    <t>Connectors  X  0.05 dB/con.  =</t>
  </si>
  <si>
    <t>This section is modified. Block diagram may not be accurate.</t>
  </si>
  <si>
    <t>??</t>
  </si>
  <si>
    <t>Noise Temperature Calculator (post LNA - see block diagram for more details)</t>
  </si>
  <si>
    <t>#</t>
  </si>
  <si>
    <t>Device</t>
  </si>
  <si>
    <t>Gain/Loss (dB)</t>
  </si>
  <si>
    <t>Noise Fig. (dB)</t>
  </si>
  <si>
    <t>G (gain factor)</t>
  </si>
  <si>
    <t>F (noise factor)</t>
  </si>
  <si>
    <t>Gain Products</t>
  </si>
  <si>
    <t>Temp (K)</t>
  </si>
  <si>
    <t>Temp / Gain_Prod (K)</t>
  </si>
  <si>
    <t>(F - 1) / Gain_Prod</t>
  </si>
  <si>
    <t>F (totals)</t>
  </si>
  <si>
    <t xml:space="preserve">Total (K):  </t>
  </si>
  <si>
    <r>
      <t>L</t>
    </r>
    <r>
      <rPr>
        <sz val="8"/>
        <rFont val="Arial"/>
        <family val="2"/>
      </rPr>
      <t>A</t>
    </r>
    <r>
      <rPr>
        <sz val="10"/>
        <rFont val="Arial"/>
      </rPr>
      <t xml:space="preserve"> = </t>
    </r>
  </si>
  <si>
    <r>
      <t>L</t>
    </r>
    <r>
      <rPr>
        <sz val="8"/>
        <rFont val="Arial"/>
        <family val="2"/>
      </rPr>
      <t>B</t>
    </r>
    <r>
      <rPr>
        <sz val="10"/>
        <rFont val="Arial"/>
      </rPr>
      <t xml:space="preserve"> = </t>
    </r>
  </si>
  <si>
    <r>
      <t>L</t>
    </r>
    <r>
      <rPr>
        <sz val="8"/>
        <rFont val="Arial"/>
        <family val="2"/>
      </rPr>
      <t>C</t>
    </r>
    <r>
      <rPr>
        <sz val="10"/>
        <rFont val="Arial"/>
      </rPr>
      <t xml:space="preserve"> = </t>
    </r>
  </si>
  <si>
    <r>
      <t>L</t>
    </r>
    <r>
      <rPr>
        <sz val="8"/>
        <rFont val="Arial"/>
        <family val="2"/>
      </rPr>
      <t>BPF</t>
    </r>
    <r>
      <rPr>
        <sz val="10"/>
        <rFont val="Arial"/>
      </rPr>
      <t xml:space="preserve"> =</t>
    </r>
  </si>
  <si>
    <r>
      <t>L</t>
    </r>
    <r>
      <rPr>
        <sz val="8"/>
        <rFont val="Arial"/>
        <family val="2"/>
      </rPr>
      <t>other</t>
    </r>
    <r>
      <rPr>
        <sz val="10"/>
        <rFont val="Arial"/>
      </rPr>
      <t xml:space="preserve"> = </t>
    </r>
  </si>
  <si>
    <r>
      <t>T</t>
    </r>
    <r>
      <rPr>
        <sz val="8"/>
        <rFont val="Arial"/>
        <family val="2"/>
      </rPr>
      <t>a</t>
    </r>
    <r>
      <rPr>
        <sz val="10"/>
        <rFont val="Arial"/>
      </rPr>
      <t xml:space="preserve"> =</t>
    </r>
  </si>
  <si>
    <r>
      <t>T</t>
    </r>
    <r>
      <rPr>
        <sz val="8"/>
        <rFont val="Arial"/>
        <family val="2"/>
      </rPr>
      <t>o</t>
    </r>
    <r>
      <rPr>
        <sz val="10"/>
        <rFont val="Arial"/>
      </rPr>
      <t xml:space="preserve"> =</t>
    </r>
  </si>
  <si>
    <r>
      <t>T</t>
    </r>
    <r>
      <rPr>
        <sz val="8"/>
        <rFont val="Arial"/>
        <family val="2"/>
      </rPr>
      <t>LNA</t>
    </r>
    <r>
      <rPr>
        <sz val="10"/>
        <rFont val="Arial"/>
      </rPr>
      <t xml:space="preserve"> =</t>
    </r>
  </si>
  <si>
    <r>
      <t>G</t>
    </r>
    <r>
      <rPr>
        <sz val="8"/>
        <rFont val="Arial"/>
        <family val="2"/>
      </rPr>
      <t>LNA</t>
    </r>
    <r>
      <rPr>
        <sz val="10"/>
        <rFont val="Arial"/>
      </rPr>
      <t xml:space="preserve"> =</t>
    </r>
  </si>
  <si>
    <r>
      <t>T</t>
    </r>
    <r>
      <rPr>
        <sz val="8"/>
        <rFont val="Arial"/>
        <family val="2"/>
      </rPr>
      <t>ComRcvr</t>
    </r>
    <r>
      <rPr>
        <sz val="10"/>
        <rFont val="Arial"/>
      </rPr>
      <t xml:space="preserve"> =</t>
    </r>
  </si>
  <si>
    <r>
      <t>T</t>
    </r>
    <r>
      <rPr>
        <sz val="8"/>
        <rFont val="Arial"/>
        <family val="2"/>
      </rPr>
      <t>s</t>
    </r>
    <r>
      <rPr>
        <sz val="10"/>
        <rFont val="Arial"/>
      </rPr>
      <t xml:space="preserve"> =</t>
    </r>
  </si>
  <si>
    <t>Note: Mods. by KJ7AOG</t>
  </si>
  <si>
    <t>2019 February 1</t>
  </si>
  <si>
    <t xml:space="preserve">2x conn. = 1x adapter </t>
  </si>
  <si>
    <t>2x switches</t>
  </si>
  <si>
    <t>BAW 885071-A</t>
  </si>
  <si>
    <t>WiFi Tranceiver ???</t>
  </si>
  <si>
    <t>Filter ???</t>
  </si>
  <si>
    <t>RF Switch</t>
  </si>
  <si>
    <t>3x switches</t>
  </si>
  <si>
    <t>2W Sat.</t>
  </si>
  <si>
    <t>1W Lin.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</si>
</sst>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 &quot;bps&quot;"/>
    <numFmt numFmtId="175" formatCode="0.0\ &quot;watts&quot;"/>
    <numFmt numFmtId="176" formatCode="0.00\ &quot;dB&quot;"/>
    <numFmt numFmtId="177" formatCode="0.000\ &quot;dB&quot;"/>
    <numFmt numFmtId="178" formatCode="0.0\ &quot;dBi&quot;"/>
    <numFmt numFmtId="179" formatCode="0.0\ &quot;dBW&quot;"/>
    <numFmt numFmtId="180" formatCode="0\ &quot;K&quot;"/>
    <numFmt numFmtId="181" formatCode="0.0\ &quot;dB/K&quot;"/>
    <numFmt numFmtId="182" formatCode="0\ &quot;Hz&quot;"/>
    <numFmt numFmtId="183" formatCode="0.00\ &quot;MHz&quot;"/>
    <numFmt numFmtId="184" formatCode="0.0%"/>
    <numFmt numFmtId="185" formatCode="0\ &quot;MHz&quot;"/>
    <numFmt numFmtId="186" formatCode="0.00&quot; m&quot;"/>
    <numFmt numFmtId="187" formatCode="0.0\ &quot;j&quot;"/>
    <numFmt numFmtId="188" formatCode="_(* #,##0.0_);_(* \(#,##0.0\);_(* &quot;-&quot;??_);_(@_)"/>
    <numFmt numFmtId="189" formatCode="#,##0.0_ ;\-#,##0.0\ "/>
    <numFmt numFmtId="190" formatCode="#,##0.0"/>
    <numFmt numFmtId="191" formatCode="#,##0.0;\-#,##0.0"/>
    <numFmt numFmtId="192" formatCode="0.00\ &quot;:1&quot;"/>
    <numFmt numFmtId="193" formatCode="0.00\ &quot;watts&quot;"/>
    <numFmt numFmtId="194" formatCode="#,##0.000"/>
    <numFmt numFmtId="195" formatCode="0.000E+00"/>
    <numFmt numFmtId="196" formatCode="0.00\ &quot;dB/m&quot;"/>
  </numFmts>
  <fonts count="89">
    <font>
      <sz val="10"/>
      <name val="Arial"/>
    </font>
    <font>
      <sz val="10"/>
      <name val="Arial"/>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ont>
    <font>
      <i/>
      <sz val="12"/>
      <name val="Arial"/>
    </font>
    <font>
      <sz val="12"/>
      <color indexed="12"/>
      <name val="Arial"/>
      <family val="2"/>
    </font>
    <font>
      <sz val="10"/>
      <color indexed="10"/>
      <name val="Arial"/>
      <family val="2"/>
    </font>
    <font>
      <sz val="14"/>
      <name val="Arial"/>
      <family val="2"/>
    </font>
    <font>
      <sz val="8"/>
      <name val="Arial"/>
    </font>
    <font>
      <sz val="14"/>
      <name val="Arial"/>
      <family val="2"/>
    </font>
    <font>
      <b/>
      <sz val="10"/>
      <name val="Times New Roman"/>
    </font>
    <font>
      <sz val="9"/>
      <name val="Arial"/>
      <family val="2"/>
    </font>
    <font>
      <b/>
      <sz val="14"/>
      <name val="Arial"/>
      <family val="2"/>
    </font>
    <font>
      <b/>
      <sz val="9"/>
      <name val="Arial"/>
      <family val="2"/>
    </font>
    <font>
      <b/>
      <sz val="8"/>
      <name val="Arial"/>
      <family val="2"/>
    </font>
    <font>
      <sz val="8"/>
      <color indexed="81"/>
      <name val="Tahoma"/>
    </font>
    <font>
      <sz val="12"/>
      <name val="Arial"/>
      <family val="2"/>
    </font>
    <font>
      <b/>
      <sz val="12"/>
      <name val="Arial"/>
      <family val="2"/>
    </font>
    <font>
      <sz val="10"/>
      <name val="Arial"/>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ont>
    <font>
      <i/>
      <sz val="10"/>
      <color indexed="81"/>
      <name val="Tahoma"/>
      <family val="2"/>
    </font>
    <font>
      <b/>
      <sz val="18"/>
      <name val="Arial"/>
    </font>
    <font>
      <b/>
      <sz val="12"/>
      <name val="Symbol"/>
      <family val="1"/>
    </font>
    <font>
      <sz val="10"/>
      <color indexed="81"/>
      <name val="Symbol"/>
      <family val="1"/>
    </font>
    <font>
      <sz val="10"/>
      <color indexed="22"/>
      <name val="Arial"/>
    </font>
    <font>
      <b/>
      <sz val="10"/>
      <color indexed="22"/>
      <name val="Symbol"/>
      <family val="1"/>
    </font>
    <font>
      <sz val="9"/>
      <color indexed="10"/>
      <name val="Arial"/>
    </font>
    <font>
      <b/>
      <sz val="10"/>
      <color indexed="81"/>
      <name val="Tahoma"/>
      <family val="2"/>
    </font>
    <font>
      <sz val="20"/>
      <color indexed="10"/>
      <name val="Symbol"/>
      <family val="1"/>
    </font>
    <font>
      <b/>
      <sz val="10"/>
      <color indexed="81"/>
      <name val="Arial"/>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ont>
    <font>
      <b/>
      <i/>
      <sz val="12"/>
      <name val="Arial"/>
      <family val="2"/>
    </font>
    <font>
      <b/>
      <i/>
      <sz val="10"/>
      <name val="Arial"/>
      <family val="2"/>
    </font>
    <font>
      <sz val="9"/>
      <name val="Symbol"/>
      <family val="1"/>
    </font>
    <font>
      <sz val="10"/>
      <color theme="0" tint="-0.249977111117893"/>
      <name val="Arial"/>
      <family val="2"/>
    </font>
    <font>
      <sz val="10"/>
      <color rgb="FFFF0000"/>
      <name val="Arial"/>
    </font>
    <font>
      <b/>
      <sz val="10"/>
      <color rgb="FF0000FF"/>
      <name val="Arial"/>
      <family val="2"/>
    </font>
    <font>
      <sz val="10"/>
      <color theme="0" tint="-0.34998626667073579"/>
      <name val="Arial"/>
    </font>
    <font>
      <sz val="10"/>
      <name val="Arial"/>
      <family val="2"/>
    </font>
    <font>
      <sz val="10"/>
      <color rgb="FFFF0000"/>
      <name val="Arial"/>
      <family val="2"/>
    </font>
    <font>
      <sz val="10"/>
      <color indexed="12"/>
      <name val="Arial"/>
    </font>
    <font>
      <b/>
      <sz val="11"/>
      <color theme="1"/>
      <name val="Calibri"/>
      <family val="2"/>
      <scheme val="minor"/>
    </font>
    <font>
      <b/>
      <sz val="9"/>
      <color indexed="81"/>
      <name val="Tahoma"/>
      <family val="2"/>
    </font>
    <font>
      <sz val="8"/>
      <name val="Arial"/>
      <family val="2"/>
    </font>
    <font>
      <sz val="8"/>
      <color indexed="81"/>
      <name val="Tahoma"/>
      <family val="2"/>
    </font>
  </fonts>
  <fills count="31">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59999389629810485"/>
        <bgColor indexed="64"/>
      </patternFill>
    </fill>
  </fills>
  <borders count="6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ck">
        <color auto="1"/>
      </right>
      <top/>
      <bottom style="medium">
        <color indexed="64"/>
      </bottom>
      <diagonal/>
    </border>
    <border>
      <left style="thick">
        <color auto="1"/>
      </left>
      <right style="thin">
        <color indexed="64"/>
      </right>
      <top/>
      <bottom/>
      <diagonal/>
    </border>
    <border>
      <left style="thin">
        <color indexed="64"/>
      </left>
      <right/>
      <top style="medium">
        <color indexed="64"/>
      </top>
      <bottom/>
      <diagonal/>
    </border>
    <border>
      <left style="thin">
        <color indexed="64"/>
      </left>
      <right style="thick">
        <color auto="1"/>
      </right>
      <top/>
      <bottom/>
      <diagonal/>
    </border>
    <border>
      <left style="thick">
        <color auto="1"/>
      </left>
      <right/>
      <top/>
      <bottom style="thick">
        <color auto="1"/>
      </bottom>
      <diagonal/>
    </border>
    <border>
      <left/>
      <right/>
      <top/>
      <bottom style="thick">
        <color auto="1"/>
      </bottom>
      <diagonal/>
    </border>
    <border>
      <left style="thin">
        <color indexed="64"/>
      </left>
      <right style="thin">
        <color indexed="64"/>
      </right>
      <top style="thin">
        <color indexed="64"/>
      </top>
      <bottom style="thick">
        <color auto="1"/>
      </bottom>
      <diagonal/>
    </border>
    <border>
      <left/>
      <right style="thick">
        <color auto="1"/>
      </right>
      <top/>
      <bottom style="thick">
        <color auto="1"/>
      </bottom>
      <diagonal/>
    </border>
  </borders>
  <cellStyleXfs count="5">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9" fillId="0" borderId="0"/>
    <xf numFmtId="9" fontId="1" fillId="0" borderId="0" applyFont="0" applyFill="0" applyBorder="0" applyAlignment="0" applyProtection="0"/>
  </cellStyleXfs>
  <cellXfs count="1072">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4" fillId="3" borderId="0" xfId="0" applyFont="1" applyFill="1"/>
    <xf numFmtId="0" fontId="0" fillId="3" borderId="4" xfId="0" applyFill="1" applyBorder="1"/>
    <xf numFmtId="0" fontId="0" fillId="3" borderId="5" xfId="0" applyFill="1" applyBorder="1"/>
    <xf numFmtId="0" fontId="0" fillId="3" borderId="6" xfId="0" applyFill="1" applyBorder="1"/>
    <xf numFmtId="0" fontId="35" fillId="4" borderId="26" xfId="0" applyFont="1" applyFill="1" applyBorder="1"/>
    <xf numFmtId="0" fontId="32"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6" xfId="0" applyFill="1" applyBorder="1"/>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6" borderId="4" xfId="0" applyFill="1" applyBorder="1"/>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9" fillId="4" borderId="26" xfId="0" applyFont="1" applyFill="1" applyBorder="1"/>
    <xf numFmtId="0" fontId="40"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35"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25" fillId="11" borderId="0" xfId="0" applyFont="1" applyFill="1" applyBorder="1" applyAlignment="1">
      <alignment horizontal="center"/>
    </xf>
    <xf numFmtId="0" fontId="0" fillId="15" borderId="14" xfId="0" applyFill="1" applyBorder="1"/>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168" fontId="25" fillId="5" borderId="9" xfId="0" applyNumberFormat="1" applyFont="1" applyFill="1" applyBorder="1" applyAlignment="1">
      <alignment horizontal="center"/>
    </xf>
    <xf numFmtId="0" fontId="6" fillId="15" borderId="17" xfId="0" applyFont="1" applyFill="1" applyBorder="1"/>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8" fontId="0" fillId="4" borderId="9" xfId="0" applyNumberFormat="1" applyFill="1" applyBorder="1" applyAlignment="1">
      <alignment horizontal="center"/>
    </xf>
    <xf numFmtId="0" fontId="15" fillId="15" borderId="0" xfId="0" quotePrefix="1" applyFont="1" applyFill="1" applyBorder="1"/>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168" fontId="17" fillId="6" borderId="9" xfId="0" applyNumberFormat="1" applyFont="1" applyFill="1" applyBorder="1" applyAlignment="1">
      <alignment horizontal="center"/>
    </xf>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0" fillId="14" borderId="0" xfId="0" applyFill="1" applyBorder="1" applyAlignment="1">
      <alignment horizontal="right"/>
    </xf>
    <xf numFmtId="0" fontId="29" fillId="14" borderId="0" xfId="0" applyFont="1" applyFill="1" applyBorder="1"/>
    <xf numFmtId="0" fontId="29" fillId="14" borderId="0" xfId="0" applyFont="1" applyFill="1" applyBorder="1" applyAlignment="1">
      <alignment horizontal="center"/>
    </xf>
    <xf numFmtId="0" fontId="6" fillId="11" borderId="14" xfId="0" applyFont="1" applyFill="1" applyBorder="1"/>
    <xf numFmtId="0" fontId="15" fillId="11" borderId="0" xfId="0" quotePrefix="1"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1" fontId="29" fillId="6" borderId="4" xfId="0" applyNumberFormat="1" applyFont="1" applyFill="1" applyBorder="1"/>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8" fillId="4" borderId="36" xfId="0" applyFont="1" applyFill="1" applyBorder="1"/>
    <xf numFmtId="0" fontId="9" fillId="5" borderId="12" xfId="0"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10" borderId="5" xfId="0" applyFill="1" applyBorder="1"/>
    <xf numFmtId="0" fontId="0" fillId="3" borderId="17" xfId="0" applyFill="1" applyBorder="1"/>
    <xf numFmtId="0" fontId="0" fillId="10" borderId="5" xfId="0" applyFill="1" applyBorder="1" applyAlignment="1">
      <alignment horizontal="center"/>
    </xf>
    <xf numFmtId="0" fontId="25" fillId="5" borderId="5" xfId="0" applyFont="1"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4" fillId="11" borderId="0" xfId="0" applyFont="1" applyFill="1"/>
    <xf numFmtId="0" fontId="37"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7"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7" fillId="14" borderId="10" xfId="0" applyNumberFormat="1" applyFont="1" applyFill="1" applyBorder="1" applyAlignment="1">
      <alignment horizontal="center"/>
    </xf>
    <xf numFmtId="0" fontId="0" fillId="14" borderId="6" xfId="0" applyFill="1" applyBorder="1" applyAlignment="1">
      <alignment horizontal="center"/>
    </xf>
    <xf numFmtId="0" fontId="37"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28" xfId="0" applyFont="1" applyFill="1" applyBorder="1"/>
    <xf numFmtId="0" fontId="0" fillId="3" borderId="13" xfId="0" applyFill="1" applyBorder="1"/>
    <xf numFmtId="0" fontId="0" fillId="3" borderId="22" xfId="0" applyFill="1" applyBorder="1"/>
    <xf numFmtId="0" fontId="6" fillId="3" borderId="0" xfId="0" applyFont="1" applyFill="1" applyBorder="1"/>
    <xf numFmtId="0" fontId="0" fillId="4" borderId="14" xfId="0" applyFill="1" applyBorder="1"/>
    <xf numFmtId="0" fontId="0" fillId="4" borderId="16" xfId="0" applyFill="1" applyBorder="1"/>
    <xf numFmtId="0" fontId="0" fillId="4" borderId="19" xfId="0" applyFill="1" applyBorder="1"/>
    <xf numFmtId="0" fontId="0" fillId="4" borderId="21" xfId="0" applyFill="1" applyBorder="1"/>
    <xf numFmtId="0" fontId="0" fillId="4" borderId="14" xfId="0" applyFill="1" applyBorder="1" applyAlignment="1">
      <alignment horizontal="left"/>
    </xf>
    <xf numFmtId="0" fontId="0" fillId="4" borderId="16" xfId="0" applyFill="1" applyBorder="1" applyAlignment="1">
      <alignment horizontal="left"/>
    </xf>
    <xf numFmtId="0" fontId="34" fillId="6" borderId="36" xfId="0" applyFont="1" applyFill="1" applyBorder="1"/>
    <xf numFmtId="0" fontId="0" fillId="10" borderId="4" xfId="0" applyFill="1" applyBorder="1"/>
    <xf numFmtId="174" fontId="0" fillId="4" borderId="6" xfId="0" applyNumberFormat="1" applyFill="1" applyBorder="1"/>
    <xf numFmtId="175" fontId="0" fillId="4" borderId="6" xfId="0" applyNumberFormat="1" applyFill="1" applyBorder="1"/>
    <xf numFmtId="173" fontId="0" fillId="4" borderId="6" xfId="0" applyNumberFormat="1" applyFill="1" applyBorder="1"/>
    <xf numFmtId="177" fontId="0" fillId="4" borderId="6" xfId="0" applyNumberFormat="1" applyFill="1" applyBorder="1"/>
    <xf numFmtId="0" fontId="0" fillId="14" borderId="4" xfId="0" applyFill="1" applyBorder="1"/>
    <xf numFmtId="0" fontId="0" fillId="14" borderId="6" xfId="0" applyFill="1" applyBorder="1"/>
    <xf numFmtId="178" fontId="0" fillId="4" borderId="6" xfId="0" applyNumberFormat="1" applyFill="1" applyBorder="1" applyAlignment="1">
      <alignment horizontal="center"/>
    </xf>
    <xf numFmtId="179" fontId="29" fillId="6" borderId="6" xfId="0" applyNumberFormat="1" applyFont="1" applyFill="1" applyBorder="1"/>
    <xf numFmtId="173" fontId="0" fillId="4" borderId="6" xfId="0" applyNumberFormat="1" applyFill="1" applyBorder="1" applyAlignment="1">
      <alignment horizontal="center"/>
    </xf>
    <xf numFmtId="176" fontId="0" fillId="4" borderId="6" xfId="0" applyNumberFormat="1" applyFill="1" applyBorder="1"/>
    <xf numFmtId="176" fontId="29" fillId="4" borderId="6" xfId="0" applyNumberFormat="1" applyFont="1" applyFill="1" applyBorder="1" applyAlignment="1">
      <alignment horizontal="center"/>
    </xf>
    <xf numFmtId="180" fontId="0" fillId="4" borderId="6" xfId="0" applyNumberFormat="1" applyFill="1" applyBorder="1" applyAlignment="1">
      <alignment horizontal="center"/>
    </xf>
    <xf numFmtId="181" fontId="0" fillId="4" borderId="6" xfId="0" applyNumberFormat="1" applyFill="1" applyBorder="1" applyAlignment="1">
      <alignment horizontal="center"/>
    </xf>
    <xf numFmtId="182" fontId="0" fillId="4" borderId="6" xfId="1" applyNumberFormat="1" applyFont="1" applyFill="1" applyBorder="1" applyAlignment="1">
      <alignment horizontal="center"/>
    </xf>
    <xf numFmtId="0" fontId="0" fillId="6" borderId="36" xfId="0" applyFill="1" applyBorder="1"/>
    <xf numFmtId="183" fontId="0" fillId="10" borderId="6" xfId="0" applyNumberFormat="1" applyFill="1" applyBorder="1" applyAlignment="1">
      <alignment horizontal="center"/>
    </xf>
    <xf numFmtId="0" fontId="26" fillId="13" borderId="4" xfId="0" applyFont="1" applyFill="1" applyBorder="1"/>
    <xf numFmtId="173" fontId="0" fillId="13" borderId="6" xfId="0" applyNumberFormat="1" applyFill="1" applyBorder="1" applyAlignment="1">
      <alignment horizontal="center"/>
    </xf>
    <xf numFmtId="0" fontId="0" fillId="13" borderId="4" xfId="0" applyFill="1" applyBorder="1"/>
    <xf numFmtId="11" fontId="0" fillId="13" borderId="6" xfId="0" applyNumberFormat="1" applyFill="1" applyBorder="1" applyAlignment="1">
      <alignment horizontal="center"/>
    </xf>
    <xf numFmtId="0" fontId="10" fillId="12" borderId="6" xfId="0" applyFont="1" applyFill="1" applyBorder="1"/>
    <xf numFmtId="173" fontId="0" fillId="3" borderId="0" xfId="0" applyNumberFormat="1" applyFill="1" applyBorder="1" applyAlignment="1">
      <alignment horizontal="center"/>
    </xf>
    <xf numFmtId="173" fontId="17" fillId="3" borderId="0" xfId="0" applyNumberFormat="1" applyFont="1" applyFill="1" applyBorder="1" applyAlignment="1">
      <alignment horizontal="center"/>
    </xf>
    <xf numFmtId="174" fontId="0" fillId="4" borderId="6" xfId="0" applyNumberFormat="1" applyFill="1" applyBorder="1" applyAlignment="1">
      <alignment horizontal="center"/>
    </xf>
    <xf numFmtId="0" fontId="0" fillId="3" borderId="28" xfId="0" applyFill="1" applyBorder="1"/>
    <xf numFmtId="0" fontId="1" fillId="3" borderId="0" xfId="0" applyFont="1" applyFill="1" applyBorder="1"/>
    <xf numFmtId="178" fontId="0" fillId="13" borderId="6" xfId="0" applyNumberFormat="1" applyFill="1" applyBorder="1" applyAlignment="1">
      <alignment horizontal="center"/>
    </xf>
    <xf numFmtId="0" fontId="49" fillId="5" borderId="4" xfId="0" applyFont="1" applyFill="1" applyBorder="1"/>
    <xf numFmtId="175" fontId="0" fillId="4" borderId="6" xfId="0" applyNumberFormat="1" applyFill="1" applyBorder="1" applyAlignment="1">
      <alignment horizontal="center"/>
    </xf>
    <xf numFmtId="0" fontId="26" fillId="6" borderId="4" xfId="0" applyFont="1" applyFill="1" applyBorder="1"/>
    <xf numFmtId="0" fontId="29" fillId="3" borderId="0" xfId="0" applyFont="1" applyFill="1" applyBorder="1"/>
    <xf numFmtId="175" fontId="17" fillId="6" borderId="6" xfId="0" applyNumberFormat="1" applyFont="1" applyFill="1" applyBorder="1"/>
    <xf numFmtId="184" fontId="25" fillId="5" borderId="6" xfId="4" applyNumberFormat="1" applyFont="1" applyFill="1" applyBorder="1" applyAlignment="1">
      <alignment horizontal="center"/>
    </xf>
    <xf numFmtId="0" fontId="0" fillId="4" borderId="14" xfId="0" applyFill="1" applyBorder="1" applyAlignment="1"/>
    <xf numFmtId="0" fontId="0" fillId="4" borderId="16" xfId="0" applyFill="1" applyBorder="1" applyAlignment="1"/>
    <xf numFmtId="0" fontId="0" fillId="4" borderId="17" xfId="0" applyFill="1" applyBorder="1"/>
    <xf numFmtId="0" fontId="0" fillId="4" borderId="18" xfId="0" applyFill="1" applyBorder="1"/>
    <xf numFmtId="0" fontId="31" fillId="13" borderId="4" xfId="0" applyFont="1" applyFill="1" applyBorder="1"/>
    <xf numFmtId="183" fontId="0" fillId="10" borderId="6" xfId="0" applyNumberFormat="1" applyFill="1" applyBorder="1"/>
    <xf numFmtId="0" fontId="0" fillId="14" borderId="4" xfId="0" applyFill="1" applyBorder="1" applyAlignment="1">
      <alignment horizontal="right"/>
    </xf>
    <xf numFmtId="0" fontId="0" fillId="14" borderId="4" xfId="0" applyFill="1" applyBorder="1" applyAlignment="1">
      <alignment horizontal="left"/>
    </xf>
    <xf numFmtId="178" fontId="0" fillId="4" borderId="16" xfId="0" applyNumberFormat="1" applyFill="1" applyBorder="1" applyAlignment="1">
      <alignment horizontal="center"/>
    </xf>
    <xf numFmtId="179" fontId="29" fillId="6" borderId="6" xfId="0" applyNumberFormat="1" applyFont="1" applyFill="1" applyBorder="1" applyAlignment="1">
      <alignment horizontal="center"/>
    </xf>
    <xf numFmtId="176" fontId="0" fillId="4" borderId="6" xfId="0" applyNumberFormat="1" applyFill="1" applyBorder="1" applyAlignment="1">
      <alignment horizontal="center"/>
    </xf>
    <xf numFmtId="168" fontId="29" fillId="4" borderId="19" xfId="0" applyNumberFormat="1" applyFont="1" applyFill="1" applyBorder="1" applyAlignment="1">
      <alignment horizontal="right"/>
    </xf>
    <xf numFmtId="0" fontId="29" fillId="4" borderId="21" xfId="0" applyFont="1" applyFill="1" applyBorder="1" applyAlignment="1">
      <alignment horizontal="left"/>
    </xf>
    <xf numFmtId="168" fontId="29" fillId="4" borderId="19" xfId="0" applyNumberFormat="1" applyFont="1" applyFill="1" applyBorder="1" applyAlignment="1"/>
    <xf numFmtId="0" fontId="29" fillId="4" borderId="21" xfId="0" applyFont="1" applyFill="1" applyBorder="1" applyAlignment="1"/>
    <xf numFmtId="182" fontId="0" fillId="4" borderId="6" xfId="0" applyNumberFormat="1" applyFill="1" applyBorder="1" applyAlignment="1">
      <alignment horizontal="center"/>
    </xf>
    <xf numFmtId="11" fontId="0" fillId="13" borderId="6" xfId="0" applyNumberFormat="1" applyFill="1" applyBorder="1"/>
    <xf numFmtId="0" fontId="0" fillId="4" borderId="19" xfId="0" applyFill="1" applyBorder="1" applyAlignment="1">
      <alignment horizontal="left"/>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4" fontId="0" fillId="6" borderId="9" xfId="0" applyNumberFormat="1" applyFill="1" applyBorder="1" applyAlignment="1">
      <alignment horizontal="center"/>
    </xf>
    <xf numFmtId="184"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1"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5"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2" fillId="4" borderId="28" xfId="0" applyFont="1" applyFill="1" applyBorder="1"/>
    <xf numFmtId="0" fontId="42" fillId="4" borderId="13" xfId="0" applyFont="1" applyFill="1" applyBorder="1"/>
    <xf numFmtId="0" fontId="43" fillId="4" borderId="13" xfId="0" applyFont="1" applyFill="1" applyBorder="1"/>
    <xf numFmtId="0" fontId="42" fillId="4" borderId="22" xfId="0" applyFont="1" applyFill="1" applyBorder="1"/>
    <xf numFmtId="0" fontId="35"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7"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6"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8"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1" fillId="5" borderId="26" xfId="0" applyFont="1" applyFill="1" applyBorder="1"/>
    <xf numFmtId="0" fontId="14" fillId="5" borderId="26" xfId="0" applyFont="1" applyFill="1" applyBorder="1"/>
    <xf numFmtId="0" fontId="41"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5" fontId="0" fillId="10" borderId="9" xfId="0" applyNumberFormat="1" applyFill="1" applyBorder="1" applyAlignment="1">
      <alignment horizontal="center"/>
    </xf>
    <xf numFmtId="186" fontId="25" fillId="5" borderId="9" xfId="0" applyNumberFormat="1" applyFont="1" applyFill="1" applyBorder="1" applyAlignment="1">
      <alignment horizontal="center"/>
    </xf>
    <xf numFmtId="176"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173" fontId="6" fillId="6" borderId="8" xfId="0" applyNumberFormat="1" applyFont="1" applyFill="1" applyBorder="1" applyAlignment="1">
      <alignment horizontal="center"/>
    </xf>
    <xf numFmtId="0" fontId="53" fillId="3" borderId="0" xfId="0" applyFont="1" applyFill="1" applyBorder="1" applyAlignment="1">
      <alignment horizontal="left"/>
    </xf>
    <xf numFmtId="0" fontId="1" fillId="3" borderId="0" xfId="0" applyFont="1" applyFill="1" applyBorder="1" applyAlignment="1">
      <alignment horizontal="center"/>
    </xf>
    <xf numFmtId="187"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5"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5" fillId="4" borderId="36" xfId="0" applyFont="1" applyFill="1" applyBorder="1" applyAlignment="1">
      <alignment horizontal="left"/>
    </xf>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3"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1" fillId="4" borderId="0" xfId="0" applyFont="1" applyFill="1"/>
    <xf numFmtId="0" fontId="17" fillId="3" borderId="13" xfId="0" applyFont="1" applyFill="1" applyBorder="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7"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40" fillId="12" borderId="4" xfId="0" applyFont="1" applyFill="1" applyBorder="1"/>
    <xf numFmtId="0" fontId="41" fillId="12" borderId="6" xfId="0" applyFont="1" applyFill="1" applyBorder="1"/>
    <xf numFmtId="0" fontId="41" fillId="12" borderId="5" xfId="0" applyFont="1" applyFill="1" applyBorder="1"/>
    <xf numFmtId="0" fontId="15" fillId="16" borderId="9" xfId="0" applyFont="1" applyFill="1" applyBorder="1" applyAlignment="1">
      <alignment horizontal="center"/>
    </xf>
    <xf numFmtId="0" fontId="1" fillId="8" borderId="0" xfId="0" applyFont="1" applyFill="1"/>
    <xf numFmtId="0" fontId="41"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1"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1" fillId="7" borderId="0" xfId="0" applyFont="1" applyFill="1"/>
    <xf numFmtId="0" fontId="6" fillId="4" borderId="0" xfId="0" applyFont="1" applyFill="1" applyBorder="1"/>
    <xf numFmtId="0" fontId="62" fillId="0" borderId="0" xfId="0" applyFont="1"/>
    <xf numFmtId="0" fontId="62"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5"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9" fontId="9" fillId="5" borderId="9" xfId="1" applyNumberFormat="1" applyFont="1" applyFill="1" applyBorder="1" applyAlignment="1">
      <alignment horizontal="center"/>
    </xf>
    <xf numFmtId="190" fontId="9" fillId="5" borderId="9" xfId="0" applyNumberFormat="1" applyFont="1" applyFill="1" applyBorder="1" applyAlignment="1">
      <alignment horizontal="center"/>
    </xf>
    <xf numFmtId="191"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92"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6" fillId="9" borderId="26" xfId="0" applyFont="1" applyFill="1" applyBorder="1" applyAlignment="1">
      <alignment horizontal="left"/>
    </xf>
    <xf numFmtId="2" fontId="0" fillId="11" borderId="0" xfId="0" applyNumberFormat="1" applyFill="1" applyAlignment="1">
      <alignment horizontal="center"/>
    </xf>
    <xf numFmtId="0" fontId="34"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4" fillId="11" borderId="36" xfId="0" applyFont="1" applyFill="1" applyBorder="1" applyAlignment="1">
      <alignment horizontal="center" wrapText="1"/>
    </xf>
    <xf numFmtId="0" fontId="34" fillId="11" borderId="7" xfId="0" applyFont="1" applyFill="1" applyBorder="1" applyAlignment="1">
      <alignment horizontal="center" wrapText="1"/>
    </xf>
    <xf numFmtId="193"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7"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8"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8"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8"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8" fillId="3" borderId="0" xfId="0" applyFont="1" applyFill="1" applyAlignment="1">
      <alignment horizontal="center"/>
    </xf>
    <xf numFmtId="0" fontId="61" fillId="3" borderId="0" xfId="0" applyFont="1" applyFill="1" applyAlignment="1">
      <alignment horizontal="centerContinuous"/>
    </xf>
    <xf numFmtId="0" fontId="70" fillId="3" borderId="0" xfId="3" applyFont="1" applyFill="1" applyBorder="1"/>
    <xf numFmtId="0" fontId="70" fillId="3" borderId="0" xfId="3" applyFont="1" applyFill="1" applyBorder="1" applyAlignment="1">
      <alignment horizontal="center"/>
    </xf>
    <xf numFmtId="0" fontId="69" fillId="3" borderId="0" xfId="3" applyFont="1" applyFill="1" applyBorder="1"/>
    <xf numFmtId="194" fontId="12" fillId="3" borderId="0" xfId="0" applyNumberFormat="1" applyFont="1" applyFill="1" applyBorder="1" applyAlignment="1">
      <alignment horizontal="center"/>
    </xf>
    <xf numFmtId="0" fontId="71" fillId="3" borderId="0" xfId="3" applyFont="1" applyFill="1" applyBorder="1" applyAlignment="1">
      <alignment wrapText="1"/>
    </xf>
    <xf numFmtId="168" fontId="9" fillId="3" borderId="0" xfId="0" applyNumberFormat="1" applyFont="1" applyFill="1" applyBorder="1" applyAlignment="1">
      <alignment horizontal="center"/>
    </xf>
    <xf numFmtId="0" fontId="69" fillId="3" borderId="0" xfId="3" applyFont="1" applyFill="1" applyBorder="1" applyAlignment="1"/>
    <xf numFmtId="0" fontId="70" fillId="3" borderId="0" xfId="3" applyFont="1" applyFill="1" applyBorder="1" applyAlignment="1"/>
    <xf numFmtId="0" fontId="0" fillId="19" borderId="25" xfId="0" applyFill="1" applyBorder="1"/>
    <xf numFmtId="194" fontId="0" fillId="3" borderId="0" xfId="0" applyNumberFormat="1" applyFill="1" applyBorder="1" applyAlignment="1">
      <alignment horizontal="center"/>
    </xf>
    <xf numFmtId="0" fontId="48"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91"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0" fontId="7" fillId="4" borderId="2" xfId="0" applyFont="1" applyFill="1" applyBorder="1" applyAlignment="1">
      <alignment horizontal="center"/>
    </xf>
    <xf numFmtId="0" fontId="5" fillId="4" borderId="3" xfId="0" applyFont="1" applyFill="1" applyBorder="1" applyAlignment="1">
      <alignment horizontal="center"/>
    </xf>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5"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2"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3" fillId="6" borderId="1" xfId="0" applyFont="1" applyFill="1" applyBorder="1" applyAlignment="1">
      <alignment horizontal="center"/>
    </xf>
    <xf numFmtId="0" fontId="17" fillId="6" borderId="8" xfId="0" applyFont="1" applyFill="1" applyBorder="1" applyAlignment="1">
      <alignment horizontal="center"/>
    </xf>
    <xf numFmtId="169" fontId="67" fillId="6" borderId="36" xfId="1" applyNumberFormat="1" applyFont="1" applyFill="1" applyBorder="1"/>
    <xf numFmtId="0" fontId="17" fillId="6" borderId="6" xfId="0" applyFont="1" applyFill="1" applyBorder="1" applyAlignment="1">
      <alignment horizontal="left"/>
    </xf>
    <xf numFmtId="188"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5"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1" fillId="3" borderId="0" xfId="0" applyFont="1" applyFill="1"/>
    <xf numFmtId="0" fontId="75" fillId="5" borderId="0" xfId="0" applyFont="1" applyFill="1" applyAlignment="1">
      <alignment horizontal="left"/>
    </xf>
    <xf numFmtId="0" fontId="75" fillId="5" borderId="0" xfId="0" applyFont="1" applyFill="1"/>
    <xf numFmtId="0" fontId="75"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6" fillId="8" borderId="9" xfId="0" applyFont="1" applyFill="1" applyBorder="1" applyAlignment="1">
      <alignment horizontal="center"/>
    </xf>
    <xf numFmtId="0" fontId="6" fillId="8" borderId="5" xfId="0" applyFont="1" applyFill="1" applyBorder="1" applyAlignment="1">
      <alignment horizontal="center"/>
    </xf>
    <xf numFmtId="0" fontId="76"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6" fillId="13" borderId="3" xfId="0" applyFont="1" applyFill="1" applyBorder="1" applyAlignment="1">
      <alignment horizontal="center"/>
    </xf>
    <xf numFmtId="0" fontId="8" fillId="3" borderId="0" xfId="0" applyFont="1" applyFill="1" applyAlignment="1">
      <alignment horizontal="center"/>
    </xf>
    <xf numFmtId="195" fontId="29" fillId="6" borderId="4" xfId="1" applyNumberFormat="1" applyFont="1" applyFill="1" applyBorder="1"/>
    <xf numFmtId="195" fontId="0" fillId="0" borderId="9" xfId="0" applyNumberFormat="1" applyFill="1" applyBorder="1" applyAlignment="1">
      <alignment horizontal="center" vertical="center"/>
    </xf>
    <xf numFmtId="0" fontId="34" fillId="4" borderId="36" xfId="0" applyFont="1" applyFill="1" applyBorder="1"/>
    <xf numFmtId="0" fontId="1" fillId="4" borderId="36" xfId="0" applyFont="1" applyFill="1" applyBorder="1"/>
    <xf numFmtId="168" fontId="9" fillId="5" borderId="7" xfId="0" applyNumberFormat="1" applyFont="1" applyFill="1" applyBorder="1"/>
    <xf numFmtId="0" fontId="41"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8" fillId="20" borderId="0" xfId="0" applyNumberFormat="1" applyFont="1" applyFill="1" applyAlignment="1">
      <alignment horizontal="center"/>
    </xf>
    <xf numFmtId="167" fontId="78"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0" fillId="10" borderId="15" xfId="0" applyFill="1" applyBorder="1"/>
    <xf numFmtId="0" fontId="25" fillId="5" borderId="1" xfId="0" applyFont="1" applyFill="1" applyBorder="1"/>
    <xf numFmtId="0" fontId="79" fillId="22" borderId="1" xfId="0" applyFont="1" applyFill="1" applyBorder="1" applyAlignment="1">
      <alignment horizontal="center"/>
    </xf>
    <xf numFmtId="0" fontId="80"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7"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4" fillId="5" borderId="4" xfId="0" applyFont="1" applyFill="1" applyBorder="1"/>
    <xf numFmtId="0" fontId="0" fillId="15" borderId="0" xfId="0" applyFont="1" applyFill="1" applyBorder="1"/>
    <xf numFmtId="0" fontId="0" fillId="11" borderId="0" xfId="0" applyFont="1" applyFill="1" applyBorder="1"/>
    <xf numFmtId="0" fontId="80"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1" fillId="25" borderId="0" xfId="0" applyFont="1" applyFill="1"/>
    <xf numFmtId="164" fontId="81" fillId="25" borderId="0" xfId="0" applyNumberFormat="1" applyFont="1" applyFill="1"/>
    <xf numFmtId="0" fontId="51" fillId="25" borderId="0" xfId="0" applyFont="1" applyFill="1"/>
    <xf numFmtId="0" fontId="52"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5"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6" xfId="0" applyFont="1" applyFill="1" applyBorder="1"/>
    <xf numFmtId="196"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82" fillId="11" borderId="0" xfId="0" applyFont="1" applyFill="1" applyBorder="1"/>
    <xf numFmtId="2" fontId="0" fillId="11" borderId="0" xfId="0" applyNumberFormat="1" applyFill="1" applyBorder="1" applyAlignment="1">
      <alignment horizontal="center"/>
    </xf>
    <xf numFmtId="0" fontId="82" fillId="11" borderId="18" xfId="0" applyFont="1" applyFill="1" applyBorder="1"/>
    <xf numFmtId="0" fontId="9" fillId="5" borderId="4" xfId="0" applyFont="1" applyFill="1" applyBorder="1" applyAlignment="1">
      <alignment horizontal="left"/>
    </xf>
    <xf numFmtId="0" fontId="9" fillId="11" borderId="0" xfId="0" applyFont="1" applyFill="1" applyBorder="1" applyAlignment="1">
      <alignment horizontal="left"/>
    </xf>
    <xf numFmtId="0" fontId="9" fillId="11" borderId="0" xfId="0" applyFont="1" applyFill="1" applyBorder="1" applyAlignment="1">
      <alignment horizontal="center"/>
    </xf>
    <xf numFmtId="0" fontId="83" fillId="11" borderId="16" xfId="0" applyFont="1" applyFill="1" applyBorder="1" applyAlignment="1">
      <alignment horizontal="right"/>
    </xf>
    <xf numFmtId="11" fontId="9" fillId="5" borderId="9" xfId="0" applyNumberFormat="1" applyFont="1" applyFill="1" applyBorder="1" applyAlignment="1">
      <alignment horizontal="center"/>
    </xf>
    <xf numFmtId="0" fontId="84" fillId="9" borderId="26" xfId="0" applyFont="1" applyFill="1" applyBorder="1" applyAlignment="1">
      <alignment horizontal="left"/>
    </xf>
    <xf numFmtId="0" fontId="0" fillId="11" borderId="25" xfId="0" applyFill="1" applyBorder="1" applyAlignment="1">
      <alignment horizontal="center"/>
    </xf>
    <xf numFmtId="0" fontId="0" fillId="11" borderId="26" xfId="0" applyFill="1" applyBorder="1"/>
    <xf numFmtId="0" fontId="0" fillId="11" borderId="26" xfId="0" applyFill="1" applyBorder="1" applyAlignment="1">
      <alignment horizontal="right"/>
    </xf>
    <xf numFmtId="9" fontId="9" fillId="11" borderId="26" xfId="4" applyFont="1" applyFill="1" applyBorder="1" applyAlignment="1">
      <alignment horizontal="center"/>
    </xf>
    <xf numFmtId="0" fontId="0" fillId="11" borderId="27" xfId="0" applyFill="1" applyBorder="1"/>
    <xf numFmtId="0" fontId="9" fillId="5" borderId="26" xfId="0" applyFont="1" applyFill="1" applyBorder="1" applyAlignment="1">
      <alignment horizontal="center"/>
    </xf>
    <xf numFmtId="168" fontId="9" fillId="5" borderId="26" xfId="0" applyNumberFormat="1" applyFont="1" applyFill="1" applyBorder="1" applyAlignment="1">
      <alignment horizontal="center"/>
    </xf>
    <xf numFmtId="168" fontId="9" fillId="5" borderId="26" xfId="0" applyNumberFormat="1" applyFont="1" applyFill="1" applyBorder="1" applyAlignment="1">
      <alignment horizontal="right"/>
    </xf>
    <xf numFmtId="0" fontId="0" fillId="11" borderId="25" xfId="0" applyFill="1" applyBorder="1" applyAlignment="1">
      <alignment horizontal="center"/>
    </xf>
    <xf numFmtId="0" fontId="0" fillId="11" borderId="26" xfId="0" applyFill="1" applyBorder="1"/>
    <xf numFmtId="0" fontId="9" fillId="11" borderId="26" xfId="0" applyFont="1" applyFill="1" applyBorder="1"/>
    <xf numFmtId="0" fontId="0" fillId="11" borderId="26" xfId="0" applyFill="1" applyBorder="1" applyAlignment="1">
      <alignment horizontal="right"/>
    </xf>
    <xf numFmtId="172" fontId="9" fillId="11" borderId="26" xfId="0" applyNumberFormat="1" applyFont="1" applyFill="1" applyBorder="1" applyAlignment="1">
      <alignment horizontal="center"/>
    </xf>
    <xf numFmtId="9" fontId="9" fillId="11" borderId="26" xfId="4" applyFont="1" applyFill="1" applyBorder="1" applyAlignment="1">
      <alignment horizontal="center"/>
    </xf>
    <xf numFmtId="168" fontId="9" fillId="6" borderId="26" xfId="0" applyNumberFormat="1" applyFont="1" applyFill="1" applyBorder="1" applyAlignment="1">
      <alignment horizontal="center"/>
    </xf>
    <xf numFmtId="168" fontId="9" fillId="6" borderId="26" xfId="0" applyNumberFormat="1" applyFont="1" applyFill="1" applyBorder="1" applyAlignment="1">
      <alignment horizontal="right"/>
    </xf>
    <xf numFmtId="0" fontId="0" fillId="11" borderId="27" xfId="0" applyFill="1" applyBorder="1"/>
    <xf numFmtId="0" fontId="9" fillId="11" borderId="26" xfId="0" applyFont="1" applyFill="1" applyBorder="1" applyAlignment="1">
      <alignment horizontal="right"/>
    </xf>
    <xf numFmtId="0" fontId="9" fillId="5" borderId="26" xfId="0" applyFont="1" applyFill="1" applyBorder="1" applyAlignment="1">
      <alignment horizontal="center"/>
    </xf>
    <xf numFmtId="0" fontId="0" fillId="11" borderId="26" xfId="0" applyFill="1" applyBorder="1" applyAlignment="1">
      <alignment horizontal="left"/>
    </xf>
    <xf numFmtId="0" fontId="83" fillId="3" borderId="0" xfId="0" applyFont="1" applyFill="1" applyBorder="1" applyAlignment="1">
      <alignment horizontal="left" vertical="top" wrapText="1"/>
    </xf>
    <xf numFmtId="0" fontId="0" fillId="15" borderId="0" xfId="0" applyFill="1" applyBorder="1" applyAlignment="1">
      <alignment horizontal="left"/>
    </xf>
    <xf numFmtId="0" fontId="82" fillId="15" borderId="0" xfId="0" applyFont="1" applyFill="1" applyBorder="1"/>
    <xf numFmtId="0" fontId="82" fillId="15" borderId="0" xfId="0" applyFont="1" applyFill="1" applyBorder="1" applyAlignment="1">
      <alignment horizontal="center"/>
    </xf>
    <xf numFmtId="173" fontId="9" fillId="15" borderId="0" xfId="0" applyNumberFormat="1" applyFont="1" applyFill="1" applyBorder="1" applyAlignment="1">
      <alignment horizontal="center"/>
    </xf>
    <xf numFmtId="2" fontId="0" fillId="15" borderId="0" xfId="0" applyNumberFormat="1" applyFill="1" applyBorder="1" applyAlignment="1">
      <alignment horizontal="center"/>
    </xf>
    <xf numFmtId="0" fontId="9" fillId="15" borderId="0" xfId="0" applyFont="1" applyFill="1" applyBorder="1"/>
    <xf numFmtId="0" fontId="9" fillId="15" borderId="0" xfId="0" applyFont="1" applyFill="1" applyBorder="1" applyAlignment="1">
      <alignment horizontal="center"/>
    </xf>
    <xf numFmtId="0" fontId="83" fillId="15" borderId="16" xfId="0" applyFont="1" applyFill="1" applyBorder="1" applyAlignment="1">
      <alignment horizontal="right"/>
    </xf>
    <xf numFmtId="2" fontId="9" fillId="5" borderId="9" xfId="0" applyNumberFormat="1" applyFont="1" applyFill="1" applyBorder="1"/>
    <xf numFmtId="168" fontId="1" fillId="10" borderId="9" xfId="0" applyNumberFormat="1" applyFont="1" applyFill="1" applyBorder="1" applyAlignment="1">
      <alignment horizontal="center"/>
    </xf>
    <xf numFmtId="0" fontId="0" fillId="15" borderId="0" xfId="0" applyFill="1" applyBorder="1" applyAlignment="1"/>
    <xf numFmtId="2" fontId="1" fillId="15" borderId="0"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 fontId="9" fillId="5" borderId="9" xfId="0" applyNumberFormat="1" applyFont="1" applyFill="1" applyBorder="1"/>
    <xf numFmtId="0" fontId="6" fillId="0" borderId="49" xfId="0" applyFont="1" applyBorder="1"/>
    <xf numFmtId="0" fontId="0" fillId="0" borderId="50" xfId="0" applyBorder="1"/>
    <xf numFmtId="0" fontId="0" fillId="0" borderId="51" xfId="0" applyBorder="1"/>
    <xf numFmtId="0" fontId="0" fillId="0" borderId="52" xfId="0" applyBorder="1"/>
    <xf numFmtId="0" fontId="0" fillId="0" borderId="53" xfId="0" applyBorder="1"/>
    <xf numFmtId="0" fontId="85" fillId="0" borderId="54" xfId="0" applyFont="1" applyBorder="1" applyAlignment="1">
      <alignment horizontal="center"/>
    </xf>
    <xf numFmtId="0" fontId="85" fillId="0" borderId="34" xfId="0" applyFont="1" applyBorder="1" applyAlignment="1"/>
    <xf numFmtId="0" fontId="85" fillId="0" borderId="35" xfId="0" applyFont="1" applyBorder="1" applyAlignment="1"/>
    <xf numFmtId="0" fontId="85" fillId="0" borderId="55" xfId="0" applyFont="1" applyBorder="1" applyAlignment="1">
      <alignment horizontal="center"/>
    </xf>
    <xf numFmtId="0" fontId="85" fillId="0" borderId="56" xfId="0" applyFont="1" applyFill="1" applyBorder="1" applyAlignment="1">
      <alignment horizontal="center"/>
    </xf>
    <xf numFmtId="0" fontId="0" fillId="0" borderId="57" xfId="0" applyBorder="1" applyAlignment="1">
      <alignment horizontal="center"/>
    </xf>
    <xf numFmtId="0" fontId="0" fillId="28" borderId="58" xfId="0" applyFill="1" applyBorder="1" applyAlignment="1"/>
    <xf numFmtId="0" fontId="0" fillId="28" borderId="43" xfId="0" applyFill="1" applyBorder="1" applyAlignment="1"/>
    <xf numFmtId="2" fontId="0" fillId="28" borderId="11" xfId="0" applyNumberFormat="1" applyFill="1" applyBorder="1" applyAlignment="1">
      <alignment horizontal="center"/>
    </xf>
    <xf numFmtId="2" fontId="0" fillId="0" borderId="11" xfId="0" applyNumberFormat="1" applyBorder="1" applyAlignment="1">
      <alignment horizontal="center"/>
    </xf>
    <xf numFmtId="167" fontId="0" fillId="29" borderId="11" xfId="0" applyNumberFormat="1" applyFill="1" applyBorder="1" applyAlignment="1">
      <alignment horizontal="center"/>
    </xf>
    <xf numFmtId="167" fontId="0" fillId="30" borderId="11" xfId="0" applyNumberFormat="1" applyFill="1" applyBorder="1" applyAlignment="1">
      <alignment horizontal="center"/>
    </xf>
    <xf numFmtId="2" fontId="0" fillId="29" borderId="11" xfId="0" applyNumberFormat="1" applyFill="1" applyBorder="1" applyAlignment="1">
      <alignment horizontal="center"/>
    </xf>
    <xf numFmtId="167" fontId="0" fillId="30" borderId="59" xfId="0" applyNumberFormat="1" applyFill="1" applyBorder="1" applyAlignment="1">
      <alignment horizontal="center"/>
    </xf>
    <xf numFmtId="0" fontId="0" fillId="28" borderId="17" xfId="0" applyFill="1" applyBorder="1" applyAlignment="1"/>
    <xf numFmtId="0" fontId="0" fillId="28" borderId="18" xfId="0" applyFill="1" applyBorder="1" applyAlignment="1"/>
    <xf numFmtId="167" fontId="0" fillId="29" borderId="59" xfId="0" applyNumberFormat="1" applyFill="1" applyBorder="1" applyAlignment="1">
      <alignment horizontal="center"/>
    </xf>
    <xf numFmtId="0" fontId="0" fillId="0" borderId="54" xfId="0" applyBorder="1" applyAlignment="1">
      <alignment horizontal="center"/>
    </xf>
    <xf numFmtId="0" fontId="0" fillId="28" borderId="34" xfId="0" applyFill="1" applyBorder="1" applyAlignment="1"/>
    <xf numFmtId="0" fontId="0" fillId="28" borderId="35" xfId="0" applyFill="1" applyBorder="1" applyAlignment="1"/>
    <xf numFmtId="2" fontId="0" fillId="28" borderId="55" xfId="0" applyNumberFormat="1" applyFill="1" applyBorder="1" applyAlignment="1">
      <alignment horizontal="center"/>
    </xf>
    <xf numFmtId="2" fontId="0" fillId="0" borderId="55" xfId="0" applyNumberFormat="1" applyBorder="1" applyAlignment="1">
      <alignment horizontal="center"/>
    </xf>
    <xf numFmtId="167" fontId="0" fillId="29" borderId="55" xfId="0" applyNumberFormat="1" applyFill="1" applyBorder="1" applyAlignment="1">
      <alignment horizontal="center"/>
    </xf>
    <xf numFmtId="2" fontId="0" fillId="29" borderId="55" xfId="0" applyNumberFormat="1" applyFill="1" applyBorder="1" applyAlignment="1">
      <alignment horizontal="center"/>
    </xf>
    <xf numFmtId="167" fontId="0" fillId="29" borderId="56" xfId="0" applyNumberFormat="1" applyFill="1" applyBorder="1" applyAlignment="1">
      <alignment horizontal="center"/>
    </xf>
    <xf numFmtId="0" fontId="0" fillId="0" borderId="52" xfId="0" applyBorder="1" applyAlignment="1">
      <alignment horizontal="center"/>
    </xf>
    <xf numFmtId="0" fontId="0" fillId="0" borderId="0" xfId="0" applyBorder="1" applyAlignment="1"/>
    <xf numFmtId="0" fontId="0" fillId="0" borderId="53" xfId="0" applyBorder="1" applyAlignment="1">
      <alignment horizontal="center"/>
    </xf>
    <xf numFmtId="0" fontId="0" fillId="0" borderId="60" xfId="0" applyBorder="1" applyAlignment="1">
      <alignment horizontal="center"/>
    </xf>
    <xf numFmtId="0" fontId="0" fillId="0" borderId="61" xfId="0" applyBorder="1" applyAlignment="1"/>
    <xf numFmtId="0" fontId="0" fillId="0" borderId="61" xfId="0" applyBorder="1"/>
    <xf numFmtId="0" fontId="0" fillId="0" borderId="61" xfId="0" applyBorder="1" applyAlignment="1">
      <alignment horizontal="center"/>
    </xf>
    <xf numFmtId="0" fontId="85" fillId="29" borderId="62" xfId="0" applyFont="1" applyFill="1" applyBorder="1" applyAlignment="1">
      <alignment horizontal="right"/>
    </xf>
    <xf numFmtId="1" fontId="85" fillId="29" borderId="62" xfId="0" applyNumberFormat="1" applyFont="1" applyFill="1" applyBorder="1" applyAlignment="1">
      <alignment horizontal="center"/>
    </xf>
    <xf numFmtId="2" fontId="0" fillId="0" borderId="61" xfId="0" applyNumberFormat="1" applyBorder="1" applyAlignment="1">
      <alignment horizontal="center"/>
    </xf>
    <xf numFmtId="2" fontId="0" fillId="0" borderId="63" xfId="0" applyNumberFormat="1" applyBorder="1" applyAlignment="1">
      <alignment horizontal="center"/>
    </xf>
    <xf numFmtId="0" fontId="9" fillId="11" borderId="0" xfId="0" applyFont="1" applyFill="1" applyBorder="1"/>
    <xf numFmtId="168" fontId="82" fillId="10" borderId="9" xfId="0" applyNumberFormat="1" applyFont="1" applyFill="1" applyBorder="1" applyAlignment="1">
      <alignment horizontal="center"/>
    </xf>
    <xf numFmtId="2" fontId="82" fillId="11" borderId="0" xfId="0" applyNumberFormat="1" applyFont="1" applyFill="1" applyBorder="1"/>
    <xf numFmtId="2" fontId="16" fillId="6" borderId="9" xfId="0" applyNumberFormat="1" applyFont="1" applyFill="1" applyBorder="1" applyAlignment="1">
      <alignment horizontal="center"/>
    </xf>
    <xf numFmtId="168" fontId="9" fillId="11" borderId="0" xfId="0" applyNumberFormat="1" applyFont="1" applyFill="1" applyBorder="1"/>
    <xf numFmtId="166" fontId="9" fillId="5" borderId="9" xfId="0" applyNumberFormat="1" applyFont="1" applyFill="1" applyBorder="1"/>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83" fillId="3" borderId="28" xfId="0" applyFont="1" applyFill="1" applyBorder="1" applyAlignment="1">
      <alignment horizontal="left" vertical="top" wrapText="1"/>
    </xf>
    <xf numFmtId="0" fontId="83" fillId="3" borderId="13" xfId="0" applyFont="1" applyFill="1" applyBorder="1" applyAlignment="1">
      <alignment horizontal="left" vertical="top" wrapText="1"/>
    </xf>
    <xf numFmtId="0" fontId="83" fillId="3" borderId="22" xfId="0" applyFont="1" applyFill="1" applyBorder="1" applyAlignment="1">
      <alignment horizontal="left" vertical="top" wrapText="1"/>
    </xf>
    <xf numFmtId="0" fontId="83" fillId="3" borderId="23" xfId="0" applyFont="1" applyFill="1" applyBorder="1" applyAlignment="1">
      <alignment horizontal="left" vertical="top" wrapText="1"/>
    </xf>
    <xf numFmtId="0" fontId="83" fillId="3" borderId="0" xfId="0" applyFont="1" applyFill="1" applyBorder="1" applyAlignment="1">
      <alignment horizontal="left" vertical="top" wrapText="1"/>
    </xf>
    <xf numFmtId="0" fontId="83" fillId="3" borderId="24" xfId="0" applyFont="1" applyFill="1" applyBorder="1" applyAlignment="1">
      <alignment horizontal="left" vertical="top" wrapText="1"/>
    </xf>
    <xf numFmtId="0" fontId="83" fillId="3" borderId="25" xfId="0" applyFont="1" applyFill="1" applyBorder="1" applyAlignment="1">
      <alignment horizontal="left" vertical="top" wrapText="1"/>
    </xf>
    <xf numFmtId="0" fontId="83" fillId="3" borderId="26" xfId="0" applyFont="1" applyFill="1" applyBorder="1" applyAlignment="1">
      <alignment horizontal="left" vertical="top" wrapText="1"/>
    </xf>
    <xf numFmtId="0" fontId="83" fillId="3" borderId="27" xfId="0" applyFont="1" applyFill="1" applyBorder="1" applyAlignment="1">
      <alignment horizontal="left" vertical="top" wrapText="1"/>
    </xf>
    <xf numFmtId="0" fontId="0" fillId="15" borderId="18" xfId="0" applyFill="1" applyBorder="1" applyAlignment="1">
      <alignment horizontal="right"/>
    </xf>
    <xf numFmtId="0" fontId="0" fillId="15" borderId="18" xfId="0" applyFill="1" applyBorder="1" applyAlignment="1">
      <alignment horizontal="center"/>
    </xf>
  </cellXfs>
  <cellStyles count="5">
    <cellStyle name="Comma" xfId="1" builtinId="3"/>
    <cellStyle name="Hyperlink" xfId="2" builtinId="8"/>
    <cellStyle name="Normal" xfId="0" builtinId="0"/>
    <cellStyle name="Normal_Orbital Parameters" xfId="3" xr:uid="{00000000-0005-0000-0000-000003000000}"/>
    <cellStyle name="Percent" xfId="4" builtinId="5"/>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B157-478B-877D-727BD5F9A95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B157-478B-877D-727BD5F9A95D}"/>
            </c:ext>
          </c:extLst>
        </c:ser>
        <c:dLbls>
          <c:showLegendKey val="0"/>
          <c:showVal val="0"/>
          <c:showCatName val="0"/>
          <c:showSerName val="0"/>
          <c:showPercent val="0"/>
          <c:showBubbleSize val="0"/>
        </c:dLbls>
        <c:axId val="498151488"/>
        <c:axId val="1"/>
      </c:scatterChart>
      <c:valAx>
        <c:axId val="498151488"/>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498151488"/>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4CEA-4765-AC18-05437B9D8CD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4CEA-4765-AC18-05437B9D8CD2}"/>
            </c:ext>
          </c:extLst>
        </c:ser>
        <c:dLbls>
          <c:showLegendKey val="0"/>
          <c:showVal val="0"/>
          <c:showCatName val="0"/>
          <c:showSerName val="0"/>
          <c:showPercent val="0"/>
          <c:showBubbleSize val="0"/>
        </c:dLbls>
        <c:axId val="498652208"/>
        <c:axId val="1"/>
      </c:radarChart>
      <c:catAx>
        <c:axId val="49865220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9865220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54D4-4E76-9BB2-BBD3B5BE0CBA}"/>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54D4-4E76-9BB2-BBD3B5BE0CBA}"/>
            </c:ext>
          </c:extLst>
        </c:ser>
        <c:dLbls>
          <c:showLegendKey val="0"/>
          <c:showVal val="0"/>
          <c:showCatName val="0"/>
          <c:showSerName val="0"/>
          <c:showPercent val="0"/>
          <c:showBubbleSize val="0"/>
        </c:dLbls>
        <c:axId val="498654208"/>
        <c:axId val="1"/>
      </c:radarChart>
      <c:catAx>
        <c:axId val="49865420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9865420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1FE4-48C8-B651-7B32350797A9}"/>
            </c:ext>
          </c:extLst>
        </c:ser>
        <c:dLbls>
          <c:showLegendKey val="0"/>
          <c:showVal val="0"/>
          <c:showCatName val="0"/>
          <c:showSerName val="0"/>
          <c:showPercent val="0"/>
          <c:showBubbleSize val="0"/>
        </c:dLbls>
        <c:axId val="498663408"/>
        <c:axId val="1"/>
      </c:radarChart>
      <c:catAx>
        <c:axId val="49866340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49866340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6E75-4BCD-AA39-47334C0E1A58}"/>
            </c:ext>
          </c:extLst>
        </c:ser>
        <c:dLbls>
          <c:showLegendKey val="0"/>
          <c:showVal val="0"/>
          <c:showCatName val="0"/>
          <c:showSerName val="0"/>
          <c:showPercent val="0"/>
          <c:showBubbleSize val="0"/>
        </c:dLbls>
        <c:axId val="498151904"/>
        <c:axId val="1"/>
      </c:scatterChart>
      <c:valAx>
        <c:axId val="498151904"/>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498151904"/>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FB0FC72A-2A76-4193-B49A-5F5797AC1B68}"/>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657ACCC3-818D-4804-A220-F7A07BEF0224}"/>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37738F3B-B730-43B2-B9AD-AEC3EB4B1093}"/>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494D087-F5B2-4748-A72E-2284F4C3B863}"/>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7161688A-9CC9-43D6-A6BF-A07A6F46741F}"/>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44118303-7B85-408C-8000-8A361E74792D}"/>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9A20845-3706-4247-8B1D-B432D5C31165}"/>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AF98E0FA-9BCE-4C64-ACFB-E9A09F192B07}"/>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9F923C92-2AB2-404C-88FF-C75D09DE701F}"/>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56B172FF-4147-4909-BE52-090057269009}"/>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97B123C3-6FE2-41FF-A6C4-54B6DF285F62}"/>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B197F672-CBA3-4B3D-A77E-4781B8A93149}"/>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6303BE9C-81CF-45CE-ABC0-A14CE7A35722}"/>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EE81A10-FB30-420D-8659-5E39EB1B0494}"/>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10A27B4C-362B-4300-A415-E27E0603C5D3}"/>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26052557-0349-4EB0-A8B8-50F65BB2C893}"/>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28</xdr:row>
      <xdr:rowOff>50800</xdr:rowOff>
    </xdr:from>
    <xdr:to>
      <xdr:col>4</xdr:col>
      <xdr:colOff>1047750</xdr:colOff>
      <xdr:row>28</xdr:row>
      <xdr:rowOff>50800</xdr:rowOff>
    </xdr:to>
    <xdr:sp macro="" textlink="">
      <xdr:nvSpPr>
        <xdr:cNvPr id="546915" name="Line 7">
          <a:extLst>
            <a:ext uri="{FF2B5EF4-FFF2-40B4-BE49-F238E27FC236}">
              <a16:creationId xmlns:a16="http://schemas.microsoft.com/office/drawing/2014/main" id="{C46B5D75-FE28-4B2C-9D20-8CC31260DCFC}"/>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28</xdr:row>
      <xdr:rowOff>50800</xdr:rowOff>
    </xdr:from>
    <xdr:to>
      <xdr:col>4</xdr:col>
      <xdr:colOff>1054100</xdr:colOff>
      <xdr:row>28</xdr:row>
      <xdr:rowOff>152400</xdr:rowOff>
    </xdr:to>
    <xdr:sp macro="" textlink="">
      <xdr:nvSpPr>
        <xdr:cNvPr id="546916" name="Line 8">
          <a:extLst>
            <a:ext uri="{FF2B5EF4-FFF2-40B4-BE49-F238E27FC236}">
              <a16:creationId xmlns:a16="http://schemas.microsoft.com/office/drawing/2014/main" id="{B5536B4A-40EE-4771-BD43-0435FCDE798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28</xdr:row>
      <xdr:rowOff>63500</xdr:rowOff>
    </xdr:from>
    <xdr:to>
      <xdr:col>5</xdr:col>
      <xdr:colOff>1060450</xdr:colOff>
      <xdr:row>28</xdr:row>
      <xdr:rowOff>63500</xdr:rowOff>
    </xdr:to>
    <xdr:sp macro="" textlink="">
      <xdr:nvSpPr>
        <xdr:cNvPr id="546917" name="Line 9">
          <a:extLst>
            <a:ext uri="{FF2B5EF4-FFF2-40B4-BE49-F238E27FC236}">
              <a16:creationId xmlns:a16="http://schemas.microsoft.com/office/drawing/2014/main" id="{4DDD24B5-8E9C-4EC6-BB6E-A1FD40079060}"/>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28</xdr:row>
      <xdr:rowOff>63500</xdr:rowOff>
    </xdr:from>
    <xdr:to>
      <xdr:col>5</xdr:col>
      <xdr:colOff>1073150</xdr:colOff>
      <xdr:row>28</xdr:row>
      <xdr:rowOff>152400</xdr:rowOff>
    </xdr:to>
    <xdr:sp macro="" textlink="">
      <xdr:nvSpPr>
        <xdr:cNvPr id="546918" name="Line 10">
          <a:extLst>
            <a:ext uri="{FF2B5EF4-FFF2-40B4-BE49-F238E27FC236}">
              <a16:creationId xmlns:a16="http://schemas.microsoft.com/office/drawing/2014/main" id="{DEBFA005-0F31-4661-8C60-2D7FA124B034}"/>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28</xdr:row>
      <xdr:rowOff>63500</xdr:rowOff>
    </xdr:from>
    <xdr:to>
      <xdr:col>7</xdr:col>
      <xdr:colOff>292100</xdr:colOff>
      <xdr:row>28</xdr:row>
      <xdr:rowOff>63500</xdr:rowOff>
    </xdr:to>
    <xdr:sp macro="" textlink="">
      <xdr:nvSpPr>
        <xdr:cNvPr id="546919" name="Line 11">
          <a:extLst>
            <a:ext uri="{FF2B5EF4-FFF2-40B4-BE49-F238E27FC236}">
              <a16:creationId xmlns:a16="http://schemas.microsoft.com/office/drawing/2014/main" id="{BE98A8A0-490B-4334-9CEC-52323C45F4FB}"/>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28</xdr:row>
      <xdr:rowOff>63500</xdr:rowOff>
    </xdr:from>
    <xdr:to>
      <xdr:col>7</xdr:col>
      <xdr:colOff>304800</xdr:colOff>
      <xdr:row>29</xdr:row>
      <xdr:rowOff>0</xdr:rowOff>
    </xdr:to>
    <xdr:sp macro="" textlink="">
      <xdr:nvSpPr>
        <xdr:cNvPr id="546920" name="Line 12">
          <a:extLst>
            <a:ext uri="{FF2B5EF4-FFF2-40B4-BE49-F238E27FC236}">
              <a16:creationId xmlns:a16="http://schemas.microsoft.com/office/drawing/2014/main" id="{B8D9DCA5-6698-4EF5-B8FC-134FD5EA9CCB}"/>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51</xdr:row>
      <xdr:rowOff>88900</xdr:rowOff>
    </xdr:from>
    <xdr:to>
      <xdr:col>4</xdr:col>
      <xdr:colOff>685800</xdr:colOff>
      <xdr:row>51</xdr:row>
      <xdr:rowOff>88900</xdr:rowOff>
    </xdr:to>
    <xdr:sp macro="" textlink="">
      <xdr:nvSpPr>
        <xdr:cNvPr id="546921" name="Line 13">
          <a:extLst>
            <a:ext uri="{FF2B5EF4-FFF2-40B4-BE49-F238E27FC236}">
              <a16:creationId xmlns:a16="http://schemas.microsoft.com/office/drawing/2014/main" id="{F48EDF02-44AF-4714-BA1B-999605FA00A2}"/>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51</xdr:row>
      <xdr:rowOff>88900</xdr:rowOff>
    </xdr:from>
    <xdr:to>
      <xdr:col>4</xdr:col>
      <xdr:colOff>698500</xdr:colOff>
      <xdr:row>52</xdr:row>
      <xdr:rowOff>12700</xdr:rowOff>
    </xdr:to>
    <xdr:sp macro="" textlink="">
      <xdr:nvSpPr>
        <xdr:cNvPr id="546922" name="Line 14">
          <a:extLst>
            <a:ext uri="{FF2B5EF4-FFF2-40B4-BE49-F238E27FC236}">
              <a16:creationId xmlns:a16="http://schemas.microsoft.com/office/drawing/2014/main" id="{09C48248-5025-43D7-9545-4CEE902FBC86}"/>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23</xdr:row>
      <xdr:rowOff>88900</xdr:rowOff>
    </xdr:from>
    <xdr:to>
      <xdr:col>4</xdr:col>
      <xdr:colOff>685800</xdr:colOff>
      <xdr:row>23</xdr:row>
      <xdr:rowOff>88900</xdr:rowOff>
    </xdr:to>
    <xdr:sp macro="" textlink="">
      <xdr:nvSpPr>
        <xdr:cNvPr id="546923" name="Line 15">
          <a:extLst>
            <a:ext uri="{FF2B5EF4-FFF2-40B4-BE49-F238E27FC236}">
              <a16:creationId xmlns:a16="http://schemas.microsoft.com/office/drawing/2014/main" id="{0D037DB4-5A12-43DD-9BCF-3BC39A17E139}"/>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23</xdr:row>
      <xdr:rowOff>88900</xdr:rowOff>
    </xdr:from>
    <xdr:to>
      <xdr:col>4</xdr:col>
      <xdr:colOff>698500</xdr:colOff>
      <xdr:row>24</xdr:row>
      <xdr:rowOff>0</xdr:rowOff>
    </xdr:to>
    <xdr:sp macro="" textlink="">
      <xdr:nvSpPr>
        <xdr:cNvPr id="546924" name="Line 16">
          <a:extLst>
            <a:ext uri="{FF2B5EF4-FFF2-40B4-BE49-F238E27FC236}">
              <a16:creationId xmlns:a16="http://schemas.microsoft.com/office/drawing/2014/main" id="{2D6A8C86-709A-4541-B338-9733A10CF46E}"/>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25</xdr:row>
      <xdr:rowOff>152400</xdr:rowOff>
    </xdr:from>
    <xdr:to>
      <xdr:col>2</xdr:col>
      <xdr:colOff>1130300</xdr:colOff>
      <xdr:row>27</xdr:row>
      <xdr:rowOff>0</xdr:rowOff>
    </xdr:to>
    <xdr:sp macro="" textlink="">
      <xdr:nvSpPr>
        <xdr:cNvPr id="546925" name="Line 17">
          <a:extLst>
            <a:ext uri="{FF2B5EF4-FFF2-40B4-BE49-F238E27FC236}">
              <a16:creationId xmlns:a16="http://schemas.microsoft.com/office/drawing/2014/main" id="{3A0B3499-A492-4265-B32E-1C6898BF2BF0}"/>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25</xdr:row>
      <xdr:rowOff>152400</xdr:rowOff>
    </xdr:from>
    <xdr:to>
      <xdr:col>4</xdr:col>
      <xdr:colOff>1200150</xdr:colOff>
      <xdr:row>27</xdr:row>
      <xdr:rowOff>0</xdr:rowOff>
    </xdr:to>
    <xdr:sp macro="" textlink="">
      <xdr:nvSpPr>
        <xdr:cNvPr id="546926" name="Line 18">
          <a:extLst>
            <a:ext uri="{FF2B5EF4-FFF2-40B4-BE49-F238E27FC236}">
              <a16:creationId xmlns:a16="http://schemas.microsoft.com/office/drawing/2014/main" id="{238D671B-3974-4C89-878B-0A8EE3768956}"/>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55</xdr:row>
      <xdr:rowOff>146050</xdr:rowOff>
    </xdr:from>
    <xdr:to>
      <xdr:col>5</xdr:col>
      <xdr:colOff>1339850</xdr:colOff>
      <xdr:row>89</xdr:row>
      <xdr:rowOff>107950</xdr:rowOff>
    </xdr:to>
    <xdr:pic>
      <xdr:nvPicPr>
        <xdr:cNvPr id="546927" name="Picture 24" descr="SAVE0051">
          <a:extLst>
            <a:ext uri="{FF2B5EF4-FFF2-40B4-BE49-F238E27FC236}">
              <a16:creationId xmlns:a16="http://schemas.microsoft.com/office/drawing/2014/main" id="{C1633AA5-0069-48E4-B553-92FFF37C7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58</xdr:row>
      <xdr:rowOff>63500</xdr:rowOff>
    </xdr:from>
    <xdr:to>
      <xdr:col>5</xdr:col>
      <xdr:colOff>711200</xdr:colOff>
      <xdr:row>87</xdr:row>
      <xdr:rowOff>63500</xdr:rowOff>
    </xdr:to>
    <xdr:sp macro="" textlink="">
      <xdr:nvSpPr>
        <xdr:cNvPr id="546928" name="Rectangle 25">
          <a:extLst>
            <a:ext uri="{FF2B5EF4-FFF2-40B4-BE49-F238E27FC236}">
              <a16:creationId xmlns:a16="http://schemas.microsoft.com/office/drawing/2014/main" id="{2FB16224-E458-4376-A3D4-362DFECB214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91</xdr:row>
      <xdr:rowOff>0</xdr:rowOff>
    </xdr:from>
    <xdr:to>
      <xdr:col>3</xdr:col>
      <xdr:colOff>1758950</xdr:colOff>
      <xdr:row>92</xdr:row>
      <xdr:rowOff>38100</xdr:rowOff>
    </xdr:to>
    <xdr:sp macro="" textlink="">
      <xdr:nvSpPr>
        <xdr:cNvPr id="546929" name="Text Box 26">
          <a:extLst>
            <a:ext uri="{FF2B5EF4-FFF2-40B4-BE49-F238E27FC236}">
              <a16:creationId xmlns:a16="http://schemas.microsoft.com/office/drawing/2014/main" id="{32BED989-C811-47B6-9C6E-A198970214E3}"/>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88</xdr:row>
      <xdr:rowOff>88900</xdr:rowOff>
    </xdr:from>
    <xdr:ext cx="726033" cy="243143"/>
    <xdr:sp macro="" textlink="">
      <xdr:nvSpPr>
        <xdr:cNvPr id="5147" name="Text Box 27">
          <a:extLst>
            <a:ext uri="{FF2B5EF4-FFF2-40B4-BE49-F238E27FC236}">
              <a16:creationId xmlns:a16="http://schemas.microsoft.com/office/drawing/2014/main" id="{19080420-DAA6-4A20-80A2-00EA20DFAFCC}"/>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EF1A881F-7EA9-47FE-9957-84025C9D0AB6}"/>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10C99DC-158A-4AAA-9DA6-4E52FA49F7FF}"/>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25400</xdr:colOff>
      <xdr:row>11</xdr:row>
      <xdr:rowOff>0</xdr:rowOff>
    </xdr:from>
    <xdr:to>
      <xdr:col>4</xdr:col>
      <xdr:colOff>0</xdr:colOff>
      <xdr:row>15</xdr:row>
      <xdr:rowOff>0</xdr:rowOff>
    </xdr:to>
    <xdr:sp macro="" textlink="">
      <xdr:nvSpPr>
        <xdr:cNvPr id="554249" name="Rectangle 1">
          <a:extLst>
            <a:ext uri="{FF2B5EF4-FFF2-40B4-BE49-F238E27FC236}">
              <a16:creationId xmlns:a16="http://schemas.microsoft.com/office/drawing/2014/main" id="{418CD76C-1B26-41F2-905D-2C2E16922E13}"/>
            </a:ext>
          </a:extLst>
        </xdr:cNvPr>
        <xdr:cNvSpPr>
          <a:spLocks noChangeArrowheads="1"/>
        </xdr:cNvSpPr>
      </xdr:nvSpPr>
      <xdr:spPr bwMode="auto">
        <a:xfrm>
          <a:off x="1524000" y="1911350"/>
          <a:ext cx="1352550" cy="679450"/>
        </a:xfrm>
        <a:prstGeom prst="rect">
          <a:avLst/>
        </a:prstGeom>
        <a:solidFill>
          <a:srgbClr val="99CCFF"/>
        </a:solidFill>
        <a:ln w="19050">
          <a:solidFill>
            <a:srgbClr val="000000"/>
          </a:solidFill>
          <a:miter lim="800000"/>
          <a:headEnd/>
          <a:tailEnd/>
        </a:ln>
      </xdr:spPr>
    </xdr:sp>
    <xdr:clientData/>
  </xdr:twoCellAnchor>
  <xdr:twoCellAnchor>
    <xdr:from>
      <xdr:col>2</xdr:col>
      <xdr:colOff>0</xdr:colOff>
      <xdr:row>17</xdr:row>
      <xdr:rowOff>12700</xdr:rowOff>
    </xdr:from>
    <xdr:to>
      <xdr:col>3</xdr:col>
      <xdr:colOff>615950</xdr:colOff>
      <xdr:row>21</xdr:row>
      <xdr:rowOff>12700</xdr:rowOff>
    </xdr:to>
    <xdr:sp macro="" textlink="">
      <xdr:nvSpPr>
        <xdr:cNvPr id="554250" name="Rectangle 2">
          <a:extLst>
            <a:ext uri="{FF2B5EF4-FFF2-40B4-BE49-F238E27FC236}">
              <a16:creationId xmlns:a16="http://schemas.microsoft.com/office/drawing/2014/main" id="{5449F842-53E7-4475-BB27-E547925D95CC}"/>
            </a:ext>
          </a:extLst>
        </xdr:cNvPr>
        <xdr:cNvSpPr>
          <a:spLocks noChangeArrowheads="1"/>
        </xdr:cNvSpPr>
      </xdr:nvSpPr>
      <xdr:spPr bwMode="auto">
        <a:xfrm>
          <a:off x="1498600" y="2927350"/>
          <a:ext cx="1270000" cy="635000"/>
        </a:xfrm>
        <a:prstGeom prst="rect">
          <a:avLst/>
        </a:prstGeom>
        <a:solidFill>
          <a:srgbClr val="99CCFF"/>
        </a:solidFill>
        <a:ln w="19050">
          <a:solidFill>
            <a:srgbClr val="000000"/>
          </a:solidFill>
          <a:miter lim="800000"/>
          <a:headEnd/>
          <a:tailEnd/>
        </a:ln>
      </xdr:spPr>
    </xdr:sp>
    <xdr:clientData/>
  </xdr:twoCellAnchor>
  <xdr:twoCellAnchor>
    <xdr:from>
      <xdr:col>2</xdr:col>
      <xdr:colOff>9525</xdr:colOff>
      <xdr:row>23</xdr:row>
      <xdr:rowOff>9525</xdr:rowOff>
    </xdr:from>
    <xdr:to>
      <xdr:col>3</xdr:col>
      <xdr:colOff>631878</xdr:colOff>
      <xdr:row>27</xdr:row>
      <xdr:rowOff>9525</xdr:rowOff>
    </xdr:to>
    <xdr:sp macro="" textlink="">
      <xdr:nvSpPr>
        <xdr:cNvPr id="17411" name="Rectangle 3">
          <a:extLst>
            <a:ext uri="{FF2B5EF4-FFF2-40B4-BE49-F238E27FC236}">
              <a16:creationId xmlns:a16="http://schemas.microsoft.com/office/drawing/2014/main" id="{5BDD2359-FCD8-4709-9FA8-1A3670A05B42}"/>
            </a:ext>
          </a:extLst>
        </xdr:cNvPr>
        <xdr:cNvSpPr>
          <a:spLocks noChangeArrowheads="1"/>
        </xdr:cNvSpPr>
      </xdr:nvSpPr>
      <xdr:spPr bwMode="auto">
        <a:xfrm>
          <a:off x="1466850" y="391477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2</xdr:col>
      <xdr:colOff>254000</xdr:colOff>
      <xdr:row>36</xdr:row>
      <xdr:rowOff>12700</xdr:rowOff>
    </xdr:from>
    <xdr:to>
      <xdr:col>3</xdr:col>
      <xdr:colOff>400050</xdr:colOff>
      <xdr:row>39</xdr:row>
      <xdr:rowOff>133350</xdr:rowOff>
    </xdr:to>
    <xdr:sp macro="" textlink="">
      <xdr:nvSpPr>
        <xdr:cNvPr id="554252" name="AutoShape 4">
          <a:extLst>
            <a:ext uri="{FF2B5EF4-FFF2-40B4-BE49-F238E27FC236}">
              <a16:creationId xmlns:a16="http://schemas.microsoft.com/office/drawing/2014/main" id="{57491C71-4536-4B04-93E4-E22A8D916FF1}"/>
            </a:ext>
          </a:extLst>
        </xdr:cNvPr>
        <xdr:cNvSpPr>
          <a:spLocks noChangeArrowheads="1"/>
        </xdr:cNvSpPr>
      </xdr:nvSpPr>
      <xdr:spPr bwMode="auto">
        <a:xfrm>
          <a:off x="1752600" y="5949950"/>
          <a:ext cx="800100" cy="5969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2</xdr:col>
      <xdr:colOff>123825</xdr:colOff>
      <xdr:row>42</xdr:row>
      <xdr:rowOff>0</xdr:rowOff>
    </xdr:from>
    <xdr:to>
      <xdr:col>3</xdr:col>
      <xdr:colOff>485711</xdr:colOff>
      <xdr:row>46</xdr:row>
      <xdr:rowOff>146067</xdr:rowOff>
    </xdr:to>
    <xdr:sp macro="" textlink="">
      <xdr:nvSpPr>
        <xdr:cNvPr id="17413" name="AutoShape 5">
          <a:extLst>
            <a:ext uri="{FF2B5EF4-FFF2-40B4-BE49-F238E27FC236}">
              <a16:creationId xmlns:a16="http://schemas.microsoft.com/office/drawing/2014/main" id="{06D55E0B-1D39-4BBD-9CE3-8F227F5AAFB8}"/>
            </a:ext>
          </a:extLst>
        </xdr:cNvPr>
        <xdr:cNvSpPr>
          <a:spLocks noChangeArrowheads="1"/>
        </xdr:cNvSpPr>
      </xdr:nvSpPr>
      <xdr:spPr bwMode="auto">
        <a:xfrm>
          <a:off x="1581150" y="6981825"/>
          <a:ext cx="962025"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0</xdr:colOff>
      <xdr:row>29</xdr:row>
      <xdr:rowOff>9525</xdr:rowOff>
    </xdr:from>
    <xdr:to>
      <xdr:col>3</xdr:col>
      <xdr:colOff>615267</xdr:colOff>
      <xdr:row>33</xdr:row>
      <xdr:rowOff>9525</xdr:rowOff>
    </xdr:to>
    <xdr:sp macro="" textlink="">
      <xdr:nvSpPr>
        <xdr:cNvPr id="17414" name="Rectangle 6">
          <a:extLst>
            <a:ext uri="{FF2B5EF4-FFF2-40B4-BE49-F238E27FC236}">
              <a16:creationId xmlns:a16="http://schemas.microsoft.com/office/drawing/2014/main" id="{0DFA6F35-8106-4C26-B303-0C2CD95C9B32}"/>
            </a:ext>
          </a:extLst>
        </xdr:cNvPr>
        <xdr:cNvSpPr>
          <a:spLocks noChangeArrowheads="1"/>
        </xdr:cNvSpPr>
      </xdr:nvSpPr>
      <xdr:spPr bwMode="auto">
        <a:xfrm>
          <a:off x="1457325" y="488632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2</xdr:col>
      <xdr:colOff>0</xdr:colOff>
      <xdr:row>50</xdr:row>
      <xdr:rowOff>146050</xdr:rowOff>
    </xdr:from>
    <xdr:to>
      <xdr:col>4</xdr:col>
      <xdr:colOff>9525</xdr:colOff>
      <xdr:row>54</xdr:row>
      <xdr:rowOff>53</xdr:rowOff>
    </xdr:to>
    <xdr:sp macro="" textlink="">
      <xdr:nvSpPr>
        <xdr:cNvPr id="17415" name="Rectangle 7">
          <a:extLst>
            <a:ext uri="{FF2B5EF4-FFF2-40B4-BE49-F238E27FC236}">
              <a16:creationId xmlns:a16="http://schemas.microsoft.com/office/drawing/2014/main" id="{D4A20D36-41AF-492E-8664-8A634C7973A7}"/>
            </a:ext>
          </a:extLst>
        </xdr:cNvPr>
        <xdr:cNvSpPr>
          <a:spLocks noChangeArrowheads="1"/>
        </xdr:cNvSpPr>
      </xdr:nvSpPr>
      <xdr:spPr bwMode="auto">
        <a:xfrm>
          <a:off x="1457325" y="84296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xdr:col>
      <xdr:colOff>570439</xdr:colOff>
      <xdr:row>56</xdr:row>
      <xdr:rowOff>0</xdr:rowOff>
    </xdr:from>
    <xdr:to>
      <xdr:col>3</xdr:col>
      <xdr:colOff>683666</xdr:colOff>
      <xdr:row>59</xdr:row>
      <xdr:rowOff>9525</xdr:rowOff>
    </xdr:to>
    <xdr:sp macro="" textlink="">
      <xdr:nvSpPr>
        <xdr:cNvPr id="17416" name="Rectangle 8">
          <a:extLst>
            <a:ext uri="{FF2B5EF4-FFF2-40B4-BE49-F238E27FC236}">
              <a16:creationId xmlns:a16="http://schemas.microsoft.com/office/drawing/2014/main" id="{E0EE4E9A-B4A7-40CD-8D72-9696314253E2}"/>
            </a:ext>
          </a:extLst>
        </xdr:cNvPr>
        <xdr:cNvSpPr>
          <a:spLocks noChangeArrowheads="1"/>
        </xdr:cNvSpPr>
      </xdr:nvSpPr>
      <xdr:spPr bwMode="auto">
        <a:xfrm>
          <a:off x="1592789" y="8746067"/>
          <a:ext cx="1508125" cy="4667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222250</xdr:colOff>
      <xdr:row>60</xdr:row>
      <xdr:rowOff>107950</xdr:rowOff>
    </xdr:from>
    <xdr:to>
      <xdr:col>3</xdr:col>
      <xdr:colOff>400050</xdr:colOff>
      <xdr:row>65</xdr:row>
      <xdr:rowOff>12700</xdr:rowOff>
    </xdr:to>
    <xdr:sp macro="" textlink="">
      <xdr:nvSpPr>
        <xdr:cNvPr id="554257" name="AutoShape 9">
          <a:extLst>
            <a:ext uri="{FF2B5EF4-FFF2-40B4-BE49-F238E27FC236}">
              <a16:creationId xmlns:a16="http://schemas.microsoft.com/office/drawing/2014/main" id="{0A8EFE58-91DE-4121-A5E8-D701CB2F252C}"/>
            </a:ext>
          </a:extLst>
        </xdr:cNvPr>
        <xdr:cNvSpPr>
          <a:spLocks noChangeArrowheads="1"/>
        </xdr:cNvSpPr>
      </xdr:nvSpPr>
      <xdr:spPr bwMode="auto">
        <a:xfrm>
          <a:off x="1720850" y="9861550"/>
          <a:ext cx="83185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628650</xdr:colOff>
      <xdr:row>59</xdr:row>
      <xdr:rowOff>12700</xdr:rowOff>
    </xdr:from>
    <xdr:to>
      <xdr:col>3</xdr:col>
      <xdr:colOff>0</xdr:colOff>
      <xdr:row>65</xdr:row>
      <xdr:rowOff>12700</xdr:rowOff>
    </xdr:to>
    <xdr:sp macro="" textlink="">
      <xdr:nvSpPr>
        <xdr:cNvPr id="554258" name="Line 10">
          <a:extLst>
            <a:ext uri="{FF2B5EF4-FFF2-40B4-BE49-F238E27FC236}">
              <a16:creationId xmlns:a16="http://schemas.microsoft.com/office/drawing/2014/main" id="{209ED289-FE0E-4008-9B10-60817CB716BB}"/>
            </a:ext>
          </a:extLst>
        </xdr:cNvPr>
        <xdr:cNvSpPr>
          <a:spLocks noChangeShapeType="1"/>
        </xdr:cNvSpPr>
      </xdr:nvSpPr>
      <xdr:spPr bwMode="auto">
        <a:xfrm flipH="1" flipV="1">
          <a:off x="2127250" y="9607550"/>
          <a:ext cx="25400" cy="9588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9</xdr:row>
      <xdr:rowOff>146050</xdr:rowOff>
    </xdr:from>
    <xdr:to>
      <xdr:col>3</xdr:col>
      <xdr:colOff>0</xdr:colOff>
      <xdr:row>11</xdr:row>
      <xdr:rowOff>0</xdr:rowOff>
    </xdr:to>
    <xdr:sp macro="" textlink="">
      <xdr:nvSpPr>
        <xdr:cNvPr id="554259" name="Line 11">
          <a:extLst>
            <a:ext uri="{FF2B5EF4-FFF2-40B4-BE49-F238E27FC236}">
              <a16:creationId xmlns:a16="http://schemas.microsoft.com/office/drawing/2014/main" id="{8FF3CF51-8568-46AF-97E2-9D09B2FD10D4}"/>
            </a:ext>
          </a:extLst>
        </xdr:cNvPr>
        <xdr:cNvSpPr>
          <a:spLocks noChangeShapeType="1"/>
        </xdr:cNvSpPr>
      </xdr:nvSpPr>
      <xdr:spPr bwMode="auto">
        <a:xfrm flipV="1">
          <a:off x="2152650" y="1739900"/>
          <a:ext cx="0" cy="1714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0</xdr:colOff>
      <xdr:row>14</xdr:row>
      <xdr:rowOff>146050</xdr:rowOff>
    </xdr:from>
    <xdr:to>
      <xdr:col>3</xdr:col>
      <xdr:colOff>0</xdr:colOff>
      <xdr:row>17</xdr:row>
      <xdr:rowOff>0</xdr:rowOff>
    </xdr:to>
    <xdr:sp macro="" textlink="">
      <xdr:nvSpPr>
        <xdr:cNvPr id="554260" name="Line 12">
          <a:extLst>
            <a:ext uri="{FF2B5EF4-FFF2-40B4-BE49-F238E27FC236}">
              <a16:creationId xmlns:a16="http://schemas.microsoft.com/office/drawing/2014/main" id="{67100433-450C-4D06-8ED9-0EA416B1F20A}"/>
            </a:ext>
          </a:extLst>
        </xdr:cNvPr>
        <xdr:cNvSpPr>
          <a:spLocks noChangeShapeType="1"/>
        </xdr:cNvSpPr>
      </xdr:nvSpPr>
      <xdr:spPr bwMode="auto">
        <a:xfrm>
          <a:off x="2152650" y="2578100"/>
          <a:ext cx="0" cy="3365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33</xdr:row>
      <xdr:rowOff>12700</xdr:rowOff>
    </xdr:from>
    <xdr:to>
      <xdr:col>3</xdr:col>
      <xdr:colOff>0</xdr:colOff>
      <xdr:row>36</xdr:row>
      <xdr:rowOff>12700</xdr:rowOff>
    </xdr:to>
    <xdr:sp macro="" textlink="">
      <xdr:nvSpPr>
        <xdr:cNvPr id="554261" name="Line 13">
          <a:extLst>
            <a:ext uri="{FF2B5EF4-FFF2-40B4-BE49-F238E27FC236}">
              <a16:creationId xmlns:a16="http://schemas.microsoft.com/office/drawing/2014/main" id="{94B7810C-3967-4769-A4E2-F03436683BF8}"/>
            </a:ext>
          </a:extLst>
        </xdr:cNvPr>
        <xdr:cNvSpPr>
          <a:spLocks noChangeShapeType="1"/>
        </xdr:cNvSpPr>
      </xdr:nvSpPr>
      <xdr:spPr bwMode="auto">
        <a:xfrm>
          <a:off x="2152650" y="5473700"/>
          <a:ext cx="0" cy="4762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27</xdr:row>
      <xdr:rowOff>12700</xdr:rowOff>
    </xdr:from>
    <xdr:to>
      <xdr:col>3</xdr:col>
      <xdr:colOff>12700</xdr:colOff>
      <xdr:row>29</xdr:row>
      <xdr:rowOff>0</xdr:rowOff>
    </xdr:to>
    <xdr:sp macro="" textlink="">
      <xdr:nvSpPr>
        <xdr:cNvPr id="554262" name="Line 14">
          <a:extLst>
            <a:ext uri="{FF2B5EF4-FFF2-40B4-BE49-F238E27FC236}">
              <a16:creationId xmlns:a16="http://schemas.microsoft.com/office/drawing/2014/main" id="{A6698365-F270-41EB-8F58-AD2A662C0591}"/>
            </a:ext>
          </a:extLst>
        </xdr:cNvPr>
        <xdr:cNvSpPr>
          <a:spLocks noChangeShapeType="1"/>
        </xdr:cNvSpPr>
      </xdr:nvSpPr>
      <xdr:spPr bwMode="auto">
        <a:xfrm>
          <a:off x="2165350" y="45148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21</xdr:row>
      <xdr:rowOff>12700</xdr:rowOff>
    </xdr:from>
    <xdr:to>
      <xdr:col>3</xdr:col>
      <xdr:colOff>0</xdr:colOff>
      <xdr:row>23</xdr:row>
      <xdr:rowOff>25400</xdr:rowOff>
    </xdr:to>
    <xdr:sp macro="" textlink="">
      <xdr:nvSpPr>
        <xdr:cNvPr id="554263" name="Line 15">
          <a:extLst>
            <a:ext uri="{FF2B5EF4-FFF2-40B4-BE49-F238E27FC236}">
              <a16:creationId xmlns:a16="http://schemas.microsoft.com/office/drawing/2014/main" id="{930285A4-9029-4F73-BE53-BF1E8A79DDF9}"/>
            </a:ext>
          </a:extLst>
        </xdr:cNvPr>
        <xdr:cNvSpPr>
          <a:spLocks noChangeShapeType="1"/>
        </xdr:cNvSpPr>
      </xdr:nvSpPr>
      <xdr:spPr bwMode="auto">
        <a:xfrm>
          <a:off x="2152650" y="356235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39</xdr:row>
      <xdr:rowOff>133350</xdr:rowOff>
    </xdr:from>
    <xdr:to>
      <xdr:col>2</xdr:col>
      <xdr:colOff>628650</xdr:colOff>
      <xdr:row>42</xdr:row>
      <xdr:rowOff>0</xdr:rowOff>
    </xdr:to>
    <xdr:sp macro="" textlink="">
      <xdr:nvSpPr>
        <xdr:cNvPr id="554264" name="Line 16">
          <a:extLst>
            <a:ext uri="{FF2B5EF4-FFF2-40B4-BE49-F238E27FC236}">
              <a16:creationId xmlns:a16="http://schemas.microsoft.com/office/drawing/2014/main" id="{80EA14AA-999B-4162-938F-82B963C45080}"/>
            </a:ext>
          </a:extLst>
        </xdr:cNvPr>
        <xdr:cNvSpPr>
          <a:spLocks noChangeShapeType="1"/>
        </xdr:cNvSpPr>
      </xdr:nvSpPr>
      <xdr:spPr bwMode="auto">
        <a:xfrm>
          <a:off x="2127250" y="654685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46</xdr:row>
      <xdr:rowOff>146050</xdr:rowOff>
    </xdr:from>
    <xdr:to>
      <xdr:col>3</xdr:col>
      <xdr:colOff>0</xdr:colOff>
      <xdr:row>50</xdr:row>
      <xdr:rowOff>146050</xdr:rowOff>
    </xdr:to>
    <xdr:sp macro="" textlink="">
      <xdr:nvSpPr>
        <xdr:cNvPr id="554265" name="Line 17">
          <a:extLst>
            <a:ext uri="{FF2B5EF4-FFF2-40B4-BE49-F238E27FC236}">
              <a16:creationId xmlns:a16="http://schemas.microsoft.com/office/drawing/2014/main" id="{A2C0CEB5-B9BD-4EBA-A1B5-DD83C232935E}"/>
            </a:ext>
          </a:extLst>
        </xdr:cNvPr>
        <xdr:cNvSpPr>
          <a:spLocks noChangeShapeType="1"/>
        </xdr:cNvSpPr>
      </xdr:nvSpPr>
      <xdr:spPr bwMode="auto">
        <a:xfrm>
          <a:off x="2152650" y="7670800"/>
          <a:ext cx="0" cy="6413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54</xdr:row>
      <xdr:rowOff>12700</xdr:rowOff>
    </xdr:from>
    <xdr:to>
      <xdr:col>3</xdr:col>
      <xdr:colOff>0</xdr:colOff>
      <xdr:row>55</xdr:row>
      <xdr:rowOff>146050</xdr:rowOff>
    </xdr:to>
    <xdr:sp macro="" textlink="">
      <xdr:nvSpPr>
        <xdr:cNvPr id="554266" name="Line 18">
          <a:extLst>
            <a:ext uri="{FF2B5EF4-FFF2-40B4-BE49-F238E27FC236}">
              <a16:creationId xmlns:a16="http://schemas.microsoft.com/office/drawing/2014/main" id="{F1DE1EF9-ED81-4D53-AA08-947099949C87}"/>
            </a:ext>
          </a:extLst>
        </xdr:cNvPr>
        <xdr:cNvSpPr>
          <a:spLocks noChangeShapeType="1"/>
        </xdr:cNvSpPr>
      </xdr:nvSpPr>
      <xdr:spPr bwMode="auto">
        <a:xfrm>
          <a:off x="2152650" y="88138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234950</xdr:colOff>
      <xdr:row>75</xdr:row>
      <xdr:rowOff>146050</xdr:rowOff>
    </xdr:from>
    <xdr:to>
      <xdr:col>3</xdr:col>
      <xdr:colOff>406400</xdr:colOff>
      <xdr:row>80</xdr:row>
      <xdr:rowOff>50800</xdr:rowOff>
    </xdr:to>
    <xdr:sp macro="" textlink="">
      <xdr:nvSpPr>
        <xdr:cNvPr id="554267" name="AutoShape 19">
          <a:extLst>
            <a:ext uri="{FF2B5EF4-FFF2-40B4-BE49-F238E27FC236}">
              <a16:creationId xmlns:a16="http://schemas.microsoft.com/office/drawing/2014/main" id="{265276C7-46B5-4559-BD35-14F49B04DBDB}"/>
            </a:ext>
          </a:extLst>
        </xdr:cNvPr>
        <xdr:cNvSpPr>
          <a:spLocks noChangeArrowheads="1"/>
        </xdr:cNvSpPr>
      </xdr:nvSpPr>
      <xdr:spPr bwMode="auto">
        <a:xfrm rot="10800000">
          <a:off x="1733550" y="12287250"/>
          <a:ext cx="82550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75</xdr:row>
      <xdr:rowOff>146050</xdr:rowOff>
    </xdr:from>
    <xdr:to>
      <xdr:col>3</xdr:col>
      <xdr:colOff>0</xdr:colOff>
      <xdr:row>85</xdr:row>
      <xdr:rowOff>12700</xdr:rowOff>
    </xdr:to>
    <xdr:sp macro="" textlink="">
      <xdr:nvSpPr>
        <xdr:cNvPr id="554268" name="Line 20">
          <a:extLst>
            <a:ext uri="{FF2B5EF4-FFF2-40B4-BE49-F238E27FC236}">
              <a16:creationId xmlns:a16="http://schemas.microsoft.com/office/drawing/2014/main" id="{8D5B7D69-EB09-46BF-B771-F61A6D317974}"/>
            </a:ext>
          </a:extLst>
        </xdr:cNvPr>
        <xdr:cNvSpPr>
          <a:spLocks noChangeShapeType="1"/>
        </xdr:cNvSpPr>
      </xdr:nvSpPr>
      <xdr:spPr bwMode="auto">
        <a:xfrm>
          <a:off x="2152650" y="122872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85</xdr:row>
      <xdr:rowOff>9525</xdr:rowOff>
    </xdr:from>
    <xdr:to>
      <xdr:col>4</xdr:col>
      <xdr:colOff>9525</xdr:colOff>
      <xdr:row>88</xdr:row>
      <xdr:rowOff>6436</xdr:rowOff>
    </xdr:to>
    <xdr:sp macro="" textlink="">
      <xdr:nvSpPr>
        <xdr:cNvPr id="17429" name="Rectangle 21">
          <a:extLst>
            <a:ext uri="{FF2B5EF4-FFF2-40B4-BE49-F238E27FC236}">
              <a16:creationId xmlns:a16="http://schemas.microsoft.com/office/drawing/2014/main" id="{472C11B6-DD92-4C00-AEBA-338EC51ECBFF}"/>
            </a:ext>
          </a:extLst>
        </xdr:cNvPr>
        <xdr:cNvSpPr>
          <a:spLocks noChangeArrowheads="1"/>
        </xdr:cNvSpPr>
      </xdr:nvSpPr>
      <xdr:spPr bwMode="auto">
        <a:xfrm>
          <a:off x="1457325" y="139541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9525</xdr:colOff>
      <xdr:row>90</xdr:row>
      <xdr:rowOff>6350</xdr:rowOff>
    </xdr:from>
    <xdr:to>
      <xdr:col>4</xdr:col>
      <xdr:colOff>19050</xdr:colOff>
      <xdr:row>93</xdr:row>
      <xdr:rowOff>28840</xdr:rowOff>
    </xdr:to>
    <xdr:sp macro="" textlink="">
      <xdr:nvSpPr>
        <xdr:cNvPr id="17430" name="Rectangle 22">
          <a:extLst>
            <a:ext uri="{FF2B5EF4-FFF2-40B4-BE49-F238E27FC236}">
              <a16:creationId xmlns:a16="http://schemas.microsoft.com/office/drawing/2014/main" id="{469859ED-2F9A-4FA8-A260-E3A63F0FFDE2}"/>
            </a:ext>
          </a:extLst>
        </xdr:cNvPr>
        <xdr:cNvSpPr>
          <a:spLocks noChangeArrowheads="1"/>
        </xdr:cNvSpPr>
      </xdr:nvSpPr>
      <xdr:spPr bwMode="auto">
        <a:xfrm>
          <a:off x="1466850" y="1477327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3</xdr:col>
      <xdr:colOff>0</xdr:colOff>
      <xdr:row>88</xdr:row>
      <xdr:rowOff>25400</xdr:rowOff>
    </xdr:from>
    <xdr:to>
      <xdr:col>3</xdr:col>
      <xdr:colOff>0</xdr:colOff>
      <xdr:row>90</xdr:row>
      <xdr:rowOff>12700</xdr:rowOff>
    </xdr:to>
    <xdr:sp macro="" textlink="">
      <xdr:nvSpPr>
        <xdr:cNvPr id="554271" name="Line 23">
          <a:extLst>
            <a:ext uri="{FF2B5EF4-FFF2-40B4-BE49-F238E27FC236}">
              <a16:creationId xmlns:a16="http://schemas.microsoft.com/office/drawing/2014/main" id="{DE5C0198-49B7-4753-92C2-2B00A87CBDCE}"/>
            </a:ext>
          </a:extLst>
        </xdr:cNvPr>
        <xdr:cNvSpPr>
          <a:spLocks noChangeShapeType="1"/>
        </xdr:cNvSpPr>
      </xdr:nvSpPr>
      <xdr:spPr bwMode="auto">
        <a:xfrm>
          <a:off x="2152650" y="142367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155575</xdr:colOff>
      <xdr:row>94</xdr:row>
      <xdr:rowOff>149225</xdr:rowOff>
    </xdr:from>
    <xdr:to>
      <xdr:col>3</xdr:col>
      <xdr:colOff>517461</xdr:colOff>
      <xdr:row>99</xdr:row>
      <xdr:rowOff>146102</xdr:rowOff>
    </xdr:to>
    <xdr:sp macro="" textlink="">
      <xdr:nvSpPr>
        <xdr:cNvPr id="17432" name="AutoShape 24">
          <a:extLst>
            <a:ext uri="{FF2B5EF4-FFF2-40B4-BE49-F238E27FC236}">
              <a16:creationId xmlns:a16="http://schemas.microsoft.com/office/drawing/2014/main" id="{73C0B64D-B741-427B-A61D-AAB4B7971B5B}"/>
            </a:ext>
          </a:extLst>
        </xdr:cNvPr>
        <xdr:cNvSpPr>
          <a:spLocks noChangeArrowheads="1"/>
        </xdr:cNvSpPr>
      </xdr:nvSpPr>
      <xdr:spPr bwMode="auto">
        <a:xfrm>
          <a:off x="1600200" y="15544800"/>
          <a:ext cx="962025" cy="8191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590550</xdr:colOff>
      <xdr:row>102</xdr:row>
      <xdr:rowOff>0</xdr:rowOff>
    </xdr:from>
    <xdr:to>
      <xdr:col>3</xdr:col>
      <xdr:colOff>632056</xdr:colOff>
      <xdr:row>105</xdr:row>
      <xdr:rowOff>9525</xdr:rowOff>
    </xdr:to>
    <xdr:sp macro="" textlink="">
      <xdr:nvSpPr>
        <xdr:cNvPr id="17433" name="Rectangle 25">
          <a:extLst>
            <a:ext uri="{FF2B5EF4-FFF2-40B4-BE49-F238E27FC236}">
              <a16:creationId xmlns:a16="http://schemas.microsoft.com/office/drawing/2014/main" id="{C478DDC2-3ED0-4D11-A6A3-10EDD20140A1}"/>
            </a:ext>
          </a:extLst>
        </xdr:cNvPr>
        <xdr:cNvSpPr>
          <a:spLocks noChangeArrowheads="1"/>
        </xdr:cNvSpPr>
      </xdr:nvSpPr>
      <xdr:spPr bwMode="auto">
        <a:xfrm>
          <a:off x="1438275" y="16697325"/>
          <a:ext cx="12382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628650</xdr:colOff>
      <xdr:row>93</xdr:row>
      <xdr:rowOff>12700</xdr:rowOff>
    </xdr:from>
    <xdr:to>
      <xdr:col>3</xdr:col>
      <xdr:colOff>0</xdr:colOff>
      <xdr:row>94</xdr:row>
      <xdr:rowOff>146050</xdr:rowOff>
    </xdr:to>
    <xdr:sp macro="" textlink="">
      <xdr:nvSpPr>
        <xdr:cNvPr id="554274" name="Line 26">
          <a:extLst>
            <a:ext uri="{FF2B5EF4-FFF2-40B4-BE49-F238E27FC236}">
              <a16:creationId xmlns:a16="http://schemas.microsoft.com/office/drawing/2014/main" id="{CFB7E1AE-683B-47BD-AB77-B92F1A4C543A}"/>
            </a:ext>
          </a:extLst>
        </xdr:cNvPr>
        <xdr:cNvSpPr>
          <a:spLocks noChangeShapeType="1"/>
        </xdr:cNvSpPr>
      </xdr:nvSpPr>
      <xdr:spPr bwMode="auto">
        <a:xfrm>
          <a:off x="2127250" y="15017750"/>
          <a:ext cx="2540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100</xdr:row>
      <xdr:rowOff>12700</xdr:rowOff>
    </xdr:from>
    <xdr:to>
      <xdr:col>3</xdr:col>
      <xdr:colOff>0</xdr:colOff>
      <xdr:row>101</xdr:row>
      <xdr:rowOff>146050</xdr:rowOff>
    </xdr:to>
    <xdr:sp macro="" textlink="">
      <xdr:nvSpPr>
        <xdr:cNvPr id="554275" name="Line 27">
          <a:extLst>
            <a:ext uri="{FF2B5EF4-FFF2-40B4-BE49-F238E27FC236}">
              <a16:creationId xmlns:a16="http://schemas.microsoft.com/office/drawing/2014/main" id="{624CFBFC-E183-49EA-A646-B87E1B790A12}"/>
            </a:ext>
          </a:extLst>
        </xdr:cNvPr>
        <xdr:cNvSpPr>
          <a:spLocks noChangeShapeType="1"/>
        </xdr:cNvSpPr>
      </xdr:nvSpPr>
      <xdr:spPr bwMode="auto">
        <a:xfrm flipH="1">
          <a:off x="2152650" y="161290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105</xdr:row>
      <xdr:rowOff>12700</xdr:rowOff>
    </xdr:from>
    <xdr:to>
      <xdr:col>2</xdr:col>
      <xdr:colOff>628650</xdr:colOff>
      <xdr:row>108</xdr:row>
      <xdr:rowOff>12700</xdr:rowOff>
    </xdr:to>
    <xdr:sp macro="" textlink="">
      <xdr:nvSpPr>
        <xdr:cNvPr id="554276" name="Line 28">
          <a:extLst>
            <a:ext uri="{FF2B5EF4-FFF2-40B4-BE49-F238E27FC236}">
              <a16:creationId xmlns:a16="http://schemas.microsoft.com/office/drawing/2014/main" id="{E29BD181-8EFA-40E9-8D60-2E4B2EA276C9}"/>
            </a:ext>
          </a:extLst>
        </xdr:cNvPr>
        <xdr:cNvSpPr>
          <a:spLocks noChangeShapeType="1"/>
        </xdr:cNvSpPr>
      </xdr:nvSpPr>
      <xdr:spPr bwMode="auto">
        <a:xfrm flipV="1">
          <a:off x="2127250" y="16922750"/>
          <a:ext cx="0" cy="5016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584200</xdr:colOff>
      <xdr:row>65</xdr:row>
      <xdr:rowOff>82550</xdr:rowOff>
    </xdr:from>
    <xdr:to>
      <xdr:col>3</xdr:col>
      <xdr:colOff>44450</xdr:colOff>
      <xdr:row>75</xdr:row>
      <xdr:rowOff>82550</xdr:rowOff>
    </xdr:to>
    <xdr:sp macro="" textlink="">
      <xdr:nvSpPr>
        <xdr:cNvPr id="554277" name="AutoShape 31">
          <a:extLst>
            <a:ext uri="{FF2B5EF4-FFF2-40B4-BE49-F238E27FC236}">
              <a16:creationId xmlns:a16="http://schemas.microsoft.com/office/drawing/2014/main" id="{C07D7852-3481-40CF-8B17-46A947E8CFBA}"/>
            </a:ext>
          </a:extLst>
        </xdr:cNvPr>
        <xdr:cNvSpPr>
          <a:spLocks noChangeArrowheads="1"/>
        </xdr:cNvSpPr>
      </xdr:nvSpPr>
      <xdr:spPr bwMode="auto">
        <a:xfrm>
          <a:off x="2082800" y="10636250"/>
          <a:ext cx="114300" cy="1587500"/>
        </a:xfrm>
        <a:prstGeom prst="upArrow">
          <a:avLst>
            <a:gd name="adj1" fmla="val 50000"/>
            <a:gd name="adj2" fmla="val 347222"/>
          </a:avLst>
        </a:prstGeom>
        <a:solidFill>
          <a:srgbClr val="FF0000"/>
        </a:solidFill>
        <a:ln w="9525">
          <a:solidFill>
            <a:srgbClr val="FF0000"/>
          </a:solidFill>
          <a:miter lim="800000"/>
          <a:headEnd/>
          <a:tailEnd/>
        </a:ln>
      </xdr:spPr>
    </xdr:sp>
    <xdr:clientData/>
  </xdr:twoCellAnchor>
  <xdr:twoCellAnchor>
    <xdr:from>
      <xdr:col>2</xdr:col>
      <xdr:colOff>431800</xdr:colOff>
      <xdr:row>70</xdr:row>
      <xdr:rowOff>38100</xdr:rowOff>
    </xdr:from>
    <xdr:to>
      <xdr:col>3</xdr:col>
      <xdr:colOff>196850</xdr:colOff>
      <xdr:row>71</xdr:row>
      <xdr:rowOff>25400</xdr:rowOff>
    </xdr:to>
    <xdr:sp macro="" textlink="">
      <xdr:nvSpPr>
        <xdr:cNvPr id="554278" name="AutoShape 32">
          <a:extLst>
            <a:ext uri="{FF2B5EF4-FFF2-40B4-BE49-F238E27FC236}">
              <a16:creationId xmlns:a16="http://schemas.microsoft.com/office/drawing/2014/main" id="{F77E8835-D958-4085-8121-D46CD92ECB67}"/>
            </a:ext>
          </a:extLst>
        </xdr:cNvPr>
        <xdr:cNvSpPr>
          <a:spLocks noChangeArrowheads="1"/>
        </xdr:cNvSpPr>
      </xdr:nvSpPr>
      <xdr:spPr bwMode="auto">
        <a:xfrm>
          <a:off x="1930400" y="11385550"/>
          <a:ext cx="4191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2</xdr:col>
      <xdr:colOff>361950</xdr:colOff>
      <xdr:row>70</xdr:row>
      <xdr:rowOff>25400</xdr:rowOff>
    </xdr:from>
    <xdr:to>
      <xdr:col>2</xdr:col>
      <xdr:colOff>444500</xdr:colOff>
      <xdr:row>71</xdr:row>
      <xdr:rowOff>0</xdr:rowOff>
    </xdr:to>
    <xdr:sp macro="" textlink="">
      <xdr:nvSpPr>
        <xdr:cNvPr id="554279" name="Rectangle 33">
          <a:extLst>
            <a:ext uri="{FF2B5EF4-FFF2-40B4-BE49-F238E27FC236}">
              <a16:creationId xmlns:a16="http://schemas.microsoft.com/office/drawing/2014/main" id="{27001B9F-4942-4A99-BA1A-DC04459FB908}"/>
            </a:ext>
          </a:extLst>
        </xdr:cNvPr>
        <xdr:cNvSpPr>
          <a:spLocks noChangeArrowheads="1"/>
        </xdr:cNvSpPr>
      </xdr:nvSpPr>
      <xdr:spPr bwMode="auto">
        <a:xfrm>
          <a:off x="1860550" y="11372850"/>
          <a:ext cx="82550" cy="133350"/>
        </a:xfrm>
        <a:prstGeom prst="rect">
          <a:avLst/>
        </a:prstGeom>
        <a:solidFill>
          <a:srgbClr val="C0C0C0"/>
        </a:solidFill>
        <a:ln w="9525">
          <a:solidFill>
            <a:srgbClr val="C0C0C0"/>
          </a:solidFill>
          <a:miter lim="800000"/>
          <a:headEnd/>
          <a:tailEnd/>
        </a:ln>
      </xdr:spPr>
    </xdr:sp>
    <xdr:clientData/>
  </xdr:twoCellAnchor>
  <xdr:twoCellAnchor>
    <xdr:from>
      <xdr:col>3</xdr:col>
      <xdr:colOff>177800</xdr:colOff>
      <xdr:row>70</xdr:row>
      <xdr:rowOff>50800</xdr:rowOff>
    </xdr:from>
    <xdr:to>
      <xdr:col>3</xdr:col>
      <xdr:colOff>254000</xdr:colOff>
      <xdr:row>71</xdr:row>
      <xdr:rowOff>25400</xdr:rowOff>
    </xdr:to>
    <xdr:sp macro="" textlink="">
      <xdr:nvSpPr>
        <xdr:cNvPr id="554280" name="Rectangle 34">
          <a:extLst>
            <a:ext uri="{FF2B5EF4-FFF2-40B4-BE49-F238E27FC236}">
              <a16:creationId xmlns:a16="http://schemas.microsoft.com/office/drawing/2014/main" id="{8582B142-F288-49DD-BEDB-0E020973DA66}"/>
            </a:ext>
          </a:extLst>
        </xdr:cNvPr>
        <xdr:cNvSpPr>
          <a:spLocks noChangeArrowheads="1"/>
        </xdr:cNvSpPr>
      </xdr:nvSpPr>
      <xdr:spPr bwMode="auto">
        <a:xfrm>
          <a:off x="2330450" y="11398250"/>
          <a:ext cx="76200" cy="133350"/>
        </a:xfrm>
        <a:prstGeom prst="rect">
          <a:avLst/>
        </a:prstGeom>
        <a:solidFill>
          <a:srgbClr val="C0C0C0"/>
        </a:solidFill>
        <a:ln w="9525">
          <a:solidFill>
            <a:srgbClr val="C0C0C0"/>
          </a:solidFill>
          <a:miter lim="800000"/>
          <a:headEnd/>
          <a:tailEnd/>
        </a:ln>
      </xdr:spPr>
    </xdr:sp>
    <xdr:clientData/>
  </xdr:twoCellAnchor>
  <xdr:oneCellAnchor>
    <xdr:from>
      <xdr:col>2</xdr:col>
      <xdr:colOff>388237</xdr:colOff>
      <xdr:row>37</xdr:row>
      <xdr:rowOff>60323</xdr:rowOff>
    </xdr:from>
    <xdr:ext cx="634563" cy="336876"/>
    <xdr:sp macro="" textlink="">
      <xdr:nvSpPr>
        <xdr:cNvPr id="17449" name="Text Box 41">
          <a:extLst>
            <a:ext uri="{FF2B5EF4-FFF2-40B4-BE49-F238E27FC236}">
              <a16:creationId xmlns:a16="http://schemas.microsoft.com/office/drawing/2014/main" id="{BECB8D56-B8F0-4A3A-86D6-8C709A317648}"/>
            </a:ext>
          </a:extLst>
        </xdr:cNvPr>
        <xdr:cNvSpPr txBox="1">
          <a:spLocks noChangeArrowheads="1"/>
        </xdr:cNvSpPr>
      </xdr:nvSpPr>
      <xdr:spPr bwMode="auto">
        <a:xfrm>
          <a:off x="2062520" y="5910790"/>
          <a:ext cx="592724"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Amplifier</a:t>
          </a:r>
        </a:p>
      </xdr:txBody>
    </xdr:sp>
    <xdr:clientData/>
  </xdr:oneCellAnchor>
  <xdr:oneCellAnchor>
    <xdr:from>
      <xdr:col>2</xdr:col>
      <xdr:colOff>351845</xdr:colOff>
      <xdr:row>23</xdr:row>
      <xdr:rowOff>66675</xdr:rowOff>
    </xdr:from>
    <xdr:ext cx="705730" cy="490807"/>
    <xdr:sp macro="" textlink="">
      <xdr:nvSpPr>
        <xdr:cNvPr id="17452" name="Text Box 44">
          <a:extLst>
            <a:ext uri="{FF2B5EF4-FFF2-40B4-BE49-F238E27FC236}">
              <a16:creationId xmlns:a16="http://schemas.microsoft.com/office/drawing/2014/main" id="{83527146-2FF8-4CF2-B262-1644487FA117}"/>
            </a:ext>
          </a:extLst>
        </xdr:cNvPr>
        <xdr:cNvSpPr txBox="1">
          <a:spLocks noChangeArrowheads="1"/>
        </xdr:cNvSpPr>
      </xdr:nvSpPr>
      <xdr:spPr bwMode="auto">
        <a:xfrm>
          <a:off x="2026128" y="37835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2</xdr:col>
      <xdr:colOff>102543</xdr:colOff>
      <xdr:row>18</xdr:row>
      <xdr:rowOff>66675</xdr:rowOff>
    </xdr:from>
    <xdr:ext cx="1194009" cy="176972"/>
    <xdr:sp macro="" textlink="">
      <xdr:nvSpPr>
        <xdr:cNvPr id="17453" name="Text Box 45">
          <a:extLst>
            <a:ext uri="{FF2B5EF4-FFF2-40B4-BE49-F238E27FC236}">
              <a16:creationId xmlns:a16="http://schemas.microsoft.com/office/drawing/2014/main" id="{92C365DF-A91D-4C3B-9C71-A6F664404092}"/>
            </a:ext>
          </a:extLst>
        </xdr:cNvPr>
        <xdr:cNvSpPr txBox="1">
          <a:spLocks noChangeArrowheads="1"/>
        </xdr:cNvSpPr>
      </xdr:nvSpPr>
      <xdr:spPr bwMode="auto">
        <a:xfrm>
          <a:off x="1751426" y="3021542"/>
          <a:ext cx="1167026"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2</xdr:col>
      <xdr:colOff>159812</xdr:colOff>
      <xdr:row>12</xdr:row>
      <xdr:rowOff>6350</xdr:rowOff>
    </xdr:from>
    <xdr:ext cx="1197880" cy="190081"/>
    <xdr:sp macro="" textlink="">
      <xdr:nvSpPr>
        <xdr:cNvPr id="17454" name="Text Box 46">
          <a:extLst>
            <a:ext uri="{FF2B5EF4-FFF2-40B4-BE49-F238E27FC236}">
              <a16:creationId xmlns:a16="http://schemas.microsoft.com/office/drawing/2014/main" id="{8029AAEA-BF96-4562-8AD4-5B1CFA172B62}"/>
            </a:ext>
          </a:extLst>
        </xdr:cNvPr>
        <xdr:cNvSpPr txBox="1">
          <a:spLocks noChangeArrowheads="1"/>
        </xdr:cNvSpPr>
      </xdr:nvSpPr>
      <xdr:spPr bwMode="auto">
        <a:xfrm>
          <a:off x="1815045" y="20468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0</xdr:col>
      <xdr:colOff>508000</xdr:colOff>
      <xdr:row>11</xdr:row>
      <xdr:rowOff>12700</xdr:rowOff>
    </xdr:from>
    <xdr:to>
      <xdr:col>1</xdr:col>
      <xdr:colOff>152400</xdr:colOff>
      <xdr:row>65</xdr:row>
      <xdr:rowOff>38100</xdr:rowOff>
    </xdr:to>
    <xdr:sp macro="" textlink="">
      <xdr:nvSpPr>
        <xdr:cNvPr id="554285" name="AutoShape 47">
          <a:extLst>
            <a:ext uri="{FF2B5EF4-FFF2-40B4-BE49-F238E27FC236}">
              <a16:creationId xmlns:a16="http://schemas.microsoft.com/office/drawing/2014/main" id="{37BA675A-35B0-47A1-A345-E0FBC8220AB3}"/>
            </a:ext>
          </a:extLst>
        </xdr:cNvPr>
        <xdr:cNvSpPr>
          <a:spLocks/>
        </xdr:cNvSpPr>
      </xdr:nvSpPr>
      <xdr:spPr bwMode="auto">
        <a:xfrm>
          <a:off x="508000" y="1924050"/>
          <a:ext cx="5270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25400</xdr:colOff>
      <xdr:row>85</xdr:row>
      <xdr:rowOff>25400</xdr:rowOff>
    </xdr:from>
    <xdr:to>
      <xdr:col>1</xdr:col>
      <xdr:colOff>266700</xdr:colOff>
      <xdr:row>105</xdr:row>
      <xdr:rowOff>25400</xdr:rowOff>
    </xdr:to>
    <xdr:sp macro="" textlink="">
      <xdr:nvSpPr>
        <xdr:cNvPr id="554286" name="AutoShape 48">
          <a:extLst>
            <a:ext uri="{FF2B5EF4-FFF2-40B4-BE49-F238E27FC236}">
              <a16:creationId xmlns:a16="http://schemas.microsoft.com/office/drawing/2014/main" id="{6ED0FDA2-3B68-4E86-BA80-5C6D5591DC3B}"/>
            </a:ext>
          </a:extLst>
        </xdr:cNvPr>
        <xdr:cNvSpPr>
          <a:spLocks/>
        </xdr:cNvSpPr>
      </xdr:nvSpPr>
      <xdr:spPr bwMode="auto">
        <a:xfrm>
          <a:off x="908050" y="13760450"/>
          <a:ext cx="241300" cy="317500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123825</xdr:colOff>
      <xdr:row>37</xdr:row>
      <xdr:rowOff>127000</xdr:rowOff>
    </xdr:from>
    <xdr:ext cx="232243" cy="170560"/>
    <xdr:sp macro="" textlink="">
      <xdr:nvSpPr>
        <xdr:cNvPr id="17457" name="Text Box 49">
          <a:extLst>
            <a:ext uri="{FF2B5EF4-FFF2-40B4-BE49-F238E27FC236}">
              <a16:creationId xmlns:a16="http://schemas.microsoft.com/office/drawing/2014/main" id="{2D533428-C8B0-487D-8DF7-B3AD5337FFB6}"/>
            </a:ext>
          </a:extLst>
        </xdr:cNvPr>
        <xdr:cNvSpPr txBox="1">
          <a:spLocks noChangeArrowheads="1"/>
        </xdr:cNvSpPr>
      </xdr:nvSpPr>
      <xdr:spPr bwMode="auto">
        <a:xfrm>
          <a:off x="123825" y="6282267"/>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0</xdr:colOff>
      <xdr:row>94</xdr:row>
      <xdr:rowOff>0</xdr:rowOff>
    </xdr:from>
    <xdr:ext cx="481542" cy="318036"/>
    <xdr:sp macro="" textlink="">
      <xdr:nvSpPr>
        <xdr:cNvPr id="17458" name="Text Box 50">
          <a:extLst>
            <a:ext uri="{FF2B5EF4-FFF2-40B4-BE49-F238E27FC236}">
              <a16:creationId xmlns:a16="http://schemas.microsoft.com/office/drawing/2014/main" id="{FB4C50DB-C3E3-45A1-9627-8B6DA84A330E}"/>
            </a:ext>
          </a:extLst>
        </xdr:cNvPr>
        <xdr:cNvSpPr txBox="1">
          <a:spLocks noChangeArrowheads="1"/>
        </xdr:cNvSpPr>
      </xdr:nvSpPr>
      <xdr:spPr bwMode="auto">
        <a:xfrm>
          <a:off x="0" y="15337367"/>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554289" name="Line 51">
          <a:extLst>
            <a:ext uri="{FF2B5EF4-FFF2-40B4-BE49-F238E27FC236}">
              <a16:creationId xmlns:a16="http://schemas.microsoft.com/office/drawing/2014/main" id="{BBEA6CCF-5403-4107-BEC6-371C5857AFE2}"/>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554290" name="Line 52">
          <a:extLst>
            <a:ext uri="{FF2B5EF4-FFF2-40B4-BE49-F238E27FC236}">
              <a16:creationId xmlns:a16="http://schemas.microsoft.com/office/drawing/2014/main" id="{66F760F9-4D17-49B3-BC87-BD0B594DC4E0}"/>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368300</xdr:colOff>
      <xdr:row>70</xdr:row>
      <xdr:rowOff>28575</xdr:rowOff>
    </xdr:from>
    <xdr:ext cx="454602" cy="337098"/>
    <xdr:sp macro="" textlink="">
      <xdr:nvSpPr>
        <xdr:cNvPr id="17461" name="Text Box 53">
          <a:extLst>
            <a:ext uri="{FF2B5EF4-FFF2-40B4-BE49-F238E27FC236}">
              <a16:creationId xmlns:a16="http://schemas.microsoft.com/office/drawing/2014/main" id="{59C05B05-E47E-4718-AD4F-865AC8B81021}"/>
            </a:ext>
          </a:extLst>
        </xdr:cNvPr>
        <xdr:cNvSpPr txBox="1">
          <a:spLocks noChangeArrowheads="1"/>
        </xdr:cNvSpPr>
      </xdr:nvSpPr>
      <xdr:spPr bwMode="auto">
        <a:xfrm>
          <a:off x="361950" y="11544300"/>
          <a:ext cx="476250" cy="371475"/>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0</xdr:colOff>
      <xdr:row>5</xdr:row>
      <xdr:rowOff>152400</xdr:rowOff>
    </xdr:from>
    <xdr:to>
      <xdr:col>12</xdr:col>
      <xdr:colOff>12700</xdr:colOff>
      <xdr:row>9</xdr:row>
      <xdr:rowOff>0</xdr:rowOff>
    </xdr:to>
    <xdr:sp macro="" textlink="">
      <xdr:nvSpPr>
        <xdr:cNvPr id="554292" name="Rectangle 55">
          <a:extLst>
            <a:ext uri="{FF2B5EF4-FFF2-40B4-BE49-F238E27FC236}">
              <a16:creationId xmlns:a16="http://schemas.microsoft.com/office/drawing/2014/main" id="{11BC18BD-533E-477A-8AB3-689ADA0DE29B}"/>
            </a:ext>
          </a:extLst>
        </xdr:cNvPr>
        <xdr:cNvSpPr>
          <a:spLocks noChangeArrowheads="1"/>
        </xdr:cNvSpPr>
      </xdr:nvSpPr>
      <xdr:spPr bwMode="auto">
        <a:xfrm>
          <a:off x="6362700" y="1079500"/>
          <a:ext cx="1416050" cy="514350"/>
        </a:xfrm>
        <a:prstGeom prst="rect">
          <a:avLst/>
        </a:prstGeom>
        <a:solidFill>
          <a:srgbClr val="99CCFF"/>
        </a:solidFill>
        <a:ln w="19050">
          <a:solidFill>
            <a:srgbClr val="000000"/>
          </a:solidFill>
          <a:miter lim="800000"/>
          <a:headEnd/>
          <a:tailEnd/>
        </a:ln>
      </xdr:spPr>
    </xdr:sp>
    <xdr:clientData/>
  </xdr:twoCellAnchor>
  <xdr:twoCellAnchor>
    <xdr:from>
      <xdr:col>10</xdr:col>
      <xdr:colOff>231775</xdr:colOff>
      <xdr:row>11</xdr:row>
      <xdr:rowOff>9525</xdr:rowOff>
    </xdr:from>
    <xdr:to>
      <xdr:col>11</xdr:col>
      <xdr:colOff>485823</xdr:colOff>
      <xdr:row>16</xdr:row>
      <xdr:rowOff>6400</xdr:rowOff>
    </xdr:to>
    <xdr:sp macro="" textlink="">
      <xdr:nvSpPr>
        <xdr:cNvPr id="17464" name="AutoShape 56">
          <a:extLst>
            <a:ext uri="{FF2B5EF4-FFF2-40B4-BE49-F238E27FC236}">
              <a16:creationId xmlns:a16="http://schemas.microsoft.com/office/drawing/2014/main" id="{E6682A30-DF3C-479E-9711-22375599F29A}"/>
            </a:ext>
          </a:extLst>
        </xdr:cNvPr>
        <xdr:cNvSpPr>
          <a:spLocks noChangeArrowheads="1"/>
        </xdr:cNvSpPr>
      </xdr:nvSpPr>
      <xdr:spPr bwMode="auto">
        <a:xfrm rot="10800000">
          <a:off x="6324600" y="1933575"/>
          <a:ext cx="952500" cy="8572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9525</xdr:colOff>
      <xdr:row>23</xdr:row>
      <xdr:rowOff>0</xdr:rowOff>
    </xdr:from>
    <xdr:to>
      <xdr:col>11</xdr:col>
      <xdr:colOff>626005</xdr:colOff>
      <xdr:row>26</xdr:row>
      <xdr:rowOff>88975</xdr:rowOff>
    </xdr:to>
    <xdr:sp macro="" textlink="">
      <xdr:nvSpPr>
        <xdr:cNvPr id="17465" name="Rectangle 57">
          <a:extLst>
            <a:ext uri="{FF2B5EF4-FFF2-40B4-BE49-F238E27FC236}">
              <a16:creationId xmlns:a16="http://schemas.microsoft.com/office/drawing/2014/main" id="{3A386EF0-F11C-45A4-AB00-51B4827283FE}"/>
            </a:ext>
          </a:extLst>
        </xdr:cNvPr>
        <xdr:cNvSpPr>
          <a:spLocks noChangeArrowheads="1"/>
        </xdr:cNvSpPr>
      </xdr:nvSpPr>
      <xdr:spPr bwMode="auto">
        <a:xfrm>
          <a:off x="6115050" y="3905250"/>
          <a:ext cx="1295400" cy="5810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19050</xdr:colOff>
      <xdr:row>18</xdr:row>
      <xdr:rowOff>9525</xdr:rowOff>
    </xdr:from>
    <xdr:to>
      <xdr:col>12</xdr:col>
      <xdr:colOff>0</xdr:colOff>
      <xdr:row>21</xdr:row>
      <xdr:rowOff>6436</xdr:rowOff>
    </xdr:to>
    <xdr:sp macro="" textlink="">
      <xdr:nvSpPr>
        <xdr:cNvPr id="17466" name="Rectangle 58">
          <a:extLst>
            <a:ext uri="{FF2B5EF4-FFF2-40B4-BE49-F238E27FC236}">
              <a16:creationId xmlns:a16="http://schemas.microsoft.com/office/drawing/2014/main" id="{6E9F2728-903B-4FE0-9575-D3B283AA3DFC}"/>
            </a:ext>
          </a:extLst>
        </xdr:cNvPr>
        <xdr:cNvSpPr>
          <a:spLocks noChangeArrowheads="1"/>
        </xdr:cNvSpPr>
      </xdr:nvSpPr>
      <xdr:spPr bwMode="auto">
        <a:xfrm>
          <a:off x="6124575" y="3105150"/>
          <a:ext cx="13335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21</xdr:row>
      <xdr:rowOff>25400</xdr:rowOff>
    </xdr:from>
    <xdr:to>
      <xdr:col>11</xdr:col>
      <xdr:colOff>0</xdr:colOff>
      <xdr:row>23</xdr:row>
      <xdr:rowOff>12700</xdr:rowOff>
    </xdr:to>
    <xdr:sp macro="" textlink="">
      <xdr:nvSpPr>
        <xdr:cNvPr id="554296" name="Line 59">
          <a:extLst>
            <a:ext uri="{FF2B5EF4-FFF2-40B4-BE49-F238E27FC236}">
              <a16:creationId xmlns:a16="http://schemas.microsoft.com/office/drawing/2014/main" id="{7E9A7AA9-288D-4295-B187-314ABDA97E38}"/>
            </a:ext>
          </a:extLst>
        </xdr:cNvPr>
        <xdr:cNvSpPr>
          <a:spLocks noChangeShapeType="1"/>
        </xdr:cNvSpPr>
      </xdr:nvSpPr>
      <xdr:spPr bwMode="auto">
        <a:xfrm>
          <a:off x="7092950" y="35750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16</xdr:row>
      <xdr:rowOff>25400</xdr:rowOff>
    </xdr:from>
    <xdr:to>
      <xdr:col>11</xdr:col>
      <xdr:colOff>0</xdr:colOff>
      <xdr:row>18</xdr:row>
      <xdr:rowOff>12700</xdr:rowOff>
    </xdr:to>
    <xdr:sp macro="" textlink="">
      <xdr:nvSpPr>
        <xdr:cNvPr id="554297" name="Line 60">
          <a:extLst>
            <a:ext uri="{FF2B5EF4-FFF2-40B4-BE49-F238E27FC236}">
              <a16:creationId xmlns:a16="http://schemas.microsoft.com/office/drawing/2014/main" id="{127531B8-8580-4B81-B44E-96A11BF99D5E}"/>
            </a:ext>
          </a:extLst>
        </xdr:cNvPr>
        <xdr:cNvSpPr>
          <a:spLocks noChangeShapeType="1"/>
        </xdr:cNvSpPr>
      </xdr:nvSpPr>
      <xdr:spPr bwMode="auto">
        <a:xfrm>
          <a:off x="7092950" y="27813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9</xdr:row>
      <xdr:rowOff>0</xdr:rowOff>
    </xdr:from>
    <xdr:to>
      <xdr:col>11</xdr:col>
      <xdr:colOff>0</xdr:colOff>
      <xdr:row>11</xdr:row>
      <xdr:rowOff>0</xdr:rowOff>
    </xdr:to>
    <xdr:sp macro="" textlink="">
      <xdr:nvSpPr>
        <xdr:cNvPr id="554298" name="Line 61">
          <a:extLst>
            <a:ext uri="{FF2B5EF4-FFF2-40B4-BE49-F238E27FC236}">
              <a16:creationId xmlns:a16="http://schemas.microsoft.com/office/drawing/2014/main" id="{D2E427BD-11D6-44EA-B5AC-2FED62520BF0}"/>
            </a:ext>
          </a:extLst>
        </xdr:cNvPr>
        <xdr:cNvSpPr>
          <a:spLocks noChangeShapeType="1"/>
        </xdr:cNvSpPr>
      </xdr:nvSpPr>
      <xdr:spPr bwMode="auto">
        <a:xfrm>
          <a:off x="7092950" y="159385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49818</xdr:colOff>
      <xdr:row>6</xdr:row>
      <xdr:rowOff>0</xdr:rowOff>
    </xdr:from>
    <xdr:ext cx="1209405" cy="484748"/>
    <xdr:sp macro="" textlink="">
      <xdr:nvSpPr>
        <xdr:cNvPr id="17470" name="Text Box 62">
          <a:extLst>
            <a:ext uri="{FF2B5EF4-FFF2-40B4-BE49-F238E27FC236}">
              <a16:creationId xmlns:a16="http://schemas.microsoft.com/office/drawing/2014/main" id="{1B2605AE-D0DB-4739-8835-A7D514104BE4}"/>
            </a:ext>
          </a:extLst>
        </xdr:cNvPr>
        <xdr:cNvSpPr txBox="1">
          <a:spLocks noChangeArrowheads="1"/>
        </xdr:cNvSpPr>
      </xdr:nvSpPr>
      <xdr:spPr bwMode="auto">
        <a:xfrm>
          <a:off x="7003068" y="1066800"/>
          <a:ext cx="1155654"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oneCellAnchor>
  <xdr:twoCellAnchor>
    <xdr:from>
      <xdr:col>11</xdr:col>
      <xdr:colOff>0</xdr:colOff>
      <xdr:row>5</xdr:row>
      <xdr:rowOff>0</xdr:rowOff>
    </xdr:from>
    <xdr:to>
      <xdr:col>11</xdr:col>
      <xdr:colOff>0</xdr:colOff>
      <xdr:row>6</xdr:row>
      <xdr:rowOff>0</xdr:rowOff>
    </xdr:to>
    <xdr:sp macro="" textlink="">
      <xdr:nvSpPr>
        <xdr:cNvPr id="554300" name="Line 63">
          <a:extLst>
            <a:ext uri="{FF2B5EF4-FFF2-40B4-BE49-F238E27FC236}">
              <a16:creationId xmlns:a16="http://schemas.microsoft.com/office/drawing/2014/main" id="{79ABD4D6-EFC1-4BE7-90E4-5BF631BF9DDE}"/>
            </a:ext>
          </a:extLst>
        </xdr:cNvPr>
        <xdr:cNvSpPr>
          <a:spLocks noChangeShapeType="1"/>
        </xdr:cNvSpPr>
      </xdr:nvSpPr>
      <xdr:spPr bwMode="auto">
        <a:xfrm>
          <a:off x="7092950" y="927100"/>
          <a:ext cx="0" cy="1651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323850</xdr:colOff>
      <xdr:row>31</xdr:row>
      <xdr:rowOff>107950</xdr:rowOff>
    </xdr:from>
    <xdr:to>
      <xdr:col>11</xdr:col>
      <xdr:colOff>406400</xdr:colOff>
      <xdr:row>36</xdr:row>
      <xdr:rowOff>0</xdr:rowOff>
    </xdr:to>
    <xdr:sp macro="" textlink="">
      <xdr:nvSpPr>
        <xdr:cNvPr id="554301" name="AutoShape 65">
          <a:extLst>
            <a:ext uri="{FF2B5EF4-FFF2-40B4-BE49-F238E27FC236}">
              <a16:creationId xmlns:a16="http://schemas.microsoft.com/office/drawing/2014/main" id="{768C36DE-2F68-4D7F-BE8A-8B31B234A026}"/>
            </a:ext>
          </a:extLst>
        </xdr:cNvPr>
        <xdr:cNvSpPr>
          <a:spLocks noChangeArrowheads="1"/>
        </xdr:cNvSpPr>
      </xdr:nvSpPr>
      <xdr:spPr bwMode="auto">
        <a:xfrm>
          <a:off x="6686550" y="524510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26</xdr:row>
      <xdr:rowOff>82550</xdr:rowOff>
    </xdr:from>
    <xdr:to>
      <xdr:col>11</xdr:col>
      <xdr:colOff>0</xdr:colOff>
      <xdr:row>36</xdr:row>
      <xdr:rowOff>0</xdr:rowOff>
    </xdr:to>
    <xdr:sp macro="" textlink="">
      <xdr:nvSpPr>
        <xdr:cNvPr id="554302" name="Line 66">
          <a:extLst>
            <a:ext uri="{FF2B5EF4-FFF2-40B4-BE49-F238E27FC236}">
              <a16:creationId xmlns:a16="http://schemas.microsoft.com/office/drawing/2014/main" id="{225A23FE-AC62-4135-B190-10D6F7221E10}"/>
            </a:ext>
          </a:extLst>
        </xdr:cNvPr>
        <xdr:cNvSpPr>
          <a:spLocks noChangeShapeType="1"/>
        </xdr:cNvSpPr>
      </xdr:nvSpPr>
      <xdr:spPr bwMode="auto">
        <a:xfrm rot="10800000">
          <a:off x="7092950" y="4425950"/>
          <a:ext cx="0" cy="1511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323850</xdr:colOff>
      <xdr:row>46</xdr:row>
      <xdr:rowOff>0</xdr:rowOff>
    </xdr:from>
    <xdr:to>
      <xdr:col>11</xdr:col>
      <xdr:colOff>406400</xdr:colOff>
      <xdr:row>50</xdr:row>
      <xdr:rowOff>50800</xdr:rowOff>
    </xdr:to>
    <xdr:sp macro="" textlink="">
      <xdr:nvSpPr>
        <xdr:cNvPr id="554303" name="AutoShape 67">
          <a:extLst>
            <a:ext uri="{FF2B5EF4-FFF2-40B4-BE49-F238E27FC236}">
              <a16:creationId xmlns:a16="http://schemas.microsoft.com/office/drawing/2014/main" id="{A61EF64A-1F33-41F2-A868-3065BD3EC2AC}"/>
            </a:ext>
          </a:extLst>
        </xdr:cNvPr>
        <xdr:cNvSpPr>
          <a:spLocks noChangeArrowheads="1"/>
        </xdr:cNvSpPr>
      </xdr:nvSpPr>
      <xdr:spPr bwMode="auto">
        <a:xfrm rot="10800000">
          <a:off x="6686550" y="752475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46</xdr:row>
      <xdr:rowOff>0</xdr:rowOff>
    </xdr:from>
    <xdr:to>
      <xdr:col>11</xdr:col>
      <xdr:colOff>0</xdr:colOff>
      <xdr:row>55</xdr:row>
      <xdr:rowOff>25400</xdr:rowOff>
    </xdr:to>
    <xdr:sp macro="" textlink="">
      <xdr:nvSpPr>
        <xdr:cNvPr id="554304" name="Line 68">
          <a:extLst>
            <a:ext uri="{FF2B5EF4-FFF2-40B4-BE49-F238E27FC236}">
              <a16:creationId xmlns:a16="http://schemas.microsoft.com/office/drawing/2014/main" id="{6F37E705-54D1-4AE3-9A56-06016FB07DDB}"/>
            </a:ext>
          </a:extLst>
        </xdr:cNvPr>
        <xdr:cNvSpPr>
          <a:spLocks noChangeShapeType="1"/>
        </xdr:cNvSpPr>
      </xdr:nvSpPr>
      <xdr:spPr bwMode="auto">
        <a:xfrm>
          <a:off x="7092950" y="75247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9525</xdr:colOff>
      <xdr:row>55</xdr:row>
      <xdr:rowOff>0</xdr:rowOff>
    </xdr:from>
    <xdr:to>
      <xdr:col>12</xdr:col>
      <xdr:colOff>9525</xdr:colOff>
      <xdr:row>58</xdr:row>
      <xdr:rowOff>9525</xdr:rowOff>
    </xdr:to>
    <xdr:sp macro="" textlink="">
      <xdr:nvSpPr>
        <xdr:cNvPr id="17477" name="Rectangle 69">
          <a:extLst>
            <a:ext uri="{FF2B5EF4-FFF2-40B4-BE49-F238E27FC236}">
              <a16:creationId xmlns:a16="http://schemas.microsoft.com/office/drawing/2014/main" id="{373088E7-D827-48C9-983E-1514F2DDC196}"/>
            </a:ext>
          </a:extLst>
        </xdr:cNvPr>
        <xdr:cNvSpPr>
          <a:spLocks noChangeArrowheads="1"/>
        </xdr:cNvSpPr>
      </xdr:nvSpPr>
      <xdr:spPr bwMode="auto">
        <a:xfrm>
          <a:off x="6115050" y="9086850"/>
          <a:ext cx="13525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9525</xdr:colOff>
      <xdr:row>60</xdr:row>
      <xdr:rowOff>9525</xdr:rowOff>
    </xdr:from>
    <xdr:to>
      <xdr:col>11</xdr:col>
      <xdr:colOff>626005</xdr:colOff>
      <xdr:row>63</xdr:row>
      <xdr:rowOff>6436</xdr:rowOff>
    </xdr:to>
    <xdr:sp macro="" textlink="">
      <xdr:nvSpPr>
        <xdr:cNvPr id="17478" name="Rectangle 70">
          <a:extLst>
            <a:ext uri="{FF2B5EF4-FFF2-40B4-BE49-F238E27FC236}">
              <a16:creationId xmlns:a16="http://schemas.microsoft.com/office/drawing/2014/main" id="{C9F5D012-658D-47BA-ABEB-1053302B70C6}"/>
            </a:ext>
          </a:extLst>
        </xdr:cNvPr>
        <xdr:cNvSpPr>
          <a:spLocks noChangeArrowheads="1"/>
        </xdr:cNvSpPr>
      </xdr:nvSpPr>
      <xdr:spPr bwMode="auto">
        <a:xfrm>
          <a:off x="6115050" y="9906000"/>
          <a:ext cx="12954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58</xdr:row>
      <xdr:rowOff>12700</xdr:rowOff>
    </xdr:from>
    <xdr:to>
      <xdr:col>11</xdr:col>
      <xdr:colOff>0</xdr:colOff>
      <xdr:row>60</xdr:row>
      <xdr:rowOff>12700</xdr:rowOff>
    </xdr:to>
    <xdr:sp macro="" textlink="">
      <xdr:nvSpPr>
        <xdr:cNvPr id="554307" name="Line 71">
          <a:extLst>
            <a:ext uri="{FF2B5EF4-FFF2-40B4-BE49-F238E27FC236}">
              <a16:creationId xmlns:a16="http://schemas.microsoft.com/office/drawing/2014/main" id="{1C37BF17-CE0F-4037-8874-75BE51B89299}"/>
            </a:ext>
          </a:extLst>
        </xdr:cNvPr>
        <xdr:cNvSpPr>
          <a:spLocks noChangeShapeType="1"/>
        </xdr:cNvSpPr>
      </xdr:nvSpPr>
      <xdr:spPr bwMode="auto">
        <a:xfrm>
          <a:off x="7092950" y="94488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63</xdr:row>
      <xdr:rowOff>12700</xdr:rowOff>
    </xdr:from>
    <xdr:to>
      <xdr:col>11</xdr:col>
      <xdr:colOff>0</xdr:colOff>
      <xdr:row>66</xdr:row>
      <xdr:rowOff>0</xdr:rowOff>
    </xdr:to>
    <xdr:sp macro="" textlink="">
      <xdr:nvSpPr>
        <xdr:cNvPr id="554308" name="Line 72">
          <a:extLst>
            <a:ext uri="{FF2B5EF4-FFF2-40B4-BE49-F238E27FC236}">
              <a16:creationId xmlns:a16="http://schemas.microsoft.com/office/drawing/2014/main" id="{A01F2475-6A14-43B0-868D-8EB9C64D7497}"/>
            </a:ext>
          </a:extLst>
        </xdr:cNvPr>
        <xdr:cNvSpPr>
          <a:spLocks noChangeShapeType="1"/>
        </xdr:cNvSpPr>
      </xdr:nvSpPr>
      <xdr:spPr bwMode="auto">
        <a:xfrm flipH="1">
          <a:off x="7092950" y="10242550"/>
          <a:ext cx="0" cy="469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231775</xdr:colOff>
      <xdr:row>66</xdr:row>
      <xdr:rowOff>0</xdr:rowOff>
    </xdr:from>
    <xdr:to>
      <xdr:col>11</xdr:col>
      <xdr:colOff>485823</xdr:colOff>
      <xdr:row>70</xdr:row>
      <xdr:rowOff>146016</xdr:rowOff>
    </xdr:to>
    <xdr:sp macro="" textlink="">
      <xdr:nvSpPr>
        <xdr:cNvPr id="17481" name="AutoShape 73">
          <a:extLst>
            <a:ext uri="{FF2B5EF4-FFF2-40B4-BE49-F238E27FC236}">
              <a16:creationId xmlns:a16="http://schemas.microsoft.com/office/drawing/2014/main" id="{8AE20A53-F2F2-4675-8AF8-FE83C35607CF}"/>
            </a:ext>
          </a:extLst>
        </xdr:cNvPr>
        <xdr:cNvSpPr>
          <a:spLocks noChangeArrowheads="1"/>
        </xdr:cNvSpPr>
      </xdr:nvSpPr>
      <xdr:spPr bwMode="auto">
        <a:xfrm rot="10800000">
          <a:off x="6324600" y="10868025"/>
          <a:ext cx="952500"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673100</xdr:colOff>
      <xdr:row>36</xdr:row>
      <xdr:rowOff>133350</xdr:rowOff>
    </xdr:from>
    <xdr:to>
      <xdr:col>11</xdr:col>
      <xdr:colOff>57150</xdr:colOff>
      <xdr:row>45</xdr:row>
      <xdr:rowOff>50800</xdr:rowOff>
    </xdr:to>
    <xdr:sp macro="" textlink="">
      <xdr:nvSpPr>
        <xdr:cNvPr id="554310" name="AutoShape 74">
          <a:extLst>
            <a:ext uri="{FF2B5EF4-FFF2-40B4-BE49-F238E27FC236}">
              <a16:creationId xmlns:a16="http://schemas.microsoft.com/office/drawing/2014/main" id="{3F938F28-B6AB-4F76-91F7-0E300D469807}"/>
            </a:ext>
          </a:extLst>
        </xdr:cNvPr>
        <xdr:cNvSpPr>
          <a:spLocks noChangeArrowheads="1"/>
        </xdr:cNvSpPr>
      </xdr:nvSpPr>
      <xdr:spPr bwMode="auto">
        <a:xfrm rot="10800000">
          <a:off x="7035800" y="6070600"/>
          <a:ext cx="114300" cy="1346200"/>
        </a:xfrm>
        <a:prstGeom prst="upArrow">
          <a:avLst>
            <a:gd name="adj1" fmla="val 50000"/>
            <a:gd name="adj2" fmla="val 294444"/>
          </a:avLst>
        </a:prstGeom>
        <a:solidFill>
          <a:srgbClr val="FF0000"/>
        </a:solidFill>
        <a:ln w="9525">
          <a:solidFill>
            <a:srgbClr val="FF0000"/>
          </a:solidFill>
          <a:miter lim="800000"/>
          <a:headEnd/>
          <a:tailEnd/>
        </a:ln>
      </xdr:spPr>
    </xdr:sp>
    <xdr:clientData/>
  </xdr:twoCellAnchor>
  <xdr:twoCellAnchor>
    <xdr:from>
      <xdr:col>10</xdr:col>
      <xdr:colOff>520700</xdr:colOff>
      <xdr:row>40</xdr:row>
      <xdr:rowOff>120650</xdr:rowOff>
    </xdr:from>
    <xdr:to>
      <xdr:col>11</xdr:col>
      <xdr:colOff>196850</xdr:colOff>
      <xdr:row>41</xdr:row>
      <xdr:rowOff>107950</xdr:rowOff>
    </xdr:to>
    <xdr:sp macro="" textlink="">
      <xdr:nvSpPr>
        <xdr:cNvPr id="554311" name="AutoShape 75">
          <a:extLst>
            <a:ext uri="{FF2B5EF4-FFF2-40B4-BE49-F238E27FC236}">
              <a16:creationId xmlns:a16="http://schemas.microsoft.com/office/drawing/2014/main" id="{BB6D147F-0823-405C-9336-AC7AACDC1063}"/>
            </a:ext>
          </a:extLst>
        </xdr:cNvPr>
        <xdr:cNvSpPr>
          <a:spLocks noChangeArrowheads="1"/>
        </xdr:cNvSpPr>
      </xdr:nvSpPr>
      <xdr:spPr bwMode="auto">
        <a:xfrm rot="-10372499">
          <a:off x="6883400" y="6692900"/>
          <a:ext cx="4064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10</xdr:col>
      <xdr:colOff>450850</xdr:colOff>
      <xdr:row>40</xdr:row>
      <xdr:rowOff>107950</xdr:rowOff>
    </xdr:from>
    <xdr:to>
      <xdr:col>10</xdr:col>
      <xdr:colOff>533400</xdr:colOff>
      <xdr:row>41</xdr:row>
      <xdr:rowOff>82550</xdr:rowOff>
    </xdr:to>
    <xdr:sp macro="" textlink="">
      <xdr:nvSpPr>
        <xdr:cNvPr id="554312" name="Rectangle 76">
          <a:extLst>
            <a:ext uri="{FF2B5EF4-FFF2-40B4-BE49-F238E27FC236}">
              <a16:creationId xmlns:a16="http://schemas.microsoft.com/office/drawing/2014/main" id="{FC14B17E-D3B2-4134-8663-EA78A73A80CF}"/>
            </a:ext>
          </a:extLst>
        </xdr:cNvPr>
        <xdr:cNvSpPr>
          <a:spLocks noChangeArrowheads="1"/>
        </xdr:cNvSpPr>
      </xdr:nvSpPr>
      <xdr:spPr bwMode="auto">
        <a:xfrm rot="-10232260">
          <a:off x="6813550" y="6680200"/>
          <a:ext cx="82550" cy="133350"/>
        </a:xfrm>
        <a:prstGeom prst="rect">
          <a:avLst/>
        </a:prstGeom>
        <a:solidFill>
          <a:srgbClr val="C0C0C0"/>
        </a:solidFill>
        <a:ln w="9525">
          <a:solidFill>
            <a:srgbClr val="C0C0C0"/>
          </a:solidFill>
          <a:miter lim="800000"/>
          <a:headEnd/>
          <a:tailEnd/>
        </a:ln>
      </xdr:spPr>
    </xdr:sp>
    <xdr:clientData/>
  </xdr:twoCellAnchor>
  <xdr:twoCellAnchor>
    <xdr:from>
      <xdr:col>11</xdr:col>
      <xdr:colOff>171450</xdr:colOff>
      <xdr:row>40</xdr:row>
      <xdr:rowOff>146050</xdr:rowOff>
    </xdr:from>
    <xdr:to>
      <xdr:col>11</xdr:col>
      <xdr:colOff>241300</xdr:colOff>
      <xdr:row>41</xdr:row>
      <xdr:rowOff>107950</xdr:rowOff>
    </xdr:to>
    <xdr:sp macro="" textlink="">
      <xdr:nvSpPr>
        <xdr:cNvPr id="554313" name="Rectangle 77">
          <a:extLst>
            <a:ext uri="{FF2B5EF4-FFF2-40B4-BE49-F238E27FC236}">
              <a16:creationId xmlns:a16="http://schemas.microsoft.com/office/drawing/2014/main" id="{513897C8-52C8-4673-B76D-1DAA22768008}"/>
            </a:ext>
          </a:extLst>
        </xdr:cNvPr>
        <xdr:cNvSpPr>
          <a:spLocks noChangeArrowheads="1"/>
        </xdr:cNvSpPr>
      </xdr:nvSpPr>
      <xdr:spPr bwMode="auto">
        <a:xfrm rot="-10232260">
          <a:off x="7264400" y="6718300"/>
          <a:ext cx="69850" cy="120650"/>
        </a:xfrm>
        <a:prstGeom prst="rect">
          <a:avLst/>
        </a:prstGeom>
        <a:solidFill>
          <a:srgbClr val="C0C0C0"/>
        </a:solidFill>
        <a:ln w="9525">
          <a:solidFill>
            <a:srgbClr val="C0C0C0"/>
          </a:solidFill>
          <a:miter lim="800000"/>
          <a:headEnd/>
          <a:tailEnd/>
        </a:ln>
      </xdr:spPr>
    </xdr:sp>
    <xdr:clientData/>
  </xdr:twoCellAnchor>
  <xdr:twoCellAnchor>
    <xdr:from>
      <xdr:col>10</xdr:col>
      <xdr:colOff>349250</xdr:colOff>
      <xdr:row>73</xdr:row>
      <xdr:rowOff>12700</xdr:rowOff>
    </xdr:from>
    <xdr:to>
      <xdr:col>11</xdr:col>
      <xdr:colOff>381000</xdr:colOff>
      <xdr:row>76</xdr:row>
      <xdr:rowOff>120650</xdr:rowOff>
    </xdr:to>
    <xdr:sp macro="" textlink="">
      <xdr:nvSpPr>
        <xdr:cNvPr id="554314" name="AutoShape 78">
          <a:extLst>
            <a:ext uri="{FF2B5EF4-FFF2-40B4-BE49-F238E27FC236}">
              <a16:creationId xmlns:a16="http://schemas.microsoft.com/office/drawing/2014/main" id="{DF402951-F764-44A0-BE03-204F9F29D809}"/>
            </a:ext>
          </a:extLst>
        </xdr:cNvPr>
        <xdr:cNvSpPr>
          <a:spLocks noChangeArrowheads="1"/>
        </xdr:cNvSpPr>
      </xdr:nvSpPr>
      <xdr:spPr bwMode="auto">
        <a:xfrm rot="10800000">
          <a:off x="6711950" y="11836400"/>
          <a:ext cx="762000" cy="5842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10</xdr:col>
      <xdr:colOff>9525</xdr:colOff>
      <xdr:row>80</xdr:row>
      <xdr:rowOff>9525</xdr:rowOff>
    </xdr:from>
    <xdr:to>
      <xdr:col>12</xdr:col>
      <xdr:colOff>0</xdr:colOff>
      <xdr:row>84</xdr:row>
      <xdr:rowOff>9525</xdr:rowOff>
    </xdr:to>
    <xdr:sp macro="" textlink="">
      <xdr:nvSpPr>
        <xdr:cNvPr id="17487" name="Rectangle 79">
          <a:extLst>
            <a:ext uri="{FF2B5EF4-FFF2-40B4-BE49-F238E27FC236}">
              <a16:creationId xmlns:a16="http://schemas.microsoft.com/office/drawing/2014/main" id="{F559064C-BE44-4115-8382-EE0AD92DE1C4}"/>
            </a:ext>
          </a:extLst>
        </xdr:cNvPr>
        <xdr:cNvSpPr>
          <a:spLocks noChangeArrowheads="1"/>
        </xdr:cNvSpPr>
      </xdr:nvSpPr>
      <xdr:spPr bwMode="auto">
        <a:xfrm rot="10800000">
          <a:off x="6115050" y="13144500"/>
          <a:ext cx="134302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10</xdr:col>
      <xdr:colOff>717550</xdr:colOff>
      <xdr:row>76</xdr:row>
      <xdr:rowOff>146050</xdr:rowOff>
    </xdr:from>
    <xdr:to>
      <xdr:col>11</xdr:col>
      <xdr:colOff>0</xdr:colOff>
      <xdr:row>80</xdr:row>
      <xdr:rowOff>0</xdr:rowOff>
    </xdr:to>
    <xdr:sp macro="" textlink="">
      <xdr:nvSpPr>
        <xdr:cNvPr id="554316" name="Line 80">
          <a:extLst>
            <a:ext uri="{FF2B5EF4-FFF2-40B4-BE49-F238E27FC236}">
              <a16:creationId xmlns:a16="http://schemas.microsoft.com/office/drawing/2014/main" id="{5BAFA6BB-BFB0-4413-B728-642F8BD8B80B}"/>
            </a:ext>
          </a:extLst>
        </xdr:cNvPr>
        <xdr:cNvSpPr>
          <a:spLocks noChangeShapeType="1"/>
        </xdr:cNvSpPr>
      </xdr:nvSpPr>
      <xdr:spPr bwMode="auto">
        <a:xfrm rot="10800000" flipH="1">
          <a:off x="7080250" y="12446000"/>
          <a:ext cx="12700" cy="495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84</xdr:row>
      <xdr:rowOff>12700</xdr:rowOff>
    </xdr:from>
    <xdr:to>
      <xdr:col>11</xdr:col>
      <xdr:colOff>0</xdr:colOff>
      <xdr:row>86</xdr:row>
      <xdr:rowOff>38100</xdr:rowOff>
    </xdr:to>
    <xdr:sp macro="" textlink="">
      <xdr:nvSpPr>
        <xdr:cNvPr id="554317" name="Line 81">
          <a:extLst>
            <a:ext uri="{FF2B5EF4-FFF2-40B4-BE49-F238E27FC236}">
              <a16:creationId xmlns:a16="http://schemas.microsoft.com/office/drawing/2014/main" id="{DD35064E-78E3-4644-AFD0-91B965760034}"/>
            </a:ext>
          </a:extLst>
        </xdr:cNvPr>
        <xdr:cNvSpPr>
          <a:spLocks noChangeShapeType="1"/>
        </xdr:cNvSpPr>
      </xdr:nvSpPr>
      <xdr:spPr bwMode="auto">
        <a:xfrm rot="10800000">
          <a:off x="7092950" y="1358900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403225</xdr:colOff>
      <xdr:row>73</xdr:row>
      <xdr:rowOff>0</xdr:rowOff>
    </xdr:from>
    <xdr:to>
      <xdr:col>11</xdr:col>
      <xdr:colOff>320633</xdr:colOff>
      <xdr:row>75</xdr:row>
      <xdr:rowOff>38100</xdr:rowOff>
    </xdr:to>
    <xdr:sp macro="" textlink="">
      <xdr:nvSpPr>
        <xdr:cNvPr id="17490" name="Text Box 82">
          <a:extLst>
            <a:ext uri="{FF2B5EF4-FFF2-40B4-BE49-F238E27FC236}">
              <a16:creationId xmlns:a16="http://schemas.microsoft.com/office/drawing/2014/main" id="{7DD59218-7436-44DE-8E48-60F121C59E29}"/>
            </a:ext>
          </a:extLst>
        </xdr:cNvPr>
        <xdr:cNvSpPr txBox="1">
          <a:spLocks noChangeArrowheads="1"/>
        </xdr:cNvSpPr>
      </xdr:nvSpPr>
      <xdr:spPr bwMode="auto">
        <a:xfrm>
          <a:off x="6496050" y="12001500"/>
          <a:ext cx="628650" cy="361950"/>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a:t>
          </a:r>
        </a:p>
      </xdr:txBody>
    </xdr:sp>
    <xdr:clientData/>
  </xdr:twoCellAnchor>
  <xdr:twoCellAnchor>
    <xdr:from>
      <xdr:col>11</xdr:col>
      <xdr:colOff>0</xdr:colOff>
      <xdr:row>70</xdr:row>
      <xdr:rowOff>146050</xdr:rowOff>
    </xdr:from>
    <xdr:to>
      <xdr:col>11</xdr:col>
      <xdr:colOff>0</xdr:colOff>
      <xdr:row>73</xdr:row>
      <xdr:rowOff>0</xdr:rowOff>
    </xdr:to>
    <xdr:sp macro="" textlink="">
      <xdr:nvSpPr>
        <xdr:cNvPr id="554319" name="Line 83">
          <a:extLst>
            <a:ext uri="{FF2B5EF4-FFF2-40B4-BE49-F238E27FC236}">
              <a16:creationId xmlns:a16="http://schemas.microsoft.com/office/drawing/2014/main" id="{FE3D8716-E363-45CC-93A4-AD784B63B06C}"/>
            </a:ext>
          </a:extLst>
        </xdr:cNvPr>
        <xdr:cNvSpPr>
          <a:spLocks noChangeShapeType="1"/>
        </xdr:cNvSpPr>
      </xdr:nvSpPr>
      <xdr:spPr bwMode="auto">
        <a:xfrm rot="10800000">
          <a:off x="7092950" y="114935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12700</xdr:colOff>
      <xdr:row>86</xdr:row>
      <xdr:rowOff>0</xdr:rowOff>
    </xdr:from>
    <xdr:to>
      <xdr:col>11</xdr:col>
      <xdr:colOff>628650</xdr:colOff>
      <xdr:row>90</xdr:row>
      <xdr:rowOff>0</xdr:rowOff>
    </xdr:to>
    <xdr:sp macro="" textlink="">
      <xdr:nvSpPr>
        <xdr:cNvPr id="554320" name="Rectangle 84">
          <a:extLst>
            <a:ext uri="{FF2B5EF4-FFF2-40B4-BE49-F238E27FC236}">
              <a16:creationId xmlns:a16="http://schemas.microsoft.com/office/drawing/2014/main" id="{7B331441-67F3-4B6D-ADA2-3BA7FDA89052}"/>
            </a:ext>
          </a:extLst>
        </xdr:cNvPr>
        <xdr:cNvSpPr>
          <a:spLocks noChangeArrowheads="1"/>
        </xdr:cNvSpPr>
      </xdr:nvSpPr>
      <xdr:spPr bwMode="auto">
        <a:xfrm>
          <a:off x="6375400" y="138938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12700</xdr:colOff>
      <xdr:row>92</xdr:row>
      <xdr:rowOff>12700</xdr:rowOff>
    </xdr:from>
    <xdr:to>
      <xdr:col>11</xdr:col>
      <xdr:colOff>628650</xdr:colOff>
      <xdr:row>96</xdr:row>
      <xdr:rowOff>12700</xdr:rowOff>
    </xdr:to>
    <xdr:sp macro="" textlink="">
      <xdr:nvSpPr>
        <xdr:cNvPr id="554321" name="Rectangle 85">
          <a:extLst>
            <a:ext uri="{FF2B5EF4-FFF2-40B4-BE49-F238E27FC236}">
              <a16:creationId xmlns:a16="http://schemas.microsoft.com/office/drawing/2014/main" id="{311B0F50-C576-4867-B849-DB7C3EF674CB}"/>
            </a:ext>
          </a:extLst>
        </xdr:cNvPr>
        <xdr:cNvSpPr>
          <a:spLocks noChangeArrowheads="1"/>
        </xdr:cNvSpPr>
      </xdr:nvSpPr>
      <xdr:spPr bwMode="auto">
        <a:xfrm>
          <a:off x="6375400" y="148590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19050</xdr:colOff>
      <xdr:row>98</xdr:row>
      <xdr:rowOff>6350</xdr:rowOff>
    </xdr:from>
    <xdr:to>
      <xdr:col>11</xdr:col>
      <xdr:colOff>626106</xdr:colOff>
      <xdr:row>102</xdr:row>
      <xdr:rowOff>138</xdr:rowOff>
    </xdr:to>
    <xdr:sp macro="" textlink="">
      <xdr:nvSpPr>
        <xdr:cNvPr id="17494" name="Rectangle 86">
          <a:extLst>
            <a:ext uri="{FF2B5EF4-FFF2-40B4-BE49-F238E27FC236}">
              <a16:creationId xmlns:a16="http://schemas.microsoft.com/office/drawing/2014/main" id="{5282D760-EA3E-4E6D-B764-D6E31D830507}"/>
            </a:ext>
          </a:extLst>
        </xdr:cNvPr>
        <xdr:cNvSpPr>
          <a:spLocks noChangeArrowheads="1"/>
        </xdr:cNvSpPr>
      </xdr:nvSpPr>
      <xdr:spPr bwMode="auto">
        <a:xfrm>
          <a:off x="6124575" y="16068675"/>
          <a:ext cx="1285875" cy="62865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11</xdr:col>
      <xdr:colOff>0</xdr:colOff>
      <xdr:row>90</xdr:row>
      <xdr:rowOff>12700</xdr:rowOff>
    </xdr:from>
    <xdr:to>
      <xdr:col>11</xdr:col>
      <xdr:colOff>0</xdr:colOff>
      <xdr:row>92</xdr:row>
      <xdr:rowOff>12700</xdr:rowOff>
    </xdr:to>
    <xdr:sp macro="" textlink="">
      <xdr:nvSpPr>
        <xdr:cNvPr id="554323" name="Line 87">
          <a:extLst>
            <a:ext uri="{FF2B5EF4-FFF2-40B4-BE49-F238E27FC236}">
              <a16:creationId xmlns:a16="http://schemas.microsoft.com/office/drawing/2014/main" id="{9612D675-71B4-4759-947A-7CCC62F15626}"/>
            </a:ext>
          </a:extLst>
        </xdr:cNvPr>
        <xdr:cNvSpPr>
          <a:spLocks noChangeShapeType="1"/>
        </xdr:cNvSpPr>
      </xdr:nvSpPr>
      <xdr:spPr bwMode="auto">
        <a:xfrm>
          <a:off x="7092950" y="145415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102</xdr:row>
      <xdr:rowOff>0</xdr:rowOff>
    </xdr:from>
    <xdr:to>
      <xdr:col>11</xdr:col>
      <xdr:colOff>0</xdr:colOff>
      <xdr:row>104</xdr:row>
      <xdr:rowOff>12700</xdr:rowOff>
    </xdr:to>
    <xdr:sp macro="" textlink="">
      <xdr:nvSpPr>
        <xdr:cNvPr id="554324" name="Line 88">
          <a:extLst>
            <a:ext uri="{FF2B5EF4-FFF2-40B4-BE49-F238E27FC236}">
              <a16:creationId xmlns:a16="http://schemas.microsoft.com/office/drawing/2014/main" id="{1AE2C3BE-17FF-48FC-86E3-B4934411243D}"/>
            </a:ext>
          </a:extLst>
        </xdr:cNvPr>
        <xdr:cNvSpPr>
          <a:spLocks noChangeShapeType="1"/>
        </xdr:cNvSpPr>
      </xdr:nvSpPr>
      <xdr:spPr bwMode="auto">
        <a:xfrm>
          <a:off x="7092950" y="16433800"/>
          <a:ext cx="0" cy="3302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0</xdr:colOff>
      <xdr:row>96</xdr:row>
      <xdr:rowOff>12700</xdr:rowOff>
    </xdr:from>
    <xdr:to>
      <xdr:col>11</xdr:col>
      <xdr:colOff>0</xdr:colOff>
      <xdr:row>98</xdr:row>
      <xdr:rowOff>25400</xdr:rowOff>
    </xdr:to>
    <xdr:sp macro="" textlink="">
      <xdr:nvSpPr>
        <xdr:cNvPr id="554325" name="Line 89">
          <a:extLst>
            <a:ext uri="{FF2B5EF4-FFF2-40B4-BE49-F238E27FC236}">
              <a16:creationId xmlns:a16="http://schemas.microsoft.com/office/drawing/2014/main" id="{105F13BD-AD36-4A8E-B986-F16854C2AFB0}"/>
            </a:ext>
          </a:extLst>
        </xdr:cNvPr>
        <xdr:cNvSpPr>
          <a:spLocks noChangeShapeType="1"/>
        </xdr:cNvSpPr>
      </xdr:nvSpPr>
      <xdr:spPr bwMode="auto">
        <a:xfrm>
          <a:off x="7092950" y="154940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437811</xdr:colOff>
      <xdr:row>86</xdr:row>
      <xdr:rowOff>28575</xdr:rowOff>
    </xdr:from>
    <xdr:ext cx="720465" cy="490807"/>
    <xdr:sp macro="" textlink="">
      <xdr:nvSpPr>
        <xdr:cNvPr id="17498" name="Text Box 90">
          <a:extLst>
            <a:ext uri="{FF2B5EF4-FFF2-40B4-BE49-F238E27FC236}">
              <a16:creationId xmlns:a16="http://schemas.microsoft.com/office/drawing/2014/main" id="{99B1C610-F4C3-4B67-A1A7-3931D79EEFBE}"/>
            </a:ext>
          </a:extLst>
        </xdr:cNvPr>
        <xdr:cNvSpPr txBox="1">
          <a:spLocks noChangeArrowheads="1"/>
        </xdr:cNvSpPr>
      </xdr:nvSpPr>
      <xdr:spPr bwMode="auto">
        <a:xfrm>
          <a:off x="7450328" y="133466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10</xdr:col>
      <xdr:colOff>202235</xdr:colOff>
      <xdr:row>93</xdr:row>
      <xdr:rowOff>66675</xdr:rowOff>
    </xdr:from>
    <xdr:ext cx="1194317" cy="176972"/>
    <xdr:sp macro="" textlink="">
      <xdr:nvSpPr>
        <xdr:cNvPr id="17499" name="Text Box 91">
          <a:extLst>
            <a:ext uri="{FF2B5EF4-FFF2-40B4-BE49-F238E27FC236}">
              <a16:creationId xmlns:a16="http://schemas.microsoft.com/office/drawing/2014/main" id="{F7F04241-34CF-4859-8613-34FBD023D6CF}"/>
            </a:ext>
          </a:extLst>
        </xdr:cNvPr>
        <xdr:cNvSpPr txBox="1">
          <a:spLocks noChangeArrowheads="1"/>
        </xdr:cNvSpPr>
      </xdr:nvSpPr>
      <xdr:spPr bwMode="auto">
        <a:xfrm>
          <a:off x="7189352" y="14451542"/>
          <a:ext cx="1154059"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10</xdr:col>
      <xdr:colOff>195797</xdr:colOff>
      <xdr:row>99</xdr:row>
      <xdr:rowOff>44450</xdr:rowOff>
    </xdr:from>
    <xdr:ext cx="1211780" cy="190081"/>
    <xdr:sp macro="" textlink="">
      <xdr:nvSpPr>
        <xdr:cNvPr id="17500" name="Text Box 92">
          <a:extLst>
            <a:ext uri="{FF2B5EF4-FFF2-40B4-BE49-F238E27FC236}">
              <a16:creationId xmlns:a16="http://schemas.microsoft.com/office/drawing/2014/main" id="{3A5F0726-D91D-4DB3-BE8B-1872D75CBCA3}"/>
            </a:ext>
          </a:extLst>
        </xdr:cNvPr>
        <xdr:cNvSpPr txBox="1">
          <a:spLocks noChangeArrowheads="1"/>
        </xdr:cNvSpPr>
      </xdr:nvSpPr>
      <xdr:spPr bwMode="auto">
        <a:xfrm>
          <a:off x="7182914" y="153437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12</xdr:col>
      <xdr:colOff>0</xdr:colOff>
      <xdr:row>106</xdr:row>
      <xdr:rowOff>95250</xdr:rowOff>
    </xdr:from>
    <xdr:to>
      <xdr:col>13</xdr:col>
      <xdr:colOff>0</xdr:colOff>
      <xdr:row>106</xdr:row>
      <xdr:rowOff>95250</xdr:rowOff>
    </xdr:to>
    <xdr:sp macro="" textlink="">
      <xdr:nvSpPr>
        <xdr:cNvPr id="554329" name="Line 97">
          <a:extLst>
            <a:ext uri="{FF2B5EF4-FFF2-40B4-BE49-F238E27FC236}">
              <a16:creationId xmlns:a16="http://schemas.microsoft.com/office/drawing/2014/main" id="{61CD667F-F947-4F1C-AB68-227F0B16501A}"/>
            </a:ext>
          </a:extLst>
        </xdr:cNvPr>
        <xdr:cNvSpPr>
          <a:spLocks noChangeShapeType="1"/>
        </xdr:cNvSpPr>
      </xdr:nvSpPr>
      <xdr:spPr bwMode="auto">
        <a:xfrm>
          <a:off x="7766050" y="171704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554330" name="Line 98">
          <a:extLst>
            <a:ext uri="{FF2B5EF4-FFF2-40B4-BE49-F238E27FC236}">
              <a16:creationId xmlns:a16="http://schemas.microsoft.com/office/drawing/2014/main" id="{E62A9B34-3B7F-4984-9F58-9DA92298450E}"/>
            </a:ext>
          </a:extLst>
        </xdr:cNvPr>
        <xdr:cNvSpPr>
          <a:spLocks noChangeShapeType="1"/>
        </xdr:cNvSpPr>
      </xdr:nvSpPr>
      <xdr:spPr bwMode="auto">
        <a:xfrm>
          <a:off x="7778750" y="174879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266700</xdr:colOff>
      <xdr:row>45</xdr:row>
      <xdr:rowOff>146050</xdr:rowOff>
    </xdr:from>
    <xdr:to>
      <xdr:col>9</xdr:col>
      <xdr:colOff>647700</xdr:colOff>
      <xdr:row>102</xdr:row>
      <xdr:rowOff>38100</xdr:rowOff>
    </xdr:to>
    <xdr:sp macro="" textlink="">
      <xdr:nvSpPr>
        <xdr:cNvPr id="554331" name="AutoShape 99">
          <a:extLst>
            <a:ext uri="{FF2B5EF4-FFF2-40B4-BE49-F238E27FC236}">
              <a16:creationId xmlns:a16="http://schemas.microsoft.com/office/drawing/2014/main" id="{5F9D1635-C973-4A35-8965-C10AA3A95E8C}"/>
            </a:ext>
          </a:extLst>
        </xdr:cNvPr>
        <xdr:cNvSpPr>
          <a:spLocks/>
        </xdr:cNvSpPr>
      </xdr:nvSpPr>
      <xdr:spPr bwMode="auto">
        <a:xfrm>
          <a:off x="5969000" y="7512050"/>
          <a:ext cx="381000" cy="89598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34925</xdr:colOff>
      <xdr:row>73</xdr:row>
      <xdr:rowOff>44450</xdr:rowOff>
    </xdr:from>
    <xdr:ext cx="494833" cy="336987"/>
    <xdr:sp macro="" textlink="">
      <xdr:nvSpPr>
        <xdr:cNvPr id="17508" name="Text Box 100">
          <a:extLst>
            <a:ext uri="{FF2B5EF4-FFF2-40B4-BE49-F238E27FC236}">
              <a16:creationId xmlns:a16="http://schemas.microsoft.com/office/drawing/2014/main" id="{E8D60150-7173-47BE-98B2-2ACFA4433169}"/>
            </a:ext>
          </a:extLst>
        </xdr:cNvPr>
        <xdr:cNvSpPr txBox="1">
          <a:spLocks noChangeArrowheads="1"/>
        </xdr:cNvSpPr>
      </xdr:nvSpPr>
      <xdr:spPr bwMode="auto">
        <a:xfrm>
          <a:off x="5972175" y="11360150"/>
          <a:ext cx="481459"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361950</xdr:colOff>
      <xdr:row>6</xdr:row>
      <xdr:rowOff>0</xdr:rowOff>
    </xdr:from>
    <xdr:to>
      <xdr:col>9</xdr:col>
      <xdr:colOff>603250</xdr:colOff>
      <xdr:row>36</xdr:row>
      <xdr:rowOff>38100</xdr:rowOff>
    </xdr:to>
    <xdr:sp macro="" textlink="">
      <xdr:nvSpPr>
        <xdr:cNvPr id="554333" name="AutoShape 101">
          <a:extLst>
            <a:ext uri="{FF2B5EF4-FFF2-40B4-BE49-F238E27FC236}">
              <a16:creationId xmlns:a16="http://schemas.microsoft.com/office/drawing/2014/main" id="{F4F7E12E-03C1-4124-AD65-AEE5EC744025}"/>
            </a:ext>
          </a:extLst>
        </xdr:cNvPr>
        <xdr:cNvSpPr>
          <a:spLocks/>
        </xdr:cNvSpPr>
      </xdr:nvSpPr>
      <xdr:spPr bwMode="auto">
        <a:xfrm>
          <a:off x="6064250" y="1092200"/>
          <a:ext cx="241300" cy="488315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82550</xdr:colOff>
      <xdr:row>20</xdr:row>
      <xdr:rowOff>111125</xdr:rowOff>
    </xdr:from>
    <xdr:ext cx="232242" cy="176972"/>
    <xdr:sp macro="" textlink="">
      <xdr:nvSpPr>
        <xdr:cNvPr id="17510" name="Text Box 102">
          <a:extLst>
            <a:ext uri="{FF2B5EF4-FFF2-40B4-BE49-F238E27FC236}">
              <a16:creationId xmlns:a16="http://schemas.microsoft.com/office/drawing/2014/main" id="{DDB9CA62-6E08-4E25-85F8-442FF65E2DE6}"/>
            </a:ext>
          </a:extLst>
        </xdr:cNvPr>
        <xdr:cNvSpPr txBox="1">
          <a:spLocks noChangeArrowheads="1"/>
        </xdr:cNvSpPr>
      </xdr:nvSpPr>
      <xdr:spPr bwMode="auto">
        <a:xfrm>
          <a:off x="6328833" y="3364442"/>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319993</xdr:colOff>
      <xdr:row>39</xdr:row>
      <xdr:rowOff>88900</xdr:rowOff>
    </xdr:from>
    <xdr:ext cx="525169" cy="336876"/>
    <xdr:sp macro="" textlink="">
      <xdr:nvSpPr>
        <xdr:cNvPr id="17511" name="Text Box 103">
          <a:extLst>
            <a:ext uri="{FF2B5EF4-FFF2-40B4-BE49-F238E27FC236}">
              <a16:creationId xmlns:a16="http://schemas.microsoft.com/office/drawing/2014/main" id="{8592D723-AA42-4C23-B05A-91B7C1970A48}"/>
            </a:ext>
          </a:extLst>
        </xdr:cNvPr>
        <xdr:cNvSpPr txBox="1">
          <a:spLocks noChangeArrowheads="1"/>
        </xdr:cNvSpPr>
      </xdr:nvSpPr>
      <xdr:spPr bwMode="auto">
        <a:xfrm>
          <a:off x="6574743" y="6216650"/>
          <a:ext cx="450145"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0B798FF5-CDE6-4D9A-B8B8-D5056E976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1B911EEA-A6BE-4A42-8154-BF53CB51AAA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A3E68C39-44DC-405B-BF49-37E025654D1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B8C999DE-4BE2-4F14-AEF3-68396B5999F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8590ABB7-29FB-4BF7-9633-76C6F9593199}"/>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4AE29E21-5CDC-4B48-B0CF-C6A3E019F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AF99FF19-F9C1-4548-8E29-794D63582911}"/>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8D76AA34-FEA1-4A89-9F3B-169CB801F180}"/>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8485A7A1-70AA-40AA-AA0B-2E65B56AAE88}"/>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28F82923-73E2-4B58-823E-831C22855A3B}"/>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79A70D03-4972-47B3-AE0C-A8A201C81CB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8E8147DD-C937-46A0-BF0A-D2A3801F844B}"/>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B9EFCA63-52B7-4A95-8ED1-684AD88CE32C}"/>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323469D8-66FC-4C15-ADD4-1ADC25C0C54A}"/>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A369A222-EAC1-4A11-AACF-BA1283A6795F}"/>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BA37BA35-3005-4ED9-9154-4ACCEE989BD2}"/>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246BA882-7458-4B0F-8DF9-6F7352872EF5}"/>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D513A77-1E34-45F7-B53F-0A1F09C22B86}"/>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9C4A8AD8-1CAC-47DE-ACDB-5C632D370ED6}"/>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A8FEC3A5-71B5-4870-B6AB-67ECB2EDE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4F0BDAE9-889E-4B59-9AAE-EA51C704B164}"/>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B628D2C2-EDC1-436C-A05F-D2885062D54A}"/>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27877826-D793-4188-A4E6-F2611574C4BE}"/>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5D8327C1-E41B-4F56-9649-956A96444ED8}"/>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B5B61ED4-1FF2-4A1C-B0F6-B933F56F4BB7}"/>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C5DA2E0C-E8E1-4506-AAB3-4409D389EDD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B345319C-5C1C-4B0E-B94B-B7364FE742F0}"/>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00BADBAD-AB90-42CE-908D-CEFC68DD4C58}"/>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2471871E-D0FE-42FE-BC51-C9B37DCFFB80}"/>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9BFB814B-BAA9-4A67-81E8-54D8F5266AD8}"/>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7A5F3C34-1D09-4FF9-A82A-C029EE10729E}"/>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3544FA4B-73B8-424A-82E4-7C94C782D9CC}"/>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842B7D90-12D9-44A9-AA9C-96A1D1513330}"/>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1CF33A81-1175-4A9D-9FB2-B73E64D0B876}"/>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4E2314D0-660F-4918-8A8C-4BE6FDC9306F}"/>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9690D1B4-BDE7-4E5E-86EC-D0025BC2A837}"/>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89088B8A-0D37-4AE9-8271-EABF7F9BB5B1}"/>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F1B6E837-3A94-4F24-81CE-BC9A6D791571}"/>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8A19E5D4-ADF2-468E-922B-DE04C5644CF1}"/>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D72345AF-F837-4A96-B951-7CEDAED185DF}"/>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213E242-4398-4999-B31E-C9A548B05A7E}"/>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CEF50E6-86E8-4305-ABBE-2C4818100287}"/>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78FB8AC5-6FFB-4434-9EEF-F1FF0B2EB31D}"/>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DC85F10A-C445-4503-B53E-61275FD39F6A}"/>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C41EF020-C6D0-416C-9CE3-A2EA00D74FFE}"/>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248D2433-436C-4690-87D0-8D8465E36E25}"/>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E05B5E8B-DDBE-4C31-AFA7-7A4DA0B3470D}"/>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A2B5649B-D475-4CDC-BF1F-3EEE977F52DB}"/>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8CE023D2-0890-419C-A99F-3BDA24E9E8B8}"/>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6E780E27-306F-43E9-9D48-9FCEAF81EE34}"/>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80AD31AE-CE3C-488C-B4D4-0FC5E3387C40}"/>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9503CD13-268E-4AC7-93B9-6AB5BB351C37}"/>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B2C7D3BB-39B5-4C44-9114-DB7D8BD1AE6C}"/>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54832146-1C22-48EE-BD38-693F58F19A9F}"/>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39DDDDCB-F80A-43B6-8731-22E1BC8CDAD3}"/>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B4267963-43AB-4CE9-BB6D-8ED2C56303CF}"/>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2EDFAD46-1295-43BC-BFD4-4339B7100EA8}"/>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AF374152-63A7-4E83-8F30-6348EDC68688}"/>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3E36BA09-C007-488B-AED5-67683047C135}"/>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4CDBE89C-5EFD-4560-94D6-378E84EC5610}"/>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D83EAC3F-1DB0-46A8-AD43-10DCEE767CCE}"/>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88BDB126-4756-4212-8D15-1D0B5A62DAE3}"/>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9F891639-E3F7-4625-A549-914533D21F0F}"/>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E0C5CB3B-C91F-437F-B513-D4814CD33B85}"/>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BA46E843-7FCC-46DA-AD81-CC8AE823EC7F}"/>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567ACF68-EEB7-4763-B72A-AA158A2FE3DC}"/>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7DE24135-53E9-4EC3-8015-FA820403662A}"/>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7AEF9255-2899-4DFB-8E16-39A747F045D6}"/>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CAB77842-31B1-4F9F-9A04-1A09867900F3}"/>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0273C7C5-B4A9-45C2-8173-318BD99EBE0B}"/>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5FC1B8EB-3E74-4F18-B49B-AC23B4D71121}"/>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6191AC65-8605-4E4D-90EA-DE1037BFCE98}"/>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435EF2B1-24CF-4CCD-9C27-F472F76429AD}"/>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E21B7D26-3340-47B2-A4F4-0B48E7317F4F}"/>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2922D2B-FD2C-471F-A1D5-9788326B9615}"/>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EFD78C33-0217-4031-8292-9193169BCC0C}"/>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409A70BE-95C6-442D-88EF-2F6483B9F875}"/>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17FEC3B0-3214-4489-8711-B52517571DEF}"/>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81A297EE-5B1F-4051-9037-3A1AA6BCC3A9}"/>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71F66F59-4285-4A34-8EDD-88ECF4C615B8}"/>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E4CD3E57-FB9C-43B9-A0FD-8C594E359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A31734F4-938F-4A9E-A495-7FC5B20044D7}"/>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166910D7-EE37-4729-B674-40E8CC457FD5}"/>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2EC08088-AC58-4C75-A5D7-C733B17CCE3E}"/>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6FDFCC49-164B-4048-BDF0-6076B2961B12}"/>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5233D9AD-A764-4A74-BDD8-3F16408BD076}"/>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6DD57676-8D92-4CC0-9CB8-CDC9DC95B596}"/>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90F8B978-9249-472E-B5CC-5D5E24D42D71}"/>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83AA72A4-FC0F-47EC-BFAC-3F51B40EFA86}"/>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E714C9DC-A279-4EDD-B600-8A78985F9F0A}"/>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86C4A8D3-2CA5-4364-8AF4-25E21D0E9327}"/>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312C7BEC-E137-480D-AA4E-9E5A0F2AEE59}"/>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B960F6A4-D4E5-4BA9-B161-1BDD58AF45EA}"/>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F0BF3F07-D138-4EEC-9E39-116B968F5FF0}"/>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9F3D564-FC87-4C6E-95E8-0AD802BC0E60}"/>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8FCC8EF0-B79C-46FC-992D-93E6EFE4CF1C}"/>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09367133-A82E-4BC6-A047-3CAAB16F3043}"/>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09FE4C2-22A8-4AF4-BBC4-BF6C53227240}"/>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1420D6B7-CD70-4D58-A5A1-AED79690D623}"/>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0D7CE174-240F-4312-922E-3B9987E90CCE}"/>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4DD4C581-82C9-41C4-B062-FEB6319FDC0E}"/>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57D8EB23-99C5-4AC0-96E6-75D0D823C33E}"/>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0A208B89-2652-434C-AD3B-7FF81C8C0D10}"/>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3196BE0E-4E14-4445-837F-257F83EAD559}"/>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F0807868-E95F-49C0-B4F0-25501EE89E05}"/>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E4E2B5CB-BEBC-45EE-B254-2D681DA6DAA8}"/>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5A275CC-B8D2-4F64-A46D-77A8A0D14A5F}"/>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22F8F112-DDA3-44CF-A63E-30E34682D49A}"/>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5621B9AA-2EF5-42B4-9FB4-46FE99E34CEE}"/>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003C4E9C-FAF4-435B-9FA6-40213A63E8DC}"/>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555D404B-22C5-49E9-9C22-4B8568EBCFC0}"/>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DF133E0E-1145-4943-9CB5-BC66B0DB5E29}"/>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E9400423-E300-4317-96B8-6DEFEF06190C}"/>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D46EAAB3-8FCA-47FB-9D3B-AA3764DF0D03}"/>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498A75DE-4168-43B5-836F-FA406854225F}"/>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37836A39-9767-4C8E-A1AC-C771B382DF66}"/>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647FCE9B-22E8-4586-AEDB-80FF48AA9D6A}"/>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18AC8101-F666-43D4-8587-C0A7237771FA}"/>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4A6243FC-AF28-4691-A770-B720DE6D70B4}"/>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409F05D0-C974-4FC9-92BB-FCA305C288B7}"/>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47E7DD4A-9194-4B0A-A0B5-541DD4DBD944}"/>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D211584B-ACF3-4237-8427-9A3469D9175C}"/>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4513DB6E-BAE2-4628-87E8-21C99E8F65D2}"/>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EF78165A-3243-4ADA-9035-43C1926FD7CA}"/>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2FF868CC-11CB-471F-9424-0F8FADEE0462}"/>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3B151176-8930-49C7-8883-22F5716912B2}"/>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02AE2C5C-BD5E-482C-8874-C474D4B8FB85}"/>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A4FF6E7E-F07A-44D8-8B4B-C858C159CA07}"/>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DD2BA43C-292C-4178-8462-9082CB39F420}"/>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948DC0C3-B4A4-465C-85B2-EE8BC052B10E}"/>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F8DE3132-2C94-4F2D-98CA-B3D3CA53CBAA}"/>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7757A1DA-DA3D-4E06-92D7-6CF508A7F01E}"/>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19D0D2CD-728C-4610-9150-69FAF73A71E3}"/>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1A2F2729-642A-42B7-9AFD-C048AE8F0F2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622C5332-6226-450C-900A-4642C3F46045}"/>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EE477C18-49A5-4209-AB31-D6A0A05035A7}"/>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AC69C9A-D159-40D4-A144-DCE984AD2CE8}"/>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C14FA90-354A-4C23-A0F4-30B789621A47}"/>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D209CE48-BEE9-49EC-9C0D-8A2FB0143D1D}"/>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3FB05136-37C1-40FB-AAE1-537D9F6B5F1E}"/>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A9C4101C-682A-4AF5-AB6B-BEBC12F53738}"/>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C210F4A9-544C-4303-AE4F-117CD966226D}"/>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9133FD7F-4D27-42EA-9FC4-22C9EB617163}"/>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1C276F6C-18CE-4F62-A219-3B6BE99F4EB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80578BAE-7B34-491A-BC36-7248440014A0}"/>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CFDEC702-923F-46DD-A663-3DB83A058B90}"/>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8ACB0E02-FAB6-48D1-AE51-4EE91110A2D3}"/>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D88F9288-5619-4AE8-A870-B30A84CE66CA}"/>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9E4AC473-F5E6-4905-83A4-BB3B14BE93D2}"/>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D35EC081-8622-467F-AC35-187F56C30A4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3FE44D39-F041-4B12-94AB-96C97B125B77}"/>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3EB06092-88E9-4A97-933F-0E62D71D279F}"/>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3C2E09E3-C5C2-4D22-8DB3-B9F64FECF080}"/>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68B12EE8-27C6-4027-8872-77F2F3DD0608}"/>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143CC2A8-F4A0-4F61-AE90-26BCD975413D}"/>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B10CA48B-0378-49ED-98F0-599A5A8EB28B}"/>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8BE1763C-0A76-4BE7-884E-71588CD7A9C9}"/>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CEE16F65-982C-4ED2-ADDA-76314ADD079C}"/>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43FE537-8A6D-4AE3-8A02-3D4968383955}"/>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E13139CA-3994-4496-A08C-4B34F8F57B9D}"/>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23A5BBEA-EF74-4812-ADB3-74527D34A9D3}"/>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195CA113-EB58-434A-A139-86A3245A16FC}"/>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40757AE1-B604-4CEA-86B0-0CCC7984E041}"/>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08C7D2AE-134F-4AA4-92C0-DB4E426A882C}"/>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81499B78-E7DB-420B-BF6D-03C2A0ECA1A2}"/>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4AEC464F-3165-4873-885C-B78372BF5397}"/>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34852C29-C3A8-45EE-91FC-A135ED9A20A0}"/>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80C449E9-E1DA-4293-BE43-A830C29B2CC2}"/>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80009C31-3C52-417E-8056-3339C36D8419}"/>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AE71EA38-7285-4F66-A53B-574E18C86AC2}"/>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57E8267F-6087-4EE7-8318-92930BEF2298}"/>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595BC48B-6213-486D-A921-41C911247C48}"/>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24353778-719C-45F8-9096-BE20071EA82D}"/>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5438E8E9-AE8F-47F0-B1A9-364BF86403B0}"/>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3D95194E-E77B-4926-82E0-0390CF52F2C3}"/>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610BC373-60ED-4882-9326-71564EAFA94C}"/>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B4DB8CB8-FA4A-4D28-9804-82AE04173F85}"/>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62B680B7-ADFF-4AC8-9283-C1F011E08A52}"/>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5B627882-9E4F-47DA-B77A-BE6FB1262B1F}"/>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D72966CC-251B-4506-AC48-2157FF42CCE7}"/>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FA628BBA-B37D-417D-B82E-99B0124E9450}"/>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B1888AC-79FF-4C78-89EB-4BDAD93861DC}"/>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1DC488A-35BB-41AC-887B-D1988CF39DCA}"/>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ADE1FF6A-6D99-49B4-BE64-FA1091D76EA2}"/>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E82878DD-6A43-41FE-9C75-737275EC2E5E}"/>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E4A58B28-EACD-4090-8B91-5A86D7E0EE93}"/>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0118A776-4457-4DA7-AC9A-9050C369114A}"/>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587375</xdr:colOff>
      <xdr:row>10</xdr:row>
      <xdr:rowOff>9525</xdr:rowOff>
    </xdr:from>
    <xdr:to>
      <xdr:col>3</xdr:col>
      <xdr:colOff>828848</xdr:colOff>
      <xdr:row>14</xdr:row>
      <xdr:rowOff>0</xdr:rowOff>
    </xdr:to>
    <xdr:sp macro="" textlink="">
      <xdr:nvSpPr>
        <xdr:cNvPr id="12289" name="Rectangle 1">
          <a:extLst>
            <a:ext uri="{FF2B5EF4-FFF2-40B4-BE49-F238E27FC236}">
              <a16:creationId xmlns:a16="http://schemas.microsoft.com/office/drawing/2014/main" id="{AC35DA13-F4DE-422A-BD52-6EB52E58990F}"/>
            </a:ext>
          </a:extLst>
        </xdr:cNvPr>
        <xdr:cNvSpPr>
          <a:spLocks noChangeArrowheads="1"/>
        </xdr:cNvSpPr>
      </xdr:nvSpPr>
      <xdr:spPr bwMode="auto">
        <a:xfrm>
          <a:off x="1819275" y="1781175"/>
          <a:ext cx="800100" cy="6381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TX</a:t>
          </a:r>
        </a:p>
      </xdr:txBody>
    </xdr:sp>
    <xdr:clientData/>
  </xdr:twoCellAnchor>
  <xdr:twoCellAnchor>
    <xdr:from>
      <xdr:col>3</xdr:col>
      <xdr:colOff>825500</xdr:colOff>
      <xdr:row>12</xdr:row>
      <xdr:rowOff>0</xdr:rowOff>
    </xdr:from>
    <xdr:to>
      <xdr:col>4</xdr:col>
      <xdr:colOff>0</xdr:colOff>
      <xdr:row>12</xdr:row>
      <xdr:rowOff>0</xdr:rowOff>
    </xdr:to>
    <xdr:sp macro="" textlink="">
      <xdr:nvSpPr>
        <xdr:cNvPr id="322365" name="Line 2">
          <a:extLst>
            <a:ext uri="{FF2B5EF4-FFF2-40B4-BE49-F238E27FC236}">
              <a16:creationId xmlns:a16="http://schemas.microsoft.com/office/drawing/2014/main" id="{0C9EB78C-50D7-4707-9C13-3B23DCA56F99}"/>
            </a:ext>
          </a:extLst>
        </xdr:cNvPr>
        <xdr:cNvSpPr>
          <a:spLocks noChangeShapeType="1"/>
        </xdr:cNvSpPr>
      </xdr:nvSpPr>
      <xdr:spPr bwMode="auto">
        <a:xfrm>
          <a:off x="2673350" y="2063750"/>
          <a:ext cx="8128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10</xdr:row>
      <xdr:rowOff>101600</xdr:rowOff>
    </xdr:from>
    <xdr:to>
      <xdr:col>5</xdr:col>
      <xdr:colOff>0</xdr:colOff>
      <xdr:row>13</xdr:row>
      <xdr:rowOff>54128</xdr:rowOff>
    </xdr:to>
    <xdr:sp macro="" textlink="">
      <xdr:nvSpPr>
        <xdr:cNvPr id="12291" name="Rectangle 3">
          <a:extLst>
            <a:ext uri="{FF2B5EF4-FFF2-40B4-BE49-F238E27FC236}">
              <a16:creationId xmlns:a16="http://schemas.microsoft.com/office/drawing/2014/main" id="{943B3D21-5902-488B-A4CF-77EB0C8F3203}"/>
            </a:ext>
          </a:extLst>
        </xdr:cNvPr>
        <xdr:cNvSpPr>
          <a:spLocks noChangeArrowheads="1"/>
        </xdr:cNvSpPr>
      </xdr:nvSpPr>
      <xdr:spPr bwMode="auto">
        <a:xfrm>
          <a:off x="3390900" y="1866900"/>
          <a:ext cx="609600" cy="457200"/>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twoCellAnchor>
  <xdr:twoCellAnchor>
    <xdr:from>
      <xdr:col>6</xdr:col>
      <xdr:colOff>0</xdr:colOff>
      <xdr:row>10</xdr:row>
      <xdr:rowOff>85724</xdr:rowOff>
    </xdr:from>
    <xdr:to>
      <xdr:col>7</xdr:col>
      <xdr:colOff>41285</xdr:colOff>
      <xdr:row>13</xdr:row>
      <xdr:rowOff>82477</xdr:rowOff>
    </xdr:to>
    <xdr:sp macro="" textlink="">
      <xdr:nvSpPr>
        <xdr:cNvPr id="12292" name="Rectangle 4">
          <a:extLst>
            <a:ext uri="{FF2B5EF4-FFF2-40B4-BE49-F238E27FC236}">
              <a16:creationId xmlns:a16="http://schemas.microsoft.com/office/drawing/2014/main" id="{F6C313E8-4BCA-40D0-AE81-7399FB00AD0A}"/>
            </a:ext>
          </a:extLst>
        </xdr:cNvPr>
        <xdr:cNvSpPr>
          <a:spLocks noChangeArrowheads="1"/>
        </xdr:cNvSpPr>
      </xdr:nvSpPr>
      <xdr:spPr bwMode="auto">
        <a:xfrm>
          <a:off x="5215467" y="1764241"/>
          <a:ext cx="733425" cy="453953"/>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900" b="1" i="0" strike="noStrike">
              <a:solidFill>
                <a:srgbClr val="000000"/>
              </a:solidFill>
              <a:latin typeface="Arial"/>
              <a:cs typeface="Arial"/>
            </a:rPr>
            <a:t>Other </a:t>
          </a:r>
        </a:p>
        <a:p>
          <a:pPr algn="ctr" rtl="1">
            <a:defRPr sz="1000"/>
          </a:pPr>
          <a:r>
            <a:rPr lang="en-US" sz="900" b="1" i="0" strike="noStrike">
              <a:solidFill>
                <a:srgbClr val="000000"/>
              </a:solidFill>
              <a:latin typeface="Arial"/>
              <a:cs typeface="Arial"/>
            </a:rPr>
            <a:t>In-Line</a:t>
          </a:r>
        </a:p>
        <a:p>
          <a:pPr algn="ctr" rtl="1">
            <a:defRPr sz="1000"/>
          </a:pPr>
          <a:r>
            <a:rPr lang="en-US" sz="900" b="1" i="0" strike="noStrike">
              <a:solidFill>
                <a:srgbClr val="000000"/>
              </a:solidFill>
              <a:latin typeface="Arial"/>
              <a:cs typeface="Arial"/>
            </a:rPr>
            <a:t>Device</a:t>
          </a:r>
        </a:p>
        <a:p>
          <a:pPr algn="ctr" rtl="1">
            <a:defRPr sz="1000"/>
          </a:pPr>
          <a:endParaRPr lang="en-US" sz="900" b="1" i="0" strike="noStrike">
            <a:solidFill>
              <a:srgbClr val="000000"/>
            </a:solidFill>
            <a:latin typeface="Arial"/>
            <a:cs typeface="Arial"/>
          </a:endParaRPr>
        </a:p>
      </xdr:txBody>
    </xdr:sp>
    <xdr:clientData/>
  </xdr:twoCellAnchor>
  <xdr:twoCellAnchor>
    <xdr:from>
      <xdr:col>5</xdr:col>
      <xdr:colOff>12700</xdr:colOff>
      <xdr:row>12</xdr:row>
      <xdr:rowOff>0</xdr:rowOff>
    </xdr:from>
    <xdr:to>
      <xdr:col>5</xdr:col>
      <xdr:colOff>641350</xdr:colOff>
      <xdr:row>12</xdr:row>
      <xdr:rowOff>0</xdr:rowOff>
    </xdr:to>
    <xdr:sp macro="" textlink="">
      <xdr:nvSpPr>
        <xdr:cNvPr id="322368" name="Line 5">
          <a:extLst>
            <a:ext uri="{FF2B5EF4-FFF2-40B4-BE49-F238E27FC236}">
              <a16:creationId xmlns:a16="http://schemas.microsoft.com/office/drawing/2014/main" id="{AB115BA4-13FA-4AB5-8FDA-B43DEC5D2966}"/>
            </a:ext>
          </a:extLst>
        </xdr:cNvPr>
        <xdr:cNvSpPr>
          <a:spLocks noChangeShapeType="1"/>
        </xdr:cNvSpPr>
      </xdr:nvSpPr>
      <xdr:spPr bwMode="auto">
        <a:xfrm>
          <a:off x="4114800" y="206375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8</xdr:row>
      <xdr:rowOff>25400</xdr:rowOff>
    </xdr:from>
    <xdr:to>
      <xdr:col>8</xdr:col>
      <xdr:colOff>546100</xdr:colOff>
      <xdr:row>10</xdr:row>
      <xdr:rowOff>133350</xdr:rowOff>
    </xdr:to>
    <xdr:sp macro="" textlink="">
      <xdr:nvSpPr>
        <xdr:cNvPr id="322369" name="AutoShape 6">
          <a:extLst>
            <a:ext uri="{FF2B5EF4-FFF2-40B4-BE49-F238E27FC236}">
              <a16:creationId xmlns:a16="http://schemas.microsoft.com/office/drawing/2014/main" id="{E3E3A487-D1BD-46FA-8614-2E6B028BC8FB}"/>
            </a:ext>
          </a:extLst>
        </xdr:cNvPr>
        <xdr:cNvSpPr>
          <a:spLocks noChangeArrowheads="1"/>
        </xdr:cNvSpPr>
      </xdr:nvSpPr>
      <xdr:spPr bwMode="auto">
        <a:xfrm rot="10800000">
          <a:off x="5988050" y="1447800"/>
          <a:ext cx="558800" cy="43180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266700</xdr:colOff>
      <xdr:row>8</xdr:row>
      <xdr:rowOff>12700</xdr:rowOff>
    </xdr:from>
    <xdr:to>
      <xdr:col>8</xdr:col>
      <xdr:colOff>266700</xdr:colOff>
      <xdr:row>12</xdr:row>
      <xdr:rowOff>0</xdr:rowOff>
    </xdr:to>
    <xdr:sp macro="" textlink="">
      <xdr:nvSpPr>
        <xdr:cNvPr id="322370" name="Line 7">
          <a:extLst>
            <a:ext uri="{FF2B5EF4-FFF2-40B4-BE49-F238E27FC236}">
              <a16:creationId xmlns:a16="http://schemas.microsoft.com/office/drawing/2014/main" id="{5E3D9CCE-D294-44D9-823C-700DAB525C0A}"/>
            </a:ext>
          </a:extLst>
        </xdr:cNvPr>
        <xdr:cNvSpPr>
          <a:spLocks noChangeShapeType="1"/>
        </xdr:cNvSpPr>
      </xdr:nvSpPr>
      <xdr:spPr bwMode="auto">
        <a:xfrm>
          <a:off x="6267450" y="1435100"/>
          <a:ext cx="0" cy="6286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31750</xdr:colOff>
      <xdr:row>12</xdr:row>
      <xdr:rowOff>0</xdr:rowOff>
    </xdr:from>
    <xdr:to>
      <xdr:col>8</xdr:col>
      <xdr:colOff>254000</xdr:colOff>
      <xdr:row>12</xdr:row>
      <xdr:rowOff>0</xdr:rowOff>
    </xdr:to>
    <xdr:sp macro="" textlink="">
      <xdr:nvSpPr>
        <xdr:cNvPr id="322371" name="Line 8">
          <a:extLst>
            <a:ext uri="{FF2B5EF4-FFF2-40B4-BE49-F238E27FC236}">
              <a16:creationId xmlns:a16="http://schemas.microsoft.com/office/drawing/2014/main" id="{2F17773A-A403-43FF-BE91-1DE877440099}"/>
            </a:ext>
          </a:extLst>
        </xdr:cNvPr>
        <xdr:cNvSpPr>
          <a:spLocks noChangeShapeType="1"/>
        </xdr:cNvSpPr>
      </xdr:nvSpPr>
      <xdr:spPr bwMode="auto">
        <a:xfrm>
          <a:off x="5416550" y="2063750"/>
          <a:ext cx="838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19050</xdr:colOff>
      <xdr:row>52</xdr:row>
      <xdr:rowOff>0</xdr:rowOff>
    </xdr:from>
    <xdr:to>
      <xdr:col>3</xdr:col>
      <xdr:colOff>850900</xdr:colOff>
      <xdr:row>55</xdr:row>
      <xdr:rowOff>145926</xdr:rowOff>
    </xdr:to>
    <xdr:sp macro="" textlink="">
      <xdr:nvSpPr>
        <xdr:cNvPr id="12297" name="Rectangle 9">
          <a:extLst>
            <a:ext uri="{FF2B5EF4-FFF2-40B4-BE49-F238E27FC236}">
              <a16:creationId xmlns:a16="http://schemas.microsoft.com/office/drawing/2014/main" id="{A0FA346A-B1E4-4E40-8C20-10F045706A73}"/>
            </a:ext>
          </a:extLst>
        </xdr:cNvPr>
        <xdr:cNvSpPr>
          <a:spLocks noChangeArrowheads="1"/>
        </xdr:cNvSpPr>
      </xdr:nvSpPr>
      <xdr:spPr bwMode="auto">
        <a:xfrm>
          <a:off x="1847850" y="7639050"/>
          <a:ext cx="800100" cy="6381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TX</a:t>
          </a:r>
        </a:p>
      </xdr:txBody>
    </xdr:sp>
    <xdr:clientData/>
  </xdr:twoCellAnchor>
  <xdr:twoCellAnchor>
    <xdr:from>
      <xdr:col>3</xdr:col>
      <xdr:colOff>850900</xdr:colOff>
      <xdr:row>53</xdr:row>
      <xdr:rowOff>146050</xdr:rowOff>
    </xdr:from>
    <xdr:to>
      <xdr:col>4</xdr:col>
      <xdr:colOff>25400</xdr:colOff>
      <xdr:row>53</xdr:row>
      <xdr:rowOff>146050</xdr:rowOff>
    </xdr:to>
    <xdr:sp macro="" textlink="">
      <xdr:nvSpPr>
        <xdr:cNvPr id="322373" name="Line 10">
          <a:extLst>
            <a:ext uri="{FF2B5EF4-FFF2-40B4-BE49-F238E27FC236}">
              <a16:creationId xmlns:a16="http://schemas.microsoft.com/office/drawing/2014/main" id="{AD498D22-0702-48AE-B2A6-1F9ECAA92860}"/>
            </a:ext>
          </a:extLst>
        </xdr:cNvPr>
        <xdr:cNvSpPr>
          <a:spLocks noChangeShapeType="1"/>
        </xdr:cNvSpPr>
      </xdr:nvSpPr>
      <xdr:spPr bwMode="auto">
        <a:xfrm>
          <a:off x="2698750" y="7810500"/>
          <a:ext cx="8128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19050</xdr:colOff>
      <xdr:row>52</xdr:row>
      <xdr:rowOff>79375</xdr:rowOff>
    </xdr:from>
    <xdr:to>
      <xdr:col>5</xdr:col>
      <xdr:colOff>31928</xdr:colOff>
      <xdr:row>55</xdr:row>
      <xdr:rowOff>44494</xdr:rowOff>
    </xdr:to>
    <xdr:sp macro="" textlink="">
      <xdr:nvSpPr>
        <xdr:cNvPr id="12299" name="Rectangle 11">
          <a:extLst>
            <a:ext uri="{FF2B5EF4-FFF2-40B4-BE49-F238E27FC236}">
              <a16:creationId xmlns:a16="http://schemas.microsoft.com/office/drawing/2014/main" id="{F434E913-CF89-472B-AD1D-2F4563E65AA1}"/>
            </a:ext>
          </a:extLst>
        </xdr:cNvPr>
        <xdr:cNvSpPr>
          <a:spLocks noChangeArrowheads="1"/>
        </xdr:cNvSpPr>
      </xdr:nvSpPr>
      <xdr:spPr bwMode="auto">
        <a:xfrm>
          <a:off x="3409950" y="7724775"/>
          <a:ext cx="609600" cy="457200"/>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Filter</a:t>
          </a:r>
        </a:p>
      </xdr:txBody>
    </xdr:sp>
    <xdr:clientData/>
  </xdr:twoCellAnchor>
  <xdr:twoCellAnchor>
    <xdr:from>
      <xdr:col>6</xdr:col>
      <xdr:colOff>19050</xdr:colOff>
      <xdr:row>52</xdr:row>
      <xdr:rowOff>101600</xdr:rowOff>
    </xdr:from>
    <xdr:to>
      <xdr:col>7</xdr:col>
      <xdr:colOff>28575</xdr:colOff>
      <xdr:row>55</xdr:row>
      <xdr:rowOff>127178</xdr:rowOff>
    </xdr:to>
    <xdr:sp macro="" textlink="">
      <xdr:nvSpPr>
        <xdr:cNvPr id="12300" name="Rectangle 12">
          <a:extLst>
            <a:ext uri="{FF2B5EF4-FFF2-40B4-BE49-F238E27FC236}">
              <a16:creationId xmlns:a16="http://schemas.microsoft.com/office/drawing/2014/main" id="{587B1A14-AB69-4AF2-91B3-C4A4FDE085DC}"/>
            </a:ext>
          </a:extLst>
        </xdr:cNvPr>
        <xdr:cNvSpPr>
          <a:spLocks noChangeArrowheads="1"/>
        </xdr:cNvSpPr>
      </xdr:nvSpPr>
      <xdr:spPr bwMode="auto">
        <a:xfrm>
          <a:off x="4638675" y="7734300"/>
          <a:ext cx="609600" cy="5238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Other</a:t>
          </a:r>
        </a:p>
        <a:p>
          <a:pPr algn="ctr" rtl="1">
            <a:defRPr sz="1000"/>
          </a:pPr>
          <a:r>
            <a:rPr lang="en-US" sz="1000" b="0" i="0" strike="noStrike">
              <a:solidFill>
                <a:srgbClr val="000000"/>
              </a:solidFill>
              <a:latin typeface="Arial"/>
              <a:cs typeface="Arial"/>
            </a:rPr>
            <a:t>In-Line</a:t>
          </a:r>
        </a:p>
        <a:p>
          <a:pPr algn="ctr" rtl="1">
            <a:defRPr sz="1000"/>
          </a:pPr>
          <a:r>
            <a:rPr lang="en-US" sz="1000" b="0" i="0" strike="noStrike">
              <a:solidFill>
                <a:srgbClr val="000000"/>
              </a:solidFill>
              <a:latin typeface="Arial"/>
              <a:cs typeface="Arial"/>
            </a:rPr>
            <a:t>Losses:</a:t>
          </a:r>
        </a:p>
      </xdr:txBody>
    </xdr:sp>
    <xdr:clientData/>
  </xdr:twoCellAnchor>
  <xdr:twoCellAnchor>
    <xdr:from>
      <xdr:col>5</xdr:col>
      <xdr:colOff>38100</xdr:colOff>
      <xdr:row>53</xdr:row>
      <xdr:rowOff>146050</xdr:rowOff>
    </xdr:from>
    <xdr:to>
      <xdr:col>6</xdr:col>
      <xdr:colOff>12700</xdr:colOff>
      <xdr:row>53</xdr:row>
      <xdr:rowOff>146050</xdr:rowOff>
    </xdr:to>
    <xdr:sp macro="" textlink="">
      <xdr:nvSpPr>
        <xdr:cNvPr id="322376" name="Line 13">
          <a:extLst>
            <a:ext uri="{FF2B5EF4-FFF2-40B4-BE49-F238E27FC236}">
              <a16:creationId xmlns:a16="http://schemas.microsoft.com/office/drawing/2014/main" id="{CEDB58A2-A27E-458D-8DC8-72EC5BDCF525}"/>
            </a:ext>
          </a:extLst>
        </xdr:cNvPr>
        <xdr:cNvSpPr>
          <a:spLocks noChangeShapeType="1"/>
        </xdr:cNvSpPr>
      </xdr:nvSpPr>
      <xdr:spPr bwMode="auto">
        <a:xfrm>
          <a:off x="4140200" y="7810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50</xdr:row>
      <xdr:rowOff>12700</xdr:rowOff>
    </xdr:from>
    <xdr:to>
      <xdr:col>8</xdr:col>
      <xdr:colOff>571500</xdr:colOff>
      <xdr:row>52</xdr:row>
      <xdr:rowOff>120650</xdr:rowOff>
    </xdr:to>
    <xdr:sp macro="" textlink="">
      <xdr:nvSpPr>
        <xdr:cNvPr id="322377" name="AutoShape 14">
          <a:extLst>
            <a:ext uri="{FF2B5EF4-FFF2-40B4-BE49-F238E27FC236}">
              <a16:creationId xmlns:a16="http://schemas.microsoft.com/office/drawing/2014/main" id="{B9E5506A-FFDE-4027-90C1-9A141AD8262D}"/>
            </a:ext>
          </a:extLst>
        </xdr:cNvPr>
        <xdr:cNvSpPr>
          <a:spLocks noChangeArrowheads="1"/>
        </xdr:cNvSpPr>
      </xdr:nvSpPr>
      <xdr:spPr bwMode="auto">
        <a:xfrm rot="10800000">
          <a:off x="6013450" y="7200900"/>
          <a:ext cx="558800"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292100</xdr:colOff>
      <xdr:row>50</xdr:row>
      <xdr:rowOff>12700</xdr:rowOff>
    </xdr:from>
    <xdr:to>
      <xdr:col>8</xdr:col>
      <xdr:colOff>292100</xdr:colOff>
      <xdr:row>53</xdr:row>
      <xdr:rowOff>146050</xdr:rowOff>
    </xdr:to>
    <xdr:sp macro="" textlink="">
      <xdr:nvSpPr>
        <xdr:cNvPr id="322378" name="Line 15">
          <a:extLst>
            <a:ext uri="{FF2B5EF4-FFF2-40B4-BE49-F238E27FC236}">
              <a16:creationId xmlns:a16="http://schemas.microsoft.com/office/drawing/2014/main" id="{E5849F12-0EA7-4203-8595-ECBDED11BEB2}"/>
            </a:ext>
          </a:extLst>
        </xdr:cNvPr>
        <xdr:cNvSpPr>
          <a:spLocks noChangeShapeType="1"/>
        </xdr:cNvSpPr>
      </xdr:nvSpPr>
      <xdr:spPr bwMode="auto">
        <a:xfrm>
          <a:off x="6292850" y="7200900"/>
          <a:ext cx="0" cy="609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25400</xdr:colOff>
      <xdr:row>53</xdr:row>
      <xdr:rowOff>146050</xdr:rowOff>
    </xdr:from>
    <xdr:to>
      <xdr:col>8</xdr:col>
      <xdr:colOff>279400</xdr:colOff>
      <xdr:row>53</xdr:row>
      <xdr:rowOff>146050</xdr:rowOff>
    </xdr:to>
    <xdr:sp macro="" textlink="">
      <xdr:nvSpPr>
        <xdr:cNvPr id="322379" name="Line 16">
          <a:extLst>
            <a:ext uri="{FF2B5EF4-FFF2-40B4-BE49-F238E27FC236}">
              <a16:creationId xmlns:a16="http://schemas.microsoft.com/office/drawing/2014/main" id="{53425E7D-7EED-45DD-AFCD-8A959C381ABC}"/>
            </a:ext>
          </a:extLst>
        </xdr:cNvPr>
        <xdr:cNvSpPr>
          <a:spLocks noChangeShapeType="1"/>
        </xdr:cNvSpPr>
      </xdr:nvSpPr>
      <xdr:spPr bwMode="auto">
        <a:xfrm>
          <a:off x="5410200" y="7810500"/>
          <a:ext cx="8699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1035050</xdr:colOff>
      <xdr:row>10</xdr:row>
      <xdr:rowOff>0</xdr:rowOff>
    </xdr:from>
    <xdr:ext cx="382028" cy="170560"/>
    <xdr:sp macro="" textlink="">
      <xdr:nvSpPr>
        <xdr:cNvPr id="12308" name="Text Box 20">
          <a:extLst>
            <a:ext uri="{FF2B5EF4-FFF2-40B4-BE49-F238E27FC236}">
              <a16:creationId xmlns:a16="http://schemas.microsoft.com/office/drawing/2014/main" id="{AB105969-514A-40A1-920F-F969471DB15D}"/>
            </a:ext>
          </a:extLst>
        </xdr:cNvPr>
        <xdr:cNvSpPr txBox="1">
          <a:spLocks noChangeArrowheads="1"/>
        </xdr:cNvSpPr>
      </xdr:nvSpPr>
      <xdr:spPr bwMode="auto">
        <a:xfrm>
          <a:off x="2889250" y="1765300"/>
          <a:ext cx="38202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Line A</a:t>
          </a:r>
        </a:p>
      </xdr:txBody>
    </xdr:sp>
    <xdr:clientData/>
  </xdr:oneCellAnchor>
  <xdr:twoCellAnchor>
    <xdr:from>
      <xdr:col>8</xdr:col>
      <xdr:colOff>546100</xdr:colOff>
      <xdr:row>9</xdr:row>
      <xdr:rowOff>146050</xdr:rowOff>
    </xdr:from>
    <xdr:to>
      <xdr:col>8</xdr:col>
      <xdr:colOff>546100</xdr:colOff>
      <xdr:row>11</xdr:row>
      <xdr:rowOff>95250</xdr:rowOff>
    </xdr:to>
    <xdr:sp macro="" textlink="">
      <xdr:nvSpPr>
        <xdr:cNvPr id="322381" name="Line 21">
          <a:extLst>
            <a:ext uri="{FF2B5EF4-FFF2-40B4-BE49-F238E27FC236}">
              <a16:creationId xmlns:a16="http://schemas.microsoft.com/office/drawing/2014/main" id="{7AAB85E7-C748-48F6-8B16-FC2EABED0913}"/>
            </a:ext>
          </a:extLst>
        </xdr:cNvPr>
        <xdr:cNvSpPr>
          <a:spLocks noChangeShapeType="1"/>
        </xdr:cNvSpPr>
      </xdr:nvSpPr>
      <xdr:spPr bwMode="auto">
        <a:xfrm>
          <a:off x="6546850" y="1733550"/>
          <a:ext cx="0" cy="266700"/>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603250</xdr:colOff>
      <xdr:row>50</xdr:row>
      <xdr:rowOff>146050</xdr:rowOff>
    </xdr:from>
    <xdr:to>
      <xdr:col>8</xdr:col>
      <xdr:colOff>603250</xdr:colOff>
      <xdr:row>52</xdr:row>
      <xdr:rowOff>82550</xdr:rowOff>
    </xdr:to>
    <xdr:sp macro="" textlink="">
      <xdr:nvSpPr>
        <xdr:cNvPr id="322382" name="Line 25">
          <a:extLst>
            <a:ext uri="{FF2B5EF4-FFF2-40B4-BE49-F238E27FC236}">
              <a16:creationId xmlns:a16="http://schemas.microsoft.com/office/drawing/2014/main" id="{25FAE9D5-F17A-4D95-AE8E-9214FB4C0113}"/>
            </a:ext>
          </a:extLst>
        </xdr:cNvPr>
        <xdr:cNvSpPr>
          <a:spLocks noChangeShapeType="1"/>
        </xdr:cNvSpPr>
      </xdr:nvSpPr>
      <xdr:spPr bwMode="auto">
        <a:xfrm>
          <a:off x="6604000" y="7334250"/>
          <a:ext cx="0" cy="254000"/>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311150</xdr:colOff>
      <xdr:row>9</xdr:row>
      <xdr:rowOff>0</xdr:rowOff>
    </xdr:from>
    <xdr:to>
      <xdr:col>3</xdr:col>
      <xdr:colOff>311150</xdr:colOff>
      <xdr:row>12</xdr:row>
      <xdr:rowOff>95250</xdr:rowOff>
    </xdr:to>
    <xdr:sp macro="" textlink="">
      <xdr:nvSpPr>
        <xdr:cNvPr id="569379" name="AutoShape 2">
          <a:extLst>
            <a:ext uri="{FF2B5EF4-FFF2-40B4-BE49-F238E27FC236}">
              <a16:creationId xmlns:a16="http://schemas.microsoft.com/office/drawing/2014/main" id="{D402896E-2264-4624-8341-1C238C30CD9A}"/>
            </a:ext>
          </a:extLst>
        </xdr:cNvPr>
        <xdr:cNvSpPr>
          <a:spLocks noChangeArrowheads="1"/>
        </xdr:cNvSpPr>
      </xdr:nvSpPr>
      <xdr:spPr bwMode="auto">
        <a:xfrm rot="10800000">
          <a:off x="1543050" y="1549400"/>
          <a:ext cx="615950" cy="5715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3</xdr:col>
      <xdr:colOff>0</xdr:colOff>
      <xdr:row>9</xdr:row>
      <xdr:rowOff>0</xdr:rowOff>
    </xdr:from>
    <xdr:to>
      <xdr:col>3</xdr:col>
      <xdr:colOff>0</xdr:colOff>
      <xdr:row>15</xdr:row>
      <xdr:rowOff>12700</xdr:rowOff>
    </xdr:to>
    <xdr:sp macro="" textlink="">
      <xdr:nvSpPr>
        <xdr:cNvPr id="569380" name="Line 3">
          <a:extLst>
            <a:ext uri="{FF2B5EF4-FFF2-40B4-BE49-F238E27FC236}">
              <a16:creationId xmlns:a16="http://schemas.microsoft.com/office/drawing/2014/main" id="{DB7C1D84-61E3-4162-8D77-4A099EFCAE38}"/>
            </a:ext>
          </a:extLst>
        </xdr:cNvPr>
        <xdr:cNvSpPr>
          <a:spLocks noChangeShapeType="1"/>
        </xdr:cNvSpPr>
      </xdr:nvSpPr>
      <xdr:spPr bwMode="auto">
        <a:xfrm>
          <a:off x="1847850" y="1549400"/>
          <a:ext cx="0" cy="9652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15</xdr:row>
      <xdr:rowOff>12700</xdr:rowOff>
    </xdr:from>
    <xdr:to>
      <xdr:col>4</xdr:col>
      <xdr:colOff>0</xdr:colOff>
      <xdr:row>15</xdr:row>
      <xdr:rowOff>12700</xdr:rowOff>
    </xdr:to>
    <xdr:sp macro="" textlink="">
      <xdr:nvSpPr>
        <xdr:cNvPr id="569381" name="Line 4">
          <a:extLst>
            <a:ext uri="{FF2B5EF4-FFF2-40B4-BE49-F238E27FC236}">
              <a16:creationId xmlns:a16="http://schemas.microsoft.com/office/drawing/2014/main" id="{CA10BD6F-1657-4E21-9860-E6091C69529D}"/>
            </a:ext>
          </a:extLst>
        </xdr:cNvPr>
        <xdr:cNvSpPr>
          <a:spLocks noChangeShapeType="1"/>
        </xdr:cNvSpPr>
      </xdr:nvSpPr>
      <xdr:spPr bwMode="auto">
        <a:xfrm>
          <a:off x="1860550" y="2514600"/>
          <a:ext cx="603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13</xdr:row>
      <xdr:rowOff>0</xdr:rowOff>
    </xdr:from>
    <xdr:to>
      <xdr:col>5</xdr:col>
      <xdr:colOff>304800</xdr:colOff>
      <xdr:row>17</xdr:row>
      <xdr:rowOff>0</xdr:rowOff>
    </xdr:to>
    <xdr:sp macro="" textlink="">
      <xdr:nvSpPr>
        <xdr:cNvPr id="569382" name="Rectangle 5">
          <a:extLst>
            <a:ext uri="{FF2B5EF4-FFF2-40B4-BE49-F238E27FC236}">
              <a16:creationId xmlns:a16="http://schemas.microsoft.com/office/drawing/2014/main" id="{25D1B198-E6F1-4B4F-A1A3-E5143DF45E2C}"/>
            </a:ext>
          </a:extLst>
        </xdr:cNvPr>
        <xdr:cNvSpPr>
          <a:spLocks noChangeArrowheads="1"/>
        </xdr:cNvSpPr>
      </xdr:nvSpPr>
      <xdr:spPr bwMode="auto">
        <a:xfrm>
          <a:off x="2463800" y="2184400"/>
          <a:ext cx="920750" cy="635000"/>
        </a:xfrm>
        <a:prstGeom prst="rect">
          <a:avLst/>
        </a:prstGeom>
        <a:solidFill>
          <a:srgbClr val="FFFFFF"/>
        </a:solidFill>
        <a:ln w="9525">
          <a:solidFill>
            <a:srgbClr val="000000"/>
          </a:solidFill>
          <a:miter lim="800000"/>
          <a:headEnd/>
          <a:tailEnd/>
        </a:ln>
      </xdr:spPr>
    </xdr:sp>
    <xdr:clientData/>
  </xdr:twoCellAnchor>
  <xdr:twoCellAnchor>
    <xdr:from>
      <xdr:col>6</xdr:col>
      <xdr:colOff>0</xdr:colOff>
      <xdr:row>13</xdr:row>
      <xdr:rowOff>0</xdr:rowOff>
    </xdr:from>
    <xdr:to>
      <xdr:col>7</xdr:col>
      <xdr:colOff>304800</xdr:colOff>
      <xdr:row>17</xdr:row>
      <xdr:rowOff>0</xdr:rowOff>
    </xdr:to>
    <xdr:sp macro="" textlink="">
      <xdr:nvSpPr>
        <xdr:cNvPr id="569383" name="Rectangle 6">
          <a:extLst>
            <a:ext uri="{FF2B5EF4-FFF2-40B4-BE49-F238E27FC236}">
              <a16:creationId xmlns:a16="http://schemas.microsoft.com/office/drawing/2014/main" id="{8B9BEC4A-519E-4FCB-8D90-511E770FB877}"/>
            </a:ext>
          </a:extLst>
        </xdr:cNvPr>
        <xdr:cNvSpPr>
          <a:spLocks noChangeArrowheads="1"/>
        </xdr:cNvSpPr>
      </xdr:nvSpPr>
      <xdr:spPr bwMode="auto">
        <a:xfrm>
          <a:off x="3695700" y="2184400"/>
          <a:ext cx="920750" cy="635000"/>
        </a:xfrm>
        <a:prstGeom prst="rect">
          <a:avLst/>
        </a:prstGeom>
        <a:solidFill>
          <a:srgbClr val="FFFFFF"/>
        </a:solidFill>
        <a:ln w="9525">
          <a:solidFill>
            <a:srgbClr val="000000"/>
          </a:solidFill>
          <a:miter lim="800000"/>
          <a:headEnd/>
          <a:tailEnd/>
        </a:ln>
      </xdr:spPr>
    </xdr:sp>
    <xdr:clientData/>
  </xdr:twoCellAnchor>
  <xdr:twoCellAnchor>
    <xdr:from>
      <xdr:col>8</xdr:col>
      <xdr:colOff>0</xdr:colOff>
      <xdr:row>12</xdr:row>
      <xdr:rowOff>82550</xdr:rowOff>
    </xdr:from>
    <xdr:to>
      <xdr:col>9</xdr:col>
      <xdr:colOff>238168</xdr:colOff>
      <xdr:row>17</xdr:row>
      <xdr:rowOff>111125</xdr:rowOff>
    </xdr:to>
    <xdr:sp macro="" textlink="">
      <xdr:nvSpPr>
        <xdr:cNvPr id="13319" name="AutoShape 7">
          <a:extLst>
            <a:ext uri="{FF2B5EF4-FFF2-40B4-BE49-F238E27FC236}">
              <a16:creationId xmlns:a16="http://schemas.microsoft.com/office/drawing/2014/main" id="{6A86195C-08A0-4C94-B6F7-D79FE35E0A98}"/>
            </a:ext>
          </a:extLst>
        </xdr:cNvPr>
        <xdr:cNvSpPr>
          <a:spLocks noChangeArrowheads="1"/>
        </xdr:cNvSpPr>
      </xdr:nvSpPr>
      <xdr:spPr bwMode="auto">
        <a:xfrm rot="5400000">
          <a:off x="5038725" y="1971675"/>
          <a:ext cx="838200" cy="1162050"/>
        </a:xfrm>
        <a:prstGeom prst="triangle">
          <a:avLst>
            <a:gd name="adj" fmla="val 500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twoCellAnchor>
  <xdr:twoCellAnchor>
    <xdr:from>
      <xdr:col>5</xdr:col>
      <xdr:colOff>304800</xdr:colOff>
      <xdr:row>15</xdr:row>
      <xdr:rowOff>0</xdr:rowOff>
    </xdr:from>
    <xdr:to>
      <xdr:col>6</xdr:col>
      <xdr:colOff>0</xdr:colOff>
      <xdr:row>15</xdr:row>
      <xdr:rowOff>0</xdr:rowOff>
    </xdr:to>
    <xdr:sp macro="" textlink="">
      <xdr:nvSpPr>
        <xdr:cNvPr id="569385" name="Line 8">
          <a:extLst>
            <a:ext uri="{FF2B5EF4-FFF2-40B4-BE49-F238E27FC236}">
              <a16:creationId xmlns:a16="http://schemas.microsoft.com/office/drawing/2014/main" id="{5AED024B-C254-46B0-9CCD-46C6A048EDA4}"/>
            </a:ext>
          </a:extLst>
        </xdr:cNvPr>
        <xdr:cNvSpPr>
          <a:spLocks noChangeShapeType="1"/>
        </xdr:cNvSpPr>
      </xdr:nvSpPr>
      <xdr:spPr bwMode="auto">
        <a:xfrm>
          <a:off x="3384550" y="25019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304800</xdr:colOff>
      <xdr:row>15</xdr:row>
      <xdr:rowOff>0</xdr:rowOff>
    </xdr:from>
    <xdr:to>
      <xdr:col>7</xdr:col>
      <xdr:colOff>615950</xdr:colOff>
      <xdr:row>15</xdr:row>
      <xdr:rowOff>0</xdr:rowOff>
    </xdr:to>
    <xdr:sp macro="" textlink="">
      <xdr:nvSpPr>
        <xdr:cNvPr id="569386" name="Line 9">
          <a:extLst>
            <a:ext uri="{FF2B5EF4-FFF2-40B4-BE49-F238E27FC236}">
              <a16:creationId xmlns:a16="http://schemas.microsoft.com/office/drawing/2014/main" id="{9372EE05-B771-4711-A200-E77079F6E407}"/>
            </a:ext>
          </a:extLst>
        </xdr:cNvPr>
        <xdr:cNvSpPr>
          <a:spLocks noChangeShapeType="1"/>
        </xdr:cNvSpPr>
      </xdr:nvSpPr>
      <xdr:spPr bwMode="auto">
        <a:xfrm>
          <a:off x="4616450" y="25019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222250</xdr:colOff>
      <xdr:row>15</xdr:row>
      <xdr:rowOff>0</xdr:rowOff>
    </xdr:from>
    <xdr:to>
      <xdr:col>10</xdr:col>
      <xdr:colOff>0</xdr:colOff>
      <xdr:row>15</xdr:row>
      <xdr:rowOff>0</xdr:rowOff>
    </xdr:to>
    <xdr:sp macro="" textlink="">
      <xdr:nvSpPr>
        <xdr:cNvPr id="569387" name="Line 10">
          <a:extLst>
            <a:ext uri="{FF2B5EF4-FFF2-40B4-BE49-F238E27FC236}">
              <a16:creationId xmlns:a16="http://schemas.microsoft.com/office/drawing/2014/main" id="{18B13A47-31F9-4761-9D34-FBC10830801D}"/>
            </a:ext>
          </a:extLst>
        </xdr:cNvPr>
        <xdr:cNvSpPr>
          <a:spLocks noChangeShapeType="1"/>
        </xdr:cNvSpPr>
      </xdr:nvSpPr>
      <xdr:spPr bwMode="auto">
        <a:xfrm>
          <a:off x="6140450" y="2501900"/>
          <a:ext cx="476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311150</xdr:colOff>
      <xdr:row>14</xdr:row>
      <xdr:rowOff>133350</xdr:rowOff>
    </xdr:from>
    <xdr:to>
      <xdr:col>11</xdr:col>
      <xdr:colOff>381000</xdr:colOff>
      <xdr:row>15</xdr:row>
      <xdr:rowOff>50800</xdr:rowOff>
    </xdr:to>
    <xdr:sp macro="" textlink="">
      <xdr:nvSpPr>
        <xdr:cNvPr id="569388" name="Oval 11">
          <a:extLst>
            <a:ext uri="{FF2B5EF4-FFF2-40B4-BE49-F238E27FC236}">
              <a16:creationId xmlns:a16="http://schemas.microsoft.com/office/drawing/2014/main" id="{AF038DC6-B453-4152-9FB0-115B93E8AC12}"/>
            </a:ext>
          </a:extLst>
        </xdr:cNvPr>
        <xdr:cNvSpPr>
          <a:spLocks noChangeArrowheads="1"/>
        </xdr:cNvSpPr>
      </xdr:nvSpPr>
      <xdr:spPr bwMode="auto">
        <a:xfrm>
          <a:off x="7543800" y="2476500"/>
          <a:ext cx="69850" cy="76200"/>
        </a:xfrm>
        <a:prstGeom prst="ellipse">
          <a:avLst/>
        </a:prstGeom>
        <a:solidFill>
          <a:srgbClr val="FFFFFF"/>
        </a:solidFill>
        <a:ln w="9525">
          <a:solidFill>
            <a:srgbClr val="000000"/>
          </a:solidFill>
          <a:round/>
          <a:headEnd/>
          <a:tailEnd/>
        </a:ln>
      </xdr:spPr>
    </xdr:sp>
    <xdr:clientData/>
  </xdr:twoCellAnchor>
  <xdr:oneCellAnchor>
    <xdr:from>
      <xdr:col>8</xdr:col>
      <xdr:colOff>73025</xdr:colOff>
      <xdr:row>14</xdr:row>
      <xdr:rowOff>79375</xdr:rowOff>
    </xdr:from>
    <xdr:ext cx="282023" cy="176972"/>
    <xdr:sp macro="" textlink="">
      <xdr:nvSpPr>
        <xdr:cNvPr id="13325" name="Text Box 13">
          <a:extLst>
            <a:ext uri="{FF2B5EF4-FFF2-40B4-BE49-F238E27FC236}">
              <a16:creationId xmlns:a16="http://schemas.microsoft.com/office/drawing/2014/main" id="{6317F1D3-37F1-43FC-8704-75412581CCB2}"/>
            </a:ext>
          </a:extLst>
        </xdr:cNvPr>
        <xdr:cNvSpPr txBox="1">
          <a:spLocks noChangeArrowheads="1"/>
        </xdr:cNvSpPr>
      </xdr:nvSpPr>
      <xdr:spPr bwMode="auto">
        <a:xfrm>
          <a:off x="5464175" y="2320925"/>
          <a:ext cx="2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LNA</a:t>
          </a:r>
        </a:p>
      </xdr:txBody>
    </xdr:sp>
    <xdr:clientData/>
  </xdr:oneCellAnchor>
  <xdr:oneCellAnchor>
    <xdr:from>
      <xdr:col>6</xdr:col>
      <xdr:colOff>85521</xdr:colOff>
      <xdr:row>13</xdr:row>
      <xdr:rowOff>149225</xdr:rowOff>
    </xdr:from>
    <xdr:ext cx="705730" cy="330860"/>
    <xdr:sp macro="" textlink="">
      <xdr:nvSpPr>
        <xdr:cNvPr id="13326" name="Text Box 14">
          <a:extLst>
            <a:ext uri="{FF2B5EF4-FFF2-40B4-BE49-F238E27FC236}">
              <a16:creationId xmlns:a16="http://schemas.microsoft.com/office/drawing/2014/main" id="{1C9DD05A-3CDE-4774-82C3-677CF76920EC}"/>
            </a:ext>
          </a:extLst>
        </xdr:cNvPr>
        <xdr:cNvSpPr txBox="1">
          <a:spLocks noChangeArrowheads="1"/>
        </xdr:cNvSpPr>
      </xdr:nvSpPr>
      <xdr:spPr bwMode="auto">
        <a:xfrm>
          <a:off x="4155871" y="2242608"/>
          <a:ext cx="649831"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Bandpass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oneCellAnchor>
  <xdr:oneCellAnchor>
    <xdr:from>
      <xdr:col>4</xdr:col>
      <xdr:colOff>166561</xdr:colOff>
      <xdr:row>13</xdr:row>
      <xdr:rowOff>66675</xdr:rowOff>
    </xdr:from>
    <xdr:ext cx="477100" cy="490807"/>
    <xdr:sp macro="" textlink="">
      <xdr:nvSpPr>
        <xdr:cNvPr id="13327" name="Text Box 15">
          <a:extLst>
            <a:ext uri="{FF2B5EF4-FFF2-40B4-BE49-F238E27FC236}">
              <a16:creationId xmlns:a16="http://schemas.microsoft.com/office/drawing/2014/main" id="{CDBE1062-C39D-4A20-89FE-8CCCC8320F33}"/>
            </a:ext>
          </a:extLst>
        </xdr:cNvPr>
        <xdr:cNvSpPr txBox="1">
          <a:spLocks noChangeArrowheads="1"/>
        </xdr:cNvSpPr>
      </xdr:nvSpPr>
      <xdr:spPr bwMode="auto">
        <a:xfrm>
          <a:off x="2871661" y="2162175"/>
          <a:ext cx="45722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Other</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In-Line</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Device</a:t>
          </a:r>
        </a:p>
      </xdr:txBody>
    </xdr:sp>
    <xdr:clientData/>
  </xdr:oneCellAnchor>
  <xdr:twoCellAnchor>
    <xdr:from>
      <xdr:col>10</xdr:col>
      <xdr:colOff>0</xdr:colOff>
      <xdr:row>13</xdr:row>
      <xdr:rowOff>25400</xdr:rowOff>
    </xdr:from>
    <xdr:to>
      <xdr:col>10</xdr:col>
      <xdr:colOff>584200</xdr:colOff>
      <xdr:row>16</xdr:row>
      <xdr:rowOff>133350</xdr:rowOff>
    </xdr:to>
    <xdr:sp macro="" textlink="">
      <xdr:nvSpPr>
        <xdr:cNvPr id="569392" name="AutoShape 16">
          <a:extLst>
            <a:ext uri="{FF2B5EF4-FFF2-40B4-BE49-F238E27FC236}">
              <a16:creationId xmlns:a16="http://schemas.microsoft.com/office/drawing/2014/main" id="{F89D1148-E9A4-4340-9A78-5F71513D3A4B}"/>
            </a:ext>
          </a:extLst>
        </xdr:cNvPr>
        <xdr:cNvSpPr>
          <a:spLocks noChangeArrowheads="1"/>
        </xdr:cNvSpPr>
      </xdr:nvSpPr>
      <xdr:spPr bwMode="auto">
        <a:xfrm rot="5400000">
          <a:off x="6616700" y="2209800"/>
          <a:ext cx="584200" cy="5842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10</xdr:col>
      <xdr:colOff>590550</xdr:colOff>
      <xdr:row>15</xdr:row>
      <xdr:rowOff>0</xdr:rowOff>
    </xdr:from>
    <xdr:to>
      <xdr:col>11</xdr:col>
      <xdr:colOff>304800</xdr:colOff>
      <xdr:row>15</xdr:row>
      <xdr:rowOff>0</xdr:rowOff>
    </xdr:to>
    <xdr:sp macro="" textlink="">
      <xdr:nvSpPr>
        <xdr:cNvPr id="569393" name="Line 17">
          <a:extLst>
            <a:ext uri="{FF2B5EF4-FFF2-40B4-BE49-F238E27FC236}">
              <a16:creationId xmlns:a16="http://schemas.microsoft.com/office/drawing/2014/main" id="{960105CA-A6DC-433A-A2F2-BFC2194EFBD1}"/>
            </a:ext>
          </a:extLst>
        </xdr:cNvPr>
        <xdr:cNvSpPr>
          <a:spLocks noChangeShapeType="1"/>
        </xdr:cNvSpPr>
      </xdr:nvSpPr>
      <xdr:spPr bwMode="auto">
        <a:xfrm>
          <a:off x="7207250" y="2501900"/>
          <a:ext cx="330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9</xdr:row>
      <xdr:rowOff>0</xdr:rowOff>
    </xdr:from>
    <xdr:to>
      <xdr:col>8</xdr:col>
      <xdr:colOff>12700</xdr:colOff>
      <xdr:row>12</xdr:row>
      <xdr:rowOff>50800</xdr:rowOff>
    </xdr:to>
    <xdr:sp macro="" textlink="">
      <xdr:nvSpPr>
        <xdr:cNvPr id="569394" name="Line 18">
          <a:extLst>
            <a:ext uri="{FF2B5EF4-FFF2-40B4-BE49-F238E27FC236}">
              <a16:creationId xmlns:a16="http://schemas.microsoft.com/office/drawing/2014/main" id="{4E04955A-817D-431D-8C9A-687279025A35}"/>
            </a:ext>
          </a:extLst>
        </xdr:cNvPr>
        <xdr:cNvSpPr>
          <a:spLocks noChangeShapeType="1"/>
        </xdr:cNvSpPr>
      </xdr:nvSpPr>
      <xdr:spPr bwMode="auto">
        <a:xfrm>
          <a:off x="4940300" y="154940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17</xdr:row>
      <xdr:rowOff>120650</xdr:rowOff>
    </xdr:from>
    <xdr:to>
      <xdr:col>7</xdr:col>
      <xdr:colOff>603250</xdr:colOff>
      <xdr:row>21</xdr:row>
      <xdr:rowOff>12700</xdr:rowOff>
    </xdr:to>
    <xdr:sp macro="" textlink="">
      <xdr:nvSpPr>
        <xdr:cNvPr id="569395" name="Line 19">
          <a:extLst>
            <a:ext uri="{FF2B5EF4-FFF2-40B4-BE49-F238E27FC236}">
              <a16:creationId xmlns:a16="http://schemas.microsoft.com/office/drawing/2014/main" id="{9D85998B-D437-47CE-9544-C24DBDDD8D50}"/>
            </a:ext>
          </a:extLst>
        </xdr:cNvPr>
        <xdr:cNvSpPr>
          <a:spLocks noChangeShapeType="1"/>
        </xdr:cNvSpPr>
      </xdr:nvSpPr>
      <xdr:spPr bwMode="auto">
        <a:xfrm>
          <a:off x="4914900" y="29400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9</xdr:row>
      <xdr:rowOff>120650</xdr:rowOff>
    </xdr:from>
    <xdr:to>
      <xdr:col>10</xdr:col>
      <xdr:colOff>0</xdr:colOff>
      <xdr:row>13</xdr:row>
      <xdr:rowOff>12700</xdr:rowOff>
    </xdr:to>
    <xdr:sp macro="" textlink="">
      <xdr:nvSpPr>
        <xdr:cNvPr id="569396" name="Line 20">
          <a:extLst>
            <a:ext uri="{FF2B5EF4-FFF2-40B4-BE49-F238E27FC236}">
              <a16:creationId xmlns:a16="http://schemas.microsoft.com/office/drawing/2014/main" id="{96D471BD-09CC-4AE0-BD40-38FBF20CD21B}"/>
            </a:ext>
          </a:extLst>
        </xdr:cNvPr>
        <xdr:cNvSpPr>
          <a:spLocks noChangeShapeType="1"/>
        </xdr:cNvSpPr>
      </xdr:nvSpPr>
      <xdr:spPr bwMode="auto">
        <a:xfrm>
          <a:off x="6616700" y="16700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16</xdr:row>
      <xdr:rowOff>146050</xdr:rowOff>
    </xdr:from>
    <xdr:to>
      <xdr:col>10</xdr:col>
      <xdr:colOff>0</xdr:colOff>
      <xdr:row>20</xdr:row>
      <xdr:rowOff>50800</xdr:rowOff>
    </xdr:to>
    <xdr:sp macro="" textlink="">
      <xdr:nvSpPr>
        <xdr:cNvPr id="569397" name="Line 22">
          <a:extLst>
            <a:ext uri="{FF2B5EF4-FFF2-40B4-BE49-F238E27FC236}">
              <a16:creationId xmlns:a16="http://schemas.microsoft.com/office/drawing/2014/main" id="{47E20384-5770-496F-BB69-92703F8EAA91}"/>
            </a:ext>
          </a:extLst>
        </xdr:cNvPr>
        <xdr:cNvSpPr>
          <a:spLocks noChangeShapeType="1"/>
        </xdr:cNvSpPr>
      </xdr:nvSpPr>
      <xdr:spPr bwMode="auto">
        <a:xfrm>
          <a:off x="6616700" y="2806700"/>
          <a:ext cx="0" cy="539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14</xdr:row>
      <xdr:rowOff>0</xdr:rowOff>
    </xdr:from>
    <xdr:to>
      <xdr:col>10</xdr:col>
      <xdr:colOff>390525</xdr:colOff>
      <xdr:row>16</xdr:row>
      <xdr:rowOff>38100</xdr:rowOff>
    </xdr:to>
    <xdr:sp macro="" textlink="">
      <xdr:nvSpPr>
        <xdr:cNvPr id="13335" name="Text Box 23">
          <a:extLst>
            <a:ext uri="{FF2B5EF4-FFF2-40B4-BE49-F238E27FC236}">
              <a16:creationId xmlns:a16="http://schemas.microsoft.com/office/drawing/2014/main" id="{082A0CE1-F5F8-4055-B23D-E98F460B048D}"/>
            </a:ext>
          </a:extLst>
        </xdr:cNvPr>
        <xdr:cNvSpPr txBox="1">
          <a:spLocks noChangeArrowheads="1"/>
        </xdr:cNvSpPr>
      </xdr:nvSpPr>
      <xdr:spPr bwMode="auto">
        <a:xfrm>
          <a:off x="6505575" y="2381250"/>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1" i="0" strike="noStrike">
              <a:solidFill>
                <a:srgbClr val="000000"/>
              </a:solidFill>
              <a:latin typeface="Arial"/>
              <a:cs typeface="Arial"/>
            </a:rPr>
            <a:t>2nd</a:t>
          </a:r>
          <a:endParaRPr lang="en-US" sz="800" b="0" i="0" strike="noStrike">
            <a:solidFill>
              <a:srgbClr val="000000"/>
            </a:solidFill>
            <a:latin typeface="Arial"/>
            <a:cs typeface="Arial"/>
          </a:endParaRPr>
        </a:p>
        <a:p>
          <a:pPr algn="l" rtl="1">
            <a:defRPr sz="1000"/>
          </a:pPr>
          <a:r>
            <a:rPr lang="en-US" sz="800" b="1" i="0" strike="noStrike">
              <a:solidFill>
                <a:srgbClr val="000000"/>
              </a:solidFill>
              <a:latin typeface="Arial"/>
              <a:cs typeface="Arial"/>
            </a:rPr>
            <a:t>Stage</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03F2C4CE-75E7-4C45-879B-D9619FECAAF1}"/>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xdr:col>
      <xdr:colOff>257175</xdr:colOff>
      <xdr:row>17</xdr:row>
      <xdr:rowOff>9525</xdr:rowOff>
    </xdr:from>
    <xdr:ext cx="289246" cy="170560"/>
    <xdr:sp macro="" textlink="">
      <xdr:nvSpPr>
        <xdr:cNvPr id="13337" name="Text Box 25">
          <a:extLst>
            <a:ext uri="{FF2B5EF4-FFF2-40B4-BE49-F238E27FC236}">
              <a16:creationId xmlns:a16="http://schemas.microsoft.com/office/drawing/2014/main" id="{A5086075-6477-4E6E-AC9F-64546728AF90}"/>
            </a:ext>
          </a:extLst>
        </xdr:cNvPr>
        <xdr:cNvSpPr txBox="1">
          <a:spLocks noChangeArrowheads="1"/>
        </xdr:cNvSpPr>
      </xdr:nvSpPr>
      <xdr:spPr bwMode="auto">
        <a:xfrm>
          <a:off x="3965575" y="2862792"/>
          <a:ext cx="289246"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BPF</a:t>
          </a:r>
        </a:p>
      </xdr:txBody>
    </xdr:sp>
    <xdr:clientData/>
  </xdr:oneCellAnchor>
  <xdr:twoCellAnchor>
    <xdr:from>
      <xdr:col>6</xdr:col>
      <xdr:colOff>0</xdr:colOff>
      <xdr:row>17</xdr:row>
      <xdr:rowOff>82550</xdr:rowOff>
    </xdr:from>
    <xdr:to>
      <xdr:col>6</xdr:col>
      <xdr:colOff>254000</xdr:colOff>
      <xdr:row>17</xdr:row>
      <xdr:rowOff>82550</xdr:rowOff>
    </xdr:to>
    <xdr:sp macro="" textlink="">
      <xdr:nvSpPr>
        <xdr:cNvPr id="569401" name="Line 26">
          <a:extLst>
            <a:ext uri="{FF2B5EF4-FFF2-40B4-BE49-F238E27FC236}">
              <a16:creationId xmlns:a16="http://schemas.microsoft.com/office/drawing/2014/main" id="{1277EF53-5C26-4847-99AA-750276A04B69}"/>
            </a:ext>
          </a:extLst>
        </xdr:cNvPr>
        <xdr:cNvSpPr>
          <a:spLocks noChangeShapeType="1"/>
        </xdr:cNvSpPr>
      </xdr:nvSpPr>
      <xdr:spPr bwMode="auto">
        <a:xfrm flipH="1">
          <a:off x="3695700" y="29019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12700</xdr:colOff>
      <xdr:row>17</xdr:row>
      <xdr:rowOff>82550</xdr:rowOff>
    </xdr:from>
    <xdr:to>
      <xdr:col>7</xdr:col>
      <xdr:colOff>279400</xdr:colOff>
      <xdr:row>17</xdr:row>
      <xdr:rowOff>82550</xdr:rowOff>
    </xdr:to>
    <xdr:sp macro="" textlink="">
      <xdr:nvSpPr>
        <xdr:cNvPr id="569402" name="Line 27">
          <a:extLst>
            <a:ext uri="{FF2B5EF4-FFF2-40B4-BE49-F238E27FC236}">
              <a16:creationId xmlns:a16="http://schemas.microsoft.com/office/drawing/2014/main" id="{B9796686-7C51-48CC-BE20-982D62B6AAC6}"/>
            </a:ext>
          </a:extLst>
        </xdr:cNvPr>
        <xdr:cNvSpPr>
          <a:spLocks noChangeShapeType="1"/>
        </xdr:cNvSpPr>
      </xdr:nvSpPr>
      <xdr:spPr bwMode="auto">
        <a:xfrm>
          <a:off x="4324350" y="29019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603250</xdr:colOff>
      <xdr:row>17</xdr:row>
      <xdr:rowOff>95250</xdr:rowOff>
    </xdr:from>
    <xdr:to>
      <xdr:col>4</xdr:col>
      <xdr:colOff>241300</xdr:colOff>
      <xdr:row>17</xdr:row>
      <xdr:rowOff>95250</xdr:rowOff>
    </xdr:to>
    <xdr:sp macro="" textlink="">
      <xdr:nvSpPr>
        <xdr:cNvPr id="569403" name="Line 28">
          <a:extLst>
            <a:ext uri="{FF2B5EF4-FFF2-40B4-BE49-F238E27FC236}">
              <a16:creationId xmlns:a16="http://schemas.microsoft.com/office/drawing/2014/main" id="{6E43C677-C308-4773-A986-327CA1AF877A}"/>
            </a:ext>
          </a:extLst>
        </xdr:cNvPr>
        <xdr:cNvSpPr>
          <a:spLocks noChangeShapeType="1"/>
        </xdr:cNvSpPr>
      </xdr:nvSpPr>
      <xdr:spPr bwMode="auto">
        <a:xfrm flipH="1">
          <a:off x="2451100" y="29146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25400</xdr:colOff>
      <xdr:row>17</xdr:row>
      <xdr:rowOff>82550</xdr:rowOff>
    </xdr:from>
    <xdr:to>
      <xdr:col>5</xdr:col>
      <xdr:colOff>292100</xdr:colOff>
      <xdr:row>17</xdr:row>
      <xdr:rowOff>82550</xdr:rowOff>
    </xdr:to>
    <xdr:sp macro="" textlink="">
      <xdr:nvSpPr>
        <xdr:cNvPr id="569404" name="Line 29">
          <a:extLst>
            <a:ext uri="{FF2B5EF4-FFF2-40B4-BE49-F238E27FC236}">
              <a16:creationId xmlns:a16="http://schemas.microsoft.com/office/drawing/2014/main" id="{4BD47DF4-27B8-4252-B00E-894399B2B5EA}"/>
            </a:ext>
          </a:extLst>
        </xdr:cNvPr>
        <xdr:cNvSpPr>
          <a:spLocks noChangeShapeType="1"/>
        </xdr:cNvSpPr>
      </xdr:nvSpPr>
      <xdr:spPr bwMode="auto">
        <a:xfrm>
          <a:off x="3105150" y="29019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17</xdr:row>
      <xdr:rowOff>9525</xdr:rowOff>
    </xdr:from>
    <xdr:ext cx="323678" cy="170560"/>
    <xdr:sp macro="" textlink="">
      <xdr:nvSpPr>
        <xdr:cNvPr id="13342" name="Text Box 30">
          <a:extLst>
            <a:ext uri="{FF2B5EF4-FFF2-40B4-BE49-F238E27FC236}">
              <a16:creationId xmlns:a16="http://schemas.microsoft.com/office/drawing/2014/main" id="{8A0F8078-8C48-4D26-92F8-189545343406}"/>
            </a:ext>
          </a:extLst>
        </xdr:cNvPr>
        <xdr:cNvSpPr txBox="1">
          <a:spLocks noChangeArrowheads="1"/>
        </xdr:cNvSpPr>
      </xdr:nvSpPr>
      <xdr:spPr bwMode="auto">
        <a:xfrm>
          <a:off x="2729442" y="2862792"/>
          <a:ext cx="32367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other</a:t>
          </a:r>
        </a:p>
      </xdr:txBody>
    </xdr:sp>
    <xdr:clientData/>
  </xdr:oneCellAnchor>
  <xdr:twoCellAnchor>
    <xdr:from>
      <xdr:col>17</xdr:col>
      <xdr:colOff>304800</xdr:colOff>
      <xdr:row>65</xdr:row>
      <xdr:rowOff>50800</xdr:rowOff>
    </xdr:from>
    <xdr:to>
      <xdr:col>17</xdr:col>
      <xdr:colOff>304800</xdr:colOff>
      <xdr:row>67</xdr:row>
      <xdr:rowOff>38100</xdr:rowOff>
    </xdr:to>
    <xdr:sp macro="" textlink="">
      <xdr:nvSpPr>
        <xdr:cNvPr id="569406" name="Line 35">
          <a:extLst>
            <a:ext uri="{FF2B5EF4-FFF2-40B4-BE49-F238E27FC236}">
              <a16:creationId xmlns:a16="http://schemas.microsoft.com/office/drawing/2014/main" id="{77321495-6AB3-45FF-8F3D-29E9D2761FD3}"/>
            </a:ext>
          </a:extLst>
        </xdr:cNvPr>
        <xdr:cNvSpPr>
          <a:spLocks noChangeShapeType="1"/>
        </xdr:cNvSpPr>
      </xdr:nvSpPr>
      <xdr:spPr bwMode="auto">
        <a:xfrm flipV="1">
          <a:off x="11233150" y="10185400"/>
          <a:ext cx="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304800</xdr:colOff>
      <xdr:row>61</xdr:row>
      <xdr:rowOff>82550</xdr:rowOff>
    </xdr:from>
    <xdr:to>
      <xdr:col>17</xdr:col>
      <xdr:colOff>304800</xdr:colOff>
      <xdr:row>63</xdr:row>
      <xdr:rowOff>82550</xdr:rowOff>
    </xdr:to>
    <xdr:sp macro="" textlink="">
      <xdr:nvSpPr>
        <xdr:cNvPr id="569407" name="Line 36">
          <a:extLst>
            <a:ext uri="{FF2B5EF4-FFF2-40B4-BE49-F238E27FC236}">
              <a16:creationId xmlns:a16="http://schemas.microsoft.com/office/drawing/2014/main" id="{BC358984-D10E-4813-8AF6-CAFE5FB4648A}"/>
            </a:ext>
          </a:extLst>
        </xdr:cNvPr>
        <xdr:cNvSpPr>
          <a:spLocks noChangeShapeType="1"/>
        </xdr:cNvSpPr>
      </xdr:nvSpPr>
      <xdr:spPr bwMode="auto">
        <a:xfrm flipV="1">
          <a:off x="11233150" y="958215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311150</xdr:colOff>
      <xdr:row>65</xdr:row>
      <xdr:rowOff>50800</xdr:rowOff>
    </xdr:from>
    <xdr:to>
      <xdr:col>20</xdr:col>
      <xdr:colOff>311150</xdr:colOff>
      <xdr:row>67</xdr:row>
      <xdr:rowOff>38100</xdr:rowOff>
    </xdr:to>
    <xdr:sp macro="" textlink="">
      <xdr:nvSpPr>
        <xdr:cNvPr id="569408" name="Line 37">
          <a:extLst>
            <a:ext uri="{FF2B5EF4-FFF2-40B4-BE49-F238E27FC236}">
              <a16:creationId xmlns:a16="http://schemas.microsoft.com/office/drawing/2014/main" id="{2DE20126-06C1-4F61-BAAB-61BA177DB17E}"/>
            </a:ext>
          </a:extLst>
        </xdr:cNvPr>
        <xdr:cNvSpPr>
          <a:spLocks noChangeShapeType="1"/>
        </xdr:cNvSpPr>
      </xdr:nvSpPr>
      <xdr:spPr bwMode="auto">
        <a:xfrm flipV="1">
          <a:off x="13087350" y="10185400"/>
          <a:ext cx="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311150</xdr:colOff>
      <xdr:row>61</xdr:row>
      <xdr:rowOff>82550</xdr:rowOff>
    </xdr:from>
    <xdr:to>
      <xdr:col>20</xdr:col>
      <xdr:colOff>311150</xdr:colOff>
      <xdr:row>63</xdr:row>
      <xdr:rowOff>82550</xdr:rowOff>
    </xdr:to>
    <xdr:sp macro="" textlink="">
      <xdr:nvSpPr>
        <xdr:cNvPr id="569409" name="Line 38">
          <a:extLst>
            <a:ext uri="{FF2B5EF4-FFF2-40B4-BE49-F238E27FC236}">
              <a16:creationId xmlns:a16="http://schemas.microsoft.com/office/drawing/2014/main" id="{1D8C0747-4A86-4D1A-8B41-F96926A39C01}"/>
            </a:ext>
          </a:extLst>
        </xdr:cNvPr>
        <xdr:cNvSpPr>
          <a:spLocks noChangeShapeType="1"/>
        </xdr:cNvSpPr>
      </xdr:nvSpPr>
      <xdr:spPr bwMode="auto">
        <a:xfrm flipV="1">
          <a:off x="13087350" y="958215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139700</xdr:colOff>
      <xdr:row>53</xdr:row>
      <xdr:rowOff>12700</xdr:rowOff>
    </xdr:from>
    <xdr:to>
      <xdr:col>13</xdr:col>
      <xdr:colOff>571500</xdr:colOff>
      <xdr:row>70</xdr:row>
      <xdr:rowOff>146050</xdr:rowOff>
    </xdr:to>
    <xdr:sp macro="" textlink="">
      <xdr:nvSpPr>
        <xdr:cNvPr id="569410" name="AutoShape 39">
          <a:extLst>
            <a:ext uri="{FF2B5EF4-FFF2-40B4-BE49-F238E27FC236}">
              <a16:creationId xmlns:a16="http://schemas.microsoft.com/office/drawing/2014/main" id="{EC4A0C24-CF15-468D-BDF1-E110135908AD}"/>
            </a:ext>
          </a:extLst>
        </xdr:cNvPr>
        <xdr:cNvSpPr>
          <a:spLocks/>
        </xdr:cNvSpPr>
      </xdr:nvSpPr>
      <xdr:spPr bwMode="auto">
        <a:xfrm>
          <a:off x="8604250" y="8235950"/>
          <a:ext cx="431800" cy="2851150"/>
        </a:xfrm>
        <a:prstGeom prst="leftBrace">
          <a:avLst>
            <a:gd name="adj1" fmla="val 102774"/>
            <a:gd name="adj2" fmla="val 546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311150</xdr:colOff>
      <xdr:row>82</xdr:row>
      <xdr:rowOff>0</xdr:rowOff>
    </xdr:from>
    <xdr:to>
      <xdr:col>3</xdr:col>
      <xdr:colOff>311150</xdr:colOff>
      <xdr:row>85</xdr:row>
      <xdr:rowOff>95250</xdr:rowOff>
    </xdr:to>
    <xdr:sp macro="" textlink="">
      <xdr:nvSpPr>
        <xdr:cNvPr id="569411" name="AutoShape 40">
          <a:extLst>
            <a:ext uri="{FF2B5EF4-FFF2-40B4-BE49-F238E27FC236}">
              <a16:creationId xmlns:a16="http://schemas.microsoft.com/office/drawing/2014/main" id="{30ADF23A-AA27-487E-9810-8B9C9701BD75}"/>
            </a:ext>
          </a:extLst>
        </xdr:cNvPr>
        <xdr:cNvSpPr>
          <a:spLocks noChangeArrowheads="1"/>
        </xdr:cNvSpPr>
      </xdr:nvSpPr>
      <xdr:spPr bwMode="auto">
        <a:xfrm rot="10800000">
          <a:off x="1543050" y="12890500"/>
          <a:ext cx="615950" cy="5715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3</xdr:col>
      <xdr:colOff>0</xdr:colOff>
      <xdr:row>82</xdr:row>
      <xdr:rowOff>0</xdr:rowOff>
    </xdr:from>
    <xdr:to>
      <xdr:col>3</xdr:col>
      <xdr:colOff>0</xdr:colOff>
      <xdr:row>88</xdr:row>
      <xdr:rowOff>12700</xdr:rowOff>
    </xdr:to>
    <xdr:sp macro="" textlink="">
      <xdr:nvSpPr>
        <xdr:cNvPr id="569412" name="Line 41">
          <a:extLst>
            <a:ext uri="{FF2B5EF4-FFF2-40B4-BE49-F238E27FC236}">
              <a16:creationId xmlns:a16="http://schemas.microsoft.com/office/drawing/2014/main" id="{EA05A3B8-FC80-4FE0-9234-90BBF4F2593B}"/>
            </a:ext>
          </a:extLst>
        </xdr:cNvPr>
        <xdr:cNvSpPr>
          <a:spLocks noChangeShapeType="1"/>
        </xdr:cNvSpPr>
      </xdr:nvSpPr>
      <xdr:spPr bwMode="auto">
        <a:xfrm>
          <a:off x="1847850" y="12890500"/>
          <a:ext cx="0" cy="9652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88</xdr:row>
      <xdr:rowOff>12700</xdr:rowOff>
    </xdr:from>
    <xdr:to>
      <xdr:col>4</xdr:col>
      <xdr:colOff>0</xdr:colOff>
      <xdr:row>88</xdr:row>
      <xdr:rowOff>12700</xdr:rowOff>
    </xdr:to>
    <xdr:sp macro="" textlink="">
      <xdr:nvSpPr>
        <xdr:cNvPr id="569413" name="Line 42">
          <a:extLst>
            <a:ext uri="{FF2B5EF4-FFF2-40B4-BE49-F238E27FC236}">
              <a16:creationId xmlns:a16="http://schemas.microsoft.com/office/drawing/2014/main" id="{33620B77-2DAA-484E-A701-031B5E94BF65}"/>
            </a:ext>
          </a:extLst>
        </xdr:cNvPr>
        <xdr:cNvSpPr>
          <a:spLocks noChangeShapeType="1"/>
        </xdr:cNvSpPr>
      </xdr:nvSpPr>
      <xdr:spPr bwMode="auto">
        <a:xfrm>
          <a:off x="1860550" y="13855700"/>
          <a:ext cx="603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86</xdr:row>
      <xdr:rowOff>0</xdr:rowOff>
    </xdr:from>
    <xdr:to>
      <xdr:col>5</xdr:col>
      <xdr:colOff>304800</xdr:colOff>
      <xdr:row>90</xdr:row>
      <xdr:rowOff>0</xdr:rowOff>
    </xdr:to>
    <xdr:sp macro="" textlink="">
      <xdr:nvSpPr>
        <xdr:cNvPr id="569414" name="Rectangle 43">
          <a:extLst>
            <a:ext uri="{FF2B5EF4-FFF2-40B4-BE49-F238E27FC236}">
              <a16:creationId xmlns:a16="http://schemas.microsoft.com/office/drawing/2014/main" id="{93A28A9E-79ED-42EB-85F0-02077AB77643}"/>
            </a:ext>
          </a:extLst>
        </xdr:cNvPr>
        <xdr:cNvSpPr>
          <a:spLocks noChangeArrowheads="1"/>
        </xdr:cNvSpPr>
      </xdr:nvSpPr>
      <xdr:spPr bwMode="auto">
        <a:xfrm>
          <a:off x="2463800" y="13525500"/>
          <a:ext cx="920750" cy="635000"/>
        </a:xfrm>
        <a:prstGeom prst="rect">
          <a:avLst/>
        </a:prstGeom>
        <a:solidFill>
          <a:srgbClr val="FFFFFF"/>
        </a:solidFill>
        <a:ln w="9525">
          <a:solidFill>
            <a:srgbClr val="000000"/>
          </a:solidFill>
          <a:miter lim="800000"/>
          <a:headEnd/>
          <a:tailEnd/>
        </a:ln>
      </xdr:spPr>
    </xdr:sp>
    <xdr:clientData/>
  </xdr:twoCellAnchor>
  <xdr:twoCellAnchor>
    <xdr:from>
      <xdr:col>6</xdr:col>
      <xdr:colOff>0</xdr:colOff>
      <xdr:row>86</xdr:row>
      <xdr:rowOff>0</xdr:rowOff>
    </xdr:from>
    <xdr:to>
      <xdr:col>7</xdr:col>
      <xdr:colOff>304800</xdr:colOff>
      <xdr:row>90</xdr:row>
      <xdr:rowOff>0</xdr:rowOff>
    </xdr:to>
    <xdr:sp macro="" textlink="">
      <xdr:nvSpPr>
        <xdr:cNvPr id="569415" name="Rectangle 44">
          <a:extLst>
            <a:ext uri="{FF2B5EF4-FFF2-40B4-BE49-F238E27FC236}">
              <a16:creationId xmlns:a16="http://schemas.microsoft.com/office/drawing/2014/main" id="{7D027BCF-C047-4EBE-8010-3A986FAAE9F3}"/>
            </a:ext>
          </a:extLst>
        </xdr:cNvPr>
        <xdr:cNvSpPr>
          <a:spLocks noChangeArrowheads="1"/>
        </xdr:cNvSpPr>
      </xdr:nvSpPr>
      <xdr:spPr bwMode="auto">
        <a:xfrm>
          <a:off x="3695700" y="13525500"/>
          <a:ext cx="920750" cy="635000"/>
        </a:xfrm>
        <a:prstGeom prst="rect">
          <a:avLst/>
        </a:prstGeom>
        <a:solidFill>
          <a:srgbClr val="FFFFFF"/>
        </a:solidFill>
        <a:ln w="9525">
          <a:solidFill>
            <a:srgbClr val="000000"/>
          </a:solidFill>
          <a:miter lim="800000"/>
          <a:headEnd/>
          <a:tailEnd/>
        </a:ln>
      </xdr:spPr>
    </xdr:sp>
    <xdr:clientData/>
  </xdr:twoCellAnchor>
  <xdr:twoCellAnchor>
    <xdr:from>
      <xdr:col>8</xdr:col>
      <xdr:colOff>0</xdr:colOff>
      <xdr:row>86</xdr:row>
      <xdr:rowOff>9525</xdr:rowOff>
    </xdr:from>
    <xdr:to>
      <xdr:col>8</xdr:col>
      <xdr:colOff>608310</xdr:colOff>
      <xdr:row>89</xdr:row>
      <xdr:rowOff>146014</xdr:rowOff>
    </xdr:to>
    <xdr:sp macro="" textlink="">
      <xdr:nvSpPr>
        <xdr:cNvPr id="13357" name="AutoShape 45">
          <a:extLst>
            <a:ext uri="{FF2B5EF4-FFF2-40B4-BE49-F238E27FC236}">
              <a16:creationId xmlns:a16="http://schemas.microsoft.com/office/drawing/2014/main" id="{8286FEFA-617A-467F-A0BF-91F7EFE57C0D}"/>
            </a:ext>
          </a:extLst>
        </xdr:cNvPr>
        <xdr:cNvSpPr>
          <a:spLocks noChangeArrowheads="1"/>
        </xdr:cNvSpPr>
      </xdr:nvSpPr>
      <xdr:spPr bwMode="auto">
        <a:xfrm rot="5400000">
          <a:off x="4857750" y="13782675"/>
          <a:ext cx="628650" cy="590550"/>
        </a:xfrm>
        <a:prstGeom prst="triangle">
          <a:avLst>
            <a:gd name="adj" fmla="val 500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twoCellAnchor>
  <xdr:twoCellAnchor>
    <xdr:from>
      <xdr:col>5</xdr:col>
      <xdr:colOff>304800</xdr:colOff>
      <xdr:row>88</xdr:row>
      <xdr:rowOff>0</xdr:rowOff>
    </xdr:from>
    <xdr:to>
      <xdr:col>6</xdr:col>
      <xdr:colOff>0</xdr:colOff>
      <xdr:row>88</xdr:row>
      <xdr:rowOff>0</xdr:rowOff>
    </xdr:to>
    <xdr:sp macro="" textlink="">
      <xdr:nvSpPr>
        <xdr:cNvPr id="569417" name="Line 46">
          <a:extLst>
            <a:ext uri="{FF2B5EF4-FFF2-40B4-BE49-F238E27FC236}">
              <a16:creationId xmlns:a16="http://schemas.microsoft.com/office/drawing/2014/main" id="{B9EF8D44-C222-443E-88FC-75C08C14F555}"/>
            </a:ext>
          </a:extLst>
        </xdr:cNvPr>
        <xdr:cNvSpPr>
          <a:spLocks noChangeShapeType="1"/>
        </xdr:cNvSpPr>
      </xdr:nvSpPr>
      <xdr:spPr bwMode="auto">
        <a:xfrm>
          <a:off x="3384550" y="138430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304800</xdr:colOff>
      <xdr:row>88</xdr:row>
      <xdr:rowOff>0</xdr:rowOff>
    </xdr:from>
    <xdr:to>
      <xdr:col>7</xdr:col>
      <xdr:colOff>615950</xdr:colOff>
      <xdr:row>88</xdr:row>
      <xdr:rowOff>0</xdr:rowOff>
    </xdr:to>
    <xdr:sp macro="" textlink="">
      <xdr:nvSpPr>
        <xdr:cNvPr id="569418" name="Line 47">
          <a:extLst>
            <a:ext uri="{FF2B5EF4-FFF2-40B4-BE49-F238E27FC236}">
              <a16:creationId xmlns:a16="http://schemas.microsoft.com/office/drawing/2014/main" id="{F6D330D3-D505-48B6-BA5B-5219C2D022C5}"/>
            </a:ext>
          </a:extLst>
        </xdr:cNvPr>
        <xdr:cNvSpPr>
          <a:spLocks noChangeShapeType="1"/>
        </xdr:cNvSpPr>
      </xdr:nvSpPr>
      <xdr:spPr bwMode="auto">
        <a:xfrm>
          <a:off x="4616450" y="138430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603250</xdr:colOff>
      <xdr:row>88</xdr:row>
      <xdr:rowOff>0</xdr:rowOff>
    </xdr:from>
    <xdr:to>
      <xdr:col>10</xdr:col>
      <xdr:colOff>0</xdr:colOff>
      <xdr:row>88</xdr:row>
      <xdr:rowOff>0</xdr:rowOff>
    </xdr:to>
    <xdr:sp macro="" textlink="">
      <xdr:nvSpPr>
        <xdr:cNvPr id="569419" name="Line 48">
          <a:extLst>
            <a:ext uri="{FF2B5EF4-FFF2-40B4-BE49-F238E27FC236}">
              <a16:creationId xmlns:a16="http://schemas.microsoft.com/office/drawing/2014/main" id="{549484AD-DC2F-45C1-9040-2387564D27EB}"/>
            </a:ext>
          </a:extLst>
        </xdr:cNvPr>
        <xdr:cNvSpPr>
          <a:spLocks noChangeShapeType="1"/>
        </xdr:cNvSpPr>
      </xdr:nvSpPr>
      <xdr:spPr bwMode="auto">
        <a:xfrm>
          <a:off x="5530850" y="13843000"/>
          <a:ext cx="10858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311150</xdr:colOff>
      <xdr:row>87</xdr:row>
      <xdr:rowOff>120650</xdr:rowOff>
    </xdr:from>
    <xdr:to>
      <xdr:col>12</xdr:col>
      <xdr:colOff>393700</xdr:colOff>
      <xdr:row>88</xdr:row>
      <xdr:rowOff>38100</xdr:rowOff>
    </xdr:to>
    <xdr:sp macro="" textlink="">
      <xdr:nvSpPr>
        <xdr:cNvPr id="569420" name="Oval 49">
          <a:extLst>
            <a:ext uri="{FF2B5EF4-FFF2-40B4-BE49-F238E27FC236}">
              <a16:creationId xmlns:a16="http://schemas.microsoft.com/office/drawing/2014/main" id="{3F78CEFB-0D66-457B-95E1-16E5A14F5182}"/>
            </a:ext>
          </a:extLst>
        </xdr:cNvPr>
        <xdr:cNvSpPr>
          <a:spLocks noChangeArrowheads="1"/>
        </xdr:cNvSpPr>
      </xdr:nvSpPr>
      <xdr:spPr bwMode="auto">
        <a:xfrm>
          <a:off x="8159750" y="13804900"/>
          <a:ext cx="82550" cy="76200"/>
        </a:xfrm>
        <a:prstGeom prst="ellipse">
          <a:avLst/>
        </a:prstGeom>
        <a:solidFill>
          <a:srgbClr val="FFFFFF"/>
        </a:solidFill>
        <a:ln w="9525">
          <a:solidFill>
            <a:srgbClr val="000000"/>
          </a:solidFill>
          <a:round/>
          <a:headEnd/>
          <a:tailEnd/>
        </a:ln>
      </xdr:spPr>
    </xdr:sp>
    <xdr:clientData/>
  </xdr:twoCellAnchor>
  <xdr:oneCellAnchor>
    <xdr:from>
      <xdr:col>8</xdr:col>
      <xdr:colOff>73025</xdr:colOff>
      <xdr:row>87</xdr:row>
      <xdr:rowOff>79375</xdr:rowOff>
    </xdr:from>
    <xdr:ext cx="282023" cy="176972"/>
    <xdr:sp macro="" textlink="">
      <xdr:nvSpPr>
        <xdr:cNvPr id="13362" name="Text Box 50">
          <a:extLst>
            <a:ext uri="{FF2B5EF4-FFF2-40B4-BE49-F238E27FC236}">
              <a16:creationId xmlns:a16="http://schemas.microsoft.com/office/drawing/2014/main" id="{07C4DC75-2BDC-49A6-963B-B75979419BB8}"/>
            </a:ext>
          </a:extLst>
        </xdr:cNvPr>
        <xdr:cNvSpPr txBox="1">
          <a:spLocks noChangeArrowheads="1"/>
        </xdr:cNvSpPr>
      </xdr:nvSpPr>
      <xdr:spPr bwMode="auto">
        <a:xfrm>
          <a:off x="5464175" y="13179425"/>
          <a:ext cx="2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LNA</a:t>
          </a:r>
        </a:p>
      </xdr:txBody>
    </xdr:sp>
    <xdr:clientData/>
  </xdr:oneCellAnchor>
  <xdr:oneCellAnchor>
    <xdr:from>
      <xdr:col>6</xdr:col>
      <xdr:colOff>85521</xdr:colOff>
      <xdr:row>86</xdr:row>
      <xdr:rowOff>149225</xdr:rowOff>
    </xdr:from>
    <xdr:ext cx="705730" cy="330860"/>
    <xdr:sp macro="" textlink="">
      <xdr:nvSpPr>
        <xdr:cNvPr id="13363" name="Text Box 51">
          <a:extLst>
            <a:ext uri="{FF2B5EF4-FFF2-40B4-BE49-F238E27FC236}">
              <a16:creationId xmlns:a16="http://schemas.microsoft.com/office/drawing/2014/main" id="{452F2D5B-94E1-4EF7-9BBA-C97E1A8D44E7}"/>
            </a:ext>
          </a:extLst>
        </xdr:cNvPr>
        <xdr:cNvSpPr txBox="1">
          <a:spLocks noChangeArrowheads="1"/>
        </xdr:cNvSpPr>
      </xdr:nvSpPr>
      <xdr:spPr bwMode="auto">
        <a:xfrm>
          <a:off x="4155871" y="13105342"/>
          <a:ext cx="649831"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Bandpass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oneCellAnchor>
  <xdr:oneCellAnchor>
    <xdr:from>
      <xdr:col>4</xdr:col>
      <xdr:colOff>166561</xdr:colOff>
      <xdr:row>86</xdr:row>
      <xdr:rowOff>66675</xdr:rowOff>
    </xdr:from>
    <xdr:ext cx="477100" cy="490807"/>
    <xdr:sp macro="" textlink="">
      <xdr:nvSpPr>
        <xdr:cNvPr id="13364" name="Text Box 52">
          <a:extLst>
            <a:ext uri="{FF2B5EF4-FFF2-40B4-BE49-F238E27FC236}">
              <a16:creationId xmlns:a16="http://schemas.microsoft.com/office/drawing/2014/main" id="{3EB80F3F-6192-4A24-8E6D-099725230123}"/>
            </a:ext>
          </a:extLst>
        </xdr:cNvPr>
        <xdr:cNvSpPr txBox="1">
          <a:spLocks noChangeArrowheads="1"/>
        </xdr:cNvSpPr>
      </xdr:nvSpPr>
      <xdr:spPr bwMode="auto">
        <a:xfrm>
          <a:off x="2871661" y="13020675"/>
          <a:ext cx="45722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Other</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In-Line</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Device</a:t>
          </a:r>
        </a:p>
      </xdr:txBody>
    </xdr:sp>
    <xdr:clientData/>
  </xdr:oneCellAnchor>
  <xdr:twoCellAnchor>
    <xdr:from>
      <xdr:col>11</xdr:col>
      <xdr:colOff>171450</xdr:colOff>
      <xdr:row>88</xdr:row>
      <xdr:rowOff>0</xdr:rowOff>
    </xdr:from>
    <xdr:to>
      <xdr:col>12</xdr:col>
      <xdr:colOff>304800</xdr:colOff>
      <xdr:row>88</xdr:row>
      <xdr:rowOff>0</xdr:rowOff>
    </xdr:to>
    <xdr:sp macro="" textlink="">
      <xdr:nvSpPr>
        <xdr:cNvPr id="569424" name="Line 54">
          <a:extLst>
            <a:ext uri="{FF2B5EF4-FFF2-40B4-BE49-F238E27FC236}">
              <a16:creationId xmlns:a16="http://schemas.microsoft.com/office/drawing/2014/main" id="{540E8482-AD9A-4910-BB36-D44CEE31C4F6}"/>
            </a:ext>
          </a:extLst>
        </xdr:cNvPr>
        <xdr:cNvSpPr>
          <a:spLocks noChangeShapeType="1"/>
        </xdr:cNvSpPr>
      </xdr:nvSpPr>
      <xdr:spPr bwMode="auto">
        <a:xfrm flipV="1">
          <a:off x="7404100" y="13843000"/>
          <a:ext cx="749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82</xdr:row>
      <xdr:rowOff>0</xdr:rowOff>
    </xdr:from>
    <xdr:to>
      <xdr:col>8</xdr:col>
      <xdr:colOff>12700</xdr:colOff>
      <xdr:row>85</xdr:row>
      <xdr:rowOff>50800</xdr:rowOff>
    </xdr:to>
    <xdr:sp macro="" textlink="">
      <xdr:nvSpPr>
        <xdr:cNvPr id="569425" name="Line 55">
          <a:extLst>
            <a:ext uri="{FF2B5EF4-FFF2-40B4-BE49-F238E27FC236}">
              <a16:creationId xmlns:a16="http://schemas.microsoft.com/office/drawing/2014/main" id="{CCFD746E-5BBC-4998-92CC-F369E79FD901}"/>
            </a:ext>
          </a:extLst>
        </xdr:cNvPr>
        <xdr:cNvSpPr>
          <a:spLocks noChangeShapeType="1"/>
        </xdr:cNvSpPr>
      </xdr:nvSpPr>
      <xdr:spPr bwMode="auto">
        <a:xfrm>
          <a:off x="4940300" y="1289050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90</xdr:row>
      <xdr:rowOff>120650</xdr:rowOff>
    </xdr:from>
    <xdr:to>
      <xdr:col>7</xdr:col>
      <xdr:colOff>603250</xdr:colOff>
      <xdr:row>94</xdr:row>
      <xdr:rowOff>12700</xdr:rowOff>
    </xdr:to>
    <xdr:sp macro="" textlink="">
      <xdr:nvSpPr>
        <xdr:cNvPr id="569426" name="Line 56">
          <a:extLst>
            <a:ext uri="{FF2B5EF4-FFF2-40B4-BE49-F238E27FC236}">
              <a16:creationId xmlns:a16="http://schemas.microsoft.com/office/drawing/2014/main" id="{7DDD6A95-E904-42D7-9081-F2B8BA428507}"/>
            </a:ext>
          </a:extLst>
        </xdr:cNvPr>
        <xdr:cNvSpPr>
          <a:spLocks noChangeShapeType="1"/>
        </xdr:cNvSpPr>
      </xdr:nvSpPr>
      <xdr:spPr bwMode="auto">
        <a:xfrm>
          <a:off x="4914900" y="142811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82</xdr:row>
      <xdr:rowOff>120650</xdr:rowOff>
    </xdr:from>
    <xdr:to>
      <xdr:col>10</xdr:col>
      <xdr:colOff>0</xdr:colOff>
      <xdr:row>86</xdr:row>
      <xdr:rowOff>12700</xdr:rowOff>
    </xdr:to>
    <xdr:sp macro="" textlink="">
      <xdr:nvSpPr>
        <xdr:cNvPr id="569427" name="Line 57">
          <a:extLst>
            <a:ext uri="{FF2B5EF4-FFF2-40B4-BE49-F238E27FC236}">
              <a16:creationId xmlns:a16="http://schemas.microsoft.com/office/drawing/2014/main" id="{C45885B7-7EE0-4E2D-965C-FEF932FC957A}"/>
            </a:ext>
          </a:extLst>
        </xdr:cNvPr>
        <xdr:cNvSpPr>
          <a:spLocks noChangeShapeType="1"/>
        </xdr:cNvSpPr>
      </xdr:nvSpPr>
      <xdr:spPr bwMode="auto">
        <a:xfrm>
          <a:off x="6616700" y="130111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89</xdr:row>
      <xdr:rowOff>146050</xdr:rowOff>
    </xdr:from>
    <xdr:to>
      <xdr:col>10</xdr:col>
      <xdr:colOff>0</xdr:colOff>
      <xdr:row>93</xdr:row>
      <xdr:rowOff>50800</xdr:rowOff>
    </xdr:to>
    <xdr:sp macro="" textlink="">
      <xdr:nvSpPr>
        <xdr:cNvPr id="569428" name="Line 58">
          <a:extLst>
            <a:ext uri="{FF2B5EF4-FFF2-40B4-BE49-F238E27FC236}">
              <a16:creationId xmlns:a16="http://schemas.microsoft.com/office/drawing/2014/main" id="{2919162D-044E-4CC1-BF20-A163C461C438}"/>
            </a:ext>
          </a:extLst>
        </xdr:cNvPr>
        <xdr:cNvSpPr>
          <a:spLocks noChangeShapeType="1"/>
        </xdr:cNvSpPr>
      </xdr:nvSpPr>
      <xdr:spPr bwMode="auto">
        <a:xfrm>
          <a:off x="6616700" y="14147800"/>
          <a:ext cx="0" cy="539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87</xdr:row>
      <xdr:rowOff>0</xdr:rowOff>
    </xdr:from>
    <xdr:to>
      <xdr:col>10</xdr:col>
      <xdr:colOff>390525</xdr:colOff>
      <xdr:row>89</xdr:row>
      <xdr:rowOff>31750</xdr:rowOff>
    </xdr:to>
    <xdr:sp macro="" textlink="">
      <xdr:nvSpPr>
        <xdr:cNvPr id="13371" name="Text Box 59">
          <a:extLst>
            <a:ext uri="{FF2B5EF4-FFF2-40B4-BE49-F238E27FC236}">
              <a16:creationId xmlns:a16="http://schemas.microsoft.com/office/drawing/2014/main" id="{772FD8AB-75EE-470B-89AE-9DA20E604C19}"/>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91</xdr:row>
      <xdr:rowOff>0</xdr:rowOff>
    </xdr:from>
    <xdr:to>
      <xdr:col>6</xdr:col>
      <xdr:colOff>419100</xdr:colOff>
      <xdr:row>92</xdr:row>
      <xdr:rowOff>12700</xdr:rowOff>
    </xdr:to>
    <xdr:sp macro="" textlink="">
      <xdr:nvSpPr>
        <xdr:cNvPr id="569430" name="Text Box 60">
          <a:extLst>
            <a:ext uri="{FF2B5EF4-FFF2-40B4-BE49-F238E27FC236}">
              <a16:creationId xmlns:a16="http://schemas.microsoft.com/office/drawing/2014/main" id="{B57DE08E-C889-4D84-97C8-546140C04FD8}"/>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xdr:col>
      <xdr:colOff>257175</xdr:colOff>
      <xdr:row>90</xdr:row>
      <xdr:rowOff>9525</xdr:rowOff>
    </xdr:from>
    <xdr:ext cx="289246" cy="170560"/>
    <xdr:sp macro="" textlink="">
      <xdr:nvSpPr>
        <xdr:cNvPr id="13373" name="Text Box 61">
          <a:extLst>
            <a:ext uri="{FF2B5EF4-FFF2-40B4-BE49-F238E27FC236}">
              <a16:creationId xmlns:a16="http://schemas.microsoft.com/office/drawing/2014/main" id="{9B36C76E-082C-4221-86FC-A34F501B0A3E}"/>
            </a:ext>
          </a:extLst>
        </xdr:cNvPr>
        <xdr:cNvSpPr txBox="1">
          <a:spLocks noChangeArrowheads="1"/>
        </xdr:cNvSpPr>
      </xdr:nvSpPr>
      <xdr:spPr bwMode="auto">
        <a:xfrm>
          <a:off x="3965575" y="14343592"/>
          <a:ext cx="289246"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BPF</a:t>
          </a:r>
        </a:p>
      </xdr:txBody>
    </xdr:sp>
    <xdr:clientData/>
  </xdr:oneCellAnchor>
  <xdr:twoCellAnchor>
    <xdr:from>
      <xdr:col>6</xdr:col>
      <xdr:colOff>0</xdr:colOff>
      <xdr:row>90</xdr:row>
      <xdr:rowOff>82550</xdr:rowOff>
    </xdr:from>
    <xdr:to>
      <xdr:col>6</xdr:col>
      <xdr:colOff>254000</xdr:colOff>
      <xdr:row>90</xdr:row>
      <xdr:rowOff>82550</xdr:rowOff>
    </xdr:to>
    <xdr:sp macro="" textlink="">
      <xdr:nvSpPr>
        <xdr:cNvPr id="569432" name="Line 62">
          <a:extLst>
            <a:ext uri="{FF2B5EF4-FFF2-40B4-BE49-F238E27FC236}">
              <a16:creationId xmlns:a16="http://schemas.microsoft.com/office/drawing/2014/main" id="{71586B00-9FE9-451C-A9CC-5A9800C055EB}"/>
            </a:ext>
          </a:extLst>
        </xdr:cNvPr>
        <xdr:cNvSpPr>
          <a:spLocks noChangeShapeType="1"/>
        </xdr:cNvSpPr>
      </xdr:nvSpPr>
      <xdr:spPr bwMode="auto">
        <a:xfrm flipH="1">
          <a:off x="3695700" y="142430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12700</xdr:colOff>
      <xdr:row>90</xdr:row>
      <xdr:rowOff>82550</xdr:rowOff>
    </xdr:from>
    <xdr:to>
      <xdr:col>7</xdr:col>
      <xdr:colOff>279400</xdr:colOff>
      <xdr:row>90</xdr:row>
      <xdr:rowOff>82550</xdr:rowOff>
    </xdr:to>
    <xdr:sp macro="" textlink="">
      <xdr:nvSpPr>
        <xdr:cNvPr id="569433" name="Line 63">
          <a:extLst>
            <a:ext uri="{FF2B5EF4-FFF2-40B4-BE49-F238E27FC236}">
              <a16:creationId xmlns:a16="http://schemas.microsoft.com/office/drawing/2014/main" id="{CAADDB8A-B93F-4934-88DF-2046F3ABA986}"/>
            </a:ext>
          </a:extLst>
        </xdr:cNvPr>
        <xdr:cNvSpPr>
          <a:spLocks noChangeShapeType="1"/>
        </xdr:cNvSpPr>
      </xdr:nvSpPr>
      <xdr:spPr bwMode="auto">
        <a:xfrm>
          <a:off x="4324350" y="142430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603250</xdr:colOff>
      <xdr:row>90</xdr:row>
      <xdr:rowOff>95250</xdr:rowOff>
    </xdr:from>
    <xdr:to>
      <xdr:col>4</xdr:col>
      <xdr:colOff>241300</xdr:colOff>
      <xdr:row>90</xdr:row>
      <xdr:rowOff>95250</xdr:rowOff>
    </xdr:to>
    <xdr:sp macro="" textlink="">
      <xdr:nvSpPr>
        <xdr:cNvPr id="569434" name="Line 64">
          <a:extLst>
            <a:ext uri="{FF2B5EF4-FFF2-40B4-BE49-F238E27FC236}">
              <a16:creationId xmlns:a16="http://schemas.microsoft.com/office/drawing/2014/main" id="{645B0EBF-E0C5-4E42-8796-A283A5569693}"/>
            </a:ext>
          </a:extLst>
        </xdr:cNvPr>
        <xdr:cNvSpPr>
          <a:spLocks noChangeShapeType="1"/>
        </xdr:cNvSpPr>
      </xdr:nvSpPr>
      <xdr:spPr bwMode="auto">
        <a:xfrm flipH="1">
          <a:off x="2451100" y="142557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25400</xdr:colOff>
      <xdr:row>90</xdr:row>
      <xdr:rowOff>82550</xdr:rowOff>
    </xdr:from>
    <xdr:to>
      <xdr:col>5</xdr:col>
      <xdr:colOff>292100</xdr:colOff>
      <xdr:row>90</xdr:row>
      <xdr:rowOff>82550</xdr:rowOff>
    </xdr:to>
    <xdr:sp macro="" textlink="">
      <xdr:nvSpPr>
        <xdr:cNvPr id="569435" name="Line 65">
          <a:extLst>
            <a:ext uri="{FF2B5EF4-FFF2-40B4-BE49-F238E27FC236}">
              <a16:creationId xmlns:a16="http://schemas.microsoft.com/office/drawing/2014/main" id="{EF92056D-C06D-437D-B3EE-AD6B305849FE}"/>
            </a:ext>
          </a:extLst>
        </xdr:cNvPr>
        <xdr:cNvSpPr>
          <a:spLocks noChangeShapeType="1"/>
        </xdr:cNvSpPr>
      </xdr:nvSpPr>
      <xdr:spPr bwMode="auto">
        <a:xfrm>
          <a:off x="3105150" y="142430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90</xdr:row>
      <xdr:rowOff>9525</xdr:rowOff>
    </xdr:from>
    <xdr:ext cx="323678" cy="170560"/>
    <xdr:sp macro="" textlink="">
      <xdr:nvSpPr>
        <xdr:cNvPr id="13378" name="Text Box 66">
          <a:extLst>
            <a:ext uri="{FF2B5EF4-FFF2-40B4-BE49-F238E27FC236}">
              <a16:creationId xmlns:a16="http://schemas.microsoft.com/office/drawing/2014/main" id="{609AAF45-59DE-43B8-89FA-FD99BF10341F}"/>
            </a:ext>
          </a:extLst>
        </xdr:cNvPr>
        <xdr:cNvSpPr txBox="1">
          <a:spLocks noChangeArrowheads="1"/>
        </xdr:cNvSpPr>
      </xdr:nvSpPr>
      <xdr:spPr bwMode="auto">
        <a:xfrm>
          <a:off x="2729442" y="14343592"/>
          <a:ext cx="32367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other</a:t>
          </a:r>
        </a:p>
      </xdr:txBody>
    </xdr:sp>
    <xdr:clientData/>
  </xdr:oneCellAnchor>
  <xdr:twoCellAnchor>
    <xdr:from>
      <xdr:col>13</xdr:col>
      <xdr:colOff>25400</xdr:colOff>
      <xdr:row>123</xdr:row>
      <xdr:rowOff>0</xdr:rowOff>
    </xdr:from>
    <xdr:to>
      <xdr:col>13</xdr:col>
      <xdr:colOff>584200</xdr:colOff>
      <xdr:row>146</xdr:row>
      <xdr:rowOff>0</xdr:rowOff>
    </xdr:to>
    <xdr:sp macro="" textlink="">
      <xdr:nvSpPr>
        <xdr:cNvPr id="569437" name="AutoShape 74">
          <a:extLst>
            <a:ext uri="{FF2B5EF4-FFF2-40B4-BE49-F238E27FC236}">
              <a16:creationId xmlns:a16="http://schemas.microsoft.com/office/drawing/2014/main" id="{DC3E36E7-3DCB-41C8-BEEF-A25E3F80AD04}"/>
            </a:ext>
          </a:extLst>
        </xdr:cNvPr>
        <xdr:cNvSpPr>
          <a:spLocks/>
        </xdr:cNvSpPr>
      </xdr:nvSpPr>
      <xdr:spPr bwMode="auto">
        <a:xfrm>
          <a:off x="8489950" y="19088100"/>
          <a:ext cx="558800" cy="3670300"/>
        </a:xfrm>
        <a:prstGeom prst="leftBrace">
          <a:avLst>
            <a:gd name="adj1" fmla="val 54735"/>
            <a:gd name="adj2" fmla="val 3759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165100</xdr:colOff>
      <xdr:row>131</xdr:row>
      <xdr:rowOff>107950</xdr:rowOff>
    </xdr:from>
    <xdr:to>
      <xdr:col>12</xdr:col>
      <xdr:colOff>546100</xdr:colOff>
      <xdr:row>131</xdr:row>
      <xdr:rowOff>107950</xdr:rowOff>
    </xdr:to>
    <xdr:sp macro="" textlink="">
      <xdr:nvSpPr>
        <xdr:cNvPr id="569438" name="Line 75">
          <a:extLst>
            <a:ext uri="{FF2B5EF4-FFF2-40B4-BE49-F238E27FC236}">
              <a16:creationId xmlns:a16="http://schemas.microsoft.com/office/drawing/2014/main" id="{447B33DA-978D-4B0B-A788-AF758A9771BE}"/>
            </a:ext>
          </a:extLst>
        </xdr:cNvPr>
        <xdr:cNvSpPr>
          <a:spLocks noChangeShapeType="1"/>
        </xdr:cNvSpPr>
      </xdr:nvSpPr>
      <xdr:spPr bwMode="auto">
        <a:xfrm flipH="1">
          <a:off x="6781800" y="20472400"/>
          <a:ext cx="1612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241300</xdr:colOff>
      <xdr:row>62</xdr:row>
      <xdr:rowOff>107950</xdr:rowOff>
    </xdr:from>
    <xdr:to>
      <xdr:col>13</xdr:col>
      <xdr:colOff>57150</xdr:colOff>
      <xdr:row>62</xdr:row>
      <xdr:rowOff>107950</xdr:rowOff>
    </xdr:to>
    <xdr:sp macro="" textlink="">
      <xdr:nvSpPr>
        <xdr:cNvPr id="569439" name="Line 77">
          <a:extLst>
            <a:ext uri="{FF2B5EF4-FFF2-40B4-BE49-F238E27FC236}">
              <a16:creationId xmlns:a16="http://schemas.microsoft.com/office/drawing/2014/main" id="{4B7A22B1-B8B6-4A1B-BB46-A64CDB10F202}"/>
            </a:ext>
          </a:extLst>
        </xdr:cNvPr>
        <xdr:cNvSpPr>
          <a:spLocks noChangeShapeType="1"/>
        </xdr:cNvSpPr>
      </xdr:nvSpPr>
      <xdr:spPr bwMode="auto">
        <a:xfrm flipH="1">
          <a:off x="6858000" y="9766300"/>
          <a:ext cx="1663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123</xdr:row>
      <xdr:rowOff>82550</xdr:rowOff>
    </xdr:from>
    <xdr:to>
      <xdr:col>11</xdr:col>
      <xdr:colOff>196850</xdr:colOff>
      <xdr:row>123</xdr:row>
      <xdr:rowOff>82550</xdr:rowOff>
    </xdr:to>
    <xdr:sp macro="" textlink="">
      <xdr:nvSpPr>
        <xdr:cNvPr id="569442" name="Line 82">
          <a:extLst>
            <a:ext uri="{FF2B5EF4-FFF2-40B4-BE49-F238E27FC236}">
              <a16:creationId xmlns:a16="http://schemas.microsoft.com/office/drawing/2014/main" id="{B9F6AF2F-953F-4976-9BA6-9F754A5286A4}"/>
            </a:ext>
          </a:extLst>
        </xdr:cNvPr>
        <xdr:cNvSpPr>
          <a:spLocks noChangeShapeType="1"/>
        </xdr:cNvSpPr>
      </xdr:nvSpPr>
      <xdr:spPr bwMode="auto">
        <a:xfrm flipH="1">
          <a:off x="6851650" y="191706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123</xdr:row>
      <xdr:rowOff>82550</xdr:rowOff>
    </xdr:from>
    <xdr:to>
      <xdr:col>11</xdr:col>
      <xdr:colOff>196850</xdr:colOff>
      <xdr:row>125</xdr:row>
      <xdr:rowOff>82550</xdr:rowOff>
    </xdr:to>
    <xdr:sp macro="" textlink="">
      <xdr:nvSpPr>
        <xdr:cNvPr id="569443" name="Line 83">
          <a:extLst>
            <a:ext uri="{FF2B5EF4-FFF2-40B4-BE49-F238E27FC236}">
              <a16:creationId xmlns:a16="http://schemas.microsoft.com/office/drawing/2014/main" id="{5CEE08BE-62D9-497D-A3F1-4527D284206D}"/>
            </a:ext>
          </a:extLst>
        </xdr:cNvPr>
        <xdr:cNvSpPr>
          <a:spLocks noChangeShapeType="1"/>
        </xdr:cNvSpPr>
      </xdr:nvSpPr>
      <xdr:spPr bwMode="auto">
        <a:xfrm>
          <a:off x="7429500" y="19170650"/>
          <a:ext cx="0" cy="323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125</xdr:row>
      <xdr:rowOff>82550</xdr:rowOff>
    </xdr:from>
    <xdr:to>
      <xdr:col>11</xdr:col>
      <xdr:colOff>209550</xdr:colOff>
      <xdr:row>125</xdr:row>
      <xdr:rowOff>82550</xdr:rowOff>
    </xdr:to>
    <xdr:sp macro="" textlink="">
      <xdr:nvSpPr>
        <xdr:cNvPr id="569444" name="Line 84">
          <a:extLst>
            <a:ext uri="{FF2B5EF4-FFF2-40B4-BE49-F238E27FC236}">
              <a16:creationId xmlns:a16="http://schemas.microsoft.com/office/drawing/2014/main" id="{58A140B1-2A55-42C0-AA71-B21E3D7370BA}"/>
            </a:ext>
          </a:extLst>
        </xdr:cNvPr>
        <xdr:cNvSpPr>
          <a:spLocks noChangeShapeType="1"/>
        </xdr:cNvSpPr>
      </xdr:nvSpPr>
      <xdr:spPr bwMode="auto">
        <a:xfrm flipH="1">
          <a:off x="7245350" y="194945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50</xdr:row>
      <xdr:rowOff>82550</xdr:rowOff>
    </xdr:from>
    <xdr:to>
      <xdr:col>11</xdr:col>
      <xdr:colOff>234950</xdr:colOff>
      <xdr:row>50</xdr:row>
      <xdr:rowOff>82550</xdr:rowOff>
    </xdr:to>
    <xdr:sp macro="" textlink="">
      <xdr:nvSpPr>
        <xdr:cNvPr id="569447" name="Line 88">
          <a:extLst>
            <a:ext uri="{FF2B5EF4-FFF2-40B4-BE49-F238E27FC236}">
              <a16:creationId xmlns:a16="http://schemas.microsoft.com/office/drawing/2014/main" id="{7F8A46E3-FA6D-46A8-B57E-E22E9AADEA2C}"/>
            </a:ext>
          </a:extLst>
        </xdr:cNvPr>
        <xdr:cNvSpPr>
          <a:spLocks noChangeShapeType="1"/>
        </xdr:cNvSpPr>
      </xdr:nvSpPr>
      <xdr:spPr bwMode="auto">
        <a:xfrm flipH="1">
          <a:off x="7232650" y="8147050"/>
          <a:ext cx="234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86</xdr:row>
      <xdr:rowOff>12700</xdr:rowOff>
    </xdr:from>
    <xdr:to>
      <xdr:col>11</xdr:col>
      <xdr:colOff>501650</xdr:colOff>
      <xdr:row>89</xdr:row>
      <xdr:rowOff>146050</xdr:rowOff>
    </xdr:to>
    <xdr:sp macro="" textlink="">
      <xdr:nvSpPr>
        <xdr:cNvPr id="569448" name="Rectangle 90">
          <a:extLst>
            <a:ext uri="{FF2B5EF4-FFF2-40B4-BE49-F238E27FC236}">
              <a16:creationId xmlns:a16="http://schemas.microsoft.com/office/drawing/2014/main" id="{10547508-1FE9-4EEE-BB86-84675FD06A39}"/>
            </a:ext>
          </a:extLst>
        </xdr:cNvPr>
        <xdr:cNvSpPr>
          <a:spLocks noChangeArrowheads="1"/>
        </xdr:cNvSpPr>
      </xdr:nvSpPr>
      <xdr:spPr bwMode="auto">
        <a:xfrm>
          <a:off x="6616700" y="13538200"/>
          <a:ext cx="1117600" cy="609600"/>
        </a:xfrm>
        <a:prstGeom prst="rect">
          <a:avLst/>
        </a:prstGeom>
        <a:solidFill>
          <a:srgbClr val="FFFFFF"/>
        </a:solidFill>
        <a:ln w="9525">
          <a:solidFill>
            <a:srgbClr val="000000"/>
          </a:solidFill>
          <a:miter lim="800000"/>
          <a:headEnd/>
          <a:tailEnd/>
        </a:ln>
      </xdr:spPr>
    </xdr:sp>
    <xdr:clientData/>
  </xdr:twoCellAnchor>
  <xdr:oneCellAnchor>
    <xdr:from>
      <xdr:col>9</xdr:col>
      <xdr:colOff>675253</xdr:colOff>
      <xdr:row>86</xdr:row>
      <xdr:rowOff>146050</xdr:rowOff>
    </xdr:from>
    <xdr:ext cx="1153640" cy="330860"/>
    <xdr:sp macro="" textlink="">
      <xdr:nvSpPr>
        <xdr:cNvPr id="13403" name="Text Box 91">
          <a:extLst>
            <a:ext uri="{FF2B5EF4-FFF2-40B4-BE49-F238E27FC236}">
              <a16:creationId xmlns:a16="http://schemas.microsoft.com/office/drawing/2014/main" id="{DCC0D738-B5BC-4F67-AEC9-C521BC716D36}"/>
            </a:ext>
          </a:extLst>
        </xdr:cNvPr>
        <xdr:cNvSpPr txBox="1">
          <a:spLocks noChangeArrowheads="1"/>
        </xdr:cNvSpPr>
      </xdr:nvSpPr>
      <xdr:spPr bwMode="auto">
        <a:xfrm>
          <a:off x="7234803" y="13102167"/>
          <a:ext cx="1077194"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Communications</a:t>
          </a:r>
        </a:p>
        <a:p>
          <a:pPr algn="ctr" rtl="1">
            <a:defRPr sz="1000"/>
          </a:pPr>
          <a:r>
            <a:rPr lang="en-US" sz="1000" b="1" i="0" strike="noStrike">
              <a:solidFill>
                <a:srgbClr val="000000"/>
              </a:solidFill>
              <a:latin typeface="Arial"/>
              <a:cs typeface="Arial"/>
            </a:rPr>
            <a:t>Receiver</a:t>
          </a:r>
        </a:p>
      </xdr:txBody>
    </xdr:sp>
    <xdr:clientData/>
  </xdr:oneCellAnchor>
  <xdr:oneCellAnchor>
    <xdr:from>
      <xdr:col>9</xdr:col>
      <xdr:colOff>0</xdr:colOff>
      <xdr:row>85</xdr:row>
      <xdr:rowOff>146050</xdr:rowOff>
    </xdr:from>
    <xdr:ext cx="163827" cy="170560"/>
    <xdr:sp macro="" textlink="">
      <xdr:nvSpPr>
        <xdr:cNvPr id="13404" name="Text Box 92">
          <a:extLst>
            <a:ext uri="{FF2B5EF4-FFF2-40B4-BE49-F238E27FC236}">
              <a16:creationId xmlns:a16="http://schemas.microsoft.com/office/drawing/2014/main" id="{A9A6E3FE-7060-4C5A-99EF-F8AE93817364}"/>
            </a:ext>
          </a:extLst>
        </xdr:cNvPr>
        <xdr:cNvSpPr txBox="1">
          <a:spLocks noChangeArrowheads="1"/>
        </xdr:cNvSpPr>
      </xdr:nvSpPr>
      <xdr:spPr bwMode="auto">
        <a:xfrm>
          <a:off x="5935133" y="13675783"/>
          <a:ext cx="16382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D</a:t>
          </a:r>
        </a:p>
      </xdr:txBody>
    </xdr:sp>
    <xdr:clientData/>
  </xdr:oneCellAnchor>
  <xdr:oneCellAnchor>
    <xdr:from>
      <xdr:col>8</xdr:col>
      <xdr:colOff>485775</xdr:colOff>
      <xdr:row>88</xdr:row>
      <xdr:rowOff>127000</xdr:rowOff>
    </xdr:from>
    <xdr:ext cx="1093575" cy="336987"/>
    <xdr:sp macro="" textlink="">
      <xdr:nvSpPr>
        <xdr:cNvPr id="13405" name="Text Box 93">
          <a:extLst>
            <a:ext uri="{FF2B5EF4-FFF2-40B4-BE49-F238E27FC236}">
              <a16:creationId xmlns:a16="http://schemas.microsoft.com/office/drawing/2014/main" id="{D8823E84-D39F-42BA-8B63-D22E21873A64}"/>
            </a:ext>
          </a:extLst>
        </xdr:cNvPr>
        <xdr:cNvSpPr txBox="1">
          <a:spLocks noChangeArrowheads="1"/>
        </xdr:cNvSpPr>
      </xdr:nvSpPr>
      <xdr:spPr bwMode="auto">
        <a:xfrm>
          <a:off x="5915025" y="13379450"/>
          <a:ext cx="1023474"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Long Cable Run</a:t>
          </a:r>
        </a:p>
        <a:p>
          <a:pPr algn="l" rtl="1">
            <a:defRPr sz="1000"/>
          </a:pPr>
          <a:r>
            <a:rPr lang="en-US" sz="1000" b="0" i="0" strike="noStrike">
              <a:solidFill>
                <a:srgbClr val="000000"/>
              </a:solidFill>
              <a:latin typeface="Arial"/>
              <a:cs typeface="Arial"/>
            </a:rPr>
            <a:t>(See Note Below)</a:t>
          </a:r>
        </a:p>
      </xdr:txBody>
    </xdr:sp>
    <xdr:clientData/>
  </xdr:oneCellAnchor>
  <xdr:twoCellAnchor>
    <xdr:from>
      <xdr:col>20</xdr:col>
      <xdr:colOff>476250</xdr:colOff>
      <xdr:row>54</xdr:row>
      <xdr:rowOff>50800</xdr:rowOff>
    </xdr:from>
    <xdr:to>
      <xdr:col>21</xdr:col>
      <xdr:colOff>152400</xdr:colOff>
      <xdr:row>56</xdr:row>
      <xdr:rowOff>82550</xdr:rowOff>
    </xdr:to>
    <xdr:sp macro="" textlink="">
      <xdr:nvSpPr>
        <xdr:cNvPr id="569452" name="Line 97">
          <a:extLst>
            <a:ext uri="{FF2B5EF4-FFF2-40B4-BE49-F238E27FC236}">
              <a16:creationId xmlns:a16="http://schemas.microsoft.com/office/drawing/2014/main" id="{EDD1BDDB-4232-4B9D-9AB2-EBF8E81E7476}"/>
            </a:ext>
          </a:extLst>
        </xdr:cNvPr>
        <xdr:cNvSpPr>
          <a:spLocks noChangeShapeType="1"/>
        </xdr:cNvSpPr>
      </xdr:nvSpPr>
      <xdr:spPr bwMode="auto">
        <a:xfrm flipV="1">
          <a:off x="13252450" y="8439150"/>
          <a:ext cx="3365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50</xdr:row>
      <xdr:rowOff>82550</xdr:rowOff>
    </xdr:from>
    <xdr:to>
      <xdr:col>11</xdr:col>
      <xdr:colOff>234950</xdr:colOff>
      <xdr:row>50</xdr:row>
      <xdr:rowOff>82550</xdr:rowOff>
    </xdr:to>
    <xdr:sp macro="" textlink="">
      <xdr:nvSpPr>
        <xdr:cNvPr id="79" name="Line 85">
          <a:extLst>
            <a:ext uri="{FF2B5EF4-FFF2-40B4-BE49-F238E27FC236}">
              <a16:creationId xmlns:a16="http://schemas.microsoft.com/office/drawing/2014/main" id="{D720840E-8640-4564-860B-642A0236D6A5}"/>
            </a:ext>
          </a:extLst>
        </xdr:cNvPr>
        <xdr:cNvSpPr>
          <a:spLocks noChangeShapeType="1"/>
        </xdr:cNvSpPr>
      </xdr:nvSpPr>
      <xdr:spPr bwMode="auto">
        <a:xfrm flipH="1">
          <a:off x="6934200" y="81470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234950</xdr:colOff>
      <xdr:row>50</xdr:row>
      <xdr:rowOff>82550</xdr:rowOff>
    </xdr:from>
    <xdr:to>
      <xdr:col>11</xdr:col>
      <xdr:colOff>241300</xdr:colOff>
      <xdr:row>52</xdr:row>
      <xdr:rowOff>82550</xdr:rowOff>
    </xdr:to>
    <xdr:sp macro="" textlink="">
      <xdr:nvSpPr>
        <xdr:cNvPr id="80" name="Line 87">
          <a:extLst>
            <a:ext uri="{FF2B5EF4-FFF2-40B4-BE49-F238E27FC236}">
              <a16:creationId xmlns:a16="http://schemas.microsoft.com/office/drawing/2014/main" id="{5E61B0CB-5BFA-402F-AF84-3AD7C8184D84}"/>
            </a:ext>
          </a:extLst>
        </xdr:cNvPr>
        <xdr:cNvSpPr>
          <a:spLocks noChangeShapeType="1"/>
        </xdr:cNvSpPr>
      </xdr:nvSpPr>
      <xdr:spPr bwMode="auto">
        <a:xfrm flipH="1">
          <a:off x="7550150" y="8147050"/>
          <a:ext cx="635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52</xdr:row>
      <xdr:rowOff>82550</xdr:rowOff>
    </xdr:from>
    <xdr:to>
      <xdr:col>11</xdr:col>
      <xdr:colOff>234950</xdr:colOff>
      <xdr:row>52</xdr:row>
      <xdr:rowOff>82550</xdr:rowOff>
    </xdr:to>
    <xdr:sp macro="" textlink="">
      <xdr:nvSpPr>
        <xdr:cNvPr id="81" name="Line 88">
          <a:extLst>
            <a:ext uri="{FF2B5EF4-FFF2-40B4-BE49-F238E27FC236}">
              <a16:creationId xmlns:a16="http://schemas.microsoft.com/office/drawing/2014/main" id="{2AB37564-D8D5-46D2-B236-F4D4DB73291B}"/>
            </a:ext>
          </a:extLst>
        </xdr:cNvPr>
        <xdr:cNvSpPr>
          <a:spLocks noChangeShapeType="1"/>
        </xdr:cNvSpPr>
      </xdr:nvSpPr>
      <xdr:spPr bwMode="auto">
        <a:xfrm flipH="1">
          <a:off x="7315200" y="8464550"/>
          <a:ext cx="234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165100</xdr:colOff>
      <xdr:row>131</xdr:row>
      <xdr:rowOff>107950</xdr:rowOff>
    </xdr:from>
    <xdr:to>
      <xdr:col>12</xdr:col>
      <xdr:colOff>546100</xdr:colOff>
      <xdr:row>131</xdr:row>
      <xdr:rowOff>107950</xdr:rowOff>
    </xdr:to>
    <xdr:sp macro="" textlink="">
      <xdr:nvSpPr>
        <xdr:cNvPr id="82" name="Line 75">
          <a:extLst>
            <a:ext uri="{FF2B5EF4-FFF2-40B4-BE49-F238E27FC236}">
              <a16:creationId xmlns:a16="http://schemas.microsoft.com/office/drawing/2014/main" id="{23E6D007-C242-4A46-AB68-FD5413041023}"/>
            </a:ext>
          </a:extLst>
        </xdr:cNvPr>
        <xdr:cNvSpPr>
          <a:spLocks noChangeShapeType="1"/>
        </xdr:cNvSpPr>
      </xdr:nvSpPr>
      <xdr:spPr bwMode="auto">
        <a:xfrm flipH="1">
          <a:off x="6864350" y="21202650"/>
          <a:ext cx="1612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123</xdr:row>
      <xdr:rowOff>82550</xdr:rowOff>
    </xdr:from>
    <xdr:to>
      <xdr:col>11</xdr:col>
      <xdr:colOff>196850</xdr:colOff>
      <xdr:row>123</xdr:row>
      <xdr:rowOff>82550</xdr:rowOff>
    </xdr:to>
    <xdr:sp macro="" textlink="">
      <xdr:nvSpPr>
        <xdr:cNvPr id="83" name="Line 82">
          <a:extLst>
            <a:ext uri="{FF2B5EF4-FFF2-40B4-BE49-F238E27FC236}">
              <a16:creationId xmlns:a16="http://schemas.microsoft.com/office/drawing/2014/main" id="{563BC1B3-B4D1-4212-AF45-8066571C3FBD}"/>
            </a:ext>
          </a:extLst>
        </xdr:cNvPr>
        <xdr:cNvSpPr>
          <a:spLocks noChangeShapeType="1"/>
        </xdr:cNvSpPr>
      </xdr:nvSpPr>
      <xdr:spPr bwMode="auto">
        <a:xfrm flipH="1">
          <a:off x="6934200" y="1990090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123</xdr:row>
      <xdr:rowOff>82550</xdr:rowOff>
    </xdr:from>
    <xdr:to>
      <xdr:col>11</xdr:col>
      <xdr:colOff>196850</xdr:colOff>
      <xdr:row>125</xdr:row>
      <xdr:rowOff>82550</xdr:rowOff>
    </xdr:to>
    <xdr:sp macro="" textlink="">
      <xdr:nvSpPr>
        <xdr:cNvPr id="84" name="Line 83">
          <a:extLst>
            <a:ext uri="{FF2B5EF4-FFF2-40B4-BE49-F238E27FC236}">
              <a16:creationId xmlns:a16="http://schemas.microsoft.com/office/drawing/2014/main" id="{BD124D9A-50A9-44A2-8C57-85DE9CD0412F}"/>
            </a:ext>
          </a:extLst>
        </xdr:cNvPr>
        <xdr:cNvSpPr>
          <a:spLocks noChangeShapeType="1"/>
        </xdr:cNvSpPr>
      </xdr:nvSpPr>
      <xdr:spPr bwMode="auto">
        <a:xfrm>
          <a:off x="7512050" y="19900900"/>
          <a:ext cx="0" cy="323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125</xdr:row>
      <xdr:rowOff>82550</xdr:rowOff>
    </xdr:from>
    <xdr:to>
      <xdr:col>11</xdr:col>
      <xdr:colOff>209550</xdr:colOff>
      <xdr:row>125</xdr:row>
      <xdr:rowOff>82550</xdr:rowOff>
    </xdr:to>
    <xdr:sp macro="" textlink="">
      <xdr:nvSpPr>
        <xdr:cNvPr id="85" name="Line 84">
          <a:extLst>
            <a:ext uri="{FF2B5EF4-FFF2-40B4-BE49-F238E27FC236}">
              <a16:creationId xmlns:a16="http://schemas.microsoft.com/office/drawing/2014/main" id="{5FA720DF-CAA7-4E7A-91A2-A169789FCFBF}"/>
            </a:ext>
          </a:extLst>
        </xdr:cNvPr>
        <xdr:cNvSpPr>
          <a:spLocks noChangeShapeType="1"/>
        </xdr:cNvSpPr>
      </xdr:nvSpPr>
      <xdr:spPr bwMode="auto">
        <a:xfrm flipH="1">
          <a:off x="7327900" y="202247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66</xdr:row>
      <xdr:rowOff>82550</xdr:rowOff>
    </xdr:from>
    <xdr:to>
      <xdr:col>13</xdr:col>
      <xdr:colOff>510118</xdr:colOff>
      <xdr:row>72</xdr:row>
      <xdr:rowOff>87841</xdr:rowOff>
    </xdr:to>
    <xdr:cxnSp macro="">
      <xdr:nvCxnSpPr>
        <xdr:cNvPr id="86" name="Connector: Curved 85">
          <a:extLst>
            <a:ext uri="{FF2B5EF4-FFF2-40B4-BE49-F238E27FC236}">
              <a16:creationId xmlns:a16="http://schemas.microsoft.com/office/drawing/2014/main" id="{34C812A3-C4DB-4B25-A8A7-12CC1707219C}"/>
            </a:ext>
          </a:extLst>
        </xdr:cNvPr>
        <xdr:cNvCxnSpPr/>
      </xdr:nvCxnSpPr>
      <xdr:spPr bwMode="auto">
        <a:xfrm rot="10800000">
          <a:off x="6883400" y="10693400"/>
          <a:ext cx="2186518" cy="976841"/>
        </a:xfrm>
        <a:prstGeom prst="curvedConnector3">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10</xdr:col>
      <xdr:colOff>158750</xdr:colOff>
      <xdr:row>147</xdr:row>
      <xdr:rowOff>82550</xdr:rowOff>
    </xdr:from>
    <xdr:to>
      <xdr:col>13</xdr:col>
      <xdr:colOff>555624</xdr:colOff>
      <xdr:row>147</xdr:row>
      <xdr:rowOff>82550</xdr:rowOff>
    </xdr:to>
    <xdr:cxnSp macro="">
      <xdr:nvCxnSpPr>
        <xdr:cNvPr id="87" name="Straight Arrow Connector 86">
          <a:extLst>
            <a:ext uri="{FF2B5EF4-FFF2-40B4-BE49-F238E27FC236}">
              <a16:creationId xmlns:a16="http://schemas.microsoft.com/office/drawing/2014/main" id="{C977992D-D459-44B2-BFED-BA2C8CFE352A}"/>
            </a:ext>
          </a:extLst>
        </xdr:cNvPr>
        <xdr:cNvCxnSpPr/>
      </xdr:nvCxnSpPr>
      <xdr:spPr bwMode="auto">
        <a:xfrm flipH="1">
          <a:off x="6870700" y="23736300"/>
          <a:ext cx="2244724"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EB21658F-143A-4655-8E59-910850236AC3}"/>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76DE29B1-5703-48C3-8905-A74E294BFC02}"/>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AF09B869-203F-4DA1-B87C-D4214FD7E286}"/>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64D0B733-FBD6-4379-9F41-A29C6B4BB550}"/>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375505FE-D65A-402C-B123-5623B3A7B46D}"/>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9E044D19-9CC7-4C85-9FEB-60330DCBD74A}"/>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3CB6FF23-6930-4140-874E-ACBBE0ABA7BA}"/>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18FED74F-9EDF-42B7-A052-EE0354939080}"/>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E0BAE7F-8EF5-4656-B578-1AB22E940F08}"/>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D1F8A391-1D34-4850-9B3A-CECB2D0FC3D5}"/>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BE6462B4-9369-43FA-851D-705240C61322}"/>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5209ED55-D5F6-4AA2-AAC1-863D8F4BCD38}"/>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EFD4EC95-55F2-4271-BA33-5EFE81DD86CF}"/>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B2AE8CFE-48D7-48DE-87CD-593D4D00263E}"/>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EEE2465A-1340-42FC-9A08-7A9FC5BE8D55}"/>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597A559F-97E9-4930-9C90-CF1781E0B4A0}"/>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3C5E69FB-0F16-40ED-9756-E5EB3EA6F5EC}"/>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B3C4FF0E-C578-4167-A68B-6B22F74714AC}"/>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7F6D891B-187E-4C44-B5E8-E387E8E6BC56}"/>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4A6A5F24-3245-4A99-9607-C02B79EEB7A7}"/>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28964BEF-7895-40DE-9202-0A2F6BD7FECC}"/>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54105EFC-B3EB-4D6B-A6A5-12BC9B75A755}"/>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47A8417F-4FE6-4E47-A551-8B772908D1D2}"/>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FF86A308-2BA3-4CB3-806A-06512347951F}"/>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B21B54B-414E-4CA7-8E0F-B8A21A19CEE2}"/>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B69A339F-95A9-4BB8-A79F-7CF46AC126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9857E01C-588F-49F6-A5E4-401587CF7479}"/>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DEA06582-AEC2-4372-A742-98167F7EF56D}"/>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374A9802-D190-46CB-86BC-B3555B7DF12F}"/>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B71F3CD-02FB-4F83-AC19-273F55BF1DCF}"/>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B6EA1A16-033E-4A6B-9421-B89525EE00B5}"/>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69177D52-CE64-4F9C-A11B-B4E387574A79}"/>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30549AB8-B875-4CE9-9DA2-C811A6E6810C}"/>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D818E8A5-43E8-4823-B60C-C6FEB77AC301}"/>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BA916DB0-DD8E-43C4-8A65-9A32FC6B00F8}"/>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AD283B19-B86D-4236-B72B-872E6794EFFB}"/>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296D71B3-2688-4191-AB2F-CC4A1FE2033D}"/>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C296F50D-B4C8-45FE-9E7C-CBBF8E7C8C07}"/>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F50900F8-1893-4B80-AE50-007843529ECA}"/>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1D2053E2-7336-4FBF-BBAC-E214AEC03A5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10EE7D48-F4BB-4A85-AA6F-7540E8A8A538}"/>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9C06EE42-AE64-4F53-A491-561B489B5BF3}"/>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91A8E26D-9F0A-4002-BCBD-0C8EAF62B3C3}"/>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07933F06-E681-427B-A22F-3FF90B52A142}"/>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AB52DE5A-B74E-478D-9422-B67B7E83721E}"/>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3ACCF04B-C05B-4367-B6DE-65033E91076B}"/>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D5255DAB-3206-4AE8-AE4F-82A12DA80C9C}"/>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74843E78-A151-45CD-807E-40E288CB9974}"/>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A3B8A248-2693-49DC-A791-B6559ADAF95A}"/>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259F3F5B-7653-4773-9FD8-C2996EFA8CC2}"/>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8C48A511-618F-44C0-B5C9-3F4E1D92066E}"/>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B43DEF67-A2A2-4D84-B8DB-E4199A3AA0CD}"/>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E0123CFE-EBC9-4E09-8E26-1D581D1DD1D1}"/>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AB73183F-C2A2-459F-ABCC-5AE7BED197A0}"/>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3408835D-54E2-43E9-A7A5-4B9D9BEAC911}"/>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EDAE1087-9609-4A87-82BA-FA4BE6E5E4C7}"/>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03941E66-EFC9-449C-8F2C-3980B9B80D80}"/>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73A15A3F-1A5A-4C9E-9151-ADBBFF6716BC}"/>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3456E496-9C62-4E04-9AA6-AD48AF06BAA4}"/>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3C252689-3ACD-4327-B72E-B171835DBF4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30947C45-E0FB-4639-A69D-BCDBA3273B54}"/>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5875D289-1829-42F3-B3A7-3E60D8EC94B9}"/>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2043BE62-4FB4-4080-9F8F-B589A5722EF6}"/>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0FBCCB82-257E-4A71-ACEE-4692528FA4D8}"/>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9DE64CE3-79AD-4F52-9CA1-F77384DDEF22}"/>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6B5F4BC8-AA83-4DCE-87F3-5B66C94A2D9E}"/>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BA0F94D5-A862-4642-9EF2-E6D35C9FC64F}"/>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8FA28E25-D2B4-455C-839F-BB35045631A3}"/>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CDAC9D60-8A32-460B-B1BA-0268CA4422B6}"/>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953B338F-D778-41F6-A7B0-624375D39598}"/>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18CCB1B2-A10E-4C8A-9840-018068BF73FA}"/>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264EC0E8-6BEE-44A2-A5AF-93B7209F1710}"/>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DEA93373-1B90-4DF4-8342-BFB23B6958EF}"/>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E2987EEB-676B-491D-9B33-A84C661B5573}"/>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1613BC0-6B78-4B11-A54B-83F948B3874D}"/>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5C168C61-A995-45D0-A33C-7BFCDA6AB0DB}"/>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BCEFBAA2-8969-4E07-A6D8-F23B496686A4}"/>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F085D8BD-6EA1-4D83-8419-0F62B2125531}"/>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D76C686-167B-4438-80DC-626E56D5F6D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F26EC0EE-13F1-4881-9127-D18D36C1E92A}"/>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F95DB5C9-9E59-4A12-94AA-F0EA93BFCD2F}"/>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099003B5-6282-43E9-B655-C3A82F4607E6}"/>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40ABC62E-BB72-4E2D-B6DE-39F2F9C7415C}"/>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24CBE7A1-F3A9-47B8-BD94-A2B7DCF84F82}"/>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E4237C15-C775-48EC-9BF6-B375535ED0FE}"/>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1663421A-20CB-457C-BB8B-704112B2457C}"/>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72FA67C6-6785-4BCF-87C7-9F54DFF3605D}"/>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6549E3E8-CCEF-4CDC-8703-4ABAF0066BCD}"/>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0598C28F-8ED7-40BB-B7B9-423B36ED88B5}"/>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8AD983B1-F9EB-4DA9-AA29-2E51566AF22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A2E4F9-E23A-4328-AB3A-F7FB2D6A748F}"/>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F2A04E27-44C4-46F8-801B-4809B914EC91}"/>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C3C7372E-6B03-4787-8837-2416AE9ADA43}"/>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93EAA697-5A8B-4906-A9A7-625B2A6B0927}"/>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2D917AEF-8873-49B1-A94C-9C99D9C03A43}"/>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785326E9-F6D3-4A37-9A0A-ED9B5FEF207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2BCA7ED6-7AC7-4244-AD66-B8B9AFADCC3B}"/>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15E55D34-A0C0-498E-96D3-CB6810BCC971}"/>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35FAE8A3-A741-4B1D-A9D1-D52BAE50F579}"/>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CB0BAD2A-DD04-4C27-B022-E2213B85756D}"/>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27B664DA-773B-4415-B8F9-2EA3B72A37F7}"/>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8DF0985E-8DB8-43EB-9E14-14A43BA85D6D}"/>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9DDA0B5C-85D4-4016-8B9B-83DE7F0F96E7}"/>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5B9576E9-E0BF-4D4B-A6DD-ACB0DE22FE8F}"/>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638D070D-1544-4BA4-8324-A0B42DE9FD81}"/>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6DDABB49-B755-4BFD-8115-D545469DA46B}"/>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7936CD94-094F-40F5-9EA0-E76361788C7B}"/>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B00752E8-7D07-4892-A9A7-5CD28F9EB148}"/>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3205CF6A-4B5A-4E2F-B30B-CF453BA047C7}"/>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D879F1F8-4DE3-44AF-9E73-4C990E829BF0}"/>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432D6F15-8112-4ED6-B20C-EC474E492855}"/>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E72E1B85-0EC7-4EE2-BEEE-E7AD515E5ECD}"/>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236CD99A-FEC4-4C03-9DDC-725F3DD1A9B0}"/>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B132078-617D-45A8-9DC6-16E98E65FCD4}"/>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6E61134C-F082-4B78-9A0E-5F46D5715A62}"/>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390B8F07-C105-4207-AA95-E76DAEDBFFDD}"/>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D852C840-DC37-4B35-A6AD-4773C967E04D}"/>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D31FED42-C6BC-4A83-BCB4-DB9EED49E382}"/>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9FFD890D-A991-48DE-AAFC-B9E75B11E91C}"/>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8A70D2C7-847F-483B-91BF-905B11BA928F}"/>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BFFCBBF5-F4E7-4F63-A3EB-2C0DCA7B80FB}"/>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C19509AD-CCF2-4183-BFDC-056F95CFB840}"/>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5DA98AD3-610D-40D7-B46E-1E783734F07D}"/>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21A0DFFE-D25B-4B5B-9F1C-01338ED5B595}"/>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D4921960-B6CF-4E7E-9882-5BFE0A98EEAB}"/>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5FA8974-B552-49C1-BE32-116667141530}"/>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77DDC42F-8D9B-4B87-B01A-557C77699816}"/>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3AED973F-6A44-4D1D-973C-F971CA068585}"/>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AC093A2-6547-4D44-8B47-032804DD0EA8}"/>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9BB41E4F-B9D5-4F45-A456-7106190DCFC5}"/>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53B25F89-3FAF-4BE0-9288-5DDF198A988D}"/>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2946A7E8-5D8D-4D42-B96D-CA584A04639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58513AEB-BADE-4240-A8C6-4C3CCC7B13ED}"/>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29A46767-A8CD-4362-A3EE-55A8963DDD3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D7DCA762-4C06-49E9-9198-5667B4F0C7C8}"/>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95772E97-B04A-453F-B2A0-0C9C8E8B3D28}"/>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F160BB17-C338-4851-AFE5-BCAE2730B11A}"/>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A6C28EE0-CE78-411B-96FE-2B94BC41E2D3}"/>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B0585DC5-7FA2-45F1-B980-77B27E02F73A}"/>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92BA255B-B1F2-43E3-BD7E-274ADC5DA5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5B2A6435-2C1C-4AD9-AE75-15688D9894A5}"/>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FF5D133B-806A-4573-AA7B-E22C7826642A}"/>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9DDF0E4-0B80-458E-AD53-E53ED97BC62D}"/>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058300B9-F6B2-4A53-8C19-E343626F1B4B}"/>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1A055E1-F63A-4055-8B06-4FCBC09DC125}"/>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0B9C712-14A2-4F9F-B121-8027ED88B387}"/>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14E00C9E-4CAF-44D5-9991-69E288389C6F}"/>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23D10857-0DF7-48B5-93AF-184FC40C5612}"/>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6C01E5AD-6270-4B72-9D2C-2835B7A5438E}"/>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FEC7B49D-68C8-44AE-B361-F4E50167F5D0}"/>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D06734CB-F9AC-47D1-8B72-75182C94744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4D30A149-37C8-4414-B5BB-9BEC56E55409}"/>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2F495BCE-F130-4586-A053-F5958F3F47D9}"/>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8EF4B172-5703-4C03-9C45-88BF042504DD}"/>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0A94BBEB-D803-4610-A723-7FF83AAB68DB}"/>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D58C592C-D9F0-4861-92BE-FEA1329ACC6F}"/>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A52A4FB3-ECBF-4C92-AABA-2B0581293B25}"/>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6B4E3A05-8652-4981-809F-427C7DF7A29B}"/>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102DA25F-CB92-4E67-8B50-CA234DAC54CB}"/>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2913A2D3-5274-41C6-AB70-92A985E837D3}"/>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708B0B36-D9B6-4D0E-ABA1-200A56F64938}"/>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AC658DFC-4ACA-4D19-8FAA-82A6F3FAB578}"/>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66C02EF9-3985-41C3-9C31-ADFB2C13B72B}"/>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25DA88B9-36D0-4CCA-88E8-68B629E93040}"/>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27649899-E9A6-49B6-B327-64B13D456222}"/>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0E5C4F08-266A-4777-BB6A-B734B6B941A5}"/>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1DF39DC8-7EDF-41A7-B56E-B99520CD2366}"/>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B552391E-C9C4-4531-B12A-ADAC25386819}"/>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725CC766-FDED-4BD9-A0D6-FB19D85C5A07}"/>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FC070A4C-FC6F-414B-B49B-074BF62CE36F}"/>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85C098E8-7EF3-49D4-B784-FD0DBB96AED2}"/>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A8678887-3288-4D18-A7FC-5FE1D1D634A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7562296E-6EE6-4B21-80D3-42014694A53C}"/>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5D67A7DB-7D51-4A76-BD5B-C4988E11D644}"/>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CC9A8AD-6F9E-4DEF-B6A8-DFA682FDA980}"/>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6ADC6C3D-9A21-446E-B735-8308FB4732CA}"/>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2394C5D-DC1B-40E6-8F70-969842B21A37}"/>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999616CE-8068-4DF0-B58A-875CD0B941AA}"/>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06BB59DD-CD06-4285-8503-F34B85B53B4D}"/>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FA22A274-05D4-460D-B8B3-0EF85DFF5689}"/>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FFCDB929-7E5F-4DF3-84BE-CF5928E1C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0F553A12-19AB-441A-9850-6075E071DE5F}"/>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0226170D-4B13-425E-BBE9-E8F049043152}"/>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5A6FE478-FFA3-4A5C-84A4-D473196F9BEF}"/>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CB3D110-12E0-4040-9A64-E2DC6F32A3D2}"/>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341D086C-A693-4EA8-A312-E81606C18B1A}"/>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D932D063-36B3-4AB3-AFF6-569A7769BF01}"/>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F1E8FD6F-1022-4B56-B77F-FFF62A6F10A2}"/>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ED7CC68E-09A6-48B6-AE43-21369E3007EC}"/>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E2EF0BC5-2FF4-4612-A489-D02D70D7D570}"/>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E0183A2-03C3-4393-B7DA-BA57C9435F8E}"/>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DDC1E865-896E-455B-89E9-E6970E6BC11F}"/>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411C68D5-0229-4583-AED5-14E8B1F82794}"/>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7E4D65FF-3004-4665-994B-2E8905147517}"/>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3A8410B2-1BB2-4CCA-BA53-405032507548}"/>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1254355F-AA03-4A9C-A98B-3F0C9F80E85A}"/>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349C0B3-6880-4EDA-80EC-244B5952B279}"/>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E13E77E9-BA2B-4A97-84F6-8B9E12378FA7}"/>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038E0852-9A14-4FFF-AFA4-BD6088806BDD}"/>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C122EDD5-6F85-47B1-828C-FADB0F2F1766}"/>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75DFC405-FBD2-4193-A513-1B3BFBB743FC}"/>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904242CA-FA08-407E-9092-D1EF013F7A19}"/>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785762B1-3F22-4E33-812A-B6603786FF43}"/>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B95F341C-B231-44F2-957E-112931D7A20D}"/>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B72E9C03-6AB1-49DD-8D43-412340DCAAB0}"/>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CEF30473-36A5-43C7-AE9E-BB707D6A56EB}"/>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30BB9C46-1308-4F90-B29C-B0ABAD35B3BE}"/>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5F80C495-1780-4F53-9290-C34EE777E057}"/>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36644D8E-EC16-4865-9736-34D558B18C28}"/>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3A1A345A-A8E7-4BA3-B0A3-1C6CCE377315}"/>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B6A76DC2-99A5-4D74-8863-A46BBF474239}"/>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7C163216-D810-4A11-98B1-3B57AFC1F046}"/>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967E6AFC-F959-4B37-9FBC-04381E881F9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B9164E1E-3F7C-4DC7-9623-7B94C4129F46}"/>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8731C53-EBB6-47BB-A7C0-825DB915B88E}"/>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B78BC985-6313-4B17-A9F4-ED2A40CDCE0F}"/>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E35D4411-EA2F-4212-A87F-FB8430A605B0}"/>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4651C8BB-4488-401B-9600-41E8AA232F52}"/>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1B7A20B4-7D85-4607-9F77-16157553F39F}"/>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C92A881E-066A-40A8-906B-306EE922969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2B99D040-779A-4286-9414-9BF9EDCC7159}"/>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0B17A11A-6BBF-43C6-83B6-ACDC752AE9BA}"/>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0047F81-1E32-4903-A7C1-5B0779CFED5F}"/>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1CED002A-8A56-4FAE-88AE-EAE6E6364568}"/>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586E91B5-F796-4718-B96A-C675B1CBDC0F}"/>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83385EEE-B890-4A38-ADE9-5FDA16A8D96F}"/>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D1749988-1039-48BE-951B-8CD3388FD300}"/>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BF95F393-0463-404F-A9B3-191CCDCF6583}"/>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518285CA-53EE-4138-9184-90EB0695BFC2}"/>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C7EE48FD-4391-4673-B8B5-69378A177209}"/>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4FB9E956-AD3C-4044-AA1E-59ADB7FAC5C0}"/>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266AF499-C02E-4554-B63B-3E52F0BB12EF}"/>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EB05B04-DF1C-4878-A827-25D0267E8A20}"/>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548CAB6D-E48E-41E8-AB6C-5576FBEFF135}"/>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BC205C81-70F2-4AF1-B2BC-CCACB11DB027}"/>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9B9BFD16-A52C-45D3-BE40-183609AAB392}"/>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4C638D1A-E340-4BA3-8AEB-22746058A785}"/>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4F57A66E-9073-4FB1-9C59-4ADB15AD0DFE}"/>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E692EA90-1D57-4A8B-9786-7E37C34099DD}"/>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3.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2.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30" sqref="F30"/>
    </sheetView>
  </sheetViews>
  <sheetFormatPr defaultColWidth="8.81640625" defaultRowHeight="12.5"/>
  <cols>
    <col min="3" max="3" width="7.453125" customWidth="1"/>
    <col min="5" max="5" width="16.1796875" customWidth="1"/>
    <col min="6" max="6" width="68.81640625" customWidth="1"/>
    <col min="8" max="8" width="8.453125" customWidth="1"/>
    <col min="9" max="9" width="3.6328125" customWidth="1"/>
    <col min="10" max="10" width="2.453125" customWidth="1"/>
  </cols>
  <sheetData>
    <row r="1" spans="1:16" ht="25.5" thickBot="1">
      <c r="A1" s="955" t="s">
        <v>817</v>
      </c>
      <c r="B1" s="956"/>
      <c r="C1" s="955"/>
      <c r="D1" s="957"/>
      <c r="E1" s="956"/>
      <c r="F1" s="958" t="s">
        <v>682</v>
      </c>
      <c r="G1" s="621" t="s">
        <v>1049</v>
      </c>
      <c r="H1" s="27"/>
      <c r="I1" s="1058" t="s">
        <v>1101</v>
      </c>
      <c r="J1" s="1059"/>
      <c r="K1" s="1059"/>
      <c r="L1" s="1059"/>
      <c r="M1" s="1060"/>
      <c r="N1" s="625"/>
      <c r="O1" s="129"/>
      <c r="P1" s="129"/>
    </row>
    <row r="2" spans="1:16" ht="25">
      <c r="A2" s="54"/>
      <c r="B2" s="59" t="s">
        <v>576</v>
      </c>
      <c r="C2" s="55"/>
      <c r="D2" s="55"/>
      <c r="E2" s="55"/>
      <c r="F2" s="58" t="s">
        <v>1054</v>
      </c>
      <c r="G2" s="56"/>
      <c r="H2" s="57"/>
      <c r="I2" s="57"/>
      <c r="J2" s="57"/>
      <c r="K2" s="57"/>
      <c r="L2" s="57"/>
      <c r="M2" s="57"/>
      <c r="N2" s="46"/>
      <c r="O2" s="46"/>
      <c r="P2" s="46"/>
    </row>
    <row r="3" spans="1:16" ht="25">
      <c r="A3" s="54"/>
      <c r="B3" s="59" t="s">
        <v>935</v>
      </c>
      <c r="C3" s="55"/>
      <c r="D3" s="55"/>
      <c r="E3" s="55"/>
      <c r="F3" s="58" t="s">
        <v>1059</v>
      </c>
      <c r="G3" s="56"/>
      <c r="H3" s="57"/>
      <c r="I3" s="57"/>
      <c r="J3" s="57"/>
      <c r="K3" s="57"/>
      <c r="L3" s="57"/>
      <c r="M3" s="57"/>
      <c r="N3" s="46"/>
      <c r="O3" s="46"/>
      <c r="P3" s="46"/>
    </row>
    <row r="4" spans="1:16" ht="13">
      <c r="A4" s="1" t="s">
        <v>1052</v>
      </c>
      <c r="B4" s="2"/>
      <c r="C4" s="2"/>
      <c r="D4" s="2"/>
      <c r="E4" s="2"/>
      <c r="F4" s="2"/>
      <c r="G4" s="2"/>
      <c r="H4" s="2"/>
      <c r="I4" s="2"/>
      <c r="J4" s="2"/>
      <c r="K4" s="2"/>
      <c r="L4" s="2"/>
      <c r="M4" s="2"/>
      <c r="N4" s="2"/>
      <c r="O4" s="2"/>
      <c r="P4" s="2"/>
    </row>
    <row r="5" spans="1:16" ht="13">
      <c r="A5" s="3"/>
      <c r="B5" s="3"/>
      <c r="C5" s="3"/>
      <c r="D5" s="3"/>
      <c r="E5" s="3"/>
      <c r="F5" s="3"/>
      <c r="G5" s="626" t="s">
        <v>683</v>
      </c>
      <c r="H5" s="626"/>
      <c r="I5" s="4" t="s">
        <v>817</v>
      </c>
      <c r="J5" s="3"/>
      <c r="K5" s="3"/>
      <c r="L5" s="3"/>
      <c r="M5" s="3"/>
      <c r="N5" s="3"/>
      <c r="O5" s="3"/>
      <c r="P5" s="3"/>
    </row>
    <row r="6" spans="1:16" ht="13" thickBot="1">
      <c r="A6" s="3"/>
      <c r="B6" s="619" t="s">
        <v>676</v>
      </c>
      <c r="C6" s="3"/>
      <c r="D6" s="3"/>
      <c r="E6" s="3"/>
      <c r="F6" s="3" t="s">
        <v>812</v>
      </c>
      <c r="G6" s="3"/>
      <c r="H6" s="3"/>
      <c r="I6" s="3"/>
      <c r="J6" s="3"/>
      <c r="K6" s="345" t="s">
        <v>690</v>
      </c>
      <c r="L6" s="3"/>
      <c r="M6" s="3"/>
      <c r="N6" s="3"/>
      <c r="O6" s="3"/>
      <c r="P6" s="3"/>
    </row>
    <row r="7" spans="1:16" ht="16" thickBot="1">
      <c r="A7" s="3"/>
      <c r="B7" s="3"/>
      <c r="C7" s="3"/>
      <c r="D7" s="4" t="s">
        <v>930</v>
      </c>
      <c r="E7" s="3"/>
      <c r="F7" s="5" t="s">
        <v>1055</v>
      </c>
      <c r="G7" s="3"/>
      <c r="H7" s="3"/>
      <c r="I7" s="37"/>
      <c r="J7" s="3"/>
      <c r="K7" s="3" t="s">
        <v>684</v>
      </c>
      <c r="L7" s="3"/>
      <c r="M7" s="3"/>
      <c r="N7" s="3"/>
      <c r="O7" s="3"/>
      <c r="P7" s="3"/>
    </row>
    <row r="8" spans="1:16" ht="15.5">
      <c r="A8" s="3"/>
      <c r="B8" s="3"/>
      <c r="C8" s="3"/>
      <c r="D8" s="3"/>
      <c r="E8" s="3"/>
      <c r="F8" s="6"/>
      <c r="G8" s="3"/>
      <c r="H8" s="3"/>
      <c r="I8" s="3"/>
      <c r="J8" s="3"/>
      <c r="K8" s="3"/>
      <c r="L8" s="3"/>
      <c r="M8" s="3"/>
      <c r="N8" s="3"/>
      <c r="O8" s="3"/>
      <c r="P8" s="3"/>
    </row>
    <row r="9" spans="1:16" ht="13" thickBot="1">
      <c r="A9" s="3"/>
      <c r="B9" s="345" t="s">
        <v>677</v>
      </c>
      <c r="C9" s="3"/>
      <c r="D9" s="3"/>
      <c r="E9" s="3"/>
      <c r="F9" s="14" t="s">
        <v>813</v>
      </c>
      <c r="G9" s="3"/>
      <c r="H9" s="3"/>
      <c r="I9" s="3"/>
      <c r="J9" s="3"/>
      <c r="K9" s="3"/>
      <c r="L9" s="3"/>
      <c r="M9" s="3"/>
      <c r="N9" s="3"/>
      <c r="O9" s="3"/>
      <c r="P9" s="3"/>
    </row>
    <row r="10" spans="1:16" ht="16" thickBot="1">
      <c r="A10" s="3"/>
      <c r="B10" s="3"/>
      <c r="C10" s="3"/>
      <c r="D10" s="4" t="s">
        <v>931</v>
      </c>
      <c r="E10" s="3"/>
      <c r="F10" s="5" t="s">
        <v>1056</v>
      </c>
      <c r="G10" s="3"/>
      <c r="H10" s="3"/>
      <c r="I10" s="37" t="s">
        <v>817</v>
      </c>
      <c r="J10" s="3"/>
      <c r="K10" s="622" t="s">
        <v>685</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623" t="s">
        <v>817</v>
      </c>
      <c r="O12" s="104"/>
      <c r="P12" s="103"/>
    </row>
    <row r="13" spans="1:16" ht="15.5">
      <c r="A13" s="3"/>
      <c r="B13" s="345" t="s">
        <v>678</v>
      </c>
      <c r="C13" s="3"/>
      <c r="D13" s="4" t="s">
        <v>814</v>
      </c>
      <c r="E13" s="3"/>
      <c r="F13" s="822" t="s">
        <v>1057</v>
      </c>
      <c r="G13" s="3"/>
      <c r="H13" s="3"/>
      <c r="I13" s="3"/>
      <c r="J13" s="3"/>
      <c r="K13" s="3"/>
      <c r="L13" s="3"/>
      <c r="M13" s="3"/>
      <c r="N13" s="103" t="s">
        <v>817</v>
      </c>
      <c r="O13" s="3"/>
      <c r="P13" s="3"/>
    </row>
    <row r="14" spans="1:16" ht="16" thickBot="1">
      <c r="A14" s="3"/>
      <c r="B14" s="3"/>
      <c r="C14" s="3"/>
      <c r="D14" s="3"/>
      <c r="E14" s="3"/>
      <c r="F14" s="823" t="s">
        <v>620</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620" t="s">
        <v>679</v>
      </c>
      <c r="C16" s="3"/>
      <c r="D16" s="4" t="s">
        <v>933</v>
      </c>
      <c r="E16" s="3"/>
      <c r="F16" s="7" t="s">
        <v>1072</v>
      </c>
      <c r="G16" s="3"/>
      <c r="H16" s="3"/>
      <c r="I16" s="3"/>
      <c r="J16" s="3"/>
      <c r="K16" s="3"/>
      <c r="L16" s="3"/>
      <c r="M16" s="3"/>
      <c r="N16" s="3"/>
      <c r="O16" s="3"/>
      <c r="P16" s="3"/>
    </row>
    <row r="17" spans="1:16" ht="16" thickBot="1">
      <c r="A17" s="3"/>
      <c r="B17" s="3"/>
      <c r="C17" s="3"/>
      <c r="D17" s="4" t="s">
        <v>932</v>
      </c>
      <c r="E17" s="3"/>
      <c r="F17" s="8" t="s">
        <v>1058</v>
      </c>
      <c r="G17" s="3"/>
      <c r="H17" s="3"/>
      <c r="I17" s="3"/>
      <c r="J17" s="3"/>
      <c r="K17" s="3"/>
      <c r="L17" s="3"/>
      <c r="M17" s="3"/>
      <c r="N17" s="3"/>
      <c r="O17" s="3"/>
      <c r="P17" s="3"/>
    </row>
    <row r="18" spans="1:16" ht="15.5">
      <c r="A18" s="3"/>
      <c r="B18" s="3"/>
      <c r="C18" s="3"/>
      <c r="D18" s="3"/>
      <c r="E18" s="3"/>
      <c r="F18" s="9"/>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680</v>
      </c>
      <c r="C20" s="3"/>
      <c r="D20" s="4" t="s">
        <v>815</v>
      </c>
      <c r="E20" s="3"/>
      <c r="F20" s="5" t="s">
        <v>1060</v>
      </c>
      <c r="G20" s="3"/>
      <c r="H20" s="3"/>
      <c r="I20" s="37" t="s">
        <v>817</v>
      </c>
      <c r="J20" s="3"/>
      <c r="K20" s="3" t="s">
        <v>689</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816</v>
      </c>
      <c r="E23" s="3"/>
      <c r="F23" s="5" t="s">
        <v>1102</v>
      </c>
      <c r="G23" s="3" t="s">
        <v>817</v>
      </c>
      <c r="H23" s="3"/>
      <c r="I23" s="624" t="b">
        <f>AND(I7="X",I10="X",I20="X")</f>
        <v>0</v>
      </c>
      <c r="J23" s="3"/>
      <c r="K23" s="3" t="str">
        <f>IF(I23=TRUE, "Document Released", "Document Not Released")</f>
        <v>Document Not Released</v>
      </c>
      <c r="L23" s="3"/>
      <c r="M23" s="3"/>
      <c r="N23" s="3"/>
      <c r="O23" s="3"/>
      <c r="P23" s="3"/>
    </row>
    <row r="24" spans="1:16">
      <c r="A24" s="3"/>
      <c r="B24" s="3"/>
      <c r="C24" s="3"/>
      <c r="D24" s="3"/>
      <c r="E24" s="3"/>
      <c r="F24" s="10"/>
      <c r="G24" s="3"/>
      <c r="H24" s="3"/>
      <c r="I24" s="714" t="s">
        <v>692</v>
      </c>
      <c r="J24" s="3"/>
      <c r="K24" s="3"/>
      <c r="L24" s="3"/>
      <c r="M24" s="3"/>
      <c r="N24" s="3"/>
      <c r="O24" s="3"/>
      <c r="P24" s="3"/>
    </row>
    <row r="25" spans="1:16" ht="13" thickBot="1">
      <c r="A25" s="3"/>
      <c r="B25" s="345" t="s">
        <v>681</v>
      </c>
      <c r="C25" s="3"/>
      <c r="D25" s="3"/>
      <c r="E25" s="3"/>
      <c r="F25" s="10"/>
      <c r="G25" s="3"/>
      <c r="H25" s="3"/>
      <c r="I25" s="714" t="s">
        <v>691</v>
      </c>
      <c r="J25" s="3"/>
      <c r="K25" s="3"/>
      <c r="L25" s="3"/>
      <c r="M25" s="3"/>
      <c r="N25" s="3"/>
      <c r="O25" s="3"/>
      <c r="P25" s="3"/>
    </row>
    <row r="26" spans="1:16" ht="16" thickBot="1">
      <c r="A26" s="3"/>
      <c r="B26" s="3"/>
      <c r="C26" s="3"/>
      <c r="D26" s="4" t="s">
        <v>940</v>
      </c>
      <c r="E26" s="3"/>
      <c r="F26" s="5" t="s">
        <v>1102</v>
      </c>
      <c r="G26" s="3"/>
      <c r="H26" s="3"/>
      <c r="I26" s="3"/>
      <c r="J26" s="532"/>
      <c r="K26" s="345" t="s">
        <v>706</v>
      </c>
      <c r="L26" s="3"/>
      <c r="M26" s="3"/>
      <c r="N26" s="3"/>
      <c r="O26" s="3"/>
      <c r="P26" s="3"/>
    </row>
    <row r="27" spans="1:16" ht="13">
      <c r="A27" s="3"/>
      <c r="B27" s="3"/>
      <c r="C27" s="3"/>
      <c r="D27" s="4" t="s">
        <v>934</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817</v>
      </c>
    </row>
  </sheetData>
  <mergeCells count="1">
    <mergeCell ref="I1:M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headerFooter alignWithMargins="0"/>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Normal="100" workbookViewId="0">
      <selection activeCell="G29" sqref="G29"/>
    </sheetView>
  </sheetViews>
  <sheetFormatPr defaultColWidth="8.81640625" defaultRowHeight="12.5"/>
  <cols>
    <col min="1" max="1" width="8.6328125" customWidth="1"/>
    <col min="2" max="2" width="10.36328125" customWidth="1"/>
  </cols>
  <sheetData>
    <row r="1" spans="1:20" ht="18.5" thickBot="1">
      <c r="A1" s="127" t="s">
        <v>1</v>
      </c>
      <c r="B1" s="129"/>
      <c r="C1" s="129"/>
      <c r="D1" s="129"/>
      <c r="E1" s="129"/>
      <c r="F1" s="129"/>
      <c r="G1" s="129"/>
      <c r="H1" s="683" t="str">
        <f>'Title Page'!F3</f>
        <v>OreSat - CS0 (DxWiFi)</v>
      </c>
      <c r="I1" s="129"/>
      <c r="J1" s="129"/>
      <c r="K1" s="129"/>
      <c r="L1" s="129"/>
      <c r="M1" s="680" t="str">
        <f>'Title Page'!F23</f>
        <v>2019 February 1</v>
      </c>
      <c r="N1" s="129"/>
      <c r="O1" s="129"/>
      <c r="P1" s="129"/>
      <c r="Q1" s="129"/>
      <c r="R1" s="129"/>
      <c r="S1" s="129"/>
      <c r="T1" s="129"/>
    </row>
    <row r="2" spans="1:20">
      <c r="A2" s="232"/>
      <c r="B2" s="232"/>
      <c r="C2" s="232"/>
      <c r="D2" s="232"/>
      <c r="E2" s="232"/>
      <c r="F2" s="232"/>
      <c r="G2" s="232"/>
      <c r="H2" s="232"/>
      <c r="I2" s="232"/>
      <c r="J2" s="232"/>
      <c r="K2" s="232"/>
      <c r="L2" s="232"/>
      <c r="M2" s="232"/>
      <c r="N2" s="232"/>
      <c r="O2" s="232"/>
      <c r="P2" s="232"/>
      <c r="Q2" s="232"/>
    </row>
    <row r="3" spans="1:20" ht="13">
      <c r="A3" s="232"/>
      <c r="B3" s="415" t="s">
        <v>10</v>
      </c>
      <c r="C3" s="416"/>
      <c r="D3" s="416"/>
      <c r="E3" s="417"/>
      <c r="F3" s="232"/>
      <c r="G3" s="232"/>
      <c r="H3" s="399" t="s">
        <v>315</v>
      </c>
      <c r="I3" s="399"/>
      <c r="J3" s="399"/>
      <c r="K3" s="399"/>
      <c r="L3" s="399"/>
      <c r="M3" s="399"/>
      <c r="N3" s="399"/>
      <c r="O3" s="399"/>
      <c r="P3" s="232"/>
      <c r="Q3" s="232"/>
    </row>
    <row r="4" spans="1:20">
      <c r="A4" s="232"/>
      <c r="B4" s="649" t="s">
        <v>308</v>
      </c>
      <c r="C4" s="650"/>
      <c r="D4" s="103"/>
      <c r="E4" s="237"/>
      <c r="F4" s="232"/>
      <c r="G4" s="232"/>
      <c r="H4" s="232"/>
      <c r="I4" s="232"/>
      <c r="J4" s="232"/>
      <c r="K4" s="232"/>
      <c r="L4" s="232"/>
      <c r="M4" s="232"/>
      <c r="N4" s="232"/>
      <c r="O4" s="232"/>
      <c r="P4" s="232"/>
      <c r="Q4" s="232"/>
    </row>
    <row r="5" spans="1:20" ht="13">
      <c r="A5" s="232"/>
      <c r="B5" s="651" t="s">
        <v>2</v>
      </c>
      <c r="C5" s="652"/>
      <c r="D5" s="653" t="s">
        <v>3</v>
      </c>
      <c r="E5" s="654" t="s">
        <v>820</v>
      </c>
      <c r="F5" s="232"/>
      <c r="G5" s="232"/>
      <c r="H5" s="232"/>
      <c r="I5" s="232"/>
      <c r="J5" s="232"/>
      <c r="K5" s="232"/>
      <c r="L5" s="232"/>
      <c r="M5" s="232"/>
      <c r="N5" s="232"/>
      <c r="O5" s="232"/>
      <c r="P5" s="232"/>
      <c r="Q5" s="232"/>
    </row>
    <row r="6" spans="1:20">
      <c r="A6" s="232"/>
      <c r="B6" s="410">
        <v>0</v>
      </c>
      <c r="C6" s="103" t="s">
        <v>4</v>
      </c>
      <c r="D6" s="33">
        <v>10.199999999999999</v>
      </c>
      <c r="E6" s="237" t="s">
        <v>859</v>
      </c>
      <c r="F6" s="232"/>
      <c r="G6" s="232" t="s">
        <v>5</v>
      </c>
      <c r="H6" s="232"/>
      <c r="I6" s="232"/>
      <c r="J6" s="232"/>
      <c r="K6" s="232"/>
      <c r="L6" s="232"/>
      <c r="M6" s="232"/>
      <c r="N6" s="232"/>
      <c r="O6" s="232"/>
      <c r="P6" s="232"/>
      <c r="Q6" s="232"/>
    </row>
    <row r="7" spans="1:20">
      <c r="A7" s="232"/>
      <c r="B7" s="410"/>
      <c r="C7" s="103"/>
      <c r="D7" s="33"/>
      <c r="E7" s="237"/>
      <c r="F7" s="232"/>
      <c r="G7" s="232" t="s">
        <v>6</v>
      </c>
      <c r="H7" s="232"/>
      <c r="I7" s="232"/>
      <c r="J7" s="232"/>
      <c r="K7" s="232"/>
      <c r="L7" s="232"/>
      <c r="M7" s="232"/>
      <c r="N7" s="232"/>
      <c r="O7" s="232"/>
      <c r="P7" s="232"/>
      <c r="Q7" s="232"/>
    </row>
    <row r="8" spans="1:20">
      <c r="A8" s="232"/>
      <c r="B8" s="410">
        <v>2.5</v>
      </c>
      <c r="C8" s="103" t="s">
        <v>4</v>
      </c>
      <c r="D8" s="33">
        <v>4.5999999999999996</v>
      </c>
      <c r="E8" s="237" t="s">
        <v>859</v>
      </c>
      <c r="F8" s="232"/>
      <c r="G8" s="232" t="s">
        <v>34</v>
      </c>
      <c r="H8" s="232"/>
      <c r="I8" s="232"/>
      <c r="J8" s="232"/>
      <c r="K8" s="232"/>
      <c r="L8" s="232"/>
      <c r="M8" s="232"/>
      <c r="N8" s="232"/>
      <c r="O8" s="232"/>
      <c r="P8" s="232"/>
      <c r="Q8" s="232"/>
    </row>
    <row r="9" spans="1:20">
      <c r="A9" s="232"/>
      <c r="B9" s="410"/>
      <c r="C9" s="103"/>
      <c r="D9" s="33"/>
      <c r="E9" s="237"/>
      <c r="F9" s="232"/>
      <c r="G9" s="232" t="s">
        <v>7</v>
      </c>
      <c r="H9" s="232"/>
      <c r="I9" s="232"/>
      <c r="J9" s="232"/>
      <c r="K9" s="232"/>
      <c r="L9" s="232"/>
      <c r="M9" s="232"/>
      <c r="N9" s="232"/>
      <c r="O9" s="232"/>
      <c r="P9" s="232"/>
      <c r="Q9" s="232"/>
    </row>
    <row r="10" spans="1:20">
      <c r="A10" s="232"/>
      <c r="B10" s="410">
        <v>5</v>
      </c>
      <c r="C10" s="103" t="s">
        <v>4</v>
      </c>
      <c r="D10" s="33">
        <v>2.1</v>
      </c>
      <c r="E10" s="237" t="s">
        <v>859</v>
      </c>
      <c r="F10" s="232"/>
      <c r="G10" s="232" t="s">
        <v>8</v>
      </c>
      <c r="H10" s="232"/>
      <c r="I10" s="232"/>
      <c r="J10" s="232"/>
      <c r="K10" s="232"/>
      <c r="L10" s="232"/>
      <c r="M10" s="232"/>
      <c r="N10" s="232"/>
      <c r="O10" s="232"/>
      <c r="P10" s="232"/>
      <c r="Q10" s="232"/>
    </row>
    <row r="11" spans="1:20">
      <c r="A11" s="232"/>
      <c r="B11" s="410"/>
      <c r="C11" s="103"/>
      <c r="D11" s="33"/>
      <c r="E11" s="237"/>
      <c r="F11" s="232"/>
      <c r="G11" s="232"/>
      <c r="H11" s="232"/>
      <c r="I11" s="232"/>
      <c r="J11" s="232"/>
      <c r="K11" s="232"/>
      <c r="L11" s="232"/>
      <c r="M11" s="232"/>
      <c r="N11" s="232"/>
      <c r="O11" s="232"/>
      <c r="P11" s="232"/>
      <c r="Q11" s="232"/>
    </row>
    <row r="12" spans="1:20">
      <c r="A12" s="232"/>
      <c r="B12" s="410">
        <v>10</v>
      </c>
      <c r="C12" s="103" t="s">
        <v>4</v>
      </c>
      <c r="D12" s="33">
        <v>1.1000000000000001</v>
      </c>
      <c r="E12" s="237" t="s">
        <v>859</v>
      </c>
      <c r="F12" s="232"/>
      <c r="G12" s="232" t="s">
        <v>9</v>
      </c>
      <c r="H12" s="232"/>
      <c r="I12" s="232"/>
      <c r="J12" s="232"/>
      <c r="K12" s="232"/>
      <c r="L12" s="232"/>
      <c r="M12" s="232"/>
      <c r="N12" s="232"/>
      <c r="O12" s="232"/>
      <c r="P12" s="232"/>
      <c r="Q12" s="232"/>
    </row>
    <row r="13" spans="1:20">
      <c r="A13" s="232"/>
      <c r="B13" s="410"/>
      <c r="C13" s="103"/>
      <c r="D13" s="33"/>
      <c r="E13" s="237"/>
      <c r="F13" s="232"/>
      <c r="G13" s="232" t="s">
        <v>383</v>
      </c>
      <c r="H13" s="232"/>
      <c r="I13" s="232"/>
      <c r="J13" s="232"/>
      <c r="K13" s="232"/>
      <c r="L13" s="232"/>
      <c r="M13" s="232"/>
      <c r="N13" s="232"/>
      <c r="O13" s="232"/>
      <c r="P13" s="232"/>
      <c r="Q13" s="232"/>
    </row>
    <row r="14" spans="1:20">
      <c r="A14" s="232"/>
      <c r="B14" s="410">
        <v>30</v>
      </c>
      <c r="C14" s="103" t="s">
        <v>4</v>
      </c>
      <c r="D14" s="33">
        <v>0.4</v>
      </c>
      <c r="E14" s="237" t="s">
        <v>859</v>
      </c>
      <c r="F14" s="232"/>
      <c r="G14" s="232" t="s">
        <v>321</v>
      </c>
      <c r="H14" s="232"/>
      <c r="I14" s="232"/>
      <c r="J14" s="232"/>
      <c r="K14" s="232"/>
      <c r="L14" s="232"/>
      <c r="M14" s="232"/>
      <c r="N14" s="232"/>
      <c r="O14" s="232"/>
      <c r="P14" s="232"/>
      <c r="Q14" s="232"/>
    </row>
    <row r="15" spans="1:20">
      <c r="A15" s="232"/>
      <c r="B15" s="410"/>
      <c r="C15" s="103"/>
      <c r="D15" s="33"/>
      <c r="E15" s="237"/>
      <c r="F15" s="232"/>
      <c r="G15" s="232"/>
      <c r="H15" s="232"/>
      <c r="I15" s="232"/>
      <c r="J15" s="232"/>
      <c r="K15" s="232"/>
      <c r="L15" s="232"/>
      <c r="M15" s="232"/>
      <c r="N15" s="232"/>
      <c r="O15" s="232"/>
      <c r="P15" s="232"/>
      <c r="Q15" s="232"/>
    </row>
    <row r="16" spans="1:20" ht="13">
      <c r="A16" s="232"/>
      <c r="B16" s="410">
        <v>45</v>
      </c>
      <c r="C16" s="103" t="s">
        <v>4</v>
      </c>
      <c r="D16" s="33">
        <v>0.3</v>
      </c>
      <c r="E16" s="237" t="s">
        <v>859</v>
      </c>
      <c r="F16" s="232"/>
      <c r="G16" s="232" t="s">
        <v>35</v>
      </c>
      <c r="H16" s="232"/>
      <c r="I16" s="232"/>
      <c r="J16" s="232"/>
      <c r="K16" s="232"/>
      <c r="L16" s="232"/>
      <c r="M16" s="232"/>
      <c r="N16" s="232"/>
      <c r="O16" s="232"/>
      <c r="P16" s="232"/>
      <c r="Q16" s="232"/>
    </row>
    <row r="17" spans="1:17">
      <c r="A17" s="232"/>
      <c r="B17" s="410"/>
      <c r="C17" s="103"/>
      <c r="D17" s="33"/>
      <c r="E17" s="237"/>
      <c r="F17" s="232"/>
      <c r="G17" s="232" t="s">
        <v>19</v>
      </c>
      <c r="H17" s="232"/>
      <c r="I17" s="232"/>
      <c r="J17" s="232"/>
      <c r="K17" s="232"/>
      <c r="L17" s="232"/>
      <c r="M17" s="232"/>
      <c r="N17" s="232"/>
      <c r="O17" s="232"/>
      <c r="P17" s="232"/>
      <c r="Q17" s="232"/>
    </row>
    <row r="18" spans="1:17">
      <c r="A18" s="232"/>
      <c r="B18" s="410">
        <v>90</v>
      </c>
      <c r="C18" s="103" t="s">
        <v>4</v>
      </c>
      <c r="D18" s="413">
        <v>0</v>
      </c>
      <c r="E18" s="237" t="s">
        <v>859</v>
      </c>
      <c r="F18" s="232"/>
      <c r="G18" s="232"/>
      <c r="H18" s="232"/>
      <c r="I18" s="232"/>
      <c r="J18" s="232"/>
      <c r="K18" s="232"/>
      <c r="L18" s="232"/>
      <c r="M18" s="232"/>
      <c r="N18" s="232"/>
      <c r="O18" s="232"/>
      <c r="P18" s="232"/>
      <c r="Q18" s="232"/>
    </row>
    <row r="19" spans="1:17">
      <c r="A19" s="232"/>
      <c r="B19" s="410"/>
      <c r="C19" s="103"/>
      <c r="D19" s="103"/>
      <c r="E19" s="237"/>
      <c r="F19" s="232"/>
      <c r="G19" s="232" t="s">
        <v>16</v>
      </c>
      <c r="H19" s="232"/>
      <c r="I19" s="232"/>
      <c r="J19" s="232"/>
      <c r="K19" s="232"/>
      <c r="L19" s="232"/>
      <c r="M19" s="232"/>
      <c r="N19" s="232"/>
      <c r="O19" s="232"/>
      <c r="P19" s="232"/>
      <c r="Q19" s="232"/>
    </row>
    <row r="20" spans="1:17" ht="13" thickBot="1">
      <c r="A20" s="232"/>
      <c r="B20" s="410"/>
      <c r="C20" s="103"/>
      <c r="D20" s="103"/>
      <c r="E20" s="237"/>
      <c r="F20" s="232"/>
      <c r="G20" s="232" t="s">
        <v>17</v>
      </c>
      <c r="H20" s="232"/>
      <c r="I20" s="232"/>
      <c r="J20" s="232"/>
      <c r="K20" s="232"/>
      <c r="L20" s="232"/>
      <c r="M20" s="232"/>
      <c r="N20" s="232"/>
      <c r="O20" s="232"/>
      <c r="P20" s="232"/>
      <c r="Q20" s="232"/>
    </row>
    <row r="21" spans="1:17" ht="13.5" thickBot="1">
      <c r="A21" s="232"/>
      <c r="B21" s="410" t="s">
        <v>11</v>
      </c>
      <c r="C21" s="103"/>
      <c r="D21" s="909">
        <v>35</v>
      </c>
      <c r="E21" s="103" t="s">
        <v>12</v>
      </c>
      <c r="F21" s="908" t="s">
        <v>140</v>
      </c>
      <c r="G21" s="232"/>
      <c r="H21" s="232"/>
      <c r="I21" s="232"/>
      <c r="J21" s="232"/>
      <c r="K21" s="232"/>
      <c r="L21" s="232"/>
      <c r="M21" s="232"/>
      <c r="N21" s="232"/>
      <c r="O21" s="232"/>
      <c r="P21" s="232"/>
      <c r="Q21" s="232"/>
    </row>
    <row r="22" spans="1:17">
      <c r="A22" s="232"/>
      <c r="B22" s="410"/>
      <c r="C22" s="103"/>
      <c r="D22" s="103"/>
      <c r="E22" s="237"/>
      <c r="F22" s="232"/>
      <c r="G22" s="232" t="s">
        <v>169</v>
      </c>
      <c r="H22" s="232"/>
      <c r="I22" s="232"/>
      <c r="J22" s="232"/>
      <c r="K22" s="232"/>
      <c r="L22" s="232"/>
      <c r="M22" s="232"/>
      <c r="N22" s="232"/>
      <c r="O22" s="232"/>
      <c r="P22" s="232"/>
      <c r="Q22" s="232"/>
    </row>
    <row r="23" spans="1:17">
      <c r="A23" s="232"/>
      <c r="B23" s="410" t="s">
        <v>13</v>
      </c>
      <c r="C23" s="103"/>
      <c r="D23" s="134">
        <f>IF(D21&lt;B8,4.6,INDEX(D6:D18,MATCH(D21,B6:B18,1),1))</f>
        <v>0.4</v>
      </c>
      <c r="E23" s="237" t="s">
        <v>859</v>
      </c>
      <c r="F23" s="232"/>
      <c r="G23" s="232" t="s">
        <v>170</v>
      </c>
      <c r="H23" s="232"/>
      <c r="I23" s="232"/>
      <c r="J23" s="232"/>
      <c r="K23" s="232"/>
      <c r="L23" s="232"/>
      <c r="M23" s="232"/>
      <c r="N23" s="232"/>
      <c r="O23" s="232"/>
      <c r="P23" s="232"/>
      <c r="Q23" s="232"/>
    </row>
    <row r="24" spans="1:17">
      <c r="A24" s="232"/>
      <c r="B24" s="119"/>
      <c r="C24" s="120"/>
      <c r="D24" s="120"/>
      <c r="E24" s="121"/>
      <c r="F24" s="232"/>
      <c r="G24" s="91"/>
      <c r="H24" s="91"/>
      <c r="I24" s="91"/>
      <c r="J24" s="91"/>
      <c r="K24" s="91"/>
      <c r="L24" s="91"/>
      <c r="M24" s="91"/>
      <c r="N24" s="91"/>
      <c r="O24" s="91"/>
      <c r="P24" s="91"/>
      <c r="Q24" s="232"/>
    </row>
    <row r="25" spans="1:17">
      <c r="A25" s="232"/>
      <c r="B25" s="232"/>
      <c r="C25" s="232"/>
      <c r="D25" s="232"/>
      <c r="E25" s="232"/>
      <c r="F25" s="232"/>
      <c r="G25" s="232"/>
      <c r="H25" s="232"/>
      <c r="I25" s="232"/>
      <c r="J25" s="232"/>
      <c r="K25" s="232"/>
      <c r="L25" s="232"/>
      <c r="M25" s="232"/>
      <c r="N25" s="232"/>
      <c r="O25" s="232"/>
      <c r="P25" s="232"/>
      <c r="Q25" s="232"/>
    </row>
    <row r="26" spans="1:17" ht="13">
      <c r="A26" s="232"/>
      <c r="B26" s="232"/>
      <c r="C26" s="232"/>
      <c r="D26" s="232"/>
      <c r="E26" s="232"/>
      <c r="F26" s="232"/>
      <c r="G26" s="232"/>
      <c r="H26" s="399" t="s">
        <v>316</v>
      </c>
      <c r="I26" s="232"/>
      <c r="J26" s="232"/>
      <c r="K26" s="232"/>
      <c r="L26" s="232"/>
      <c r="M26" s="232"/>
      <c r="N26" s="232"/>
      <c r="O26" s="232"/>
      <c r="P26" s="232"/>
      <c r="Q26" s="232"/>
    </row>
    <row r="27" spans="1:17">
      <c r="A27" s="232"/>
      <c r="B27" s="232"/>
      <c r="C27" s="232"/>
      <c r="D27" s="232" t="s">
        <v>817</v>
      </c>
      <c r="E27" s="232"/>
      <c r="F27" s="232"/>
      <c r="G27" s="232"/>
      <c r="H27" s="232"/>
      <c r="I27" s="232"/>
      <c r="J27" s="232"/>
      <c r="K27" s="232"/>
      <c r="L27" s="232"/>
      <c r="M27" s="232"/>
      <c r="N27" s="232"/>
      <c r="O27" s="232"/>
      <c r="P27" s="232"/>
      <c r="Q27" s="232"/>
    </row>
    <row r="28" spans="1:17" ht="13">
      <c r="A28" s="232"/>
      <c r="B28" s="415" t="s">
        <v>18</v>
      </c>
      <c r="C28" s="418"/>
      <c r="D28" s="418"/>
      <c r="E28" s="417"/>
      <c r="F28" s="232"/>
      <c r="G28" s="232" t="s">
        <v>148</v>
      </c>
      <c r="H28" s="232"/>
      <c r="I28" s="232"/>
      <c r="J28" s="232"/>
      <c r="K28" s="232"/>
      <c r="L28" s="232"/>
      <c r="M28" s="232"/>
      <c r="N28" s="232"/>
      <c r="O28" s="232"/>
      <c r="P28" s="232"/>
      <c r="Q28" s="232"/>
    </row>
    <row r="29" spans="1:17">
      <c r="A29" s="232"/>
      <c r="B29" s="658" t="s">
        <v>860</v>
      </c>
      <c r="C29" s="103" t="s">
        <v>313</v>
      </c>
      <c r="D29" s="103"/>
      <c r="E29" s="655">
        <f>'Uplink Budget'!B17</f>
        <v>0.1</v>
      </c>
      <c r="F29" s="232"/>
      <c r="G29" s="233" t="s">
        <v>20</v>
      </c>
      <c r="H29" s="232"/>
      <c r="I29" s="232"/>
      <c r="J29" s="232"/>
      <c r="K29" s="232"/>
      <c r="L29" s="232"/>
      <c r="M29" s="232"/>
      <c r="N29" s="232"/>
      <c r="O29" s="232"/>
      <c r="P29" s="232"/>
      <c r="Q29" s="232"/>
    </row>
    <row r="30" spans="1:17" ht="13">
      <c r="A30" s="88"/>
      <c r="B30" s="657" t="s">
        <v>855</v>
      </c>
      <c r="C30" s="653" t="s">
        <v>820</v>
      </c>
      <c r="D30" s="653" t="s">
        <v>3</v>
      </c>
      <c r="E30" s="654" t="s">
        <v>820</v>
      </c>
      <c r="F30" s="232"/>
      <c r="G30" s="232" t="s">
        <v>21</v>
      </c>
      <c r="H30" s="232"/>
      <c r="I30" s="232"/>
      <c r="J30" s="232"/>
      <c r="K30" s="232"/>
      <c r="L30" s="232"/>
      <c r="M30" s="232"/>
      <c r="N30" s="232"/>
      <c r="O30" s="232"/>
      <c r="P30" s="232"/>
      <c r="Q30" s="232"/>
    </row>
    <row r="31" spans="1:17">
      <c r="A31" s="232"/>
      <c r="B31" s="410"/>
      <c r="C31" s="103"/>
      <c r="D31" s="103"/>
      <c r="E31" s="237"/>
      <c r="F31" s="232"/>
      <c r="G31" s="232" t="s">
        <v>24</v>
      </c>
      <c r="H31" s="232"/>
      <c r="I31" s="232"/>
      <c r="J31" s="232"/>
      <c r="K31" s="232"/>
      <c r="L31" s="232"/>
      <c r="M31" s="232"/>
      <c r="N31" s="232"/>
      <c r="O31" s="232"/>
      <c r="P31" s="232"/>
      <c r="Q31" s="232"/>
    </row>
    <row r="32" spans="1:17">
      <c r="A32" s="232"/>
      <c r="B32" s="124">
        <v>146</v>
      </c>
      <c r="C32" s="125" t="s">
        <v>856</v>
      </c>
      <c r="D32" s="409">
        <v>0.7</v>
      </c>
      <c r="E32" s="126" t="s">
        <v>859</v>
      </c>
      <c r="F32" s="232"/>
      <c r="G32" s="232" t="s">
        <v>25</v>
      </c>
      <c r="H32" s="232"/>
      <c r="I32" s="232"/>
      <c r="J32" s="232"/>
      <c r="K32" s="232"/>
      <c r="L32" s="232"/>
      <c r="M32" s="232"/>
      <c r="N32" s="232"/>
      <c r="O32" s="232"/>
      <c r="P32" s="232"/>
      <c r="Q32" s="232"/>
    </row>
    <row r="33" spans="1:17">
      <c r="A33" s="232"/>
      <c r="B33" s="124">
        <v>438</v>
      </c>
      <c r="C33" s="125" t="s">
        <v>856</v>
      </c>
      <c r="D33" s="409">
        <v>0.4</v>
      </c>
      <c r="E33" s="126" t="s">
        <v>859</v>
      </c>
      <c r="F33" s="232"/>
      <c r="G33" s="232"/>
      <c r="H33" s="232"/>
      <c r="I33" s="232"/>
      <c r="J33" s="232"/>
      <c r="K33" s="232"/>
      <c r="L33" s="232"/>
      <c r="M33" s="232"/>
      <c r="N33" s="232"/>
      <c r="O33" s="232"/>
      <c r="P33" s="232"/>
      <c r="Q33" s="232"/>
    </row>
    <row r="34" spans="1:17" ht="13" thickBot="1">
      <c r="A34" s="232"/>
      <c r="B34" s="124">
        <v>2410</v>
      </c>
      <c r="C34" s="125" t="s">
        <v>856</v>
      </c>
      <c r="D34" s="906">
        <v>0.1</v>
      </c>
      <c r="E34" s="126" t="s">
        <v>859</v>
      </c>
      <c r="F34" s="232"/>
      <c r="G34" s="232" t="s">
        <v>214</v>
      </c>
      <c r="H34" s="232"/>
      <c r="I34" s="232"/>
      <c r="J34" s="232"/>
      <c r="K34" s="232"/>
      <c r="L34" s="232"/>
      <c r="M34" s="232"/>
      <c r="N34" s="232"/>
      <c r="O34" s="232"/>
      <c r="P34" s="232"/>
      <c r="Q34" s="232"/>
    </row>
    <row r="35" spans="1:17" ht="13" thickBot="1">
      <c r="A35" s="232"/>
      <c r="B35" s="420">
        <f>Frequency!C13</f>
        <v>2412</v>
      </c>
      <c r="C35" s="421" t="s">
        <v>856</v>
      </c>
      <c r="D35" s="907">
        <v>0.1</v>
      </c>
      <c r="E35" s="126" t="s">
        <v>859</v>
      </c>
      <c r="F35" s="232"/>
      <c r="G35" s="232" t="s">
        <v>215</v>
      </c>
      <c r="H35" s="232"/>
      <c r="I35" s="232"/>
      <c r="J35" s="232"/>
      <c r="K35" s="232"/>
      <c r="L35" s="232"/>
      <c r="M35" s="232"/>
      <c r="N35" s="232"/>
      <c r="O35" s="232"/>
      <c r="P35" s="232"/>
      <c r="Q35" s="232"/>
    </row>
    <row r="36" spans="1:17">
      <c r="A36" s="232"/>
      <c r="B36" s="119"/>
      <c r="C36" s="120"/>
      <c r="D36" s="120"/>
      <c r="E36" s="121"/>
      <c r="F36" s="232"/>
      <c r="G36" s="232" t="s">
        <v>26</v>
      </c>
      <c r="H36" s="232"/>
      <c r="I36" s="232"/>
      <c r="J36" s="232"/>
      <c r="K36" s="232"/>
      <c r="L36" s="232"/>
      <c r="M36" s="232"/>
      <c r="N36" s="232"/>
      <c r="O36" s="232"/>
      <c r="P36" s="232"/>
      <c r="Q36" s="232"/>
    </row>
    <row r="37" spans="1:17">
      <c r="A37" s="232"/>
      <c r="B37" s="232"/>
      <c r="C37" s="232"/>
      <c r="D37" s="232"/>
      <c r="E37" s="232"/>
      <c r="F37" s="232"/>
      <c r="G37" s="232" t="s">
        <v>149</v>
      </c>
      <c r="H37" s="232"/>
      <c r="I37" s="232"/>
      <c r="J37" s="232"/>
      <c r="K37" s="232"/>
      <c r="L37" s="232"/>
      <c r="M37" s="232"/>
      <c r="N37" s="232"/>
      <c r="O37" s="232"/>
      <c r="P37" s="232"/>
      <c r="Q37" s="232"/>
    </row>
    <row r="38" spans="1:17">
      <c r="A38" s="232"/>
      <c r="B38" s="245" t="s">
        <v>322</v>
      </c>
      <c r="C38" s="232"/>
      <c r="D38" s="232"/>
      <c r="E38" s="232"/>
      <c r="F38" s="232"/>
      <c r="G38" s="232" t="s">
        <v>27</v>
      </c>
      <c r="H38" s="232"/>
      <c r="I38" s="232"/>
      <c r="J38" s="232"/>
      <c r="K38" s="232"/>
      <c r="L38" s="232"/>
      <c r="M38" s="232"/>
      <c r="N38" s="232"/>
      <c r="O38" s="232"/>
      <c r="P38" s="232"/>
      <c r="Q38" s="232"/>
    </row>
    <row r="39" spans="1:17">
      <c r="A39" s="232"/>
      <c r="B39" s="232"/>
      <c r="C39" s="232"/>
      <c r="D39" s="232"/>
      <c r="E39" s="232"/>
      <c r="F39" s="232"/>
      <c r="G39" s="232"/>
      <c r="H39" s="232"/>
      <c r="I39" s="232"/>
      <c r="J39" s="232"/>
      <c r="K39" s="232"/>
      <c r="L39" s="232"/>
      <c r="M39" s="232"/>
      <c r="N39" s="232"/>
      <c r="O39" s="232"/>
      <c r="P39" s="232"/>
      <c r="Q39" s="232"/>
    </row>
    <row r="40" spans="1:17">
      <c r="A40" s="232"/>
      <c r="B40" s="232"/>
      <c r="C40" s="232"/>
      <c r="D40" s="232"/>
      <c r="E40" s="232"/>
      <c r="F40" s="232"/>
      <c r="G40" s="232" t="s">
        <v>274</v>
      </c>
      <c r="H40" s="232"/>
      <c r="I40" s="232"/>
      <c r="J40" s="232"/>
      <c r="K40" s="232"/>
      <c r="L40" s="232"/>
      <c r="M40" s="232"/>
      <c r="N40" s="232"/>
      <c r="O40" s="232"/>
      <c r="P40" s="232"/>
      <c r="Q40" s="232"/>
    </row>
    <row r="41" spans="1:17" ht="13">
      <c r="A41" s="232"/>
      <c r="B41" s="415" t="s">
        <v>18</v>
      </c>
      <c r="C41" s="418"/>
      <c r="D41" s="418"/>
      <c r="E41" s="417"/>
      <c r="F41" s="232"/>
      <c r="G41" s="232" t="s">
        <v>32</v>
      </c>
      <c r="H41" s="232"/>
      <c r="I41" s="232"/>
      <c r="J41" s="232"/>
      <c r="K41" s="232"/>
      <c r="L41" s="232"/>
      <c r="M41" s="232"/>
      <c r="N41" s="232"/>
      <c r="O41" s="232"/>
      <c r="P41" s="232"/>
      <c r="Q41" s="232"/>
    </row>
    <row r="42" spans="1:17">
      <c r="A42" s="232"/>
      <c r="B42" s="408" t="s">
        <v>861</v>
      </c>
      <c r="C42" s="103" t="s">
        <v>311</v>
      </c>
      <c r="D42" s="103"/>
      <c r="E42" s="419">
        <f>'Downlink Budget'!B17</f>
        <v>0.1</v>
      </c>
      <c r="F42" s="232"/>
      <c r="G42" s="232" t="s">
        <v>31</v>
      </c>
      <c r="H42" s="232"/>
      <c r="I42" s="232"/>
      <c r="J42" s="232"/>
      <c r="K42" s="232"/>
      <c r="L42" s="232"/>
      <c r="M42" s="232"/>
      <c r="N42" s="232"/>
      <c r="O42" s="232"/>
      <c r="P42" s="232"/>
      <c r="Q42" s="232"/>
    </row>
    <row r="43" spans="1:17" ht="13">
      <c r="A43" s="232"/>
      <c r="B43" s="135" t="s">
        <v>855</v>
      </c>
      <c r="C43" s="132" t="s">
        <v>820</v>
      </c>
      <c r="D43" s="132" t="s">
        <v>3</v>
      </c>
      <c r="E43" s="133" t="s">
        <v>820</v>
      </c>
      <c r="F43" s="232"/>
      <c r="G43" s="232" t="s">
        <v>33</v>
      </c>
      <c r="H43" s="232"/>
      <c r="I43" s="232"/>
      <c r="J43" s="232"/>
      <c r="K43" s="232"/>
      <c r="L43" s="232"/>
      <c r="M43" s="232"/>
      <c r="N43" s="232"/>
      <c r="O43" s="232"/>
      <c r="P43" s="232"/>
      <c r="Q43" s="232"/>
    </row>
    <row r="44" spans="1:17">
      <c r="A44" s="232"/>
      <c r="B44" s="410"/>
      <c r="C44" s="103"/>
      <c r="D44" s="103"/>
      <c r="E44" s="237"/>
      <c r="F44" s="232"/>
      <c r="G44" s="232"/>
      <c r="H44" s="232"/>
      <c r="I44" s="232"/>
      <c r="J44" s="232"/>
      <c r="K44" s="232"/>
      <c r="L44" s="232"/>
      <c r="M44" s="232"/>
      <c r="N44" s="232"/>
      <c r="O44" s="232"/>
      <c r="P44" s="232"/>
      <c r="Q44" s="232"/>
    </row>
    <row r="45" spans="1:17">
      <c r="A45" s="232"/>
      <c r="B45" s="124">
        <v>146</v>
      </c>
      <c r="C45" s="125" t="s">
        <v>856</v>
      </c>
      <c r="D45" s="411">
        <v>0.7</v>
      </c>
      <c r="E45" s="126" t="s">
        <v>859</v>
      </c>
      <c r="F45" s="232"/>
      <c r="G45" s="232" t="s">
        <v>310</v>
      </c>
      <c r="H45" s="232"/>
      <c r="I45" s="232"/>
      <c r="J45" s="232"/>
      <c r="K45" s="232"/>
      <c r="L45" s="232"/>
      <c r="M45" s="232"/>
      <c r="N45" s="232"/>
      <c r="O45" s="232"/>
      <c r="P45" s="232"/>
      <c r="Q45" s="232"/>
    </row>
    <row r="46" spans="1:17">
      <c r="A46" s="232"/>
      <c r="B46" s="124">
        <v>438</v>
      </c>
      <c r="C46" s="125" t="s">
        <v>856</v>
      </c>
      <c r="D46" s="411">
        <v>0.4</v>
      </c>
      <c r="E46" s="126" t="s">
        <v>859</v>
      </c>
      <c r="F46" s="232"/>
      <c r="G46" s="232" t="s">
        <v>384</v>
      </c>
      <c r="H46" s="232"/>
      <c r="I46" s="232"/>
      <c r="J46" s="232"/>
      <c r="K46" s="232"/>
      <c r="L46" s="232"/>
      <c r="M46" s="232"/>
      <c r="N46" s="232"/>
      <c r="O46" s="232"/>
      <c r="P46" s="232"/>
      <c r="Q46" s="232"/>
    </row>
    <row r="47" spans="1:17">
      <c r="A47" s="232"/>
      <c r="B47" s="124">
        <v>2410</v>
      </c>
      <c r="C47" s="125" t="s">
        <v>856</v>
      </c>
      <c r="D47" s="411">
        <v>0.1</v>
      </c>
      <c r="E47" s="126" t="s">
        <v>859</v>
      </c>
      <c r="F47" s="232"/>
      <c r="G47" s="232" t="s">
        <v>312</v>
      </c>
      <c r="H47" s="232"/>
      <c r="I47" s="232"/>
      <c r="J47" s="232"/>
      <c r="K47" s="232"/>
      <c r="L47" s="232"/>
      <c r="M47" s="232"/>
      <c r="N47" s="232"/>
      <c r="O47" s="232"/>
      <c r="P47" s="232"/>
      <c r="Q47" s="232"/>
    </row>
    <row r="48" spans="1:17">
      <c r="A48" s="232"/>
      <c r="B48" s="420">
        <f>Frequency!C19</f>
        <v>2412</v>
      </c>
      <c r="C48" s="421" t="s">
        <v>856</v>
      </c>
      <c r="D48" s="412">
        <v>0.1</v>
      </c>
      <c r="E48" s="126" t="s">
        <v>859</v>
      </c>
      <c r="F48" s="232"/>
      <c r="G48" s="232" t="s">
        <v>314</v>
      </c>
      <c r="H48" s="232"/>
      <c r="I48" s="232"/>
      <c r="J48" s="232"/>
      <c r="K48" s="232"/>
      <c r="L48" s="232"/>
      <c r="M48" s="232"/>
      <c r="N48" s="232"/>
      <c r="O48" s="232"/>
      <c r="P48" s="232"/>
      <c r="Q48" s="232"/>
    </row>
    <row r="49" spans="1:18">
      <c r="A49" s="232"/>
      <c r="B49" s="124"/>
      <c r="C49" s="125"/>
      <c r="D49" s="125"/>
      <c r="E49" s="126"/>
      <c r="F49" s="232"/>
      <c r="G49" s="232"/>
      <c r="H49" s="232" t="s">
        <v>817</v>
      </c>
      <c r="I49" s="232"/>
      <c r="J49" s="232"/>
      <c r="K49" s="232"/>
      <c r="L49" s="232"/>
      <c r="M49" s="232"/>
      <c r="N49" s="232"/>
      <c r="O49" s="232"/>
      <c r="P49" s="232"/>
      <c r="Q49" s="232"/>
    </row>
    <row r="50" spans="1:18">
      <c r="A50" s="232"/>
      <c r="B50" s="232"/>
      <c r="C50" s="232"/>
      <c r="D50" s="232"/>
      <c r="E50" s="232"/>
      <c r="F50" s="232"/>
      <c r="G50" s="232"/>
      <c r="H50" s="245"/>
      <c r="I50" s="232"/>
      <c r="J50" s="232"/>
      <c r="K50" s="232"/>
      <c r="L50" s="232"/>
      <c r="M50" s="232"/>
      <c r="N50" s="232"/>
      <c r="O50" s="232"/>
      <c r="P50" s="232"/>
      <c r="Q50" s="232"/>
    </row>
    <row r="51" spans="1:18">
      <c r="A51" s="232"/>
      <c r="B51" s="245" t="s">
        <v>322</v>
      </c>
      <c r="C51" s="232"/>
      <c r="D51" s="232"/>
      <c r="E51" s="232"/>
      <c r="F51" s="232"/>
      <c r="G51" s="232" t="s">
        <v>699</v>
      </c>
      <c r="H51" s="232"/>
      <c r="I51" s="232"/>
      <c r="J51" s="232"/>
      <c r="K51" s="232"/>
      <c r="L51" s="232"/>
      <c r="M51" s="232"/>
      <c r="N51" s="232"/>
      <c r="O51" s="232"/>
      <c r="P51" s="232"/>
      <c r="Q51" s="232"/>
    </row>
    <row r="52" spans="1:18">
      <c r="A52" s="232"/>
      <c r="B52" s="232" t="s">
        <v>700</v>
      </c>
      <c r="C52" s="232"/>
      <c r="D52" s="232"/>
      <c r="E52" s="232"/>
      <c r="F52" s="232"/>
      <c r="G52" s="232"/>
      <c r="H52" s="232"/>
      <c r="I52" s="232"/>
      <c r="J52" s="232"/>
      <c r="K52" s="232"/>
      <c r="L52" s="232"/>
      <c r="M52" s="232"/>
      <c r="N52" s="232"/>
      <c r="O52" s="232"/>
      <c r="P52" s="232"/>
      <c r="Q52" s="232"/>
      <c r="R52" s="232"/>
    </row>
    <row r="53" spans="1:18">
      <c r="A53" s="232"/>
      <c r="B53" s="232" t="s">
        <v>701</v>
      </c>
      <c r="C53" s="232"/>
      <c r="D53" s="232"/>
      <c r="E53" s="232"/>
      <c r="F53" s="232"/>
      <c r="G53" s="232"/>
      <c r="H53" s="232"/>
      <c r="I53" s="232"/>
      <c r="J53" s="232"/>
      <c r="K53" s="232"/>
      <c r="L53" s="232"/>
      <c r="M53" s="232"/>
      <c r="N53" s="232"/>
      <c r="O53" s="232"/>
      <c r="P53" s="232"/>
      <c r="Q53" s="232"/>
      <c r="R53" s="232"/>
    </row>
    <row r="54" spans="1:18">
      <c r="A54" s="232"/>
      <c r="B54" s="232" t="s">
        <v>702</v>
      </c>
      <c r="C54" s="232"/>
      <c r="D54" s="232"/>
      <c r="E54" s="232"/>
      <c r="F54" s="232"/>
      <c r="G54" s="232"/>
      <c r="H54" s="232"/>
      <c r="I54" s="232"/>
      <c r="J54" s="232"/>
      <c r="K54" s="232"/>
      <c r="L54" s="232"/>
      <c r="M54" s="232"/>
      <c r="N54" s="232"/>
      <c r="O54" s="232"/>
      <c r="P54" s="232"/>
      <c r="Q54" s="232"/>
      <c r="R54" s="232"/>
    </row>
    <row r="55" spans="1:18">
      <c r="A55" s="232"/>
      <c r="B55" s="232" t="s">
        <v>703</v>
      </c>
      <c r="C55" s="232"/>
      <c r="D55" s="232"/>
      <c r="E55" s="232"/>
      <c r="F55" s="232"/>
      <c r="G55" s="232"/>
      <c r="H55" s="232"/>
      <c r="I55" s="232"/>
      <c r="J55" s="232"/>
      <c r="K55" s="232"/>
      <c r="L55" s="232"/>
      <c r="M55" s="232"/>
      <c r="N55" s="232"/>
      <c r="O55" s="232"/>
      <c r="P55" s="232"/>
      <c r="Q55" s="232"/>
      <c r="R55" s="232"/>
    </row>
    <row r="56" spans="1:18">
      <c r="A56" s="232"/>
      <c r="B56" s="232"/>
      <c r="C56" s="232"/>
      <c r="D56" s="232"/>
      <c r="E56" s="232"/>
      <c r="F56" s="232"/>
      <c r="G56" s="232"/>
      <c r="H56" s="232"/>
      <c r="I56" s="232"/>
      <c r="J56" s="232"/>
      <c r="K56" s="232"/>
      <c r="L56" s="232"/>
      <c r="M56" s="232"/>
      <c r="N56" s="232"/>
      <c r="O56" s="232"/>
      <c r="P56" s="232"/>
      <c r="Q56" s="232"/>
      <c r="R56" s="232"/>
    </row>
    <row r="57" spans="1:18">
      <c r="A57" s="232"/>
      <c r="B57" s="232"/>
      <c r="C57" s="232"/>
      <c r="D57" s="232"/>
      <c r="E57" s="232"/>
      <c r="F57" s="232"/>
      <c r="G57" s="232"/>
      <c r="H57" s="232"/>
      <c r="I57" s="232"/>
      <c r="J57" s="232"/>
      <c r="K57" s="232"/>
      <c r="L57" s="232"/>
      <c r="M57" s="232"/>
      <c r="N57" s="232"/>
      <c r="O57" s="232"/>
      <c r="P57" s="232"/>
      <c r="Q57" s="232"/>
      <c r="R57" s="232"/>
    </row>
    <row r="58" spans="1:18">
      <c r="A58" s="232"/>
      <c r="B58" s="232"/>
      <c r="C58" s="232"/>
      <c r="D58" s="232"/>
      <c r="E58" s="232"/>
      <c r="F58" s="232"/>
      <c r="G58" s="232"/>
      <c r="H58" s="232"/>
      <c r="I58" s="232"/>
      <c r="J58" s="232"/>
      <c r="K58" s="232"/>
      <c r="L58" s="232"/>
      <c r="M58" s="232"/>
      <c r="N58" s="232"/>
      <c r="O58" s="232"/>
      <c r="P58" s="232"/>
      <c r="Q58" s="232"/>
      <c r="R58" s="232"/>
    </row>
    <row r="59" spans="1:18">
      <c r="A59" s="232"/>
      <c r="B59" s="232"/>
      <c r="C59" s="232"/>
      <c r="D59" s="232"/>
      <c r="E59" s="232"/>
      <c r="F59" s="232"/>
      <c r="G59" s="232"/>
      <c r="H59" s="232"/>
      <c r="I59" s="232"/>
      <c r="J59" s="232"/>
      <c r="K59" s="232"/>
      <c r="L59" s="232"/>
      <c r="M59" s="232"/>
      <c r="N59" s="232"/>
      <c r="O59" s="232"/>
      <c r="P59" s="232"/>
      <c r="Q59" s="232"/>
      <c r="R59" s="232"/>
    </row>
    <row r="60" spans="1:18">
      <c r="A60" s="232"/>
      <c r="B60" s="232"/>
      <c r="C60" s="232"/>
      <c r="D60" s="232"/>
      <c r="E60" s="232"/>
      <c r="F60" s="232"/>
      <c r="G60" s="232"/>
      <c r="H60" s="232"/>
      <c r="I60" s="232"/>
      <c r="J60" s="232"/>
      <c r="K60" s="232"/>
      <c r="L60" s="232"/>
      <c r="M60" s="232"/>
      <c r="N60" s="232"/>
      <c r="O60" s="232"/>
      <c r="P60" s="232"/>
      <c r="Q60" s="232"/>
      <c r="R60" s="232"/>
    </row>
    <row r="61" spans="1:18">
      <c r="A61" s="232"/>
      <c r="B61" s="232"/>
      <c r="C61" s="232"/>
      <c r="D61" s="232"/>
      <c r="E61" s="232"/>
      <c r="F61" s="232"/>
      <c r="G61" s="232"/>
      <c r="H61" s="232"/>
      <c r="I61" s="232"/>
      <c r="J61" s="232"/>
      <c r="K61" s="232"/>
      <c r="L61" s="232"/>
      <c r="M61" s="232"/>
      <c r="N61" s="232"/>
      <c r="O61" s="232"/>
      <c r="P61" s="232"/>
      <c r="Q61" s="232"/>
      <c r="R61" s="232"/>
    </row>
    <row r="62" spans="1:18">
      <c r="A62" s="232"/>
      <c r="B62" s="232"/>
      <c r="C62" s="232"/>
      <c r="D62" s="232"/>
      <c r="E62" s="232"/>
      <c r="F62" s="232"/>
      <c r="G62" s="232"/>
      <c r="H62" s="232"/>
      <c r="I62" s="232"/>
      <c r="J62" s="232"/>
      <c r="K62" s="232"/>
      <c r="L62" s="232"/>
      <c r="M62" s="232"/>
      <c r="N62" s="232"/>
      <c r="O62" s="232"/>
      <c r="P62" s="232"/>
      <c r="Q62" s="232"/>
      <c r="R62" s="232"/>
    </row>
    <row r="63" spans="1:18">
      <c r="A63" s="232"/>
      <c r="B63" s="232"/>
      <c r="C63" s="232"/>
      <c r="D63" s="232"/>
      <c r="E63" s="232"/>
      <c r="F63" s="232"/>
      <c r="G63" s="232"/>
      <c r="H63" s="232"/>
      <c r="I63" s="232"/>
      <c r="J63" s="232"/>
      <c r="K63" s="232"/>
      <c r="L63" s="232"/>
      <c r="M63" s="232"/>
      <c r="N63" s="232"/>
      <c r="O63" s="232"/>
      <c r="P63" s="232"/>
      <c r="Q63" s="232"/>
      <c r="R63" s="232"/>
    </row>
    <row r="64" spans="1:18">
      <c r="A64" s="232"/>
      <c r="B64" s="232"/>
      <c r="C64" s="232"/>
      <c r="D64" s="232"/>
      <c r="E64" s="232"/>
      <c r="F64" s="232"/>
      <c r="G64" s="232"/>
      <c r="H64" s="232"/>
      <c r="I64" s="232"/>
      <c r="J64" s="232"/>
      <c r="K64" s="232"/>
      <c r="L64" s="232"/>
      <c r="M64" s="232"/>
      <c r="N64" s="232"/>
      <c r="O64" s="232"/>
      <c r="P64" s="232"/>
      <c r="Q64" s="232"/>
      <c r="R64" s="232"/>
    </row>
    <row r="65" spans="1:18">
      <c r="A65" s="232"/>
      <c r="B65" s="232"/>
      <c r="C65" s="232"/>
      <c r="D65" s="232"/>
      <c r="E65" s="232"/>
      <c r="F65" s="232"/>
      <c r="G65" s="232"/>
      <c r="H65" s="232"/>
      <c r="I65" s="232"/>
      <c r="J65" s="232"/>
      <c r="K65" s="232"/>
      <c r="L65" s="232"/>
      <c r="M65" s="232"/>
      <c r="N65" s="232"/>
      <c r="O65" s="232"/>
      <c r="P65" s="232"/>
      <c r="Q65" s="232"/>
      <c r="R65" s="232"/>
    </row>
    <row r="66" spans="1:18">
      <c r="A66" s="232"/>
      <c r="B66" s="232"/>
      <c r="C66" s="232"/>
      <c r="D66" s="232"/>
      <c r="E66" s="232"/>
      <c r="F66" s="232"/>
      <c r="G66" s="232"/>
      <c r="H66" s="232"/>
      <c r="I66" s="232"/>
      <c r="J66" s="232"/>
      <c r="K66" s="232"/>
      <c r="L66" s="232"/>
      <c r="M66" s="232"/>
      <c r="N66" s="232"/>
      <c r="O66" s="232"/>
      <c r="P66" s="232"/>
      <c r="Q66" s="232"/>
      <c r="R66" s="232"/>
    </row>
    <row r="67" spans="1:18">
      <c r="A67" s="232"/>
      <c r="B67" s="232"/>
      <c r="C67" s="232"/>
      <c r="D67" s="232"/>
      <c r="E67" s="232"/>
      <c r="F67" s="232"/>
      <c r="G67" s="232"/>
      <c r="H67" s="232"/>
      <c r="I67" s="232"/>
      <c r="J67" s="232"/>
      <c r="K67" s="232"/>
      <c r="L67" s="232"/>
      <c r="M67" s="232"/>
      <c r="N67" s="232"/>
      <c r="O67" s="232"/>
      <c r="P67" s="232"/>
      <c r="Q67" s="232"/>
      <c r="R67" s="232"/>
    </row>
    <row r="68" spans="1:18">
      <c r="A68" s="232"/>
      <c r="B68" s="232"/>
      <c r="C68" s="232"/>
      <c r="D68" s="232"/>
      <c r="E68" s="232"/>
      <c r="F68" s="232"/>
      <c r="G68" s="232"/>
      <c r="H68" s="232"/>
      <c r="I68" s="232"/>
      <c r="J68" s="232"/>
      <c r="K68" s="232"/>
      <c r="L68" s="232"/>
      <c r="M68" s="232"/>
      <c r="N68" s="232"/>
      <c r="O68" s="232"/>
      <c r="P68" s="232"/>
      <c r="Q68" s="232"/>
      <c r="R68" s="232"/>
    </row>
    <row r="69" spans="1:18">
      <c r="A69" s="232"/>
      <c r="B69" s="232"/>
      <c r="C69" s="232"/>
      <c r="D69" s="232"/>
      <c r="E69" s="232"/>
      <c r="F69" s="232"/>
      <c r="G69" s="232"/>
      <c r="H69" s="232"/>
      <c r="I69" s="232"/>
      <c r="J69" s="232"/>
      <c r="K69" s="232"/>
      <c r="L69" s="232"/>
      <c r="M69" s="232"/>
      <c r="N69" s="232"/>
      <c r="O69" s="232"/>
      <c r="P69" s="232"/>
      <c r="Q69" s="232"/>
      <c r="R69" s="232"/>
    </row>
    <row r="70" spans="1:18">
      <c r="A70" s="232"/>
      <c r="B70" s="232"/>
      <c r="C70" s="232"/>
      <c r="D70" s="232"/>
      <c r="E70" s="232"/>
      <c r="F70" s="232"/>
      <c r="G70" s="232"/>
      <c r="H70" s="232"/>
      <c r="I70" s="232"/>
      <c r="J70" s="232"/>
      <c r="K70" s="232"/>
      <c r="L70" s="232"/>
      <c r="M70" s="232"/>
      <c r="N70" s="232"/>
      <c r="O70" s="232"/>
      <c r="P70" s="232"/>
      <c r="Q70" s="232"/>
      <c r="R70" s="232"/>
    </row>
    <row r="71" spans="1:18">
      <c r="A71" s="232"/>
      <c r="B71" s="232"/>
      <c r="C71" s="232"/>
      <c r="D71" s="232"/>
      <c r="E71" s="232"/>
      <c r="F71" s="232"/>
      <c r="G71" s="232"/>
      <c r="H71" s="232"/>
      <c r="I71" s="232"/>
      <c r="J71" s="232"/>
      <c r="K71" s="232"/>
      <c r="L71" s="232"/>
      <c r="M71" s="232"/>
      <c r="N71" s="232"/>
      <c r="O71" s="232"/>
      <c r="P71" s="232"/>
      <c r="Q71" s="232"/>
      <c r="R71" s="232"/>
    </row>
    <row r="72" spans="1:18">
      <c r="A72" s="232"/>
      <c r="B72" s="232"/>
      <c r="C72" s="232"/>
      <c r="D72" s="232"/>
      <c r="E72" s="232"/>
      <c r="F72" s="232"/>
      <c r="G72" s="232"/>
      <c r="H72" s="232"/>
      <c r="I72" s="232"/>
      <c r="J72" s="232"/>
      <c r="K72" s="232"/>
      <c r="L72" s="232"/>
      <c r="M72" s="232"/>
      <c r="N72" s="232"/>
      <c r="O72" s="232"/>
      <c r="P72" s="232"/>
      <c r="Q72" s="232"/>
      <c r="R72" s="232"/>
    </row>
    <row r="73" spans="1:18">
      <c r="A73" s="232"/>
      <c r="B73" s="232"/>
      <c r="C73" s="232"/>
      <c r="D73" s="232"/>
      <c r="E73" s="232"/>
      <c r="F73" s="232"/>
      <c r="G73" s="232"/>
      <c r="H73" s="232"/>
      <c r="I73" s="232"/>
      <c r="J73" s="232"/>
      <c r="K73" s="232"/>
      <c r="L73" s="232"/>
      <c r="M73" s="232"/>
      <c r="N73" s="232"/>
      <c r="O73" s="232"/>
      <c r="P73" s="232"/>
      <c r="Q73" s="232"/>
      <c r="R73" s="232"/>
    </row>
    <row r="74" spans="1:18">
      <c r="A74" s="232"/>
      <c r="B74" s="232"/>
      <c r="C74" s="232"/>
      <c r="D74" s="232"/>
      <c r="E74" s="232"/>
      <c r="F74" s="232"/>
      <c r="G74" s="232"/>
      <c r="H74" s="232"/>
      <c r="I74" s="232"/>
      <c r="J74" s="232"/>
      <c r="K74" s="232"/>
      <c r="L74" s="232"/>
      <c r="M74" s="232"/>
      <c r="N74" s="232"/>
      <c r="O74" s="232"/>
      <c r="P74" s="232"/>
      <c r="Q74" s="232"/>
      <c r="R74" s="232"/>
    </row>
    <row r="75" spans="1:18">
      <c r="A75" s="232"/>
      <c r="B75" s="905"/>
      <c r="C75" s="905"/>
      <c r="D75" s="905"/>
      <c r="E75" s="905"/>
      <c r="F75" s="232"/>
      <c r="G75" s="232"/>
      <c r="H75" s="232"/>
      <c r="I75" s="232"/>
      <c r="J75" s="232"/>
      <c r="K75" s="232"/>
      <c r="L75" s="232"/>
      <c r="M75" s="232"/>
      <c r="N75" s="232"/>
      <c r="O75" s="232"/>
      <c r="P75" s="232"/>
      <c r="Q75" s="232"/>
      <c r="R75" s="232"/>
    </row>
    <row r="76" spans="1:18">
      <c r="A76" s="232"/>
      <c r="B76" s="905"/>
      <c r="C76" s="905"/>
      <c r="D76" s="905"/>
      <c r="E76" s="905"/>
      <c r="F76" s="232"/>
      <c r="G76" s="232"/>
      <c r="H76" s="232"/>
      <c r="I76" s="232"/>
      <c r="J76" s="232"/>
      <c r="K76" s="232"/>
      <c r="L76" s="232"/>
      <c r="M76" s="232"/>
      <c r="N76" s="232"/>
      <c r="O76" s="232"/>
      <c r="P76" s="232"/>
      <c r="Q76" s="232"/>
      <c r="R76" s="232"/>
    </row>
    <row r="77" spans="1:18">
      <c r="A77" s="232"/>
      <c r="B77" s="905"/>
      <c r="C77" s="905"/>
      <c r="D77" s="905"/>
      <c r="E77" s="905"/>
      <c r="F77" s="232"/>
      <c r="G77" s="232"/>
      <c r="H77" s="232"/>
      <c r="I77" s="232"/>
      <c r="J77" s="232"/>
      <c r="K77" s="232"/>
      <c r="L77" s="232"/>
      <c r="M77" s="232"/>
      <c r="N77" s="232"/>
      <c r="O77" s="232"/>
      <c r="P77" s="232"/>
      <c r="Q77" s="232"/>
      <c r="R77" s="232"/>
    </row>
    <row r="78" spans="1:18">
      <c r="A78" s="232"/>
      <c r="B78" s="905"/>
      <c r="C78" s="905"/>
      <c r="D78" s="905"/>
      <c r="E78" s="905"/>
      <c r="F78" s="232"/>
      <c r="G78" s="232"/>
      <c r="H78" s="232"/>
      <c r="I78" s="232"/>
      <c r="J78" s="232"/>
      <c r="K78" s="232"/>
      <c r="L78" s="232"/>
      <c r="M78" s="232"/>
      <c r="N78" s="232"/>
      <c r="O78" s="232"/>
      <c r="P78" s="232"/>
      <c r="Q78" s="232"/>
      <c r="R78" s="232"/>
    </row>
    <row r="79" spans="1:18">
      <c r="A79" s="232"/>
      <c r="B79" s="905"/>
      <c r="C79" s="905"/>
      <c r="D79" s="905"/>
      <c r="E79" s="905"/>
      <c r="F79" s="232"/>
      <c r="G79" s="232"/>
      <c r="H79" s="232"/>
      <c r="I79" s="232"/>
      <c r="J79" s="232"/>
      <c r="K79" s="232"/>
      <c r="L79" s="232"/>
      <c r="M79" s="232"/>
      <c r="N79" s="232"/>
      <c r="O79" s="232"/>
      <c r="P79" s="232"/>
      <c r="Q79" s="232"/>
      <c r="R79" s="232"/>
    </row>
    <row r="80" spans="1:18">
      <c r="A80" s="232"/>
      <c r="B80" s="905"/>
      <c r="C80" s="905"/>
      <c r="D80" s="905"/>
      <c r="E80" s="905"/>
      <c r="F80" s="232"/>
      <c r="G80" s="232"/>
      <c r="H80" s="232"/>
      <c r="I80" s="232"/>
      <c r="J80" s="232"/>
      <c r="K80" s="232"/>
      <c r="L80" s="232"/>
      <c r="M80" s="232"/>
      <c r="N80" s="232"/>
      <c r="O80" s="232"/>
      <c r="P80" s="232"/>
      <c r="Q80" s="232"/>
      <c r="R80" s="232"/>
    </row>
    <row r="81" spans="1:18">
      <c r="A81" s="232"/>
      <c r="B81" s="905"/>
      <c r="C81" s="905"/>
      <c r="D81" s="905"/>
      <c r="E81" s="905"/>
      <c r="F81" s="232"/>
      <c r="G81" s="232"/>
      <c r="H81" s="232"/>
      <c r="I81" s="232"/>
      <c r="J81" s="232"/>
      <c r="K81" s="232"/>
      <c r="L81" s="232"/>
      <c r="M81" s="232"/>
      <c r="N81" s="232"/>
      <c r="O81" s="232"/>
      <c r="P81" s="232"/>
      <c r="Q81" s="232"/>
      <c r="R81" s="232"/>
    </row>
    <row r="82" spans="1:18">
      <c r="A82" s="232"/>
      <c r="B82" s="905"/>
      <c r="C82" s="905"/>
      <c r="D82" s="905"/>
      <c r="E82" s="905"/>
      <c r="F82" s="232"/>
      <c r="G82" s="232"/>
      <c r="H82" s="232"/>
      <c r="I82" s="232"/>
      <c r="J82" s="232"/>
      <c r="K82" s="232"/>
      <c r="L82" s="232"/>
      <c r="M82" s="232"/>
      <c r="N82" s="232"/>
      <c r="O82" s="232"/>
      <c r="P82" s="232"/>
      <c r="Q82" s="232"/>
      <c r="R82" s="232"/>
    </row>
    <row r="83" spans="1:18">
      <c r="A83" s="232"/>
      <c r="B83" s="905"/>
      <c r="C83" s="905"/>
      <c r="D83" s="905"/>
      <c r="E83" s="905"/>
      <c r="F83" s="232"/>
      <c r="G83" s="232"/>
      <c r="H83" s="232"/>
      <c r="I83" s="232"/>
      <c r="J83" s="232"/>
      <c r="K83" s="232"/>
      <c r="L83" s="232"/>
      <c r="M83" s="232"/>
      <c r="N83" s="232"/>
      <c r="O83" s="232"/>
      <c r="P83" s="232"/>
      <c r="Q83" s="232"/>
      <c r="R83" s="232"/>
    </row>
    <row r="84" spans="1:18">
      <c r="A84" s="232"/>
      <c r="B84" s="905"/>
      <c r="C84" s="905"/>
      <c r="D84" s="905"/>
      <c r="E84" s="905"/>
      <c r="F84" s="232"/>
      <c r="G84" s="232"/>
      <c r="H84" s="232"/>
      <c r="I84" s="232"/>
      <c r="J84" s="232"/>
      <c r="K84" s="232"/>
      <c r="L84" s="232"/>
      <c r="M84" s="232"/>
      <c r="N84" s="232"/>
      <c r="O84" s="232"/>
      <c r="P84" s="232"/>
      <c r="Q84" s="232"/>
      <c r="R84" s="232"/>
    </row>
    <row r="85" spans="1:18">
      <c r="A85" s="905"/>
      <c r="B85" s="905"/>
      <c r="C85" s="905"/>
      <c r="D85" s="905"/>
      <c r="E85" s="905"/>
      <c r="F85" s="905"/>
      <c r="G85" s="905"/>
      <c r="H85" s="905"/>
      <c r="I85" s="905"/>
      <c r="J85" s="905"/>
      <c r="K85" s="905"/>
      <c r="L85" s="905"/>
      <c r="M85" s="905"/>
      <c r="N85" s="905"/>
      <c r="O85" s="905"/>
      <c r="P85" s="905"/>
      <c r="Q85" s="905"/>
      <c r="R85" s="905"/>
    </row>
    <row r="86" spans="1:18">
      <c r="A86" s="905"/>
      <c r="B86" s="905"/>
      <c r="C86" s="905"/>
      <c r="D86" s="905"/>
      <c r="E86" s="905"/>
      <c r="F86" s="905"/>
      <c r="G86" s="905"/>
      <c r="H86" s="905"/>
      <c r="I86" s="905"/>
      <c r="J86" s="905"/>
      <c r="K86" s="905"/>
      <c r="L86" s="905"/>
      <c r="M86" s="905"/>
      <c r="N86" s="905"/>
      <c r="O86" s="905"/>
      <c r="P86" s="905"/>
      <c r="Q86" s="905"/>
      <c r="R86" s="905"/>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7"/>
  <sheetViews>
    <sheetView zoomScaleNormal="100" workbookViewId="0">
      <selection activeCell="E12" sqref="E12"/>
    </sheetView>
  </sheetViews>
  <sheetFormatPr defaultColWidth="8.81640625" defaultRowHeight="12.5"/>
  <cols>
    <col min="3" max="3" width="20.6328125" customWidth="1"/>
    <col min="4" max="4" width="37.1796875" customWidth="1"/>
    <col min="5" max="5" width="20.6328125" customWidth="1"/>
    <col min="6" max="6" width="23.81640625" customWidth="1"/>
    <col min="8" max="8" width="9.81640625" customWidth="1"/>
  </cols>
  <sheetData>
    <row r="1" spans="1:21" ht="18" thickBot="1">
      <c r="A1" s="128" t="s">
        <v>275</v>
      </c>
      <c r="B1" s="129"/>
      <c r="C1" s="129"/>
      <c r="D1" s="129"/>
      <c r="E1" s="683" t="str">
        <f>'Title Page'!F3</f>
        <v>OreSat - CS0 (DxWiFi)</v>
      </c>
      <c r="F1" s="129"/>
      <c r="G1" s="680" t="str">
        <f>'Title Page'!F23</f>
        <v>2019 February 1</v>
      </c>
      <c r="H1" s="129"/>
      <c r="I1" s="129"/>
      <c r="J1" s="129"/>
      <c r="K1" s="129"/>
      <c r="L1" s="129"/>
      <c r="M1" s="129"/>
      <c r="N1" s="129"/>
      <c r="O1" s="129"/>
      <c r="P1" s="129"/>
      <c r="Q1" s="129"/>
      <c r="R1" s="129"/>
      <c r="S1" s="129"/>
      <c r="T1" s="129"/>
      <c r="U1" s="129"/>
    </row>
    <row r="2" spans="1:21" ht="13" thickBot="1">
      <c r="A2" s="684" t="s">
        <v>698</v>
      </c>
      <c r="B2" s="685"/>
      <c r="C2" s="686" t="s">
        <v>817</v>
      </c>
      <c r="D2" s="3"/>
      <c r="E2" s="231" t="s">
        <v>962</v>
      </c>
      <c r="F2" s="3" t="s">
        <v>963</v>
      </c>
      <c r="G2" s="232" t="s">
        <v>126</v>
      </c>
      <c r="H2" s="232"/>
      <c r="I2" s="232"/>
      <c r="J2" s="232"/>
      <c r="K2" s="232"/>
      <c r="L2" s="232"/>
      <c r="M2" s="232"/>
      <c r="N2" s="232"/>
      <c r="O2" s="232"/>
      <c r="P2" s="232"/>
      <c r="Q2" s="232"/>
      <c r="R2" s="232"/>
      <c r="S2" s="232"/>
      <c r="T2" s="232"/>
      <c r="U2" s="232"/>
    </row>
    <row r="3" spans="1:21" ht="16" thickBot="1">
      <c r="A3" s="638" t="s">
        <v>127</v>
      </c>
      <c r="B3" s="639"/>
      <c r="C3" s="660" t="s">
        <v>960</v>
      </c>
      <c r="D3" s="661"/>
      <c r="E3" s="659">
        <v>11</v>
      </c>
      <c r="F3" s="722" t="str">
        <f>INDEX(C6:C23,E3,1)</f>
        <v>BPSK</v>
      </c>
      <c r="G3" s="232"/>
      <c r="H3" s="74" t="s">
        <v>359</v>
      </c>
      <c r="I3" s="232"/>
      <c r="J3" s="232"/>
      <c r="K3" s="232"/>
      <c r="L3" s="232"/>
      <c r="M3" s="232"/>
      <c r="N3" s="232"/>
      <c r="O3" s="232"/>
      <c r="P3" s="232"/>
      <c r="Q3" s="232"/>
      <c r="R3" s="232"/>
      <c r="S3" s="232"/>
      <c r="T3" s="232"/>
      <c r="U3" s="232"/>
    </row>
    <row r="4" spans="1:21" ht="13.5" thickBot="1">
      <c r="A4" s="707" t="s">
        <v>694</v>
      </c>
      <c r="B4" s="3"/>
      <c r="C4" s="3"/>
      <c r="D4" s="3"/>
      <c r="E4" s="3"/>
      <c r="F4" s="3"/>
      <c r="G4" s="232"/>
      <c r="H4" s="75" t="s">
        <v>360</v>
      </c>
      <c r="I4" s="232"/>
      <c r="J4" s="232"/>
      <c r="K4" s="232"/>
      <c r="L4" s="232"/>
      <c r="M4" s="232"/>
      <c r="N4" s="232"/>
      <c r="O4" s="232"/>
      <c r="P4" s="232"/>
      <c r="Q4" s="232"/>
      <c r="R4" s="232"/>
      <c r="S4" s="232"/>
      <c r="T4" s="232"/>
      <c r="U4" s="232"/>
    </row>
    <row r="5" spans="1:21" ht="15.5">
      <c r="A5" s="232"/>
      <c r="B5" s="68" t="s">
        <v>944</v>
      </c>
      <c r="C5" s="68" t="s">
        <v>943</v>
      </c>
      <c r="D5" s="68" t="s">
        <v>945</v>
      </c>
      <c r="E5" s="68" t="s">
        <v>946</v>
      </c>
      <c r="F5" s="68" t="s">
        <v>947</v>
      </c>
      <c r="G5" s="232"/>
      <c r="H5" s="77">
        <f>INDEX(F6:F23,E3,1)+E25</f>
        <v>10.6</v>
      </c>
      <c r="I5" s="232"/>
      <c r="J5" s="232"/>
      <c r="K5" s="232"/>
      <c r="L5" s="232"/>
      <c r="M5" s="232"/>
      <c r="N5" s="232"/>
      <c r="O5" s="232"/>
      <c r="P5" s="232"/>
      <c r="Q5" s="232"/>
      <c r="R5" s="232"/>
      <c r="S5" s="232"/>
      <c r="T5" s="232"/>
      <c r="U5" s="232"/>
    </row>
    <row r="6" spans="1:21" ht="16" thickBot="1">
      <c r="A6" s="232"/>
      <c r="B6" s="72">
        <v>1</v>
      </c>
      <c r="C6" s="69" t="s">
        <v>948</v>
      </c>
      <c r="D6" s="69" t="s">
        <v>949</v>
      </c>
      <c r="E6" s="70">
        <v>1E-4</v>
      </c>
      <c r="F6" s="78">
        <v>21</v>
      </c>
      <c r="G6" s="232"/>
      <c r="H6" s="76" t="s">
        <v>859</v>
      </c>
      <c r="I6" s="232"/>
      <c r="J6" s="232"/>
      <c r="K6" s="232"/>
      <c r="L6" s="232"/>
      <c r="M6" s="232"/>
      <c r="N6" s="232"/>
      <c r="O6" s="232"/>
      <c r="P6" s="232"/>
      <c r="Q6" s="232"/>
      <c r="R6" s="232"/>
      <c r="S6" s="232"/>
      <c r="T6" s="232"/>
      <c r="U6" s="232"/>
    </row>
    <row r="7" spans="1:21" ht="15.5">
      <c r="A7" s="232"/>
      <c r="B7" s="72">
        <v>2</v>
      </c>
      <c r="C7" s="69" t="s">
        <v>948</v>
      </c>
      <c r="D7" s="69" t="s">
        <v>949</v>
      </c>
      <c r="E7" s="70">
        <v>1.0000000000000001E-5</v>
      </c>
      <c r="F7" s="78">
        <v>23.2</v>
      </c>
      <c r="G7" s="232"/>
      <c r="H7" s="232"/>
      <c r="I7" s="232"/>
      <c r="J7" s="232"/>
      <c r="K7" s="232"/>
      <c r="L7" s="232"/>
      <c r="M7" s="232"/>
      <c r="N7" s="232"/>
      <c r="O7" s="232"/>
      <c r="P7" s="232"/>
      <c r="Q7" s="232"/>
      <c r="R7" s="232"/>
      <c r="S7" s="232"/>
      <c r="T7" s="232"/>
      <c r="U7" s="232"/>
    </row>
    <row r="8" spans="1:21" ht="15.5">
      <c r="A8" s="232"/>
      <c r="B8" s="72">
        <v>3</v>
      </c>
      <c r="C8" s="69" t="s">
        <v>950</v>
      </c>
      <c r="D8" s="69" t="s">
        <v>949</v>
      </c>
      <c r="E8" s="70">
        <v>1E-4</v>
      </c>
      <c r="F8" s="78">
        <v>16.7</v>
      </c>
      <c r="G8" s="232"/>
      <c r="H8" s="232"/>
      <c r="I8" s="232"/>
      <c r="J8" s="232"/>
      <c r="K8" s="232"/>
      <c r="L8" s="232"/>
      <c r="M8" s="232"/>
      <c r="N8" s="232"/>
      <c r="O8" s="232"/>
      <c r="P8" s="232"/>
      <c r="Q8" s="232"/>
      <c r="R8" s="232"/>
      <c r="S8" s="232"/>
      <c r="T8" s="232"/>
      <c r="U8" s="232"/>
    </row>
    <row r="9" spans="1:21" ht="15.5">
      <c r="A9" s="232"/>
      <c r="B9" s="72">
        <v>4</v>
      </c>
      <c r="C9" s="69" t="s">
        <v>950</v>
      </c>
      <c r="D9" s="69" t="s">
        <v>949</v>
      </c>
      <c r="E9" s="70">
        <v>1.0000000000000001E-5</v>
      </c>
      <c r="F9" s="78">
        <v>18</v>
      </c>
      <c r="G9" s="232"/>
      <c r="H9" s="232"/>
      <c r="I9" s="232"/>
      <c r="J9" s="232"/>
      <c r="K9" s="232"/>
      <c r="L9" s="232"/>
      <c r="M9" s="232"/>
      <c r="N9" s="232"/>
      <c r="O9" s="232"/>
      <c r="P9" s="232"/>
      <c r="Q9" s="232"/>
      <c r="R9" s="232"/>
      <c r="S9" s="232"/>
      <c r="T9" s="232"/>
      <c r="U9" s="232"/>
    </row>
    <row r="10" spans="1:21" ht="15.5">
      <c r="A10" s="232"/>
      <c r="B10" s="72">
        <v>5</v>
      </c>
      <c r="C10" s="69" t="s">
        <v>951</v>
      </c>
      <c r="D10" s="69" t="s">
        <v>949</v>
      </c>
      <c r="E10" s="70">
        <v>1E-4</v>
      </c>
      <c r="F10" s="78">
        <v>13.4</v>
      </c>
      <c r="G10" s="232"/>
      <c r="H10" s="232"/>
      <c r="I10" s="232"/>
      <c r="J10" s="232"/>
      <c r="K10" s="232"/>
      <c r="L10" s="232"/>
      <c r="M10" s="232"/>
      <c r="N10" s="232"/>
      <c r="O10" s="232"/>
      <c r="P10" s="232"/>
      <c r="Q10" s="232"/>
      <c r="R10" s="232"/>
      <c r="S10" s="232"/>
      <c r="T10" s="232"/>
      <c r="U10" s="232"/>
    </row>
    <row r="11" spans="1:21" ht="15.5">
      <c r="A11" s="232"/>
      <c r="B11" s="72">
        <v>6</v>
      </c>
      <c r="C11" s="69" t="s">
        <v>951</v>
      </c>
      <c r="D11" s="69" t="s">
        <v>949</v>
      </c>
      <c r="E11" s="70">
        <v>1.0000000000000001E-5</v>
      </c>
      <c r="F11" s="78">
        <v>13.8</v>
      </c>
      <c r="G11" s="232"/>
      <c r="H11" s="232"/>
      <c r="I11" s="232"/>
      <c r="J11" s="232"/>
      <c r="K11" s="232"/>
      <c r="L11" s="232"/>
      <c r="M11" s="232"/>
      <c r="N11" s="232"/>
      <c r="O11" s="232"/>
      <c r="P11" s="232"/>
      <c r="Q11" s="232"/>
      <c r="R11" s="232"/>
      <c r="S11" s="232"/>
      <c r="T11" s="232"/>
      <c r="U11" s="232"/>
    </row>
    <row r="12" spans="1:21" ht="15.5">
      <c r="A12" s="232"/>
      <c r="B12" s="72">
        <v>7</v>
      </c>
      <c r="C12" s="69" t="s">
        <v>952</v>
      </c>
      <c r="D12" s="69" t="s">
        <v>949</v>
      </c>
      <c r="E12" s="70">
        <v>1E-4</v>
      </c>
      <c r="F12" s="78">
        <v>10.5</v>
      </c>
      <c r="G12" s="232"/>
      <c r="H12" s="232"/>
      <c r="I12" s="232"/>
      <c r="J12" s="232"/>
      <c r="K12" s="232"/>
      <c r="L12" s="232"/>
      <c r="M12" s="232"/>
      <c r="N12" s="232"/>
      <c r="O12" s="232"/>
      <c r="P12" s="232"/>
      <c r="Q12" s="232"/>
      <c r="R12" s="232"/>
      <c r="S12" s="232"/>
      <c r="T12" s="232"/>
      <c r="U12" s="232"/>
    </row>
    <row r="13" spans="1:21" ht="15.5">
      <c r="A13" s="232"/>
      <c r="B13" s="72">
        <v>8</v>
      </c>
      <c r="C13" s="69" t="s">
        <v>952</v>
      </c>
      <c r="D13" s="69" t="s">
        <v>949</v>
      </c>
      <c r="E13" s="70">
        <v>1.0000000000000001E-5</v>
      </c>
      <c r="F13" s="78">
        <v>11.9</v>
      </c>
      <c r="G13" s="232"/>
      <c r="H13" s="232"/>
      <c r="I13" s="232"/>
      <c r="J13" s="232"/>
      <c r="K13" s="232"/>
      <c r="L13" s="232"/>
      <c r="M13" s="232"/>
      <c r="N13" s="232"/>
      <c r="O13" s="232"/>
      <c r="P13" s="232"/>
      <c r="Q13" s="232"/>
      <c r="R13" s="232"/>
      <c r="S13" s="232"/>
      <c r="T13" s="232"/>
      <c r="U13" s="232"/>
    </row>
    <row r="14" spans="1:21" ht="15.5">
      <c r="A14" s="232"/>
      <c r="B14" s="72">
        <v>9</v>
      </c>
      <c r="C14" s="69" t="s">
        <v>955</v>
      </c>
      <c r="D14" s="69" t="s">
        <v>949</v>
      </c>
      <c r="E14" s="70">
        <v>1E-4</v>
      </c>
      <c r="F14" s="78">
        <v>8.4</v>
      </c>
      <c r="G14" s="232"/>
      <c r="H14" s="232"/>
      <c r="I14" s="232"/>
      <c r="J14" s="232"/>
      <c r="K14" s="232"/>
      <c r="L14" s="232"/>
      <c r="M14" s="232"/>
      <c r="N14" s="232"/>
      <c r="O14" s="232"/>
      <c r="P14" s="232"/>
      <c r="Q14" s="232"/>
      <c r="R14" s="232"/>
      <c r="S14" s="232"/>
      <c r="T14" s="232"/>
      <c r="U14" s="232"/>
    </row>
    <row r="15" spans="1:21" ht="15.5">
      <c r="A15" s="232"/>
      <c r="B15" s="72">
        <v>10</v>
      </c>
      <c r="C15" s="69" t="s">
        <v>955</v>
      </c>
      <c r="D15" s="69" t="s">
        <v>949</v>
      </c>
      <c r="E15" s="70">
        <v>1.0000000000000001E-5</v>
      </c>
      <c r="F15" s="78">
        <v>9.6</v>
      </c>
      <c r="G15" s="232"/>
      <c r="H15" s="232"/>
      <c r="I15" s="232"/>
      <c r="J15" s="232"/>
      <c r="K15" s="232"/>
      <c r="L15" s="232"/>
      <c r="M15" s="232"/>
      <c r="N15" s="232"/>
      <c r="O15" s="232"/>
      <c r="P15" s="232"/>
      <c r="Q15" s="232"/>
      <c r="R15" s="232"/>
      <c r="S15" s="232"/>
      <c r="T15" s="232"/>
      <c r="U15" s="232"/>
    </row>
    <row r="16" spans="1:21" ht="15.5">
      <c r="A16" s="232"/>
      <c r="B16" s="72">
        <v>11</v>
      </c>
      <c r="C16" s="69" t="s">
        <v>953</v>
      </c>
      <c r="D16" s="69" t="s">
        <v>949</v>
      </c>
      <c r="E16" s="70">
        <v>1.0000000000000001E-5</v>
      </c>
      <c r="F16" s="78">
        <v>9.6</v>
      </c>
      <c r="G16" s="232"/>
      <c r="H16" s="232"/>
      <c r="I16" s="232"/>
      <c r="J16" s="232"/>
      <c r="K16" s="232"/>
      <c r="L16" s="232"/>
      <c r="M16" s="232"/>
      <c r="N16" s="232"/>
      <c r="O16" s="232"/>
      <c r="P16" s="232"/>
      <c r="Q16" s="232"/>
      <c r="R16" s="232"/>
      <c r="S16" s="232"/>
      <c r="T16" s="232"/>
      <c r="U16" s="232"/>
    </row>
    <row r="17" spans="1:21" ht="15.5">
      <c r="A17" s="232"/>
      <c r="B17" s="72">
        <v>12</v>
      </c>
      <c r="C17" s="69" t="s">
        <v>953</v>
      </c>
      <c r="D17" s="69" t="s">
        <v>949</v>
      </c>
      <c r="E17" s="70">
        <v>9.9999999999999995E-7</v>
      </c>
      <c r="F17" s="78">
        <v>10.5</v>
      </c>
      <c r="G17" s="232"/>
      <c r="H17" s="232"/>
      <c r="I17" s="232"/>
      <c r="J17" s="232"/>
      <c r="K17" s="232"/>
      <c r="L17" s="232"/>
      <c r="M17" s="232"/>
      <c r="N17" s="232"/>
      <c r="O17" s="232"/>
      <c r="P17" s="232"/>
      <c r="Q17" s="232"/>
      <c r="R17" s="232"/>
      <c r="S17" s="232"/>
      <c r="T17" s="232"/>
      <c r="U17" s="232"/>
    </row>
    <row r="18" spans="1:21" ht="15.5">
      <c r="A18" s="232"/>
      <c r="B18" s="72">
        <v>13</v>
      </c>
      <c r="C18" s="69" t="s">
        <v>954</v>
      </c>
      <c r="D18" s="69" t="s">
        <v>949</v>
      </c>
      <c r="E18" s="70">
        <v>1.0000000000000001E-5</v>
      </c>
      <c r="F18" s="78">
        <v>9.6</v>
      </c>
      <c r="G18" s="232"/>
      <c r="H18" s="232"/>
      <c r="I18" s="232"/>
      <c r="J18" s="232"/>
      <c r="K18" s="232"/>
      <c r="L18" s="232"/>
      <c r="M18" s="232"/>
      <c r="N18" s="232"/>
      <c r="O18" s="232"/>
      <c r="P18" s="232"/>
      <c r="Q18" s="232"/>
      <c r="R18" s="232"/>
      <c r="S18" s="232"/>
      <c r="T18" s="232"/>
      <c r="U18" s="232"/>
    </row>
    <row r="19" spans="1:21" ht="15.5">
      <c r="A19" s="232"/>
      <c r="B19" s="72">
        <v>14</v>
      </c>
      <c r="C19" s="69" t="s">
        <v>954</v>
      </c>
      <c r="D19" s="69" t="s">
        <v>949</v>
      </c>
      <c r="E19" s="70">
        <v>9.9999999999999995E-7</v>
      </c>
      <c r="F19" s="78">
        <v>10.5</v>
      </c>
      <c r="G19" s="232"/>
      <c r="H19" s="232"/>
      <c r="I19" s="232"/>
      <c r="J19" s="232"/>
      <c r="K19" s="232"/>
      <c r="L19" s="232"/>
      <c r="M19" s="232"/>
      <c r="N19" s="232"/>
      <c r="O19" s="232"/>
      <c r="P19" s="232"/>
      <c r="Q19" s="232"/>
      <c r="R19" s="232"/>
      <c r="S19" s="232"/>
      <c r="T19" s="232"/>
      <c r="U19" s="232"/>
    </row>
    <row r="20" spans="1:21" ht="15.5">
      <c r="A20" s="232"/>
      <c r="B20" s="72">
        <v>15</v>
      </c>
      <c r="C20" s="69" t="s">
        <v>953</v>
      </c>
      <c r="D20" s="69" t="s">
        <v>956</v>
      </c>
      <c r="E20" s="70">
        <v>9.9999999999999995E-7</v>
      </c>
      <c r="F20" s="78">
        <v>4.8</v>
      </c>
      <c r="G20" s="232"/>
      <c r="H20" s="232"/>
      <c r="I20" s="232"/>
      <c r="J20" s="232"/>
      <c r="K20" s="232"/>
      <c r="L20" s="232"/>
      <c r="M20" s="232"/>
      <c r="N20" s="232"/>
      <c r="O20" s="232"/>
      <c r="P20" s="232"/>
      <c r="Q20" s="232"/>
      <c r="R20" s="232"/>
      <c r="S20" s="232"/>
      <c r="T20" s="232"/>
      <c r="U20" s="232"/>
    </row>
    <row r="21" spans="1:21" ht="15.5">
      <c r="A21" s="232"/>
      <c r="B21" s="72">
        <v>16</v>
      </c>
      <c r="C21" s="69" t="s">
        <v>953</v>
      </c>
      <c r="D21" s="69" t="s">
        <v>957</v>
      </c>
      <c r="E21" s="70">
        <v>9.9999999999999995E-7</v>
      </c>
      <c r="F21" s="78">
        <v>2.5</v>
      </c>
      <c r="G21" s="232"/>
      <c r="H21" s="232"/>
      <c r="I21" s="232"/>
      <c r="J21" s="232"/>
      <c r="K21" s="232"/>
      <c r="L21" s="232"/>
      <c r="M21" s="232"/>
      <c r="N21" s="232"/>
      <c r="O21" s="232"/>
      <c r="P21" s="232"/>
      <c r="Q21" s="232"/>
      <c r="R21" s="232"/>
      <c r="S21" s="232"/>
      <c r="T21" s="232"/>
      <c r="U21" s="232"/>
    </row>
    <row r="22" spans="1:21" ht="15.5">
      <c r="A22" s="232"/>
      <c r="B22" s="72">
        <v>17</v>
      </c>
      <c r="C22" s="69" t="s">
        <v>953</v>
      </c>
      <c r="D22" s="69" t="s">
        <v>958</v>
      </c>
      <c r="E22" s="70">
        <v>9.9999999999999995E-8</v>
      </c>
      <c r="F22" s="78">
        <v>0.8</v>
      </c>
      <c r="G22" s="232"/>
      <c r="H22" s="232"/>
      <c r="I22" s="232"/>
      <c r="J22" s="232"/>
      <c r="K22" s="232"/>
      <c r="L22" s="232"/>
      <c r="M22" s="232"/>
      <c r="N22" s="232"/>
      <c r="O22" s="232"/>
      <c r="P22" s="232"/>
      <c r="Q22" s="232"/>
      <c r="R22" s="232"/>
      <c r="S22" s="232"/>
      <c r="T22" s="232"/>
      <c r="U22" s="232"/>
    </row>
    <row r="23" spans="1:21" ht="15.5">
      <c r="A23" s="232"/>
      <c r="B23" s="72">
        <v>18</v>
      </c>
      <c r="C23" s="71" t="s">
        <v>959</v>
      </c>
      <c r="D23" s="71" t="s">
        <v>949</v>
      </c>
      <c r="E23" s="80">
        <v>1.0000000000000001E-5</v>
      </c>
      <c r="F23" s="79">
        <v>9.6</v>
      </c>
      <c r="G23" s="232"/>
      <c r="H23" s="232"/>
      <c r="I23" s="232"/>
      <c r="J23" s="232"/>
      <c r="K23" s="232"/>
      <c r="L23" s="232"/>
      <c r="M23" s="232"/>
      <c r="N23" s="232"/>
      <c r="O23" s="232"/>
      <c r="P23" s="232"/>
      <c r="Q23" s="232"/>
      <c r="R23" s="232"/>
      <c r="S23" s="232"/>
      <c r="T23" s="232"/>
      <c r="U23" s="232"/>
    </row>
    <row r="24" spans="1:21" ht="13" thickBot="1">
      <c r="A24" s="232"/>
      <c r="B24" s="232"/>
      <c r="C24" s="232"/>
      <c r="D24" s="245" t="s">
        <v>358</v>
      </c>
      <c r="E24" s="232"/>
      <c r="F24" s="244"/>
      <c r="G24" s="232"/>
      <c r="H24" s="232"/>
      <c r="I24" s="232"/>
      <c r="J24" s="232"/>
      <c r="K24" s="232"/>
      <c r="L24" s="232"/>
      <c r="M24" s="232"/>
      <c r="N24" s="232"/>
      <c r="O24" s="232"/>
      <c r="P24" s="232"/>
      <c r="Q24" s="232"/>
      <c r="R24" s="232"/>
      <c r="S24" s="232"/>
      <c r="T24" s="232"/>
      <c r="U24" s="232"/>
    </row>
    <row r="25" spans="1:21" ht="16" thickBot="1">
      <c r="A25" s="232"/>
      <c r="B25" s="345" t="s">
        <v>140</v>
      </c>
      <c r="C25" s="232"/>
      <c r="D25" s="708" t="s">
        <v>961</v>
      </c>
      <c r="E25" s="709">
        <v>1</v>
      </c>
      <c r="F25" s="73" t="s">
        <v>859</v>
      </c>
      <c r="G25" s="232"/>
      <c r="H25" s="232"/>
      <c r="I25" s="232"/>
      <c r="J25" s="232"/>
      <c r="K25" s="232"/>
      <c r="L25" s="232"/>
      <c r="M25" s="232"/>
      <c r="N25" s="232"/>
      <c r="O25" s="232"/>
      <c r="P25" s="232"/>
      <c r="Q25" s="232"/>
      <c r="R25" s="232"/>
      <c r="S25" s="232"/>
      <c r="T25" s="232"/>
      <c r="U25" s="232"/>
    </row>
    <row r="26" spans="1:21" ht="13" thickBot="1">
      <c r="A26" s="232"/>
      <c r="B26" s="232"/>
      <c r="C26" s="232"/>
      <c r="D26" s="232"/>
      <c r="E26" s="232"/>
      <c r="F26" s="232"/>
      <c r="G26" s="232"/>
      <c r="H26" s="232"/>
      <c r="I26" s="232"/>
      <c r="J26" s="232"/>
      <c r="K26" s="232"/>
      <c r="L26" s="232"/>
      <c r="M26" s="232"/>
      <c r="N26" s="232"/>
      <c r="O26" s="232"/>
      <c r="P26" s="232"/>
      <c r="Q26" s="232"/>
      <c r="R26" s="232"/>
      <c r="S26" s="232"/>
      <c r="T26" s="232"/>
      <c r="U26" s="232"/>
    </row>
    <row r="27" spans="1:21" ht="13.5" thickBot="1">
      <c r="A27" s="248"/>
      <c r="B27" s="26"/>
      <c r="C27" s="249" t="s">
        <v>119</v>
      </c>
      <c r="D27" s="26" t="s">
        <v>817</v>
      </c>
      <c r="E27" s="249" t="s">
        <v>122</v>
      </c>
      <c r="F27" s="26"/>
      <c r="G27" s="26"/>
      <c r="H27" s="26"/>
      <c r="I27" s="26"/>
      <c r="J27" s="26"/>
      <c r="K27" s="26"/>
      <c r="L27" s="26"/>
      <c r="M27" s="26"/>
      <c r="N27" s="26"/>
      <c r="O27" s="26"/>
      <c r="P27" s="26"/>
      <c r="Q27" s="26"/>
      <c r="R27" s="26"/>
      <c r="S27" s="26"/>
      <c r="T27" s="26"/>
      <c r="U27" s="27"/>
    </row>
    <row r="28" spans="1:21">
      <c r="A28" s="3"/>
      <c r="B28" s="3"/>
      <c r="C28" s="3"/>
      <c r="D28" s="3"/>
      <c r="E28" s="3"/>
      <c r="F28" s="3"/>
      <c r="G28" s="232"/>
      <c r="H28" s="232"/>
      <c r="I28" s="232"/>
      <c r="J28" s="232"/>
      <c r="K28" s="232"/>
      <c r="L28" s="232"/>
      <c r="M28" s="232"/>
      <c r="N28" s="232"/>
      <c r="O28" s="232"/>
      <c r="P28" s="232"/>
      <c r="Q28" s="232"/>
      <c r="R28" s="232"/>
      <c r="S28" s="232"/>
      <c r="T28" s="232"/>
      <c r="U28" s="232"/>
    </row>
    <row r="29" spans="1:21" ht="13" thickBot="1">
      <c r="A29" s="3"/>
      <c r="B29" s="3"/>
      <c r="C29" s="3"/>
      <c r="D29" s="3"/>
      <c r="E29" s="231" t="s">
        <v>962</v>
      </c>
      <c r="F29" s="3" t="s">
        <v>963</v>
      </c>
      <c r="G29" s="232" t="s">
        <v>126</v>
      </c>
      <c r="H29" s="232"/>
      <c r="I29" s="232"/>
      <c r="J29" s="232"/>
      <c r="K29" s="232"/>
      <c r="L29" s="232"/>
      <c r="M29" s="232"/>
      <c r="N29" s="232"/>
      <c r="O29" s="232"/>
      <c r="P29" s="232"/>
      <c r="Q29" s="232"/>
      <c r="R29" s="232"/>
      <c r="S29" s="232"/>
      <c r="T29" s="232"/>
      <c r="U29" s="232"/>
    </row>
    <row r="30" spans="1:21" ht="16" thickBot="1">
      <c r="A30" s="246" t="s">
        <v>128</v>
      </c>
      <c r="B30" s="247"/>
      <c r="C30" s="706" t="s">
        <v>960</v>
      </c>
      <c r="D30" s="661"/>
      <c r="E30" s="659">
        <v>11</v>
      </c>
      <c r="F30" s="722" t="str">
        <f>INDEX(C33:C51,E30,1)</f>
        <v>BPSK</v>
      </c>
      <c r="G30" s="232"/>
      <c r="H30" s="74" t="s">
        <v>359</v>
      </c>
      <c r="I30" s="232"/>
      <c r="J30" s="232"/>
      <c r="K30" s="232"/>
      <c r="L30" s="232"/>
      <c r="M30" s="232"/>
      <c r="N30" s="232"/>
      <c r="O30" s="232"/>
      <c r="P30" s="232"/>
      <c r="Q30" s="232"/>
      <c r="R30" s="232"/>
      <c r="S30" s="232"/>
      <c r="T30" s="232"/>
      <c r="U30" s="232"/>
    </row>
    <row r="31" spans="1:21" ht="13.5" thickBot="1">
      <c r="A31" s="707" t="s">
        <v>695</v>
      </c>
      <c r="B31" s="3"/>
      <c r="C31" s="3"/>
      <c r="D31" s="3"/>
      <c r="E31" s="3"/>
      <c r="F31" s="3"/>
      <c r="G31" s="232"/>
      <c r="H31" s="75" t="s">
        <v>360</v>
      </c>
      <c r="I31" s="232"/>
      <c r="J31" s="232"/>
      <c r="K31" s="232"/>
      <c r="L31" s="232"/>
      <c r="M31" s="232"/>
      <c r="N31" s="232"/>
      <c r="O31" s="232"/>
      <c r="P31" s="232"/>
      <c r="Q31" s="232"/>
      <c r="R31" s="232"/>
      <c r="S31" s="232"/>
      <c r="T31" s="232"/>
      <c r="U31" s="232"/>
    </row>
    <row r="32" spans="1:21" ht="15.5">
      <c r="A32" s="232"/>
      <c r="B32" s="68" t="s">
        <v>944</v>
      </c>
      <c r="C32" s="68" t="s">
        <v>943</v>
      </c>
      <c r="D32" s="68" t="s">
        <v>945</v>
      </c>
      <c r="E32" s="68" t="s">
        <v>946</v>
      </c>
      <c r="F32" s="68" t="s">
        <v>947</v>
      </c>
      <c r="G32" s="232"/>
      <c r="H32" s="77">
        <f>INDEX(F33:F51,E30,1)+E53</f>
        <v>10.6</v>
      </c>
      <c r="I32" s="232"/>
      <c r="J32" s="232"/>
      <c r="K32" s="232"/>
      <c r="L32" s="232"/>
      <c r="M32" s="232"/>
      <c r="N32" s="232"/>
      <c r="O32" s="232"/>
      <c r="P32" s="232"/>
      <c r="Q32" s="232"/>
      <c r="R32" s="232"/>
      <c r="S32" s="232"/>
      <c r="T32" s="232"/>
      <c r="U32" s="232"/>
    </row>
    <row r="33" spans="1:21" ht="16" thickBot="1">
      <c r="A33" s="232"/>
      <c r="B33" s="72">
        <v>1</v>
      </c>
      <c r="C33" s="69" t="s">
        <v>948</v>
      </c>
      <c r="D33" s="69" t="s">
        <v>949</v>
      </c>
      <c r="E33" s="70">
        <v>1E-4</v>
      </c>
      <c r="F33" s="78">
        <v>21</v>
      </c>
      <c r="G33" s="232"/>
      <c r="H33" s="76" t="s">
        <v>859</v>
      </c>
      <c r="I33" s="232"/>
      <c r="J33" s="232"/>
      <c r="K33" s="232"/>
      <c r="L33" s="232"/>
      <c r="M33" s="232"/>
      <c r="N33" s="232"/>
      <c r="O33" s="232"/>
      <c r="P33" s="232"/>
      <c r="Q33" s="232"/>
      <c r="R33" s="232"/>
      <c r="S33" s="232"/>
      <c r="T33" s="232"/>
      <c r="U33" s="232"/>
    </row>
    <row r="34" spans="1:21" ht="15.5">
      <c r="A34" s="232"/>
      <c r="B34" s="72">
        <v>2</v>
      </c>
      <c r="C34" s="69" t="s">
        <v>948</v>
      </c>
      <c r="D34" s="69" t="s">
        <v>949</v>
      </c>
      <c r="E34" s="70">
        <v>1.0000000000000001E-5</v>
      </c>
      <c r="F34" s="78">
        <v>23.2</v>
      </c>
      <c r="G34" s="232"/>
      <c r="H34" s="232"/>
      <c r="I34" s="232"/>
      <c r="J34" s="232"/>
      <c r="K34" s="232"/>
      <c r="L34" s="232"/>
      <c r="M34" s="232"/>
      <c r="N34" s="232"/>
      <c r="O34" s="232"/>
      <c r="P34" s="232"/>
      <c r="Q34" s="232"/>
      <c r="R34" s="232"/>
      <c r="S34" s="232"/>
      <c r="T34" s="232"/>
      <c r="U34" s="232"/>
    </row>
    <row r="35" spans="1:21" ht="15.5">
      <c r="A35" s="232"/>
      <c r="B35" s="72">
        <v>3</v>
      </c>
      <c r="C35" s="69" t="s">
        <v>950</v>
      </c>
      <c r="D35" s="69" t="s">
        <v>949</v>
      </c>
      <c r="E35" s="70">
        <v>1E-4</v>
      </c>
      <c r="F35" s="78">
        <v>16.7</v>
      </c>
      <c r="G35" s="232"/>
      <c r="H35" s="232"/>
      <c r="I35" s="232"/>
      <c r="J35" s="232"/>
      <c r="K35" s="232"/>
      <c r="L35" s="232"/>
      <c r="M35" s="232"/>
      <c r="N35" s="232"/>
      <c r="O35" s="232"/>
      <c r="P35" s="232"/>
      <c r="Q35" s="232"/>
      <c r="R35" s="232"/>
      <c r="S35" s="232"/>
      <c r="T35" s="232"/>
      <c r="U35" s="232"/>
    </row>
    <row r="36" spans="1:21" ht="15.5">
      <c r="A36" s="232"/>
      <c r="B36" s="72">
        <v>4</v>
      </c>
      <c r="C36" s="69" t="s">
        <v>950</v>
      </c>
      <c r="D36" s="69" t="s">
        <v>949</v>
      </c>
      <c r="E36" s="70">
        <v>1.0000000000000001E-5</v>
      </c>
      <c r="F36" s="78">
        <v>18</v>
      </c>
      <c r="G36" s="232"/>
      <c r="H36" s="232"/>
      <c r="I36" s="232"/>
      <c r="J36" s="232"/>
      <c r="K36" s="232"/>
      <c r="L36" s="232"/>
      <c r="M36" s="232"/>
      <c r="N36" s="232"/>
      <c r="O36" s="232"/>
      <c r="P36" s="232"/>
      <c r="Q36" s="232"/>
      <c r="R36" s="232"/>
      <c r="S36" s="232"/>
      <c r="T36" s="232"/>
      <c r="U36" s="232"/>
    </row>
    <row r="37" spans="1:21" ht="15.5">
      <c r="A37" s="232"/>
      <c r="B37" s="72">
        <v>5</v>
      </c>
      <c r="C37" s="69" t="s">
        <v>951</v>
      </c>
      <c r="D37" s="69" t="s">
        <v>949</v>
      </c>
      <c r="E37" s="70">
        <v>1E-4</v>
      </c>
      <c r="F37" s="78">
        <v>13.4</v>
      </c>
      <c r="G37" s="232"/>
      <c r="H37" s="232"/>
      <c r="I37" s="232"/>
      <c r="J37" s="232"/>
      <c r="K37" s="232"/>
      <c r="L37" s="232"/>
      <c r="M37" s="232"/>
      <c r="N37" s="232"/>
      <c r="O37" s="232"/>
      <c r="P37" s="232"/>
      <c r="Q37" s="232"/>
      <c r="R37" s="232"/>
      <c r="S37" s="232"/>
      <c r="T37" s="232"/>
      <c r="U37" s="232"/>
    </row>
    <row r="38" spans="1:21" ht="15.5">
      <c r="A38" s="232"/>
      <c r="B38" s="72">
        <v>6</v>
      </c>
      <c r="C38" s="69" t="s">
        <v>951</v>
      </c>
      <c r="D38" s="69" t="s">
        <v>949</v>
      </c>
      <c r="E38" s="70">
        <v>1.0000000000000001E-5</v>
      </c>
      <c r="F38" s="78">
        <v>13.8</v>
      </c>
      <c r="G38" s="232"/>
      <c r="H38" s="232"/>
      <c r="I38" s="232"/>
      <c r="J38" s="232"/>
      <c r="K38" s="232"/>
      <c r="L38" s="232"/>
      <c r="M38" s="232"/>
      <c r="N38" s="232"/>
      <c r="O38" s="232"/>
      <c r="P38" s="232"/>
      <c r="Q38" s="232"/>
      <c r="R38" s="232"/>
      <c r="S38" s="232"/>
      <c r="T38" s="232"/>
      <c r="U38" s="232"/>
    </row>
    <row r="39" spans="1:21" ht="15.5">
      <c r="A39" s="232"/>
      <c r="B39" s="72">
        <v>7</v>
      </c>
      <c r="C39" s="69" t="s">
        <v>952</v>
      </c>
      <c r="D39" s="69" t="s">
        <v>949</v>
      </c>
      <c r="E39" s="70">
        <v>1E-4</v>
      </c>
      <c r="F39" s="78">
        <v>10.5</v>
      </c>
      <c r="G39" s="232"/>
      <c r="H39" s="232"/>
      <c r="I39" s="232"/>
      <c r="J39" s="232"/>
      <c r="K39" s="232"/>
      <c r="L39" s="232"/>
      <c r="M39" s="232"/>
      <c r="N39" s="232"/>
      <c r="O39" s="232"/>
      <c r="P39" s="232"/>
      <c r="Q39" s="232"/>
      <c r="R39" s="232"/>
      <c r="S39" s="232"/>
      <c r="T39" s="232"/>
      <c r="U39" s="232"/>
    </row>
    <row r="40" spans="1:21" ht="15.5">
      <c r="A40" s="232"/>
      <c r="B40" s="72">
        <v>8</v>
      </c>
      <c r="C40" s="69" t="s">
        <v>952</v>
      </c>
      <c r="D40" s="69" t="s">
        <v>949</v>
      </c>
      <c r="E40" s="70">
        <v>1.0000000000000001E-5</v>
      </c>
      <c r="F40" s="78">
        <v>11.9</v>
      </c>
      <c r="G40" s="232"/>
      <c r="H40" s="232"/>
      <c r="I40" s="232"/>
      <c r="J40" s="232"/>
      <c r="K40" s="232"/>
      <c r="L40" s="232"/>
      <c r="M40" s="232"/>
      <c r="N40" s="232"/>
      <c r="O40" s="232"/>
      <c r="P40" s="232"/>
      <c r="Q40" s="232"/>
      <c r="R40" s="232"/>
      <c r="S40" s="232"/>
      <c r="T40" s="232"/>
      <c r="U40" s="232"/>
    </row>
    <row r="41" spans="1:21" ht="15.5">
      <c r="A41" s="232"/>
      <c r="B41" s="72">
        <v>9</v>
      </c>
      <c r="C41" s="69" t="s">
        <v>955</v>
      </c>
      <c r="D41" s="69" t="s">
        <v>949</v>
      </c>
      <c r="E41" s="70">
        <v>1E-4</v>
      </c>
      <c r="F41" s="78">
        <v>8.4</v>
      </c>
      <c r="G41" s="232"/>
      <c r="H41" s="232"/>
      <c r="I41" s="232"/>
      <c r="J41" s="232"/>
      <c r="K41" s="232"/>
      <c r="L41" s="232"/>
      <c r="M41" s="232"/>
      <c r="N41" s="232"/>
      <c r="O41" s="232"/>
      <c r="P41" s="232"/>
      <c r="Q41" s="232"/>
      <c r="R41" s="232"/>
      <c r="S41" s="232"/>
      <c r="T41" s="232"/>
      <c r="U41" s="232"/>
    </row>
    <row r="42" spans="1:21" ht="15.5">
      <c r="A42" s="232"/>
      <c r="B42" s="72">
        <v>10</v>
      </c>
      <c r="C42" s="69" t="s">
        <v>955</v>
      </c>
      <c r="D42" s="69" t="s">
        <v>949</v>
      </c>
      <c r="E42" s="70">
        <v>1.0000000000000001E-5</v>
      </c>
      <c r="F42" s="78">
        <v>9.6</v>
      </c>
      <c r="G42" s="232"/>
      <c r="H42" s="232"/>
      <c r="I42" s="232"/>
      <c r="J42" s="232"/>
      <c r="K42" s="232"/>
      <c r="L42" s="232"/>
      <c r="M42" s="232"/>
      <c r="N42" s="232"/>
      <c r="O42" s="232"/>
      <c r="P42" s="232"/>
      <c r="Q42" s="232"/>
      <c r="R42" s="232"/>
      <c r="S42" s="232"/>
      <c r="T42" s="232"/>
      <c r="U42" s="232"/>
    </row>
    <row r="43" spans="1:21" ht="15.5">
      <c r="A43" s="232"/>
      <c r="B43" s="72">
        <v>11</v>
      </c>
      <c r="C43" s="69" t="s">
        <v>953</v>
      </c>
      <c r="D43" s="69" t="s">
        <v>949</v>
      </c>
      <c r="E43" s="70">
        <v>1.0000000000000001E-5</v>
      </c>
      <c r="F43" s="78">
        <v>9.6</v>
      </c>
      <c r="G43" s="232"/>
      <c r="H43" s="232"/>
      <c r="I43" s="232"/>
      <c r="J43" s="232"/>
      <c r="K43" s="232"/>
      <c r="L43" s="232"/>
      <c r="M43" s="232"/>
      <c r="N43" s="232"/>
      <c r="O43" s="232"/>
      <c r="P43" s="232"/>
      <c r="Q43" s="232"/>
      <c r="R43" s="232"/>
      <c r="S43" s="232"/>
      <c r="T43" s="232"/>
      <c r="U43" s="232"/>
    </row>
    <row r="44" spans="1:21" ht="15.5">
      <c r="A44" s="232"/>
      <c r="B44" s="72">
        <v>12</v>
      </c>
      <c r="C44" s="69" t="s">
        <v>953</v>
      </c>
      <c r="D44" s="69" t="s">
        <v>949</v>
      </c>
      <c r="E44" s="70">
        <v>9.9999999999999995E-7</v>
      </c>
      <c r="F44" s="78">
        <v>10.5</v>
      </c>
      <c r="G44" s="232"/>
      <c r="H44" s="232"/>
      <c r="I44" s="232"/>
      <c r="J44" s="232"/>
      <c r="K44" s="232"/>
      <c r="L44" s="232"/>
      <c r="M44" s="232"/>
      <c r="N44" s="232"/>
      <c r="O44" s="232"/>
      <c r="P44" s="232"/>
      <c r="Q44" s="232"/>
      <c r="R44" s="232"/>
      <c r="S44" s="232"/>
      <c r="T44" s="232"/>
      <c r="U44" s="232"/>
    </row>
    <row r="45" spans="1:21" ht="15.5">
      <c r="A45" s="232"/>
      <c r="B45" s="72">
        <v>13</v>
      </c>
      <c r="C45" s="69" t="s">
        <v>954</v>
      </c>
      <c r="D45" s="69" t="s">
        <v>949</v>
      </c>
      <c r="E45" s="70">
        <v>1.0000000000000001E-5</v>
      </c>
      <c r="F45" s="78">
        <v>9.6</v>
      </c>
      <c r="G45" s="232"/>
      <c r="H45" s="232"/>
      <c r="I45" s="232"/>
      <c r="J45" s="232"/>
      <c r="K45" s="232"/>
      <c r="L45" s="232"/>
      <c r="M45" s="232"/>
      <c r="N45" s="232"/>
      <c r="O45" s="232"/>
      <c r="P45" s="232"/>
      <c r="Q45" s="232"/>
      <c r="R45" s="232"/>
      <c r="S45" s="232"/>
      <c r="T45" s="232"/>
      <c r="U45" s="232"/>
    </row>
    <row r="46" spans="1:21" ht="15.5">
      <c r="A46" s="232"/>
      <c r="B46" s="72">
        <v>14</v>
      </c>
      <c r="C46" s="69" t="s">
        <v>954</v>
      </c>
      <c r="D46" s="69" t="s">
        <v>949</v>
      </c>
      <c r="E46" s="70">
        <v>9.9999999999999995E-7</v>
      </c>
      <c r="F46" s="78">
        <v>10.5</v>
      </c>
      <c r="G46" s="232"/>
      <c r="H46" s="232"/>
      <c r="I46" s="232"/>
      <c r="J46" s="232"/>
      <c r="K46" s="232"/>
      <c r="L46" s="232"/>
      <c r="M46" s="232"/>
      <c r="N46" s="232"/>
      <c r="O46" s="232"/>
      <c r="P46" s="232"/>
      <c r="Q46" s="232"/>
      <c r="R46" s="232"/>
      <c r="S46" s="232"/>
      <c r="T46" s="232"/>
      <c r="U46" s="232"/>
    </row>
    <row r="47" spans="1:21" ht="15.5">
      <c r="A47" s="232"/>
      <c r="B47" s="72">
        <v>15</v>
      </c>
      <c r="C47" s="69" t="s">
        <v>953</v>
      </c>
      <c r="D47" s="69" t="s">
        <v>956</v>
      </c>
      <c r="E47" s="70">
        <v>9.9999999999999995E-7</v>
      </c>
      <c r="F47" s="78">
        <v>4.8</v>
      </c>
      <c r="G47" s="232"/>
      <c r="H47" s="232"/>
      <c r="I47" s="232"/>
      <c r="J47" s="232"/>
      <c r="K47" s="232"/>
      <c r="L47" s="232"/>
      <c r="M47" s="232"/>
      <c r="N47" s="232"/>
      <c r="O47" s="232"/>
      <c r="P47" s="232"/>
      <c r="Q47" s="232"/>
      <c r="R47" s="232"/>
      <c r="S47" s="232"/>
      <c r="T47" s="232"/>
      <c r="U47" s="232"/>
    </row>
    <row r="48" spans="1:21" ht="15.5">
      <c r="A48" s="232"/>
      <c r="B48" s="72">
        <v>16</v>
      </c>
      <c r="C48" s="69" t="s">
        <v>953</v>
      </c>
      <c r="D48" s="69" t="s">
        <v>957</v>
      </c>
      <c r="E48" s="70">
        <v>9.9999999999999995E-7</v>
      </c>
      <c r="F48" s="78">
        <v>2.5</v>
      </c>
      <c r="G48" s="232"/>
      <c r="H48" s="232"/>
      <c r="I48" s="232"/>
      <c r="J48" s="232"/>
      <c r="K48" s="232"/>
      <c r="L48" s="232"/>
      <c r="M48" s="232"/>
      <c r="N48" s="232"/>
      <c r="O48" s="232"/>
      <c r="P48" s="232"/>
      <c r="Q48" s="232"/>
      <c r="R48" s="232"/>
      <c r="S48" s="232"/>
      <c r="T48" s="232"/>
      <c r="U48" s="232"/>
    </row>
    <row r="49" spans="1:21" ht="15.5">
      <c r="A49" s="232"/>
      <c r="B49" s="72">
        <v>17</v>
      </c>
      <c r="C49" s="69" t="s">
        <v>953</v>
      </c>
      <c r="D49" s="69" t="s">
        <v>958</v>
      </c>
      <c r="E49" s="70">
        <v>9.9999999999999995E-8</v>
      </c>
      <c r="F49" s="78">
        <v>0.8</v>
      </c>
      <c r="G49" s="232"/>
      <c r="H49" s="232"/>
      <c r="I49" s="232"/>
      <c r="J49" s="232"/>
      <c r="K49" s="232"/>
      <c r="L49" s="232"/>
      <c r="M49" s="232"/>
      <c r="N49" s="232"/>
      <c r="O49" s="232"/>
      <c r="P49" s="232"/>
      <c r="Q49" s="232"/>
      <c r="R49" s="232"/>
      <c r="S49" s="232"/>
      <c r="T49" s="232"/>
      <c r="U49" s="232"/>
    </row>
    <row r="50" spans="1:21" ht="15.5">
      <c r="A50" s="232"/>
      <c r="B50" s="72">
        <v>18</v>
      </c>
      <c r="C50" s="69" t="s">
        <v>953</v>
      </c>
      <c r="D50" s="69" t="s">
        <v>640</v>
      </c>
      <c r="E50" s="70">
        <v>9.9999999999999995E-7</v>
      </c>
      <c r="F50" s="720">
        <v>0.75</v>
      </c>
      <c r="G50" s="232"/>
      <c r="H50" s="232"/>
      <c r="I50" s="232"/>
      <c r="J50" s="232"/>
      <c r="K50" s="232"/>
      <c r="L50" s="232"/>
      <c r="M50" s="232"/>
      <c r="N50" s="232"/>
      <c r="O50" s="232"/>
      <c r="P50" s="232"/>
      <c r="Q50" s="232"/>
      <c r="R50" s="232"/>
      <c r="S50" s="232"/>
      <c r="T50" s="232"/>
      <c r="U50" s="232"/>
    </row>
    <row r="51" spans="1:21" ht="15.5">
      <c r="A51" s="232"/>
      <c r="B51" s="72">
        <v>19</v>
      </c>
      <c r="C51" s="71" t="s">
        <v>959</v>
      </c>
      <c r="D51" s="71" t="s">
        <v>949</v>
      </c>
      <c r="E51" s="80">
        <v>1.0000000000000001E-5</v>
      </c>
      <c r="F51" s="79">
        <v>9.6</v>
      </c>
      <c r="G51" s="232"/>
      <c r="H51" s="232"/>
      <c r="I51" s="232"/>
      <c r="J51" s="232"/>
      <c r="K51" s="232"/>
      <c r="L51" s="232"/>
      <c r="M51" s="232"/>
      <c r="N51" s="232"/>
      <c r="O51" s="232"/>
      <c r="P51" s="232"/>
      <c r="Q51" s="232"/>
      <c r="R51" s="232"/>
      <c r="S51" s="232"/>
      <c r="T51" s="232"/>
      <c r="U51" s="232"/>
    </row>
    <row r="52" spans="1:21" ht="13" thickBot="1">
      <c r="A52" s="232"/>
      <c r="B52" s="232"/>
      <c r="C52" s="232"/>
      <c r="D52" s="245" t="s">
        <v>358</v>
      </c>
      <c r="E52" s="232"/>
      <c r="F52" s="244"/>
      <c r="G52" s="232"/>
      <c r="H52" s="232"/>
      <c r="I52" s="232"/>
      <c r="J52" s="232"/>
      <c r="K52" s="232"/>
      <c r="L52" s="232"/>
      <c r="M52" s="232"/>
      <c r="N52" s="232"/>
      <c r="O52" s="232"/>
      <c r="P52" s="232"/>
      <c r="Q52" s="232"/>
      <c r="R52" s="232"/>
      <c r="S52" s="232"/>
      <c r="T52" s="232"/>
      <c r="U52" s="232"/>
    </row>
    <row r="53" spans="1:21" ht="16" thickBot="1">
      <c r="A53" s="232"/>
      <c r="B53" s="232"/>
      <c r="C53" s="232"/>
      <c r="D53" s="708" t="s">
        <v>961</v>
      </c>
      <c r="E53" s="709">
        <v>1</v>
      </c>
      <c r="F53" s="73" t="s">
        <v>859</v>
      </c>
      <c r="G53" s="232"/>
      <c r="H53" s="232"/>
      <c r="I53" s="232"/>
      <c r="J53" s="232"/>
      <c r="K53" s="232"/>
      <c r="L53" s="232"/>
      <c r="M53" s="232"/>
      <c r="N53" s="232"/>
      <c r="O53" s="232"/>
      <c r="P53" s="232"/>
      <c r="Q53" s="232"/>
      <c r="R53" s="232"/>
      <c r="S53" s="232"/>
      <c r="T53" s="232"/>
      <c r="U53" s="232"/>
    </row>
    <row r="54" spans="1:21">
      <c r="A54" s="232"/>
      <c r="B54" s="345" t="s">
        <v>140</v>
      </c>
      <c r="C54" s="232"/>
      <c r="D54" s="232"/>
      <c r="E54" s="232"/>
      <c r="F54" s="232"/>
      <c r="G54" s="232"/>
      <c r="H54" s="232"/>
      <c r="I54" s="232"/>
      <c r="J54" s="232"/>
      <c r="K54" s="232"/>
      <c r="L54" s="232"/>
      <c r="M54" s="232"/>
      <c r="N54" s="232"/>
      <c r="O54" s="232"/>
      <c r="P54" s="232"/>
      <c r="Q54" s="232"/>
      <c r="R54" s="232"/>
      <c r="S54" s="232"/>
      <c r="T54" s="232"/>
      <c r="U54" s="232"/>
    </row>
    <row r="55" spans="1:21">
      <c r="A55" s="232"/>
      <c r="B55" s="232"/>
      <c r="C55" s="232"/>
      <c r="D55" s="232"/>
      <c r="E55" s="232"/>
      <c r="F55" s="232"/>
      <c r="G55" s="232"/>
      <c r="H55" s="232"/>
      <c r="I55" s="232"/>
      <c r="J55" s="232"/>
      <c r="K55" s="232"/>
      <c r="L55" s="232"/>
      <c r="M55" s="232"/>
      <c r="N55" s="232"/>
      <c r="O55" s="232"/>
      <c r="P55" s="232"/>
      <c r="Q55" s="232"/>
      <c r="R55" s="232"/>
      <c r="S55" s="232"/>
      <c r="T55" s="232"/>
      <c r="U55" s="232"/>
    </row>
    <row r="56" spans="1:21">
      <c r="A56" s="232"/>
      <c r="B56" s="232"/>
      <c r="C56" s="232"/>
      <c r="D56" s="232"/>
      <c r="E56" s="232"/>
      <c r="F56" s="232"/>
      <c r="G56" s="232"/>
      <c r="H56" s="232"/>
      <c r="I56" s="232"/>
      <c r="J56" s="232"/>
      <c r="K56" s="232"/>
      <c r="L56" s="232"/>
      <c r="M56" s="232"/>
      <c r="N56" s="232"/>
      <c r="O56" s="232"/>
      <c r="P56" s="232"/>
      <c r="Q56" s="232"/>
      <c r="R56" s="232"/>
      <c r="S56" s="232"/>
      <c r="T56" s="232"/>
      <c r="U56" s="232"/>
    </row>
    <row r="57" spans="1:21">
      <c r="A57" s="232"/>
      <c r="B57" s="232"/>
      <c r="C57" s="232"/>
      <c r="D57" s="232"/>
      <c r="E57" s="232"/>
      <c r="F57" s="232"/>
      <c r="G57" s="232"/>
      <c r="H57" s="232"/>
      <c r="I57" s="232"/>
      <c r="J57" s="232"/>
      <c r="K57" s="232"/>
      <c r="L57" s="232"/>
      <c r="M57" s="232"/>
      <c r="N57" s="232"/>
      <c r="O57" s="232"/>
      <c r="P57" s="232"/>
      <c r="Q57" s="232"/>
      <c r="R57" s="232"/>
      <c r="S57" s="232"/>
      <c r="T57" s="232"/>
      <c r="U57" s="232"/>
    </row>
    <row r="58" spans="1:21">
      <c r="A58" s="232"/>
      <c r="B58" s="232"/>
      <c r="C58" s="232"/>
      <c r="D58" s="232"/>
      <c r="E58" s="232"/>
      <c r="F58" s="232"/>
      <c r="G58" s="232"/>
      <c r="H58" s="232"/>
      <c r="I58" s="232"/>
      <c r="J58" s="232"/>
      <c r="K58" s="232"/>
      <c r="L58" s="232"/>
      <c r="M58" s="232"/>
      <c r="N58" s="232"/>
      <c r="O58" s="232"/>
      <c r="P58" s="232"/>
      <c r="Q58" s="232"/>
      <c r="R58" s="232"/>
      <c r="S58" s="232"/>
      <c r="T58" s="232"/>
      <c r="U58" s="232"/>
    </row>
    <row r="59" spans="1:21">
      <c r="A59" s="232"/>
      <c r="B59" s="232"/>
      <c r="C59" s="232"/>
      <c r="D59" s="232"/>
      <c r="E59" s="232"/>
      <c r="F59" s="232"/>
      <c r="G59" s="232"/>
      <c r="H59" s="232"/>
      <c r="I59" s="232"/>
      <c r="J59" s="232"/>
      <c r="K59" s="232"/>
      <c r="L59" s="232"/>
      <c r="M59" s="232"/>
      <c r="N59" s="232"/>
      <c r="O59" s="232"/>
      <c r="P59" s="232"/>
      <c r="Q59" s="232"/>
      <c r="R59" s="232"/>
      <c r="S59" s="232"/>
      <c r="T59" s="232"/>
      <c r="U59" s="232"/>
    </row>
    <row r="60" spans="1:21">
      <c r="A60" s="232"/>
      <c r="B60" s="232"/>
      <c r="C60" s="232"/>
      <c r="D60" s="232"/>
      <c r="E60" s="232"/>
      <c r="F60" s="232"/>
      <c r="G60" s="232"/>
      <c r="H60" s="232"/>
      <c r="I60" s="232"/>
      <c r="J60" s="232"/>
      <c r="K60" s="232"/>
      <c r="L60" s="232"/>
      <c r="M60" s="232"/>
      <c r="N60" s="232"/>
      <c r="O60" s="232"/>
      <c r="P60" s="232"/>
      <c r="Q60" s="232"/>
      <c r="R60" s="232"/>
      <c r="S60" s="232"/>
      <c r="T60" s="232"/>
      <c r="U60" s="232"/>
    </row>
    <row r="61" spans="1:21">
      <c r="A61" s="232"/>
      <c r="B61" s="232"/>
      <c r="C61" s="232"/>
      <c r="D61" s="232" t="s">
        <v>817</v>
      </c>
      <c r="E61" s="232"/>
      <c r="F61" s="232"/>
      <c r="G61" s="232"/>
      <c r="H61" s="232"/>
      <c r="I61" s="232"/>
      <c r="J61" s="232"/>
      <c r="K61" s="232"/>
      <c r="L61" s="232"/>
      <c r="M61" s="232"/>
      <c r="N61" s="232"/>
      <c r="O61" s="232"/>
      <c r="P61" s="232"/>
      <c r="Q61" s="232"/>
      <c r="R61" s="232"/>
      <c r="S61" s="232"/>
      <c r="T61" s="232"/>
      <c r="U61" s="232"/>
    </row>
    <row r="62" spans="1:21">
      <c r="A62" s="232"/>
      <c r="B62" s="232"/>
      <c r="C62" s="232"/>
      <c r="D62" s="232"/>
      <c r="E62" s="232"/>
      <c r="F62" s="232"/>
      <c r="G62" s="232"/>
      <c r="H62" s="232"/>
      <c r="I62" s="232"/>
      <c r="J62" s="232"/>
      <c r="K62" s="232"/>
      <c r="L62" s="232"/>
      <c r="M62" s="232"/>
      <c r="N62" s="232"/>
      <c r="O62" s="232"/>
      <c r="P62" s="232"/>
      <c r="Q62" s="232"/>
      <c r="R62" s="232"/>
      <c r="S62" s="232"/>
      <c r="T62" s="232"/>
      <c r="U62" s="232"/>
    </row>
    <row r="63" spans="1:21">
      <c r="A63" s="232"/>
      <c r="B63" s="232"/>
      <c r="C63" s="232"/>
      <c r="D63" s="232"/>
      <c r="E63" s="232"/>
      <c r="F63" s="232"/>
      <c r="G63" s="232"/>
      <c r="H63" s="232"/>
      <c r="I63" s="232"/>
      <c r="J63" s="232"/>
      <c r="K63" s="232"/>
      <c r="L63" s="232"/>
      <c r="M63" s="232"/>
      <c r="N63" s="232"/>
      <c r="O63" s="232"/>
      <c r="P63" s="232"/>
      <c r="Q63" s="232"/>
      <c r="R63" s="232"/>
      <c r="S63" s="232"/>
      <c r="T63" s="232"/>
      <c r="U63" s="232"/>
    </row>
    <row r="64" spans="1:21">
      <c r="A64" s="232"/>
      <c r="B64" s="232"/>
      <c r="C64" s="232"/>
      <c r="D64" s="232"/>
      <c r="E64" s="232"/>
      <c r="F64" s="232"/>
      <c r="G64" s="232"/>
      <c r="H64" s="232"/>
      <c r="I64" s="232"/>
      <c r="J64" s="232"/>
      <c r="K64" s="232"/>
      <c r="L64" s="232"/>
      <c r="M64" s="232"/>
      <c r="N64" s="232"/>
      <c r="O64" s="232"/>
      <c r="P64" s="232"/>
      <c r="Q64" s="232"/>
      <c r="R64" s="232"/>
      <c r="S64" s="232"/>
      <c r="T64" s="232"/>
      <c r="U64" s="232"/>
    </row>
    <row r="65" spans="1:21">
      <c r="A65" s="232"/>
      <c r="B65" s="232"/>
      <c r="C65" s="232"/>
      <c r="D65" s="232"/>
      <c r="E65" s="232"/>
      <c r="F65" s="232"/>
      <c r="G65" s="232"/>
      <c r="H65" s="232"/>
      <c r="I65" s="232"/>
      <c r="J65" s="232"/>
      <c r="K65" s="232"/>
      <c r="L65" s="232"/>
      <c r="M65" s="232"/>
      <c r="N65" s="232"/>
      <c r="O65" s="232"/>
      <c r="P65" s="232"/>
      <c r="Q65" s="232"/>
      <c r="R65" s="232"/>
      <c r="S65" s="232"/>
      <c r="T65" s="232"/>
      <c r="U65" s="232"/>
    </row>
    <row r="66" spans="1:21">
      <c r="A66" s="232"/>
      <c r="B66" s="232"/>
      <c r="C66" s="232"/>
      <c r="D66" s="232"/>
      <c r="E66" s="232"/>
      <c r="F66" s="232"/>
      <c r="G66" s="232"/>
      <c r="H66" s="232"/>
      <c r="I66" s="232"/>
      <c r="J66" s="232"/>
      <c r="K66" s="232"/>
      <c r="L66" s="232"/>
      <c r="M66" s="232"/>
      <c r="N66" s="232"/>
      <c r="O66" s="232"/>
      <c r="P66" s="232"/>
      <c r="Q66" s="232"/>
      <c r="R66" s="232"/>
      <c r="S66" s="232"/>
      <c r="T66" s="232"/>
      <c r="U66" s="232"/>
    </row>
    <row r="67" spans="1:21">
      <c r="A67" s="232"/>
      <c r="B67" s="232"/>
      <c r="C67" s="232"/>
      <c r="D67" s="232"/>
      <c r="E67" s="232"/>
      <c r="F67" s="232"/>
      <c r="G67" s="232"/>
      <c r="H67" s="232"/>
    </row>
    <row r="68" spans="1:21">
      <c r="A68" s="232"/>
      <c r="B68" s="232"/>
      <c r="C68" s="232"/>
      <c r="D68" s="232"/>
      <c r="E68" s="232"/>
      <c r="F68" s="232"/>
      <c r="G68" s="232"/>
      <c r="H68" s="232"/>
    </row>
    <row r="69" spans="1:21">
      <c r="A69" s="232"/>
      <c r="B69" s="232"/>
      <c r="C69" s="232"/>
      <c r="D69" s="232"/>
      <c r="E69" s="232"/>
      <c r="F69" s="232"/>
      <c r="G69" s="232"/>
      <c r="H69" s="232"/>
    </row>
    <row r="70" spans="1:21">
      <c r="A70" s="232"/>
      <c r="B70" s="232"/>
      <c r="C70" s="232"/>
      <c r="D70" s="232"/>
      <c r="E70" s="232"/>
      <c r="F70" s="232"/>
      <c r="G70" s="232"/>
      <c r="H70" s="232"/>
    </row>
    <row r="71" spans="1:21">
      <c r="A71" s="232"/>
      <c r="B71" s="232"/>
      <c r="C71" s="232"/>
      <c r="D71" s="232"/>
      <c r="E71" s="232"/>
      <c r="F71" s="232"/>
      <c r="G71" s="232"/>
      <c r="H71" s="232"/>
    </row>
    <row r="72" spans="1:21">
      <c r="A72" s="232"/>
      <c r="B72" s="232"/>
      <c r="C72" s="232"/>
      <c r="D72" s="232"/>
      <c r="E72" s="232"/>
      <c r="F72" s="232"/>
      <c r="G72" s="232"/>
      <c r="H72" s="232"/>
    </row>
    <row r="73" spans="1:21">
      <c r="A73" s="232"/>
      <c r="B73" s="232"/>
      <c r="C73" s="232"/>
      <c r="D73" s="232"/>
      <c r="E73" s="232"/>
      <c r="F73" s="232"/>
      <c r="G73" s="232"/>
      <c r="H73" s="232"/>
    </row>
    <row r="74" spans="1:21">
      <c r="A74" s="232"/>
      <c r="B74" s="232"/>
      <c r="C74" s="232"/>
      <c r="D74" s="232"/>
      <c r="E74" s="232"/>
      <c r="F74" s="232"/>
      <c r="G74" s="232"/>
      <c r="H74" s="232"/>
    </row>
    <row r="75" spans="1:21">
      <c r="A75" s="232"/>
      <c r="B75" s="232"/>
      <c r="C75" s="232"/>
      <c r="D75" s="232"/>
      <c r="E75" s="232"/>
      <c r="F75" s="232"/>
      <c r="G75" s="232"/>
      <c r="H75" s="232"/>
    </row>
    <row r="76" spans="1:21">
      <c r="A76" s="232"/>
      <c r="B76" s="232"/>
      <c r="C76" s="232"/>
      <c r="D76" s="232"/>
      <c r="E76" s="232"/>
      <c r="F76" s="232"/>
      <c r="G76" s="232"/>
      <c r="H76" s="232"/>
    </row>
    <row r="77" spans="1:21">
      <c r="A77" s="232"/>
      <c r="B77" s="232"/>
      <c r="C77" s="232"/>
      <c r="D77" s="232"/>
      <c r="E77" s="232"/>
      <c r="F77" s="232"/>
      <c r="G77" s="232"/>
      <c r="H77" s="232"/>
    </row>
    <row r="78" spans="1:21">
      <c r="A78" s="232"/>
      <c r="B78" s="232"/>
      <c r="C78" s="232"/>
      <c r="D78" s="232"/>
      <c r="E78" s="232"/>
      <c r="F78" s="232"/>
      <c r="G78" s="232"/>
      <c r="H78" s="232"/>
    </row>
    <row r="79" spans="1:21">
      <c r="A79" s="232"/>
      <c r="B79" s="232"/>
      <c r="C79" s="232"/>
      <c r="D79" s="232"/>
      <c r="E79" s="232"/>
      <c r="F79" s="232"/>
      <c r="G79" s="232"/>
      <c r="H79" s="232"/>
    </row>
    <row r="80" spans="1:21">
      <c r="A80" s="232"/>
      <c r="B80" s="232"/>
      <c r="C80" s="232"/>
      <c r="D80" s="232"/>
      <c r="E80" s="232"/>
      <c r="F80" s="232"/>
      <c r="G80" s="232"/>
      <c r="H80" s="232"/>
    </row>
    <row r="81" spans="1:8">
      <c r="A81" s="232"/>
      <c r="B81" s="232"/>
      <c r="C81" s="232"/>
      <c r="D81" s="232"/>
      <c r="E81" s="232"/>
      <c r="F81" s="232"/>
      <c r="G81" s="232"/>
      <c r="H81" s="232"/>
    </row>
    <row r="82" spans="1:8">
      <c r="A82" s="232"/>
      <c r="B82" s="232"/>
      <c r="C82" s="232"/>
      <c r="D82" s="232"/>
      <c r="E82" s="232"/>
      <c r="F82" s="232"/>
      <c r="G82" s="232"/>
      <c r="H82" s="232"/>
    </row>
    <row r="83" spans="1:8">
      <c r="A83" s="232"/>
      <c r="B83" s="232"/>
      <c r="C83" s="232"/>
      <c r="D83" s="232"/>
      <c r="E83" s="232"/>
      <c r="F83" s="232"/>
      <c r="G83" s="232"/>
      <c r="H83" s="232"/>
    </row>
    <row r="84" spans="1:8">
      <c r="A84" s="232"/>
      <c r="B84" s="232"/>
      <c r="C84" s="232"/>
      <c r="D84" s="232"/>
      <c r="E84" s="232"/>
      <c r="F84" s="232"/>
      <c r="G84" s="232"/>
      <c r="H84" s="232"/>
    </row>
    <row r="85" spans="1:8">
      <c r="A85" s="232"/>
      <c r="B85" s="232"/>
      <c r="C85" s="232"/>
      <c r="D85" s="232"/>
      <c r="E85" s="232"/>
      <c r="F85" s="232"/>
      <c r="G85" s="232"/>
      <c r="H85" s="232"/>
    </row>
    <row r="86" spans="1:8">
      <c r="A86" s="232"/>
      <c r="B86" s="232"/>
      <c r="C86" s="232"/>
      <c r="D86" s="232"/>
      <c r="E86" s="232"/>
      <c r="F86" s="232"/>
      <c r="G86" s="232"/>
      <c r="H86" s="232"/>
    </row>
    <row r="87" spans="1:8">
      <c r="A87" s="232"/>
      <c r="B87" s="232"/>
      <c r="C87" s="232"/>
      <c r="D87" s="232"/>
      <c r="E87" s="232"/>
      <c r="F87" s="232"/>
      <c r="G87" s="232"/>
      <c r="H87" s="232"/>
    </row>
    <row r="88" spans="1:8">
      <c r="A88" s="232"/>
      <c r="B88" s="232"/>
      <c r="C88" s="232"/>
      <c r="D88" s="232"/>
      <c r="E88" s="232"/>
      <c r="F88" s="232"/>
      <c r="G88" s="232"/>
      <c r="H88" s="232"/>
    </row>
    <row r="89" spans="1:8">
      <c r="A89" s="232"/>
      <c r="B89" s="232"/>
      <c r="C89" s="232"/>
      <c r="D89" s="232"/>
      <c r="E89" s="232"/>
      <c r="F89" s="232"/>
      <c r="G89" s="232"/>
      <c r="H89" s="232"/>
    </row>
    <row r="90" spans="1:8">
      <c r="A90" s="232"/>
      <c r="B90" s="232"/>
      <c r="C90" s="232"/>
      <c r="D90" s="232"/>
      <c r="E90" s="232"/>
      <c r="F90" s="232"/>
      <c r="G90" s="232"/>
      <c r="H90" s="232"/>
    </row>
    <row r="91" spans="1:8">
      <c r="A91" s="232"/>
      <c r="B91" s="232"/>
      <c r="C91" s="232"/>
      <c r="D91" s="232"/>
      <c r="E91" s="232"/>
      <c r="F91" s="232"/>
      <c r="G91" s="232"/>
      <c r="H91" s="232"/>
    </row>
    <row r="92" spans="1:8">
      <c r="A92" s="232"/>
      <c r="B92" s="232"/>
      <c r="C92" s="232"/>
      <c r="D92" s="232"/>
      <c r="E92" s="232"/>
      <c r="F92" s="232"/>
      <c r="G92" s="232"/>
      <c r="H92" s="232"/>
    </row>
    <row r="93" spans="1:8">
      <c r="A93" s="232"/>
      <c r="B93" s="232"/>
      <c r="C93" s="232"/>
      <c r="D93" s="232"/>
      <c r="E93" s="232"/>
      <c r="F93" s="232"/>
      <c r="G93" s="232"/>
      <c r="H93" s="232"/>
    </row>
    <row r="94" spans="1:8">
      <c r="A94" s="232"/>
      <c r="B94" s="232"/>
      <c r="C94" s="232"/>
      <c r="D94" s="232"/>
      <c r="E94" s="232"/>
      <c r="F94" s="232"/>
      <c r="G94" s="232"/>
      <c r="H94" s="232"/>
    </row>
    <row r="95" spans="1:8">
      <c r="A95" s="232"/>
      <c r="B95" s="232"/>
      <c r="C95" s="232"/>
      <c r="D95" s="232"/>
      <c r="E95" s="232"/>
      <c r="F95" s="232"/>
      <c r="G95" s="232"/>
      <c r="H95" s="232"/>
    </row>
    <row r="96" spans="1:8">
      <c r="A96" s="232"/>
      <c r="B96" s="232"/>
      <c r="C96" s="232"/>
      <c r="D96" s="232"/>
      <c r="E96" s="232"/>
      <c r="F96" s="232"/>
      <c r="G96" s="232"/>
      <c r="H96" s="232"/>
    </row>
    <row r="97" spans="1:8">
      <c r="A97" s="232"/>
      <c r="B97" s="232"/>
      <c r="C97" s="232"/>
      <c r="D97" s="232"/>
      <c r="E97" s="232"/>
      <c r="F97" s="232"/>
      <c r="G97" s="232"/>
      <c r="H97" s="232"/>
    </row>
    <row r="98" spans="1:8">
      <c r="A98" s="232"/>
      <c r="B98" s="232"/>
      <c r="C98" s="232"/>
      <c r="D98" s="232"/>
      <c r="E98" s="232"/>
      <c r="F98" s="232"/>
      <c r="G98" s="232"/>
      <c r="H98" s="232"/>
    </row>
    <row r="99" spans="1:8">
      <c r="A99" s="232"/>
      <c r="B99" s="232"/>
      <c r="C99" s="232"/>
      <c r="D99" s="232"/>
      <c r="E99" s="232"/>
      <c r="F99" s="232"/>
      <c r="G99" s="232"/>
      <c r="H99" s="232"/>
    </row>
    <row r="100" spans="1:8">
      <c r="A100" s="232"/>
      <c r="B100" s="232"/>
      <c r="C100" s="232"/>
      <c r="D100" s="232"/>
      <c r="E100" s="232"/>
      <c r="F100" s="232"/>
      <c r="G100" s="232"/>
      <c r="H100" s="232"/>
    </row>
    <row r="101" spans="1:8">
      <c r="A101" s="232"/>
      <c r="B101" s="232"/>
      <c r="C101" s="232"/>
      <c r="D101" s="232"/>
      <c r="E101" s="232"/>
      <c r="F101" s="232"/>
      <c r="G101" s="232"/>
      <c r="H101" s="232"/>
    </row>
    <row r="102" spans="1:8">
      <c r="A102" s="232"/>
      <c r="B102" s="232"/>
      <c r="C102" s="232"/>
      <c r="D102" s="232"/>
      <c r="E102" s="232"/>
      <c r="F102" s="232"/>
      <c r="G102" s="232"/>
      <c r="H102" s="232"/>
    </row>
    <row r="103" spans="1:8">
      <c r="A103" s="232"/>
      <c r="B103" s="232"/>
      <c r="C103" s="232"/>
      <c r="D103" s="232"/>
      <c r="E103" s="232"/>
      <c r="F103" s="232"/>
      <c r="G103" s="232"/>
      <c r="H103" s="232"/>
    </row>
    <row r="104" spans="1:8">
      <c r="A104" s="232"/>
      <c r="B104" s="232"/>
      <c r="C104" s="232"/>
      <c r="D104" s="232"/>
      <c r="E104" s="232"/>
      <c r="F104" s="232"/>
      <c r="G104" s="232"/>
      <c r="H104" s="232"/>
    </row>
    <row r="105" spans="1:8">
      <c r="A105" s="232"/>
      <c r="B105" s="232"/>
      <c r="C105" s="232"/>
      <c r="D105" s="232"/>
      <c r="E105" s="232"/>
      <c r="F105" s="232"/>
      <c r="G105" s="232"/>
      <c r="H105" s="232"/>
    </row>
    <row r="106" spans="1:8">
      <c r="A106" s="232"/>
      <c r="B106" s="232"/>
      <c r="C106" s="232"/>
      <c r="D106" s="232"/>
      <c r="E106" s="232"/>
      <c r="F106" s="232"/>
      <c r="G106" s="232"/>
      <c r="H106" s="232"/>
    </row>
    <row r="107" spans="1:8">
      <c r="A107" s="232"/>
      <c r="B107" s="232"/>
      <c r="C107" s="232"/>
      <c r="D107" s="232"/>
      <c r="E107" s="232"/>
      <c r="F107" s="232"/>
      <c r="G107" s="232"/>
      <c r="H107" s="232"/>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Normal="100" workbookViewId="0">
      <selection activeCell="B43" sqref="B43"/>
    </sheetView>
  </sheetViews>
  <sheetFormatPr defaultColWidth="8.81640625" defaultRowHeight="12.5" outlineLevelRow="1" outlineLevelCol="1"/>
  <cols>
    <col min="1" max="1" width="41.36328125" customWidth="1"/>
    <col min="2" max="2" width="15" customWidth="1"/>
    <col min="4" max="4" width="19.36328125" customWidth="1" outlineLevel="1"/>
    <col min="5" max="7" width="9.1796875" customWidth="1" outlineLevel="1"/>
    <col min="8" max="8" width="12" customWidth="1" outlineLevel="1"/>
    <col min="9" max="9" width="38.1796875" customWidth="1" outlineLevel="1"/>
    <col min="10" max="10" width="38" customWidth="1"/>
  </cols>
  <sheetData>
    <row r="1" spans="1:18" ht="18">
      <c r="A1" s="45" t="str">
        <f>'Title Page'!F3</f>
        <v>OreSat - CS0 (DxWiFi)</v>
      </c>
      <c r="B1" s="753" t="s">
        <v>140</v>
      </c>
      <c r="C1" s="46"/>
      <c r="D1" s="687" t="str">
        <f>'Title Page'!F3</f>
        <v>OreSat - CS0 (DxWiFi)</v>
      </c>
      <c r="E1" s="60" t="s">
        <v>817</v>
      </c>
      <c r="F1" s="60" t="s">
        <v>816</v>
      </c>
      <c r="G1" s="60"/>
      <c r="H1" s="60"/>
      <c r="I1" s="46"/>
      <c r="J1" s="46"/>
      <c r="K1" s="46"/>
      <c r="L1" s="46"/>
      <c r="M1" s="46"/>
      <c r="N1" s="46"/>
      <c r="O1" s="46"/>
      <c r="P1" s="46"/>
      <c r="Q1" s="46"/>
      <c r="R1" s="46"/>
    </row>
    <row r="2" spans="1:18" ht="20">
      <c r="A2" s="47" t="s">
        <v>903</v>
      </c>
      <c r="B2" s="46"/>
      <c r="C2" s="46"/>
      <c r="D2" s="60" t="str">
        <f>'Title Page'!G1</f>
        <v xml:space="preserve"> Version: 2.5.5</v>
      </c>
      <c r="E2" s="60"/>
      <c r="F2" s="60" t="str">
        <f>'Title Page'!F23</f>
        <v>2019 February 1</v>
      </c>
      <c r="G2" s="60"/>
      <c r="H2" s="60"/>
      <c r="I2" s="46"/>
      <c r="J2" s="46"/>
      <c r="K2" s="46"/>
      <c r="L2" s="46"/>
      <c r="M2" s="46"/>
      <c r="N2" s="46"/>
      <c r="O2" s="46"/>
      <c r="P2" s="46"/>
      <c r="Q2" s="46"/>
      <c r="R2" s="46"/>
    </row>
    <row r="3" spans="1:18">
      <c r="A3" s="46"/>
      <c r="B3" s="46"/>
      <c r="C3" s="46"/>
      <c r="D3" s="46"/>
      <c r="E3" s="46"/>
      <c r="F3" s="46"/>
      <c r="G3" s="46"/>
      <c r="H3" s="46"/>
      <c r="I3" s="46"/>
      <c r="J3" s="46"/>
      <c r="K3" s="46"/>
      <c r="L3" s="46"/>
      <c r="M3" s="46"/>
      <c r="N3" s="46"/>
      <c r="O3" s="46"/>
      <c r="P3" s="46"/>
      <c r="Q3" s="46"/>
      <c r="R3" s="46"/>
    </row>
    <row r="4" spans="1:18" ht="13">
      <c r="A4" s="31" t="s">
        <v>818</v>
      </c>
      <c r="B4" s="31" t="s">
        <v>819</v>
      </c>
      <c r="C4" s="31" t="s">
        <v>865</v>
      </c>
      <c r="D4" s="31" t="s">
        <v>866</v>
      </c>
      <c r="E4" s="39"/>
      <c r="F4" s="39"/>
      <c r="G4" s="39"/>
      <c r="H4" s="39"/>
      <c r="I4" s="39"/>
      <c r="J4" s="39"/>
      <c r="K4" s="39"/>
      <c r="L4" s="39"/>
      <c r="M4" s="39"/>
      <c r="N4" s="39"/>
      <c r="O4" s="39"/>
      <c r="P4" s="39"/>
      <c r="Q4" s="39"/>
      <c r="R4" s="39"/>
    </row>
    <row r="5" spans="1:18" ht="13">
      <c r="A5" s="65" t="s">
        <v>875</v>
      </c>
      <c r="B5" s="25"/>
      <c r="C5" s="25"/>
      <c r="D5" s="25"/>
      <c r="E5" s="25"/>
      <c r="F5" s="25"/>
      <c r="G5" s="25"/>
      <c r="H5" s="25"/>
      <c r="I5" s="25"/>
      <c r="J5" s="25"/>
      <c r="K5" s="25"/>
      <c r="L5" s="25"/>
      <c r="M5" s="25"/>
      <c r="N5" s="25"/>
      <c r="O5" s="25"/>
      <c r="P5" s="25"/>
      <c r="Q5" s="25"/>
      <c r="R5" s="25"/>
    </row>
    <row r="6" spans="1:18">
      <c r="A6" s="93" t="s">
        <v>410</v>
      </c>
      <c r="B6" s="434">
        <f>Transmitters!E16</f>
        <v>1.5</v>
      </c>
      <c r="C6" s="93" t="s">
        <v>883</v>
      </c>
      <c r="D6" s="426" t="s">
        <v>413</v>
      </c>
      <c r="E6" s="426"/>
      <c r="F6" s="426"/>
      <c r="G6" s="426"/>
      <c r="H6" s="426"/>
      <c r="I6" s="426"/>
      <c r="J6" s="427" t="s">
        <v>442</v>
      </c>
      <c r="K6" s="418"/>
      <c r="L6" s="417"/>
      <c r="M6" s="93"/>
      <c r="N6" s="93"/>
      <c r="O6" s="93"/>
      <c r="P6" s="93"/>
      <c r="Q6" s="93"/>
      <c r="R6" s="93"/>
    </row>
    <row r="7" spans="1:18">
      <c r="A7" s="431" t="s">
        <v>889</v>
      </c>
      <c r="B7" s="134">
        <f>10*LOG10(B6)</f>
        <v>1.7609125905568124</v>
      </c>
      <c r="C7" s="93" t="s">
        <v>884</v>
      </c>
      <c r="D7" s="426" t="s">
        <v>404</v>
      </c>
      <c r="E7" s="426"/>
      <c r="F7" s="426"/>
      <c r="G7" s="426"/>
      <c r="H7" s="426"/>
      <c r="I7" s="426"/>
      <c r="J7" s="93"/>
      <c r="K7" s="93"/>
      <c r="L7" s="93"/>
      <c r="M7" s="93"/>
      <c r="N7" s="93"/>
      <c r="O7" s="93"/>
      <c r="P7" s="93"/>
      <c r="Q7" s="93"/>
      <c r="R7" s="93"/>
    </row>
    <row r="8" spans="1:18">
      <c r="A8" s="431" t="s">
        <v>890</v>
      </c>
      <c r="B8" s="346">
        <f>B7+30</f>
        <v>31.760912590556813</v>
      </c>
      <c r="C8" s="93" t="s">
        <v>885</v>
      </c>
      <c r="D8" s="426" t="s">
        <v>405</v>
      </c>
      <c r="E8" s="426"/>
      <c r="F8" s="426"/>
      <c r="G8" s="426"/>
      <c r="H8" s="426"/>
      <c r="I8" s="426"/>
      <c r="J8" s="93"/>
      <c r="K8" s="93"/>
      <c r="L8" s="93"/>
      <c r="M8" s="93"/>
      <c r="N8" s="93"/>
      <c r="O8" s="93"/>
      <c r="P8" s="93"/>
      <c r="Q8" s="93"/>
      <c r="R8" s="93"/>
    </row>
    <row r="9" spans="1:18">
      <c r="A9" s="93" t="s">
        <v>411</v>
      </c>
      <c r="B9" s="435">
        <f>Transmitters!I41</f>
        <v>0.58000000000000007</v>
      </c>
      <c r="C9" s="93" t="s">
        <v>859</v>
      </c>
      <c r="D9" s="426" t="s">
        <v>406</v>
      </c>
      <c r="E9" s="426"/>
      <c r="F9" s="426"/>
      <c r="G9" s="426"/>
      <c r="H9" s="426"/>
      <c r="I9" s="426"/>
      <c r="J9" s="93"/>
      <c r="K9" s="93"/>
      <c r="L9" s="93"/>
      <c r="M9" s="93"/>
      <c r="N9" s="93"/>
      <c r="O9" s="93"/>
      <c r="P9" s="93"/>
      <c r="Q9" s="93"/>
      <c r="R9" s="93"/>
    </row>
    <row r="10" spans="1:18">
      <c r="A10" s="93" t="s">
        <v>868</v>
      </c>
      <c r="B10" s="435">
        <f>INDEX('Antenna Gain'!N13:N16,'Antenna Gain'!E11,1)</f>
        <v>22.9</v>
      </c>
      <c r="C10" s="93" t="s">
        <v>36</v>
      </c>
      <c r="D10" s="426" t="s">
        <v>751</v>
      </c>
      <c r="E10" s="426"/>
      <c r="F10" s="426"/>
      <c r="G10" s="426"/>
      <c r="H10" s="426"/>
      <c r="I10" s="426"/>
      <c r="J10" s="93"/>
      <c r="K10" s="93"/>
      <c r="L10" s="93"/>
      <c r="M10" s="93"/>
      <c r="N10" s="93"/>
      <c r="O10" s="93"/>
      <c r="P10" s="93"/>
      <c r="Q10" s="93"/>
      <c r="R10" s="93"/>
    </row>
    <row r="11" spans="1:18">
      <c r="A11" s="93" t="s">
        <v>906</v>
      </c>
      <c r="B11" s="41">
        <f>B7-B9+B10</f>
        <v>24.08091259055681</v>
      </c>
      <c r="C11" s="93" t="s">
        <v>884</v>
      </c>
      <c r="D11" s="426" t="s">
        <v>905</v>
      </c>
      <c r="E11" s="426"/>
      <c r="F11" s="426"/>
      <c r="G11" s="426"/>
      <c r="H11" s="426"/>
      <c r="I11" s="426"/>
      <c r="J11" s="93"/>
      <c r="K11" s="93"/>
      <c r="L11" s="93"/>
      <c r="M11" s="93"/>
      <c r="N11" s="93"/>
      <c r="O11" s="93"/>
      <c r="P11" s="93"/>
      <c r="Q11" s="93"/>
      <c r="R11" s="93"/>
    </row>
    <row r="12" spans="1:18" ht="13">
      <c r="A12" s="65" t="s">
        <v>904</v>
      </c>
      <c r="B12" s="66"/>
      <c r="C12" s="25"/>
      <c r="D12" s="25"/>
      <c r="E12" s="25"/>
      <c r="F12" s="25"/>
      <c r="G12" s="25"/>
      <c r="H12" s="25"/>
      <c r="I12" s="25"/>
      <c r="J12" s="25"/>
      <c r="K12" s="25"/>
      <c r="L12" s="25"/>
      <c r="M12" s="25"/>
      <c r="N12" s="25"/>
      <c r="O12" s="25"/>
      <c r="P12" s="25"/>
      <c r="Q12" s="25"/>
      <c r="R12" s="25"/>
    </row>
    <row r="13" spans="1:18">
      <c r="A13" s="93" t="s">
        <v>896</v>
      </c>
      <c r="B13" s="435">
        <f>'Antenna Pointing Losses'!K43</f>
        <v>0.71302177034341041</v>
      </c>
      <c r="C13" s="93" t="s">
        <v>859</v>
      </c>
      <c r="D13" s="426" t="s">
        <v>752</v>
      </c>
      <c r="E13" s="426"/>
      <c r="F13" s="426"/>
      <c r="G13" s="426"/>
      <c r="H13" s="426"/>
      <c r="I13" s="426"/>
      <c r="J13" s="93"/>
      <c r="K13" s="93"/>
      <c r="L13" s="93"/>
      <c r="M13" s="93"/>
      <c r="N13" s="93"/>
      <c r="O13" s="93"/>
      <c r="P13" s="93"/>
      <c r="Q13" s="93"/>
      <c r="R13" s="93"/>
    </row>
    <row r="14" spans="1:18">
      <c r="A14" s="93" t="s">
        <v>415</v>
      </c>
      <c r="B14" s="434">
        <f>'Antenna Polarization Loss'!F40</f>
        <v>5.7437907597720189E-2</v>
      </c>
      <c r="C14" s="93" t="s">
        <v>859</v>
      </c>
      <c r="D14" s="426" t="s">
        <v>423</v>
      </c>
      <c r="E14" s="426"/>
      <c r="F14" s="426"/>
      <c r="G14" s="426"/>
      <c r="H14" s="426"/>
      <c r="I14" s="426"/>
      <c r="J14" s="93"/>
      <c r="K14" s="93"/>
      <c r="L14" s="93"/>
      <c r="M14" s="93"/>
      <c r="N14" s="93"/>
      <c r="O14" s="93"/>
      <c r="P14" s="93"/>
      <c r="Q14" s="93"/>
      <c r="R14" s="93"/>
    </row>
    <row r="15" spans="1:18">
      <c r="A15" s="93" t="s">
        <v>858</v>
      </c>
      <c r="B15" s="436">
        <f>Frequency!M12</f>
        <v>157.5988935799457</v>
      </c>
      <c r="C15" s="93" t="s">
        <v>859</v>
      </c>
      <c r="D15" s="426" t="s">
        <v>385</v>
      </c>
      <c r="E15" s="426"/>
      <c r="F15" s="426"/>
      <c r="G15" s="426"/>
      <c r="H15" s="426"/>
      <c r="I15" s="426"/>
      <c r="J15" s="93"/>
      <c r="K15" s="93"/>
      <c r="L15" s="93"/>
      <c r="M15" s="93"/>
      <c r="N15" s="93"/>
      <c r="O15" s="93"/>
      <c r="P15" s="93"/>
      <c r="Q15" s="93"/>
      <c r="R15" s="93"/>
    </row>
    <row r="16" spans="1:18">
      <c r="A16" s="93" t="s">
        <v>871</v>
      </c>
      <c r="B16" s="435">
        <f>'Atmos. &amp; Ionos. Losses'!D23</f>
        <v>0.4</v>
      </c>
      <c r="C16" s="93" t="s">
        <v>859</v>
      </c>
      <c r="D16" s="426" t="s">
        <v>307</v>
      </c>
      <c r="E16" s="426"/>
      <c r="F16" s="426"/>
      <c r="G16" s="426"/>
      <c r="H16" s="426"/>
      <c r="I16" s="426"/>
      <c r="J16" s="93"/>
      <c r="K16" s="93"/>
      <c r="L16" s="93"/>
      <c r="M16" s="93"/>
      <c r="N16" s="93"/>
      <c r="O16" s="93"/>
      <c r="P16" s="93"/>
      <c r="Q16" s="93"/>
      <c r="R16" s="93"/>
    </row>
    <row r="17" spans="1:18">
      <c r="A17" s="93" t="s">
        <v>872</v>
      </c>
      <c r="B17" s="435">
        <f>INDEX('Atmos. &amp; Ionos. Losses'!D32:D35,Frequency!L10,1)</f>
        <v>0.1</v>
      </c>
      <c r="C17" s="93" t="s">
        <v>859</v>
      </c>
      <c r="D17" s="426" t="s">
        <v>309</v>
      </c>
      <c r="E17" s="426"/>
      <c r="F17" s="426"/>
      <c r="G17" s="426"/>
      <c r="H17" s="426"/>
      <c r="I17" s="426"/>
      <c r="J17" s="93"/>
      <c r="K17" s="93"/>
      <c r="L17" s="93"/>
      <c r="M17" s="93"/>
      <c r="N17" s="93"/>
      <c r="O17" s="93"/>
      <c r="P17" s="93"/>
      <c r="Q17" s="93"/>
      <c r="R17" s="93"/>
    </row>
    <row r="18" spans="1:18">
      <c r="A18" s="93" t="s">
        <v>873</v>
      </c>
      <c r="B18" s="438">
        <v>0</v>
      </c>
      <c r="C18" s="93" t="s">
        <v>859</v>
      </c>
      <c r="D18" s="426" t="s">
        <v>317</v>
      </c>
      <c r="E18" s="426"/>
      <c r="F18" s="426"/>
      <c r="G18" s="426"/>
      <c r="H18" s="426"/>
      <c r="I18" s="426"/>
      <c r="J18" s="93"/>
      <c r="K18" s="93"/>
      <c r="L18" s="93"/>
      <c r="M18" s="93"/>
      <c r="N18" s="93"/>
      <c r="O18" s="93"/>
      <c r="P18" s="93"/>
      <c r="Q18" s="93"/>
      <c r="R18" s="93"/>
    </row>
    <row r="19" spans="1:18">
      <c r="A19" s="93" t="s">
        <v>569</v>
      </c>
      <c r="B19" s="41">
        <f>B11-SUM(B13:B18)</f>
        <v>-134.78844066733001</v>
      </c>
      <c r="C19" s="93" t="s">
        <v>884</v>
      </c>
      <c r="D19" s="426" t="s">
        <v>570</v>
      </c>
      <c r="E19" s="426"/>
      <c r="F19" s="426"/>
      <c r="G19" s="426"/>
      <c r="H19" s="426"/>
      <c r="I19" s="426"/>
      <c r="J19" s="93"/>
      <c r="K19" s="93"/>
      <c r="L19" s="93"/>
      <c r="M19" s="93"/>
      <c r="N19" s="93"/>
      <c r="O19" s="93"/>
      <c r="P19" s="93"/>
      <c r="Q19" s="93"/>
      <c r="R19" s="93"/>
    </row>
    <row r="20" spans="1:18" ht="13">
      <c r="A20" s="65" t="s">
        <v>441</v>
      </c>
      <c r="B20" s="25"/>
      <c r="C20" s="25"/>
      <c r="D20" s="25"/>
      <c r="E20" s="25"/>
      <c r="F20" s="25"/>
      <c r="G20" s="25"/>
      <c r="H20" s="25"/>
      <c r="I20" s="25"/>
      <c r="J20" s="38"/>
      <c r="K20" s="44"/>
      <c r="L20" s="44"/>
      <c r="M20" s="44"/>
      <c r="N20" s="48"/>
      <c r="O20" s="49"/>
      <c r="P20" s="49"/>
      <c r="Q20" s="49"/>
      <c r="R20" s="25"/>
    </row>
    <row r="21" spans="1:18" ht="13" outlineLevel="1">
      <c r="A21" s="65" t="s">
        <v>937</v>
      </c>
      <c r="B21" s="25"/>
      <c r="C21" s="25"/>
      <c r="D21" s="25"/>
      <c r="E21" s="25"/>
      <c r="F21" s="25"/>
      <c r="G21" s="25"/>
      <c r="H21" s="25"/>
      <c r="I21" s="25"/>
      <c r="J21" s="38"/>
      <c r="K21" s="44"/>
      <c r="L21" s="44"/>
      <c r="M21" s="44"/>
      <c r="N21" s="48"/>
      <c r="O21" s="49"/>
      <c r="P21" s="49"/>
      <c r="Q21" s="49"/>
      <c r="R21" s="25"/>
    </row>
    <row r="22" spans="1:18" outlineLevel="1">
      <c r="A22" s="433" t="s">
        <v>907</v>
      </c>
      <c r="B22" s="435">
        <f>'Antenna Pointing Losses'!K63</f>
        <v>0</v>
      </c>
      <c r="C22" s="93" t="s">
        <v>859</v>
      </c>
      <c r="D22" s="426" t="s">
        <v>977</v>
      </c>
      <c r="E22" s="426"/>
      <c r="F22" s="426"/>
      <c r="G22" s="426"/>
      <c r="H22" s="426"/>
      <c r="I22" s="426"/>
      <c r="J22" s="93"/>
      <c r="K22" s="436"/>
      <c r="L22" s="93"/>
      <c r="M22" s="93"/>
      <c r="N22" s="93"/>
      <c r="O22" s="93"/>
      <c r="P22" s="93"/>
      <c r="Q22" s="93"/>
      <c r="R22" s="93"/>
    </row>
    <row r="23" spans="1:18" outlineLevel="1">
      <c r="A23" s="93" t="s">
        <v>915</v>
      </c>
      <c r="B23" s="436">
        <f>INDEX('Antenna Gain'!H26:H32,'Antenna Gain'!E24,1)</f>
        <v>12</v>
      </c>
      <c r="C23" s="93" t="s">
        <v>36</v>
      </c>
      <c r="D23" s="426" t="s">
        <v>750</v>
      </c>
      <c r="E23" s="426"/>
      <c r="F23" s="426"/>
      <c r="G23" s="426"/>
      <c r="H23" s="426"/>
      <c r="I23" s="426"/>
      <c r="J23" s="93"/>
      <c r="K23" s="436"/>
      <c r="L23" s="93"/>
      <c r="M23" s="93"/>
      <c r="N23" s="93"/>
      <c r="O23" s="93"/>
      <c r="P23" s="93"/>
      <c r="Q23" s="93"/>
      <c r="R23" s="93"/>
    </row>
    <row r="24" spans="1:18" outlineLevel="1">
      <c r="A24" s="93" t="s">
        <v>305</v>
      </c>
      <c r="B24" s="435">
        <f>Receivers!J55</f>
        <v>3.0960000000000001</v>
      </c>
      <c r="C24" s="93" t="s">
        <v>859</v>
      </c>
      <c r="D24" s="426" t="s">
        <v>427</v>
      </c>
      <c r="E24" s="426"/>
      <c r="F24" s="426"/>
      <c r="G24" s="426"/>
      <c r="H24" s="426"/>
      <c r="I24" s="426"/>
      <c r="J24" s="93"/>
      <c r="K24" s="93"/>
      <c r="L24" s="93"/>
      <c r="M24" s="93"/>
      <c r="N24" s="93"/>
      <c r="O24" s="93"/>
      <c r="P24" s="93"/>
      <c r="Q24" s="93"/>
      <c r="R24" s="93"/>
    </row>
    <row r="25" spans="1:18" outlineLevel="1">
      <c r="A25" s="93" t="s">
        <v>916</v>
      </c>
      <c r="B25" s="439">
        <f>Receivers!J70</f>
        <v>464.22841076062673</v>
      </c>
      <c r="C25" s="93" t="s">
        <v>887</v>
      </c>
      <c r="D25" s="426" t="s">
        <v>426</v>
      </c>
      <c r="E25" s="426"/>
      <c r="F25" s="426"/>
      <c r="G25" s="426"/>
      <c r="H25" s="426"/>
      <c r="I25" s="426"/>
      <c r="J25" s="93"/>
      <c r="K25" s="439"/>
      <c r="L25" s="93"/>
      <c r="M25" s="93"/>
      <c r="N25" s="93"/>
      <c r="O25" s="93"/>
      <c r="P25" s="93"/>
      <c r="Q25" s="93"/>
      <c r="R25" s="93"/>
    </row>
    <row r="26" spans="1:18" outlineLevel="1">
      <c r="A26" s="93" t="s">
        <v>917</v>
      </c>
      <c r="B26" s="436">
        <f>B23-B24-10*LOG10(B25)</f>
        <v>-17.763317157385917</v>
      </c>
      <c r="C26" s="93" t="s">
        <v>888</v>
      </c>
      <c r="D26" s="143" t="s">
        <v>398</v>
      </c>
      <c r="E26" s="426"/>
      <c r="F26" s="426"/>
      <c r="G26" s="426"/>
      <c r="H26" s="426"/>
      <c r="I26" s="426"/>
      <c r="J26" s="93"/>
      <c r="K26" s="436"/>
      <c r="L26" s="93"/>
      <c r="M26" s="93"/>
      <c r="N26" s="93"/>
      <c r="O26" s="93"/>
      <c r="P26" s="93"/>
      <c r="Q26" s="93"/>
      <c r="R26" s="93"/>
    </row>
    <row r="27" spans="1:18" outlineLevel="1">
      <c r="A27" s="93" t="s">
        <v>918</v>
      </c>
      <c r="B27" s="422">
        <f>B19-B22-F27+B26</f>
        <v>76.048242175284074</v>
      </c>
      <c r="C27" s="93" t="s">
        <v>893</v>
      </c>
      <c r="D27" s="444" t="s">
        <v>891</v>
      </c>
      <c r="E27" s="445"/>
      <c r="F27" s="445">
        <v>-228.6</v>
      </c>
      <c r="G27" s="446" t="s">
        <v>892</v>
      </c>
      <c r="H27" s="426"/>
      <c r="I27" s="426"/>
      <c r="J27" s="93"/>
      <c r="K27" s="299"/>
      <c r="L27" s="93"/>
      <c r="M27" s="93"/>
      <c r="N27" s="93"/>
      <c r="O27" s="93"/>
      <c r="P27" s="93"/>
      <c r="Q27" s="93"/>
      <c r="R27" s="93"/>
    </row>
    <row r="28" spans="1:18" outlineLevel="1">
      <c r="A28" s="93" t="s">
        <v>880</v>
      </c>
      <c r="B28" s="972">
        <v>1000000</v>
      </c>
      <c r="C28" s="93" t="s">
        <v>894</v>
      </c>
      <c r="D28" s="426" t="s">
        <v>327</v>
      </c>
      <c r="E28" s="426"/>
      <c r="F28" s="426"/>
      <c r="G28" s="426"/>
      <c r="H28" s="426"/>
      <c r="I28" s="426"/>
      <c r="J28" s="93"/>
      <c r="K28" s="451"/>
      <c r="L28" s="93"/>
      <c r="M28" s="93"/>
      <c r="N28" s="93"/>
      <c r="O28" s="93"/>
      <c r="P28" s="93"/>
      <c r="Q28" s="93"/>
      <c r="R28" s="93"/>
    </row>
    <row r="29" spans="1:18" outlineLevel="1">
      <c r="A29" s="431" t="s">
        <v>895</v>
      </c>
      <c r="B29" s="447">
        <f>10*LOG10(B28)</f>
        <v>60</v>
      </c>
      <c r="C29" s="93" t="s">
        <v>893</v>
      </c>
      <c r="D29" s="426" t="s">
        <v>328</v>
      </c>
      <c r="E29" s="426"/>
      <c r="F29" s="426"/>
      <c r="G29" s="426"/>
      <c r="H29" s="426"/>
      <c r="I29" s="426"/>
      <c r="J29" s="93"/>
      <c r="K29" s="299"/>
      <c r="L29" s="93"/>
      <c r="M29" s="93"/>
      <c r="N29" s="93"/>
      <c r="O29" s="93"/>
      <c r="P29" s="93"/>
      <c r="Q29" s="93"/>
      <c r="R29" s="93"/>
    </row>
    <row r="30" spans="1:18" outlineLevel="1">
      <c r="A30" s="93" t="s">
        <v>443</v>
      </c>
      <c r="B30" s="422">
        <f>B27-B29</f>
        <v>16.048242175284074</v>
      </c>
      <c r="C30" s="93" t="s">
        <v>859</v>
      </c>
      <c r="D30" s="426" t="s">
        <v>817</v>
      </c>
      <c r="E30" s="426"/>
      <c r="F30" s="426"/>
      <c r="G30" s="426"/>
      <c r="H30" s="426"/>
      <c r="I30" s="426"/>
      <c r="J30" s="93"/>
      <c r="K30" s="299"/>
      <c r="L30" s="93"/>
      <c r="M30" s="93"/>
      <c r="N30" s="93"/>
      <c r="O30" s="93"/>
      <c r="P30" s="93"/>
      <c r="Q30" s="93"/>
      <c r="R30" s="93"/>
    </row>
    <row r="31" spans="1:18" outlineLevel="1">
      <c r="A31" s="93"/>
      <c r="B31" s="458"/>
      <c r="C31" s="93"/>
      <c r="D31" s="426"/>
      <c r="E31" s="426"/>
      <c r="F31" s="426"/>
      <c r="G31" s="426"/>
      <c r="H31" s="426"/>
      <c r="I31" s="426"/>
      <c r="J31" s="93"/>
      <c r="K31" s="299"/>
      <c r="L31" s="93"/>
      <c r="M31" s="93"/>
      <c r="N31" s="93"/>
      <c r="O31" s="93"/>
      <c r="P31" s="93"/>
      <c r="Q31" s="93"/>
      <c r="R31" s="93"/>
    </row>
    <row r="32" spans="1:18" outlineLevel="1">
      <c r="A32" s="93" t="s">
        <v>428</v>
      </c>
      <c r="B32" s="454" t="str">
        <f>INDEX('Modulation-Demodulation Method'!C6:C23,'Modulation-Demodulation Method'!E3,1)</f>
        <v>BPSK</v>
      </c>
      <c r="C32" s="432" t="s">
        <v>817</v>
      </c>
      <c r="D32" s="457" t="s">
        <v>431</v>
      </c>
      <c r="E32" s="426"/>
      <c r="F32" s="426"/>
      <c r="G32" s="426"/>
      <c r="H32" s="426"/>
      <c r="I32" s="426"/>
      <c r="J32" s="93"/>
      <c r="K32" s="299"/>
      <c r="L32" s="93"/>
      <c r="M32" s="93"/>
      <c r="N32" s="93"/>
      <c r="O32" s="93"/>
      <c r="P32" s="93"/>
      <c r="Q32" s="93"/>
      <c r="R32" s="93"/>
    </row>
    <row r="33" spans="1:18" outlineLevel="1">
      <c r="A33" s="93" t="s">
        <v>425</v>
      </c>
      <c r="B33" s="456" t="str">
        <f>INDEX('Modulation-Demodulation Method'!D6:D23,'Modulation-Demodulation Method'!E3,1)</f>
        <v>None</v>
      </c>
      <c r="C33" s="455"/>
      <c r="D33" s="430" t="s">
        <v>432</v>
      </c>
      <c r="E33" s="426"/>
      <c r="F33" s="426"/>
      <c r="G33" s="426"/>
      <c r="H33" s="426"/>
      <c r="I33" s="426"/>
      <c r="J33" s="93"/>
      <c r="K33" s="299"/>
      <c r="L33" s="93"/>
      <c r="M33" s="93"/>
      <c r="N33" s="93"/>
      <c r="O33" s="93"/>
      <c r="P33" s="93"/>
      <c r="Q33" s="93"/>
      <c r="R33" s="93"/>
    </row>
    <row r="34" spans="1:18" outlineLevel="1">
      <c r="A34" s="93"/>
      <c r="B34" s="458"/>
      <c r="C34" s="93"/>
      <c r="D34" s="426"/>
      <c r="E34" s="426"/>
      <c r="F34" s="426"/>
      <c r="G34" s="426"/>
      <c r="H34" s="426"/>
      <c r="I34" s="426"/>
      <c r="J34" s="93"/>
      <c r="K34" s="299"/>
      <c r="L34" s="93"/>
      <c r="M34" s="93"/>
      <c r="N34" s="93"/>
      <c r="O34" s="93"/>
      <c r="P34" s="93"/>
      <c r="Q34" s="93"/>
      <c r="R34" s="93"/>
    </row>
    <row r="35" spans="1:18" outlineLevel="1">
      <c r="A35" s="93" t="s">
        <v>330</v>
      </c>
      <c r="B35" s="423">
        <f>INDEX('Modulation-Demodulation Method'!E6:E23,'Modulation-Demodulation Method'!E3,1)</f>
        <v>1.0000000000000001E-5</v>
      </c>
      <c r="C35" s="432"/>
      <c r="D35" s="430" t="s">
        <v>433</v>
      </c>
      <c r="E35" s="426"/>
      <c r="F35" s="426"/>
      <c r="G35" s="426"/>
      <c r="H35" s="426"/>
      <c r="I35" s="426"/>
      <c r="J35" s="93"/>
      <c r="K35" s="93"/>
      <c r="L35" s="93"/>
      <c r="M35" s="93"/>
      <c r="N35" s="93"/>
      <c r="O35" s="93"/>
      <c r="P35" s="93"/>
      <c r="Q35" s="93"/>
      <c r="R35" s="93"/>
    </row>
    <row r="36" spans="1:18" outlineLevel="1">
      <c r="A36" s="93"/>
      <c r="B36" s="459"/>
      <c r="C36" s="432"/>
      <c r="D36" s="430"/>
      <c r="E36" s="426"/>
      <c r="F36" s="426"/>
      <c r="G36" s="426"/>
      <c r="H36" s="426"/>
      <c r="I36" s="426"/>
      <c r="J36" s="93"/>
      <c r="K36" s="93"/>
      <c r="L36" s="93"/>
      <c r="M36" s="93"/>
      <c r="N36" s="93"/>
      <c r="O36" s="93"/>
      <c r="P36" s="93"/>
      <c r="Q36" s="93"/>
      <c r="R36" s="93"/>
    </row>
    <row r="37" spans="1:18" outlineLevel="1">
      <c r="A37" s="93" t="s">
        <v>361</v>
      </c>
      <c r="B37" s="460">
        <f>'Modulation-Demodulation Method'!E25</f>
        <v>1</v>
      </c>
      <c r="C37" s="93" t="s">
        <v>859</v>
      </c>
      <c r="D37" s="426" t="s">
        <v>435</v>
      </c>
      <c r="E37" s="426"/>
      <c r="F37" s="426"/>
      <c r="G37" s="426"/>
      <c r="H37" s="426"/>
      <c r="I37" s="426"/>
      <c r="J37" s="93"/>
      <c r="K37" s="93"/>
      <c r="L37" s="93"/>
      <c r="M37" s="93"/>
      <c r="N37" s="93"/>
      <c r="O37" s="93"/>
      <c r="P37" s="93"/>
      <c r="Q37" s="93"/>
      <c r="R37" s="93"/>
    </row>
    <row r="38" spans="1:18" outlineLevel="1">
      <c r="A38" s="93"/>
      <c r="B38" s="460"/>
      <c r="C38" s="93"/>
      <c r="D38" s="426"/>
      <c r="E38" s="426"/>
      <c r="F38" s="426"/>
      <c r="G38" s="426"/>
      <c r="H38" s="426"/>
      <c r="I38" s="426"/>
      <c r="J38" s="93"/>
      <c r="K38" s="93"/>
      <c r="L38" s="93"/>
      <c r="M38" s="93"/>
      <c r="N38" s="93"/>
      <c r="O38" s="93"/>
      <c r="P38" s="93"/>
      <c r="Q38" s="93"/>
      <c r="R38" s="93"/>
    </row>
    <row r="39" spans="1:18" outlineLevel="1">
      <c r="A39" s="93" t="s">
        <v>881</v>
      </c>
      <c r="B39" s="461">
        <f>INDEX('Modulation-Demodulation Method'!F6:F23,'Modulation-Demodulation Method'!E3,1)</f>
        <v>9.6</v>
      </c>
      <c r="C39" s="93" t="s">
        <v>859</v>
      </c>
      <c r="D39" s="426" t="s">
        <v>436</v>
      </c>
      <c r="E39" s="426"/>
      <c r="F39" s="426"/>
      <c r="G39" s="426"/>
      <c r="H39" s="426"/>
      <c r="I39" s="426"/>
      <c r="J39" s="93"/>
      <c r="K39" s="436"/>
      <c r="L39" s="93"/>
      <c r="M39" s="93"/>
      <c r="N39" s="93"/>
      <c r="O39" s="93"/>
      <c r="P39" s="93"/>
      <c r="Q39" s="93"/>
      <c r="R39" s="93"/>
    </row>
    <row r="40" spans="1:18" outlineLevel="1">
      <c r="A40" s="93"/>
      <c r="B40" s="461"/>
      <c r="C40" s="93"/>
      <c r="D40" s="426"/>
      <c r="E40" s="426"/>
      <c r="F40" s="426"/>
      <c r="G40" s="426"/>
      <c r="H40" s="426"/>
      <c r="I40" s="426"/>
      <c r="J40" s="93"/>
      <c r="K40" s="436"/>
      <c r="L40" s="93"/>
      <c r="M40" s="93"/>
      <c r="N40" s="93"/>
      <c r="O40" s="93"/>
      <c r="P40" s="93"/>
      <c r="Q40" s="93"/>
      <c r="R40" s="93"/>
    </row>
    <row r="41" spans="1:18" outlineLevel="1">
      <c r="A41" s="93" t="s">
        <v>362</v>
      </c>
      <c r="B41" s="424">
        <f>'Modulation-Demodulation Method'!H5</f>
        <v>10.6</v>
      </c>
      <c r="C41" s="93" t="s">
        <v>859</v>
      </c>
      <c r="D41" s="426" t="s">
        <v>374</v>
      </c>
      <c r="E41" s="426"/>
      <c r="F41" s="426"/>
      <c r="G41" s="426"/>
      <c r="H41" s="426"/>
      <c r="I41" s="426"/>
      <c r="J41" s="93"/>
      <c r="K41" s="436"/>
      <c r="L41" s="93"/>
      <c r="M41" s="93"/>
      <c r="N41" s="93"/>
      <c r="O41" s="93"/>
      <c r="P41" s="93"/>
      <c r="Q41" s="93"/>
      <c r="R41" s="93"/>
    </row>
    <row r="42" spans="1:18" ht="13" outlineLevel="1" thickBot="1">
      <c r="A42" s="93"/>
      <c r="B42" s="461"/>
      <c r="C42" s="93"/>
      <c r="D42" s="426"/>
      <c r="E42" s="426"/>
      <c r="F42" s="426"/>
      <c r="G42" s="426"/>
      <c r="H42" s="426"/>
      <c r="I42" s="426"/>
      <c r="J42" s="93"/>
      <c r="K42" s="436"/>
      <c r="L42" s="93"/>
      <c r="M42" s="93"/>
      <c r="N42" s="93"/>
      <c r="O42" s="93"/>
      <c r="P42" s="93"/>
      <c r="Q42" s="93"/>
      <c r="R42" s="93"/>
    </row>
    <row r="43" spans="1:18" ht="13.5" outlineLevel="1" thickBot="1">
      <c r="A43" s="122" t="s">
        <v>882</v>
      </c>
      <c r="B43" s="42">
        <f>B30-B41</f>
        <v>5.448242175284074</v>
      </c>
      <c r="C43" s="93" t="s">
        <v>859</v>
      </c>
      <c r="D43" s="426"/>
      <c r="E43" s="426"/>
      <c r="F43" s="426"/>
      <c r="G43" s="426"/>
      <c r="H43" s="426"/>
      <c r="I43" s="426"/>
      <c r="J43" s="93"/>
      <c r="K43" s="436"/>
      <c r="L43" s="93"/>
      <c r="M43" s="93"/>
      <c r="N43" s="93"/>
      <c r="O43" s="93"/>
      <c r="P43" s="93"/>
      <c r="Q43" s="93"/>
      <c r="R43" s="93"/>
    </row>
    <row r="44" spans="1:18" ht="13" outlineLevel="1">
      <c r="A44" s="93"/>
      <c r="B44" s="93"/>
      <c r="C44" s="93"/>
      <c r="D44" s="426"/>
      <c r="E44" s="426"/>
      <c r="F44" s="426"/>
      <c r="G44" s="426"/>
      <c r="H44" s="426"/>
      <c r="I44" s="426"/>
      <c r="J44" s="93"/>
      <c r="K44" s="452"/>
      <c r="L44" s="93"/>
      <c r="M44" s="93"/>
      <c r="N44" s="93"/>
      <c r="O44" s="93"/>
      <c r="P44" s="93"/>
      <c r="Q44" s="93"/>
      <c r="R44" s="93"/>
    </row>
    <row r="45" spans="1:18" outlineLevel="1">
      <c r="A45" s="93"/>
      <c r="B45" s="93"/>
      <c r="C45" s="93"/>
      <c r="D45" s="426"/>
      <c r="E45" s="426"/>
      <c r="F45" s="426"/>
      <c r="G45" s="426"/>
      <c r="H45" s="426"/>
      <c r="I45" s="426"/>
      <c r="J45" s="93"/>
      <c r="K45" s="93"/>
      <c r="L45" s="93"/>
      <c r="M45" s="93"/>
      <c r="N45" s="93"/>
      <c r="O45" s="93"/>
      <c r="P45" s="93"/>
      <c r="Q45" s="93"/>
      <c r="R45" s="93"/>
    </row>
    <row r="46" spans="1:18" outlineLevel="1">
      <c r="A46" s="100"/>
      <c r="B46" s="100"/>
      <c r="C46" s="100"/>
      <c r="D46" s="143"/>
      <c r="E46" s="143"/>
      <c r="F46" s="143"/>
      <c r="G46" s="143"/>
      <c r="H46" s="143"/>
      <c r="I46" s="143"/>
      <c r="J46" s="100"/>
      <c r="K46" s="100"/>
      <c r="L46" s="100"/>
      <c r="M46" s="100"/>
      <c r="N46" s="100"/>
      <c r="O46" s="100"/>
      <c r="P46" s="100"/>
      <c r="Q46" s="100"/>
      <c r="R46" s="93"/>
    </row>
    <row r="47" spans="1:18" ht="13">
      <c r="A47" s="450" t="s">
        <v>919</v>
      </c>
      <c r="B47" s="44"/>
      <c r="C47" s="44"/>
      <c r="D47" s="44"/>
      <c r="E47" s="392" t="s">
        <v>439</v>
      </c>
      <c r="F47" s="49"/>
      <c r="G47" s="49"/>
      <c r="H47" s="49"/>
      <c r="I47" s="25"/>
      <c r="J47" s="25"/>
      <c r="K47" s="25"/>
      <c r="L47" s="25"/>
      <c r="M47" s="25"/>
      <c r="N47" s="25"/>
      <c r="O47" s="25"/>
      <c r="P47" s="25"/>
      <c r="Q47" s="25"/>
      <c r="R47" s="25"/>
    </row>
    <row r="48" spans="1:18" ht="13" outlineLevel="1">
      <c r="A48" s="38" t="s">
        <v>938</v>
      </c>
      <c r="B48" s="44"/>
      <c r="C48" s="44"/>
      <c r="D48" s="44"/>
      <c r="E48" s="48"/>
      <c r="F48" s="49"/>
      <c r="G48" s="49"/>
      <c r="H48" s="49"/>
      <c r="I48" s="25"/>
      <c r="J48" s="25"/>
      <c r="K48" s="25"/>
      <c r="L48" s="25"/>
      <c r="M48" s="25"/>
      <c r="N48" s="25"/>
      <c r="O48" s="25"/>
      <c r="P48" s="25"/>
      <c r="Q48" s="25"/>
      <c r="R48" s="25"/>
    </row>
    <row r="49" spans="1:18" outlineLevel="1">
      <c r="A49" s="93" t="s">
        <v>907</v>
      </c>
      <c r="B49" s="436">
        <f>'Antenna Pointing Losses'!K63</f>
        <v>0</v>
      </c>
      <c r="C49" s="93" t="s">
        <v>859</v>
      </c>
      <c r="D49" s="426" t="s">
        <v>977</v>
      </c>
      <c r="E49" s="426"/>
      <c r="F49" s="426"/>
      <c r="G49" s="426"/>
      <c r="H49" s="426"/>
      <c r="I49" s="426"/>
      <c r="J49" s="93"/>
      <c r="K49" s="93"/>
      <c r="L49" s="93"/>
      <c r="M49" s="93"/>
      <c r="N49" s="93"/>
      <c r="O49" s="93"/>
      <c r="P49" s="93"/>
      <c r="Q49" s="93"/>
      <c r="R49" s="93"/>
    </row>
    <row r="50" spans="1:18" outlineLevel="1">
      <c r="A50" s="93" t="s">
        <v>915</v>
      </c>
      <c r="B50" s="436">
        <f>INDEX('Antenna Gain'!H26:H32,'Antenna Gain'!E24,1)</f>
        <v>12</v>
      </c>
      <c r="C50" s="93" t="s">
        <v>36</v>
      </c>
      <c r="D50" s="426" t="s">
        <v>750</v>
      </c>
      <c r="E50" s="426"/>
      <c r="F50" s="426"/>
      <c r="G50" s="426"/>
      <c r="H50" s="426"/>
      <c r="I50" s="426"/>
      <c r="J50" s="93"/>
      <c r="K50" s="93"/>
      <c r="L50" s="93"/>
      <c r="M50" s="93"/>
      <c r="N50" s="93"/>
      <c r="O50" s="93"/>
      <c r="P50" s="93"/>
      <c r="Q50" s="93"/>
      <c r="R50" s="93"/>
    </row>
    <row r="51" spans="1:18" outlineLevel="1">
      <c r="A51" s="93" t="s">
        <v>305</v>
      </c>
      <c r="B51" s="436">
        <f>Receivers!J55</f>
        <v>3.0960000000000001</v>
      </c>
      <c r="C51" s="93" t="s">
        <v>859</v>
      </c>
      <c r="D51" s="426" t="s">
        <v>427</v>
      </c>
      <c r="E51" s="426"/>
      <c r="F51" s="426"/>
      <c r="G51" s="426"/>
      <c r="H51" s="426"/>
      <c r="I51" s="426"/>
      <c r="J51" s="93"/>
      <c r="K51" s="93"/>
      <c r="L51" s="93"/>
      <c r="M51" s="93"/>
      <c r="N51" s="93"/>
      <c r="O51" s="93"/>
      <c r="P51" s="93"/>
      <c r="Q51" s="93"/>
      <c r="R51" s="93"/>
    </row>
    <row r="52" spans="1:18" outlineLevel="1">
      <c r="A52" s="93" t="s">
        <v>916</v>
      </c>
      <c r="B52" s="439">
        <f>Receivers!J70</f>
        <v>464.22841076062673</v>
      </c>
      <c r="C52" s="93" t="s">
        <v>887</v>
      </c>
      <c r="D52" s="426" t="s">
        <v>426</v>
      </c>
      <c r="E52" s="426"/>
      <c r="F52" s="426"/>
      <c r="G52" s="426"/>
      <c r="H52" s="426"/>
      <c r="I52" s="426"/>
      <c r="J52" s="93"/>
      <c r="K52" s="93"/>
      <c r="L52" s="93"/>
      <c r="M52" s="93"/>
      <c r="N52" s="93"/>
      <c r="O52" s="93"/>
      <c r="P52" s="93"/>
      <c r="Q52" s="93"/>
      <c r="R52" s="93"/>
    </row>
    <row r="53" spans="1:18" outlineLevel="1">
      <c r="A53" s="93" t="s">
        <v>917</v>
      </c>
      <c r="B53" s="436">
        <f>B50-B51-10*LOG10(B52)</f>
        <v>-17.763317157385917</v>
      </c>
      <c r="C53" s="93" t="s">
        <v>888</v>
      </c>
      <c r="D53" s="426" t="s">
        <v>399</v>
      </c>
      <c r="E53" s="426"/>
      <c r="F53" s="426"/>
      <c r="G53" s="426"/>
      <c r="H53" s="426"/>
      <c r="I53" s="426"/>
      <c r="J53" s="93"/>
      <c r="K53" s="93"/>
      <c r="L53" s="93"/>
      <c r="M53" s="93"/>
      <c r="N53" s="93"/>
      <c r="O53" s="93"/>
      <c r="P53" s="93"/>
      <c r="Q53" s="93"/>
      <c r="R53" s="93"/>
    </row>
    <row r="54" spans="1:18" outlineLevel="1">
      <c r="A54" s="93"/>
      <c r="B54" s="436"/>
      <c r="C54" s="93"/>
      <c r="D54" s="426"/>
      <c r="E54" s="426"/>
      <c r="F54" s="426"/>
      <c r="G54" s="426"/>
      <c r="H54" s="426"/>
      <c r="I54" s="426"/>
      <c r="J54" s="93"/>
      <c r="K54" s="93"/>
      <c r="L54" s="93"/>
      <c r="M54" s="93"/>
      <c r="N54" s="93"/>
      <c r="O54" s="93"/>
      <c r="P54" s="93"/>
      <c r="Q54" s="93"/>
      <c r="R54" s="93"/>
    </row>
    <row r="55" spans="1:18" outlineLevel="1">
      <c r="A55" s="93" t="s">
        <v>920</v>
      </c>
      <c r="B55" s="346">
        <f>B19-B49+B50-B51</f>
        <v>-125.88444066733001</v>
      </c>
      <c r="C55" s="93" t="s">
        <v>884</v>
      </c>
      <c r="D55" s="426" t="s">
        <v>400</v>
      </c>
      <c r="E55" s="426"/>
      <c r="F55" s="426"/>
      <c r="G55" s="426"/>
      <c r="H55" s="426"/>
      <c r="I55" s="426"/>
      <c r="J55" s="93"/>
      <c r="K55" s="93"/>
      <c r="L55" s="93"/>
      <c r="M55" s="93"/>
      <c r="N55" s="93"/>
      <c r="O55" s="93"/>
      <c r="P55" s="93"/>
      <c r="Q55" s="93"/>
      <c r="R55" s="93"/>
    </row>
    <row r="56" spans="1:18" outlineLevel="1">
      <c r="A56" s="93"/>
      <c r="B56" s="299"/>
      <c r="C56" s="93"/>
      <c r="D56" s="426"/>
      <c r="E56" s="426"/>
      <c r="F56" s="426"/>
      <c r="G56" s="426"/>
      <c r="H56" s="426"/>
      <c r="I56" s="426"/>
      <c r="J56" s="93"/>
      <c r="K56" s="93"/>
      <c r="L56" s="93"/>
      <c r="M56" s="93"/>
      <c r="N56" s="93"/>
      <c r="O56" s="93"/>
      <c r="P56" s="93"/>
      <c r="Q56" s="93"/>
      <c r="R56" s="93"/>
    </row>
    <row r="57" spans="1:18" ht="13" outlineLevel="1">
      <c r="A57" s="93" t="s">
        <v>921</v>
      </c>
      <c r="B57" s="972">
        <v>1000000</v>
      </c>
      <c r="C57" s="93" t="s">
        <v>899</v>
      </c>
      <c r="D57" s="426" t="s">
        <v>437</v>
      </c>
      <c r="E57" s="426"/>
      <c r="F57" s="426"/>
      <c r="G57" s="426"/>
      <c r="H57" s="392" t="s">
        <v>140</v>
      </c>
      <c r="I57" s="426"/>
      <c r="J57" s="93"/>
      <c r="K57" s="93"/>
      <c r="L57" s="93"/>
      <c r="M57" s="93"/>
      <c r="N57" s="93"/>
      <c r="O57" s="93"/>
      <c r="P57" s="93"/>
      <c r="Q57" s="93"/>
      <c r="R57" s="93"/>
    </row>
    <row r="58" spans="1:18" outlineLevel="1">
      <c r="A58" s="93"/>
      <c r="B58" s="448"/>
      <c r="C58" s="93"/>
      <c r="D58" s="426"/>
      <c r="E58" s="426"/>
      <c r="F58" s="426"/>
      <c r="G58" s="426"/>
      <c r="H58" s="426"/>
      <c r="I58" s="426"/>
      <c r="J58" s="93"/>
      <c r="K58" s="93"/>
      <c r="L58" s="93"/>
      <c r="M58" s="93"/>
      <c r="N58" s="93"/>
      <c r="O58" s="93"/>
      <c r="P58" s="93"/>
      <c r="Q58" s="93"/>
      <c r="R58" s="93"/>
    </row>
    <row r="59" spans="1:18" outlineLevel="1">
      <c r="A59" s="93" t="s">
        <v>438</v>
      </c>
      <c r="B59" s="346">
        <f>F27+10*LOG10(B52)+10*LOG10(B57)</f>
        <v>-141.93268284261407</v>
      </c>
      <c r="C59" s="93" t="s">
        <v>884</v>
      </c>
      <c r="D59" s="426" t="s">
        <v>440</v>
      </c>
      <c r="E59" s="426"/>
      <c r="F59" s="426"/>
      <c r="G59" s="426"/>
      <c r="H59" s="426"/>
      <c r="I59" s="426"/>
      <c r="J59" s="93"/>
      <c r="K59" s="93"/>
      <c r="L59" s="93"/>
      <c r="M59" s="93"/>
      <c r="N59" s="93"/>
      <c r="O59" s="93"/>
      <c r="P59" s="93"/>
      <c r="Q59" s="93"/>
      <c r="R59" s="93"/>
    </row>
    <row r="60" spans="1:18" outlineLevel="1">
      <c r="A60" s="93"/>
      <c r="B60" s="449"/>
      <c r="C60" s="93"/>
      <c r="D60" s="426"/>
      <c r="E60" s="426"/>
      <c r="F60" s="426"/>
      <c r="G60" s="426"/>
      <c r="H60" s="426"/>
      <c r="I60" s="426"/>
      <c r="J60" s="93"/>
      <c r="K60" s="93"/>
      <c r="L60" s="93"/>
      <c r="M60" s="93"/>
      <c r="N60" s="93"/>
      <c r="O60" s="93"/>
      <c r="P60" s="93"/>
      <c r="Q60" s="93"/>
      <c r="R60" s="93"/>
    </row>
    <row r="61" spans="1:18" outlineLevel="1">
      <c r="A61" s="93" t="s">
        <v>901</v>
      </c>
      <c r="B61" s="422">
        <f>B55-B59</f>
        <v>16.048242175284059</v>
      </c>
      <c r="C61" s="93" t="s">
        <v>859</v>
      </c>
      <c r="D61" s="426" t="s">
        <v>402</v>
      </c>
      <c r="E61" s="426"/>
      <c r="F61" s="426"/>
      <c r="G61" s="426"/>
      <c r="H61" s="426"/>
      <c r="I61" s="426"/>
      <c r="J61" s="93"/>
      <c r="K61" s="93"/>
      <c r="L61" s="93"/>
      <c r="M61" s="93"/>
      <c r="N61" s="93"/>
      <c r="O61" s="93"/>
      <c r="P61" s="93"/>
      <c r="Q61" s="93"/>
      <c r="R61" s="93"/>
    </row>
    <row r="62" spans="1:18" outlineLevel="1">
      <c r="A62" s="93"/>
      <c r="B62" s="299"/>
      <c r="C62" s="93"/>
      <c r="D62" s="426"/>
      <c r="E62" s="426"/>
      <c r="F62" s="426"/>
      <c r="G62" s="426"/>
      <c r="H62" s="426"/>
      <c r="I62" s="426"/>
      <c r="J62" s="93"/>
      <c r="K62" s="93"/>
      <c r="L62" s="93"/>
      <c r="M62" s="93"/>
      <c r="N62" s="93"/>
      <c r="O62" s="93"/>
      <c r="P62" s="93"/>
      <c r="Q62" s="93"/>
      <c r="R62" s="93"/>
    </row>
    <row r="63" spans="1:18" outlineLevel="1">
      <c r="A63" s="93" t="s">
        <v>376</v>
      </c>
      <c r="B63" s="341">
        <v>10.6</v>
      </c>
      <c r="C63" s="93" t="s">
        <v>859</v>
      </c>
      <c r="D63" s="426" t="s">
        <v>403</v>
      </c>
      <c r="E63" s="426"/>
      <c r="F63" s="426"/>
      <c r="G63" s="426"/>
      <c r="H63" s="426"/>
      <c r="I63" s="426"/>
      <c r="J63" s="93"/>
      <c r="K63" s="93"/>
      <c r="L63" s="93"/>
      <c r="M63" s="93"/>
      <c r="N63" s="93"/>
      <c r="O63" s="93"/>
      <c r="P63" s="93"/>
      <c r="Q63" s="93"/>
      <c r="R63" s="93"/>
    </row>
    <row r="64" spans="1:18" ht="13" outlineLevel="1" thickBot="1">
      <c r="A64" s="93"/>
      <c r="B64" s="299"/>
      <c r="C64" s="93"/>
      <c r="D64" s="426"/>
      <c r="E64" s="426"/>
      <c r="F64" s="426"/>
      <c r="G64" s="426"/>
      <c r="H64" s="426"/>
      <c r="I64" s="426"/>
      <c r="J64" s="93"/>
      <c r="K64" s="93"/>
      <c r="L64" s="93"/>
      <c r="M64" s="93"/>
      <c r="N64" s="93"/>
      <c r="O64" s="93"/>
      <c r="P64" s="93"/>
      <c r="Q64" s="93"/>
      <c r="R64" s="93"/>
    </row>
    <row r="65" spans="1:18" ht="13.5" outlineLevel="1" thickBot="1">
      <c r="A65" s="93" t="s">
        <v>397</v>
      </c>
      <c r="B65" s="42">
        <f>B61-B63</f>
        <v>5.4482421752840597</v>
      </c>
      <c r="C65" s="93" t="s">
        <v>859</v>
      </c>
      <c r="D65" s="426"/>
      <c r="E65" s="426"/>
      <c r="F65" s="426"/>
      <c r="G65" s="426"/>
      <c r="H65" s="426"/>
      <c r="I65" s="426"/>
      <c r="J65" s="93"/>
      <c r="K65" s="93"/>
      <c r="L65" s="93"/>
      <c r="M65" s="93"/>
      <c r="N65" s="93"/>
      <c r="O65" s="93"/>
      <c r="P65" s="93"/>
      <c r="Q65" s="93"/>
      <c r="R65" s="93"/>
    </row>
    <row r="66" spans="1:18" outlineLevel="1">
      <c r="A66" s="100"/>
      <c r="B66" s="100"/>
      <c r="C66" s="100"/>
      <c r="D66" s="426"/>
      <c r="E66" s="426"/>
      <c r="F66" s="426"/>
      <c r="G66" s="426"/>
      <c r="H66" s="426"/>
      <c r="I66" s="426"/>
      <c r="J66" s="93"/>
      <c r="K66" s="93"/>
      <c r="L66" s="93"/>
      <c r="M66" s="93"/>
      <c r="N66" s="93"/>
      <c r="O66" s="93"/>
      <c r="P66" s="93"/>
      <c r="Q66" s="93"/>
      <c r="R66" s="93"/>
    </row>
    <row r="67" spans="1:18" outlineLevel="1">
      <c r="A67" s="93"/>
      <c r="B67" s="93"/>
      <c r="C67" s="93"/>
      <c r="D67" s="426"/>
      <c r="E67" s="426"/>
      <c r="F67" s="426"/>
      <c r="G67" s="426"/>
      <c r="H67" s="426"/>
      <c r="I67" s="426"/>
      <c r="J67" s="93"/>
      <c r="K67" s="93"/>
      <c r="L67" s="93"/>
      <c r="M67" s="93"/>
      <c r="N67" s="93"/>
      <c r="O67" s="93"/>
      <c r="P67" s="93"/>
      <c r="Q67" s="93"/>
      <c r="R67" s="93"/>
    </row>
    <row r="68" spans="1:18" outlineLevel="1">
      <c r="A68" s="93"/>
      <c r="B68" s="93"/>
      <c r="C68" s="93"/>
      <c r="D68" s="426"/>
      <c r="E68" s="426"/>
      <c r="F68" s="426"/>
      <c r="G68" s="426"/>
      <c r="H68" s="426"/>
      <c r="I68" s="426"/>
      <c r="J68" s="93"/>
      <c r="K68" s="93"/>
      <c r="L68" s="93"/>
      <c r="M68" s="93"/>
      <c r="N68" s="93"/>
      <c r="O68" s="93"/>
      <c r="P68" s="93"/>
      <c r="Q68" s="93"/>
      <c r="R68" s="93"/>
    </row>
    <row r="69" spans="1:18">
      <c r="B69" s="40" t="s">
        <v>817</v>
      </c>
      <c r="C69" t="s">
        <v>817</v>
      </c>
    </row>
    <row r="70" spans="1:18">
      <c r="B70" s="40"/>
    </row>
  </sheetData>
  <phoneticPr fontId="0" type="noConversion"/>
  <pageMargins left="0.75" right="0.75" top="1" bottom="1" header="0.5" footer="0.5"/>
  <pageSetup paperSize="9" orientation="portrait" horizontalDpi="4294967293" verticalDpi="0"/>
  <headerFooter alignWithMargins="0"/>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Normal="100" workbookViewId="0">
      <selection activeCell="D43" sqref="D43"/>
    </sheetView>
  </sheetViews>
  <sheetFormatPr defaultColWidth="8.81640625" defaultRowHeight="12.5" outlineLevelRow="1" outlineLevelCol="1"/>
  <cols>
    <col min="1" max="1" width="40" customWidth="1"/>
    <col min="2" max="2" width="15.1796875" customWidth="1"/>
    <col min="3" max="3" width="12.36328125" customWidth="1"/>
    <col min="4" max="4" width="25.453125" customWidth="1" outlineLevel="1"/>
    <col min="5" max="6" width="9.1796875" customWidth="1" outlineLevel="1"/>
    <col min="7" max="7" width="9.453125" customWidth="1" outlineLevel="1"/>
    <col min="8" max="8" width="9.1796875" customWidth="1" outlineLevel="1"/>
    <col min="9" max="9" width="14.36328125" customWidth="1" outlineLevel="1"/>
    <col min="10" max="10" width="22.453125" customWidth="1" outlineLevel="1"/>
  </cols>
  <sheetData>
    <row r="1" spans="1:18" ht="18">
      <c r="A1" s="45" t="str">
        <f>'Title Page'!F3</f>
        <v>OreSat - CS0 (DxWiFi)</v>
      </c>
      <c r="B1" s="753" t="s">
        <v>140</v>
      </c>
      <c r="C1" s="46" t="s">
        <v>817</v>
      </c>
      <c r="D1" s="687" t="str">
        <f>'Title Page'!F3</f>
        <v>OreSat - CS0 (DxWiFi)</v>
      </c>
      <c r="E1" s="60" t="s">
        <v>817</v>
      </c>
      <c r="F1" s="60" t="str">
        <f>'Title Page'!D23</f>
        <v>Date Data Last Modified:</v>
      </c>
      <c r="G1" s="60"/>
      <c r="H1" s="46"/>
      <c r="I1" s="46"/>
      <c r="J1" s="46"/>
      <c r="K1" s="46"/>
      <c r="L1" s="46"/>
      <c r="M1" s="46"/>
      <c r="N1" s="46"/>
      <c r="O1" s="46"/>
      <c r="P1" s="46"/>
      <c r="Q1" s="46"/>
      <c r="R1" s="46"/>
    </row>
    <row r="2" spans="1:18" ht="20">
      <c r="A2" s="47" t="s">
        <v>864</v>
      </c>
      <c r="B2" s="46"/>
      <c r="C2" s="46"/>
      <c r="D2" s="60" t="str">
        <f>'Title Page'!G1</f>
        <v xml:space="preserve"> Version: 2.5.5</v>
      </c>
      <c r="E2" s="60"/>
      <c r="F2" s="61" t="str">
        <f>'Title Page'!F23</f>
        <v>2019 February 1</v>
      </c>
      <c r="G2" s="60"/>
      <c r="H2" s="46"/>
      <c r="I2" s="46"/>
      <c r="J2" s="46"/>
      <c r="K2" s="46"/>
      <c r="L2" s="46"/>
      <c r="M2" s="46"/>
      <c r="N2" s="46"/>
      <c r="O2" s="46"/>
      <c r="P2" s="46"/>
      <c r="Q2" s="46"/>
      <c r="R2" s="46"/>
    </row>
    <row r="3" spans="1:18" ht="13">
      <c r="A3" s="46"/>
      <c r="B3" s="46"/>
      <c r="C3" s="46"/>
      <c r="D3" s="60"/>
      <c r="E3" s="60"/>
      <c r="F3" s="60"/>
      <c r="G3" s="60"/>
      <c r="H3" s="46"/>
      <c r="I3" s="46"/>
      <c r="J3" s="46"/>
      <c r="K3" s="46"/>
      <c r="L3" s="46"/>
      <c r="M3" s="46"/>
      <c r="N3" s="46"/>
      <c r="O3" s="46"/>
      <c r="P3" s="46"/>
      <c r="Q3" s="46"/>
      <c r="R3" s="46"/>
    </row>
    <row r="4" spans="1:18" ht="13">
      <c r="A4" s="31" t="s">
        <v>818</v>
      </c>
      <c r="B4" s="31" t="s">
        <v>819</v>
      </c>
      <c r="C4" s="31" t="s">
        <v>865</v>
      </c>
      <c r="D4" s="31" t="s">
        <v>866</v>
      </c>
      <c r="E4" s="39"/>
      <c r="F4" s="39"/>
      <c r="G4" s="39"/>
      <c r="H4" s="39"/>
      <c r="I4" s="39"/>
      <c r="J4" s="39"/>
      <c r="K4" s="39"/>
      <c r="L4" s="39"/>
      <c r="M4" s="39"/>
      <c r="N4" s="39"/>
      <c r="O4" s="39"/>
      <c r="P4" s="39"/>
      <c r="Q4" s="39"/>
      <c r="R4" s="39"/>
    </row>
    <row r="5" spans="1:18" ht="13">
      <c r="A5" s="65" t="s">
        <v>867</v>
      </c>
      <c r="B5" s="25"/>
      <c r="C5" s="25"/>
      <c r="D5" s="25"/>
      <c r="E5" s="25"/>
      <c r="F5" s="25"/>
      <c r="G5" s="25"/>
      <c r="H5" s="25"/>
      <c r="I5" s="25"/>
      <c r="J5" s="25"/>
      <c r="K5" s="25"/>
      <c r="L5" s="25"/>
      <c r="M5" s="25"/>
      <c r="N5" s="25"/>
      <c r="O5" s="25"/>
      <c r="P5" s="25"/>
      <c r="Q5" s="25"/>
      <c r="R5" s="25"/>
    </row>
    <row r="6" spans="1:18">
      <c r="A6" s="93" t="s">
        <v>927</v>
      </c>
      <c r="B6" s="434">
        <f>Transmitters!E58</f>
        <v>1.8</v>
      </c>
      <c r="C6" s="93" t="s">
        <v>883</v>
      </c>
      <c r="D6" s="426" t="s">
        <v>412</v>
      </c>
      <c r="E6" s="426"/>
      <c r="F6" s="426"/>
      <c r="G6" s="426"/>
      <c r="H6" s="426"/>
      <c r="I6" s="426"/>
      <c r="J6" s="426"/>
      <c r="K6" s="93"/>
      <c r="L6" s="427" t="s">
        <v>408</v>
      </c>
      <c r="M6" s="418"/>
      <c r="N6" s="418"/>
      <c r="O6" s="418"/>
      <c r="P6" s="418"/>
      <c r="Q6" s="417"/>
      <c r="R6" s="93"/>
    </row>
    <row r="7" spans="1:18">
      <c r="A7" s="431" t="s">
        <v>889</v>
      </c>
      <c r="B7" s="134">
        <f>10*LOG10(B6)</f>
        <v>2.5527250510330606</v>
      </c>
      <c r="C7" s="93" t="s">
        <v>884</v>
      </c>
      <c r="D7" s="426" t="s">
        <v>404</v>
      </c>
      <c r="E7" s="426"/>
      <c r="F7" s="426"/>
      <c r="G7" s="426"/>
      <c r="H7" s="426"/>
      <c r="I7" s="426"/>
      <c r="J7" s="426"/>
      <c r="K7" s="93"/>
      <c r="L7" s="93"/>
      <c r="M7" s="93"/>
      <c r="N7" s="93"/>
      <c r="O7" s="93"/>
      <c r="P7" s="93"/>
      <c r="Q7" s="93"/>
      <c r="R7" s="93"/>
    </row>
    <row r="8" spans="1:18">
      <c r="A8" s="431" t="s">
        <v>890</v>
      </c>
      <c r="B8" s="346">
        <f>B7+30</f>
        <v>32.552725051033057</v>
      </c>
      <c r="C8" s="93" t="s">
        <v>885</v>
      </c>
      <c r="D8" s="426" t="s">
        <v>405</v>
      </c>
      <c r="E8" s="426"/>
      <c r="F8" s="426"/>
      <c r="G8" s="426"/>
      <c r="H8" s="426"/>
      <c r="I8" s="426"/>
      <c r="J8" s="426"/>
      <c r="K8" s="93"/>
      <c r="L8" s="93"/>
      <c r="M8" s="93"/>
      <c r="N8" s="93"/>
      <c r="O8" s="93"/>
      <c r="P8" s="93"/>
      <c r="Q8" s="93"/>
      <c r="R8" s="93"/>
    </row>
    <row r="9" spans="1:18">
      <c r="A9" s="93" t="s">
        <v>305</v>
      </c>
      <c r="B9" s="435">
        <f>Transmitters!I83</f>
        <v>1.6260000000000001</v>
      </c>
      <c r="C9" s="93" t="s">
        <v>859</v>
      </c>
      <c r="D9" s="426" t="s">
        <v>414</v>
      </c>
      <c r="E9" s="426"/>
      <c r="F9" s="426"/>
      <c r="G9" s="426"/>
      <c r="H9" s="426"/>
      <c r="I9" s="426"/>
      <c r="J9" s="426"/>
      <c r="K9" s="93"/>
      <c r="L9" s="93"/>
      <c r="M9" s="93"/>
      <c r="N9" s="93"/>
      <c r="O9" s="93"/>
      <c r="P9" s="93"/>
      <c r="Q9" s="93"/>
      <c r="R9" s="93"/>
    </row>
    <row r="10" spans="1:18">
      <c r="A10" s="93" t="s">
        <v>915</v>
      </c>
      <c r="B10" s="434">
        <f>INDEX('Antenna Gain'!H43:H49,'Antenna Gain'!E41,1)</f>
        <v>12</v>
      </c>
      <c r="C10" s="93" t="s">
        <v>36</v>
      </c>
      <c r="D10" s="426" t="s">
        <v>753</v>
      </c>
      <c r="E10" s="426"/>
      <c r="F10" s="426"/>
      <c r="G10" s="426"/>
      <c r="H10" s="426"/>
      <c r="I10" s="426"/>
      <c r="J10" s="426"/>
      <c r="K10" s="93"/>
      <c r="L10" s="93"/>
      <c r="M10" s="93"/>
      <c r="N10" s="93"/>
      <c r="O10" s="93"/>
      <c r="P10" s="93"/>
      <c r="Q10" s="93"/>
      <c r="R10" s="93"/>
    </row>
    <row r="11" spans="1:18">
      <c r="A11" s="93" t="s">
        <v>869</v>
      </c>
      <c r="B11" s="134">
        <f>B7-B9+B10</f>
        <v>12.92672505103306</v>
      </c>
      <c r="C11" s="93" t="s">
        <v>884</v>
      </c>
      <c r="D11" s="426" t="s">
        <v>902</v>
      </c>
      <c r="E11" s="426"/>
      <c r="F11" s="426"/>
      <c r="G11" s="426"/>
      <c r="H11" s="426"/>
      <c r="I11" s="426"/>
      <c r="J11" s="426"/>
      <c r="K11" s="93"/>
      <c r="L11" s="93"/>
      <c r="M11" s="93"/>
      <c r="N11" s="93"/>
      <c r="O11" s="93"/>
      <c r="P11" s="93"/>
      <c r="Q11" s="93"/>
      <c r="R11" s="93"/>
    </row>
    <row r="12" spans="1:18" ht="13">
      <c r="A12" s="65" t="s">
        <v>870</v>
      </c>
      <c r="B12" s="66"/>
      <c r="C12" s="25"/>
      <c r="D12" s="25"/>
      <c r="E12" s="25"/>
      <c r="F12" s="25"/>
      <c r="G12" s="25"/>
      <c r="H12" s="25"/>
      <c r="I12" s="25"/>
      <c r="J12" s="25"/>
      <c r="K12" s="25"/>
      <c r="L12" s="25"/>
      <c r="M12" s="25"/>
      <c r="N12" s="25"/>
      <c r="O12" s="25"/>
      <c r="P12" s="25"/>
      <c r="Q12" s="25"/>
      <c r="R12" s="25"/>
    </row>
    <row r="13" spans="1:18">
      <c r="A13" s="93" t="s">
        <v>907</v>
      </c>
      <c r="B13" s="435">
        <f>'Antenna Pointing Losses'!K85</f>
        <v>0</v>
      </c>
      <c r="C13" s="93" t="s">
        <v>859</v>
      </c>
      <c r="D13" s="426" t="s">
        <v>754</v>
      </c>
      <c r="E13" s="426"/>
      <c r="F13" s="426"/>
      <c r="G13" s="426"/>
      <c r="H13" s="426"/>
      <c r="I13" s="426"/>
      <c r="J13" s="426"/>
      <c r="K13" s="93"/>
      <c r="L13" s="93"/>
      <c r="M13" s="93"/>
      <c r="N13" s="93"/>
      <c r="O13" s="93"/>
      <c r="P13" s="93"/>
      <c r="Q13" s="93"/>
      <c r="R13" s="93"/>
    </row>
    <row r="14" spans="1:18">
      <c r="A14" s="93" t="s">
        <v>306</v>
      </c>
      <c r="B14" s="434">
        <f>'Antenna Polarization Loss'!F60</f>
        <v>5.7437907597720189E-2</v>
      </c>
      <c r="C14" s="93" t="s">
        <v>859</v>
      </c>
      <c r="D14" s="426" t="s">
        <v>409</v>
      </c>
      <c r="E14" s="426"/>
      <c r="F14" s="426"/>
      <c r="G14" s="426"/>
      <c r="H14" s="426"/>
      <c r="I14" s="426"/>
      <c r="J14" s="426"/>
      <c r="K14" s="93"/>
      <c r="L14" s="93"/>
      <c r="M14" s="93"/>
      <c r="N14" s="93"/>
      <c r="O14" s="93"/>
      <c r="P14" s="93"/>
      <c r="Q14" s="93"/>
      <c r="R14" s="93"/>
    </row>
    <row r="15" spans="1:18">
      <c r="A15" s="93" t="s">
        <v>858</v>
      </c>
      <c r="B15" s="436">
        <f>Frequency!M18</f>
        <v>157.5988935799457</v>
      </c>
      <c r="C15" s="93" t="s">
        <v>859</v>
      </c>
      <c r="D15" s="426" t="s">
        <v>385</v>
      </c>
      <c r="E15" s="426"/>
      <c r="F15" s="426"/>
      <c r="G15" s="426"/>
      <c r="H15" s="426"/>
      <c r="I15" s="426"/>
      <c r="J15" s="426"/>
      <c r="K15" s="93"/>
      <c r="L15" s="93"/>
      <c r="M15" s="93"/>
      <c r="N15" s="93"/>
      <c r="O15" s="93"/>
      <c r="P15" s="93"/>
      <c r="Q15" s="93"/>
      <c r="R15" s="93"/>
    </row>
    <row r="16" spans="1:18">
      <c r="A16" s="93" t="s">
        <v>913</v>
      </c>
      <c r="B16" s="437">
        <f>'Atmos. &amp; Ionos. Losses'!D23</f>
        <v>0.4</v>
      </c>
      <c r="C16" s="93" t="s">
        <v>859</v>
      </c>
      <c r="D16" s="426" t="s">
        <v>307</v>
      </c>
      <c r="E16" s="426"/>
      <c r="F16" s="426"/>
      <c r="G16" s="426"/>
      <c r="H16" s="426"/>
      <c r="I16" s="426"/>
      <c r="J16" s="426"/>
      <c r="K16" s="93"/>
      <c r="L16" s="93"/>
      <c r="M16" s="93"/>
      <c r="N16" s="93"/>
      <c r="O16" s="93"/>
      <c r="P16" s="93"/>
      <c r="Q16" s="93"/>
      <c r="R16" s="93"/>
    </row>
    <row r="17" spans="1:19">
      <c r="A17" s="93" t="s">
        <v>914</v>
      </c>
      <c r="B17" s="435">
        <f>INDEX('Atmos. &amp; Ionos. Losses'!D45:D48,Frequency!L16,1)</f>
        <v>0.1</v>
      </c>
      <c r="C17" s="93" t="s">
        <v>859</v>
      </c>
      <c r="D17" s="426" t="s">
        <v>309</v>
      </c>
      <c r="E17" s="426"/>
      <c r="F17" s="426"/>
      <c r="G17" s="426"/>
      <c r="H17" s="426"/>
      <c r="I17" s="426"/>
      <c r="J17" s="426"/>
      <c r="K17" s="93"/>
      <c r="L17" s="93"/>
      <c r="M17" s="93"/>
      <c r="N17" s="93"/>
      <c r="O17" s="93"/>
      <c r="P17" s="93"/>
      <c r="Q17" s="93"/>
      <c r="R17" s="93"/>
    </row>
    <row r="18" spans="1:19">
      <c r="A18" s="93" t="s">
        <v>908</v>
      </c>
      <c r="B18" s="438">
        <v>0</v>
      </c>
      <c r="C18" s="93" t="s">
        <v>859</v>
      </c>
      <c r="D18" s="426" t="s">
        <v>317</v>
      </c>
      <c r="E18" s="426"/>
      <c r="F18" s="426"/>
      <c r="G18" s="426"/>
      <c r="H18" s="426"/>
      <c r="I18" s="426"/>
      <c r="J18" s="426" t="s">
        <v>817</v>
      </c>
      <c r="K18" s="93"/>
      <c r="L18" s="93"/>
      <c r="M18" s="93"/>
      <c r="N18" s="93"/>
      <c r="O18" s="93"/>
      <c r="P18" s="93"/>
      <c r="Q18" s="93"/>
      <c r="R18" s="93"/>
    </row>
    <row r="19" spans="1:19">
      <c r="A19" s="93" t="s">
        <v>874</v>
      </c>
      <c r="B19" s="422">
        <f>B11-SUM(B13:B18)</f>
        <v>-145.22960643651035</v>
      </c>
      <c r="C19" s="93" t="s">
        <v>884</v>
      </c>
      <c r="D19" s="426" t="s">
        <v>424</v>
      </c>
      <c r="E19" s="426"/>
      <c r="F19" s="426"/>
      <c r="G19" s="426"/>
      <c r="H19" s="426"/>
      <c r="I19" s="426"/>
      <c r="J19" s="426"/>
      <c r="K19" s="93"/>
      <c r="L19" s="93"/>
      <c r="M19" s="93"/>
      <c r="N19" s="93"/>
      <c r="O19" s="93"/>
      <c r="P19" s="93"/>
      <c r="Q19" s="93"/>
      <c r="R19" s="93"/>
    </row>
    <row r="20" spans="1:19" ht="13">
      <c r="A20" s="65" t="s">
        <v>407</v>
      </c>
      <c r="B20" s="25"/>
      <c r="C20" s="25"/>
      <c r="D20" s="25"/>
      <c r="E20" s="25"/>
      <c r="F20" s="25"/>
      <c r="G20" s="25"/>
      <c r="H20" s="25"/>
      <c r="I20" s="25"/>
      <c r="J20" s="38" t="s">
        <v>817</v>
      </c>
      <c r="K20" s="44"/>
      <c r="L20" s="44"/>
      <c r="M20" s="44"/>
      <c r="N20" s="44"/>
      <c r="O20" s="25"/>
      <c r="P20" s="25"/>
      <c r="Q20" s="25"/>
      <c r="R20" s="25"/>
      <c r="S20" s="137"/>
    </row>
    <row r="21" spans="1:19" ht="13" outlineLevel="1">
      <c r="A21" s="65" t="s">
        <v>937</v>
      </c>
      <c r="B21" s="25"/>
      <c r="C21" s="25"/>
      <c r="D21" s="25"/>
      <c r="E21" s="25"/>
      <c r="F21" s="25"/>
      <c r="G21" s="25"/>
      <c r="H21" s="25"/>
      <c r="I21" s="25"/>
      <c r="J21" s="38" t="s">
        <v>817</v>
      </c>
      <c r="K21" s="44"/>
      <c r="L21" s="44"/>
      <c r="M21" s="44"/>
      <c r="N21" s="44"/>
      <c r="O21" s="25"/>
      <c r="P21" s="25"/>
      <c r="Q21" s="25"/>
      <c r="R21" s="25"/>
      <c r="S21" s="137"/>
    </row>
    <row r="22" spans="1:19" outlineLevel="1">
      <c r="A22" s="433" t="s">
        <v>896</v>
      </c>
      <c r="B22" s="435">
        <f>'Antenna Pointing Losses'!K102</f>
        <v>0.71302177034341041</v>
      </c>
      <c r="C22" s="93" t="s">
        <v>859</v>
      </c>
      <c r="D22" s="426" t="s">
        <v>758</v>
      </c>
      <c r="E22" s="426"/>
      <c r="F22" s="426"/>
      <c r="G22" s="426"/>
      <c r="H22" s="426"/>
      <c r="I22" s="426"/>
      <c r="J22" s="426"/>
      <c r="K22" s="436"/>
      <c r="L22" s="93"/>
      <c r="M22" s="93"/>
      <c r="N22" s="93"/>
      <c r="O22" s="93"/>
      <c r="P22" s="93"/>
      <c r="Q22" s="93"/>
      <c r="R22" s="93"/>
    </row>
    <row r="23" spans="1:19" outlineLevel="1">
      <c r="A23" s="93" t="s">
        <v>876</v>
      </c>
      <c r="B23" s="434">
        <f>INDEX('Antenna Gain'!N60:N63,'Antenna Gain'!E58,1)</f>
        <v>22.9</v>
      </c>
      <c r="C23" s="93" t="s">
        <v>36</v>
      </c>
      <c r="D23" s="426" t="s">
        <v>759</v>
      </c>
      <c r="E23" s="426"/>
      <c r="F23" s="426"/>
      <c r="G23" s="426"/>
      <c r="H23" s="426"/>
      <c r="I23" s="426"/>
      <c r="J23" s="426"/>
      <c r="K23" s="436"/>
      <c r="L23" s="93"/>
      <c r="M23" s="93"/>
      <c r="N23" s="93"/>
      <c r="O23" s="93"/>
      <c r="P23" s="93"/>
      <c r="Q23" s="93"/>
      <c r="R23" s="93"/>
    </row>
    <row r="24" spans="1:19" outlineLevel="1">
      <c r="A24" s="93" t="s">
        <v>324</v>
      </c>
      <c r="B24" s="435">
        <f>Receivers!J128</f>
        <v>0.4</v>
      </c>
      <c r="C24" s="93" t="s">
        <v>859</v>
      </c>
      <c r="D24" s="426" t="s">
        <v>325</v>
      </c>
      <c r="E24" s="426"/>
      <c r="F24" s="426"/>
      <c r="G24" s="426"/>
      <c r="H24" s="426"/>
      <c r="I24" s="426"/>
      <c r="J24" s="426"/>
      <c r="K24" s="93"/>
      <c r="L24" s="93"/>
      <c r="M24" s="93"/>
      <c r="N24" s="93"/>
      <c r="O24" s="93"/>
      <c r="P24" s="93"/>
      <c r="Q24" s="93"/>
      <c r="R24" s="93"/>
    </row>
    <row r="25" spans="1:19" outlineLevel="1">
      <c r="A25" s="93" t="s">
        <v>877</v>
      </c>
      <c r="B25" s="439">
        <f>Receivers!J151</f>
        <v>949.68410600554353</v>
      </c>
      <c r="C25" s="93" t="s">
        <v>887</v>
      </c>
      <c r="D25" s="426" t="s">
        <v>323</v>
      </c>
      <c r="E25" s="426"/>
      <c r="F25" s="426"/>
      <c r="G25" s="426"/>
      <c r="H25" s="426"/>
      <c r="I25" s="426"/>
      <c r="J25" s="426"/>
      <c r="K25" s="439"/>
      <c r="L25" s="93"/>
      <c r="M25" s="93"/>
      <c r="N25" s="93"/>
      <c r="O25" s="93"/>
      <c r="P25" s="93"/>
      <c r="Q25" s="93"/>
      <c r="R25" s="93"/>
    </row>
    <row r="26" spans="1:19" outlineLevel="1">
      <c r="A26" s="93" t="s">
        <v>878</v>
      </c>
      <c r="B26" s="436">
        <f>B23-B24-10*LOG10(B25)</f>
        <v>-7.2757916967506375</v>
      </c>
      <c r="C26" s="93" t="s">
        <v>888</v>
      </c>
      <c r="D26" s="426" t="s">
        <v>398</v>
      </c>
      <c r="E26" s="426"/>
      <c r="F26" s="426"/>
      <c r="G26" s="426"/>
      <c r="H26" s="426"/>
      <c r="I26" s="426"/>
      <c r="J26" s="426"/>
      <c r="K26" s="436"/>
      <c r="L26" s="93"/>
      <c r="M26" s="93"/>
      <c r="N26" s="93"/>
      <c r="O26" s="93"/>
      <c r="P26" s="93"/>
      <c r="Q26" s="93"/>
      <c r="R26" s="93"/>
    </row>
    <row r="27" spans="1:19" outlineLevel="1">
      <c r="A27" s="93" t="s">
        <v>879</v>
      </c>
      <c r="B27" s="422">
        <f>B19-B22-F27+B26</f>
        <v>75.381580096395595</v>
      </c>
      <c r="C27" s="93" t="s">
        <v>893</v>
      </c>
      <c r="D27" s="444" t="s">
        <v>891</v>
      </c>
      <c r="E27" s="445"/>
      <c r="F27" s="445">
        <v>-228.6</v>
      </c>
      <c r="G27" s="446" t="s">
        <v>892</v>
      </c>
      <c r="H27" s="190"/>
      <c r="I27" s="426"/>
      <c r="J27" s="426"/>
      <c r="K27" s="299"/>
      <c r="L27" s="93"/>
      <c r="M27" s="93"/>
      <c r="N27" s="93"/>
      <c r="O27" s="93"/>
      <c r="P27" s="93"/>
      <c r="Q27" s="93"/>
      <c r="R27" s="93"/>
    </row>
    <row r="28" spans="1:19" outlineLevel="1">
      <c r="A28" s="93" t="s">
        <v>880</v>
      </c>
      <c r="B28" s="972">
        <v>1000000</v>
      </c>
      <c r="C28" s="93" t="s">
        <v>894</v>
      </c>
      <c r="D28" s="426" t="s">
        <v>327</v>
      </c>
      <c r="E28" s="426"/>
      <c r="F28" s="426"/>
      <c r="G28" s="426"/>
      <c r="H28" s="426"/>
      <c r="I28" s="426"/>
      <c r="J28" s="426"/>
      <c r="K28" s="451"/>
      <c r="L28" s="93"/>
      <c r="M28" s="93"/>
      <c r="N28" s="93"/>
      <c r="O28" s="93"/>
      <c r="P28" s="93"/>
      <c r="Q28" s="93"/>
      <c r="R28" s="93"/>
    </row>
    <row r="29" spans="1:19" outlineLevel="1">
      <c r="A29" s="431" t="s">
        <v>895</v>
      </c>
      <c r="B29" s="447">
        <f>10*LOG10(B28)</f>
        <v>60</v>
      </c>
      <c r="C29" s="93" t="s">
        <v>893</v>
      </c>
      <c r="D29" s="426" t="s">
        <v>328</v>
      </c>
      <c r="E29" s="426"/>
      <c r="F29" s="426"/>
      <c r="G29" s="426"/>
      <c r="H29" s="426"/>
      <c r="I29" s="426"/>
      <c r="J29" s="426"/>
      <c r="K29" s="299"/>
      <c r="L29" s="93"/>
      <c r="M29" s="93"/>
      <c r="N29" s="93"/>
      <c r="O29" s="93"/>
      <c r="P29" s="93"/>
      <c r="Q29" s="93"/>
      <c r="R29" s="93"/>
    </row>
    <row r="30" spans="1:19" outlineLevel="1">
      <c r="A30" s="93" t="s">
        <v>326</v>
      </c>
      <c r="B30" s="422">
        <f>B27-B29</f>
        <v>15.381580096395595</v>
      </c>
      <c r="C30" s="93" t="s">
        <v>859</v>
      </c>
      <c r="D30" s="426" t="s">
        <v>817</v>
      </c>
      <c r="E30" s="426"/>
      <c r="F30" s="426"/>
      <c r="G30" s="426"/>
      <c r="H30" s="426"/>
      <c r="I30" s="426"/>
      <c r="J30" s="426"/>
      <c r="K30" s="299"/>
      <c r="L30" s="93"/>
      <c r="M30" s="93"/>
      <c r="N30" s="93"/>
      <c r="O30" s="93"/>
      <c r="P30" s="93"/>
      <c r="Q30" s="93"/>
      <c r="R30" s="93"/>
    </row>
    <row r="31" spans="1:19" outlineLevel="1">
      <c r="A31" s="93"/>
      <c r="B31" s="440"/>
      <c r="C31" s="93"/>
      <c r="D31" s="426"/>
      <c r="E31" s="426"/>
      <c r="F31" s="426"/>
      <c r="G31" s="426"/>
      <c r="H31" s="426"/>
      <c r="I31" s="426"/>
      <c r="J31" s="426"/>
      <c r="K31" s="299"/>
      <c r="L31" s="93"/>
      <c r="M31" s="93"/>
      <c r="N31" s="93"/>
      <c r="O31" s="93"/>
      <c r="P31" s="93"/>
      <c r="Q31" s="93"/>
      <c r="R31" s="93"/>
    </row>
    <row r="32" spans="1:19" outlineLevel="1">
      <c r="A32" s="93" t="s">
        <v>428</v>
      </c>
      <c r="B32" s="454" t="str">
        <f>INDEX('Modulation-Demodulation Method'!C33:C51,'Modulation-Demodulation Method'!E30,1)</f>
        <v>BPSK</v>
      </c>
      <c r="C32" s="432" t="s">
        <v>817</v>
      </c>
      <c r="D32" s="457" t="s">
        <v>430</v>
      </c>
      <c r="E32" s="426"/>
      <c r="F32" s="426"/>
      <c r="G32" s="426"/>
      <c r="H32" s="426"/>
      <c r="I32" s="426"/>
      <c r="J32" s="300"/>
      <c r="K32" s="93"/>
      <c r="L32" s="93"/>
      <c r="M32" s="93"/>
      <c r="N32" s="93"/>
      <c r="O32" s="93"/>
      <c r="P32" s="93"/>
      <c r="Q32" s="93"/>
      <c r="R32" s="93"/>
    </row>
    <row r="33" spans="1:19" outlineLevel="1">
      <c r="A33" s="93" t="s">
        <v>425</v>
      </c>
      <c r="B33" s="456" t="str">
        <f>INDEX('Modulation-Demodulation Method'!D33:D51,'Modulation-Demodulation Method'!E30,1)</f>
        <v>None</v>
      </c>
      <c r="C33" s="455"/>
      <c r="D33" s="430" t="s">
        <v>429</v>
      </c>
      <c r="E33" s="428"/>
      <c r="F33" s="426"/>
      <c r="G33" s="426"/>
      <c r="H33" s="426"/>
      <c r="I33" s="426"/>
      <c r="J33" s="426"/>
      <c r="K33" s="299"/>
      <c r="L33" s="93"/>
      <c r="M33" s="93"/>
      <c r="N33" s="93"/>
      <c r="O33" s="93"/>
      <c r="P33" s="93"/>
      <c r="Q33" s="93"/>
      <c r="R33" s="93"/>
    </row>
    <row r="34" spans="1:19" outlineLevel="1">
      <c r="A34" s="93"/>
      <c r="B34" s="441"/>
      <c r="C34" s="432"/>
      <c r="D34" s="429"/>
      <c r="E34" s="428"/>
      <c r="F34" s="426"/>
      <c r="G34" s="426"/>
      <c r="H34" s="426"/>
      <c r="I34" s="426"/>
      <c r="J34" s="426"/>
      <c r="K34" s="299"/>
      <c r="L34" s="93"/>
      <c r="M34" s="93"/>
      <c r="N34" s="93"/>
      <c r="O34" s="93"/>
      <c r="P34" s="93"/>
      <c r="Q34" s="93"/>
      <c r="R34" s="93"/>
    </row>
    <row r="35" spans="1:19" outlineLevel="1">
      <c r="A35" s="93" t="s">
        <v>330</v>
      </c>
      <c r="B35" s="423">
        <f>INDEX('Modulation-Demodulation Method'!E33:E51,'Modulation-Demodulation Method'!E30,1)</f>
        <v>1.0000000000000001E-5</v>
      </c>
      <c r="C35" s="432"/>
      <c r="D35" s="430" t="s">
        <v>373</v>
      </c>
      <c r="E35" s="428"/>
      <c r="F35" s="426"/>
      <c r="G35" s="426"/>
      <c r="H35" s="426"/>
      <c r="I35" s="426"/>
      <c r="J35" s="426"/>
      <c r="K35" s="299"/>
      <c r="L35" s="93"/>
      <c r="M35" s="93"/>
      <c r="N35" s="93"/>
      <c r="O35" s="93"/>
      <c r="P35" s="93"/>
      <c r="Q35" s="93"/>
      <c r="R35" s="93"/>
    </row>
    <row r="36" spans="1:19" outlineLevel="1">
      <c r="A36" s="93"/>
      <c r="B36" s="441"/>
      <c r="C36" s="432"/>
      <c r="D36" s="429"/>
      <c r="E36" s="428"/>
      <c r="F36" s="426"/>
      <c r="G36" s="426"/>
      <c r="H36" s="426"/>
      <c r="I36" s="426"/>
      <c r="J36" s="426"/>
      <c r="K36" s="299"/>
      <c r="L36" s="93"/>
      <c r="M36" s="93"/>
      <c r="N36" s="93"/>
      <c r="O36" s="93"/>
      <c r="P36" s="93"/>
      <c r="Q36" s="93"/>
      <c r="R36" s="93"/>
    </row>
    <row r="37" spans="1:19" outlineLevel="1">
      <c r="A37" s="93" t="s">
        <v>361</v>
      </c>
      <c r="B37" s="442">
        <f>'Modulation-Demodulation Method'!E53</f>
        <v>1</v>
      </c>
      <c r="C37" s="93" t="s">
        <v>859</v>
      </c>
      <c r="D37" s="426" t="s">
        <v>434</v>
      </c>
      <c r="E37" s="426"/>
      <c r="F37" s="426"/>
      <c r="G37" s="426"/>
      <c r="H37" s="426"/>
      <c r="I37" s="426"/>
      <c r="J37" s="426"/>
      <c r="K37" s="93"/>
      <c r="L37" s="93"/>
      <c r="M37" s="93"/>
      <c r="N37" s="93"/>
      <c r="O37" s="93"/>
      <c r="P37" s="93"/>
      <c r="Q37" s="93"/>
      <c r="R37" s="93"/>
    </row>
    <row r="38" spans="1:19" outlineLevel="1">
      <c r="A38" s="93"/>
      <c r="B38" s="443"/>
      <c r="C38" s="93"/>
      <c r="D38" s="426"/>
      <c r="E38" s="426"/>
      <c r="F38" s="426"/>
      <c r="G38" s="426"/>
      <c r="H38" s="426"/>
      <c r="I38" s="426"/>
      <c r="J38" s="426"/>
      <c r="K38" s="93"/>
      <c r="L38" s="93"/>
      <c r="M38" s="93"/>
      <c r="N38" s="93"/>
      <c r="O38" s="93"/>
      <c r="P38" s="93"/>
      <c r="Q38" s="93"/>
      <c r="R38" s="93"/>
    </row>
    <row r="39" spans="1:19" outlineLevel="1">
      <c r="A39" s="93" t="s">
        <v>881</v>
      </c>
      <c r="B39" s="461">
        <f>INDEX('Modulation-Demodulation Method'!F33:F51,'Modulation-Demodulation Method'!E30,1)</f>
        <v>9.6</v>
      </c>
      <c r="C39" s="93" t="s">
        <v>859</v>
      </c>
      <c r="D39" s="426" t="s">
        <v>329</v>
      </c>
      <c r="E39" s="426"/>
      <c r="F39" s="426"/>
      <c r="G39" s="426"/>
      <c r="H39" s="426"/>
      <c r="I39" s="426"/>
      <c r="J39" s="426"/>
      <c r="K39" s="436"/>
      <c r="L39" s="93"/>
      <c r="M39" s="93"/>
      <c r="N39" s="93"/>
      <c r="O39" s="93"/>
      <c r="P39" s="93"/>
      <c r="Q39" s="93"/>
      <c r="R39" s="93"/>
    </row>
    <row r="40" spans="1:19" outlineLevel="1">
      <c r="A40" s="93"/>
      <c r="B40" s="437"/>
      <c r="C40" s="93"/>
      <c r="D40" s="426"/>
      <c r="E40" s="426"/>
      <c r="F40" s="426"/>
      <c r="G40" s="426"/>
      <c r="H40" s="426"/>
      <c r="I40" s="426"/>
      <c r="J40" s="426"/>
      <c r="K40" s="436"/>
      <c r="L40" s="93"/>
      <c r="M40" s="93"/>
      <c r="N40" s="93"/>
      <c r="O40" s="93"/>
      <c r="P40" s="93"/>
      <c r="Q40" s="93"/>
      <c r="R40" s="93"/>
    </row>
    <row r="41" spans="1:19" outlineLevel="1">
      <c r="A41" s="93" t="s">
        <v>362</v>
      </c>
      <c r="B41" s="424">
        <f>'Modulation-Demodulation Method'!H32</f>
        <v>10.6</v>
      </c>
      <c r="C41" s="93" t="s">
        <v>859</v>
      </c>
      <c r="D41" s="426" t="s">
        <v>374</v>
      </c>
      <c r="E41" s="426"/>
      <c r="F41" s="426"/>
      <c r="G41" s="426"/>
      <c r="H41" s="426"/>
      <c r="I41" s="426"/>
      <c r="J41" s="426"/>
      <c r="K41" s="436"/>
      <c r="L41" s="93"/>
      <c r="M41" s="93"/>
      <c r="N41" s="93"/>
      <c r="O41" s="93"/>
      <c r="P41" s="93"/>
      <c r="Q41" s="93"/>
      <c r="R41" s="93"/>
    </row>
    <row r="42" spans="1:19" ht="13" outlineLevel="1" thickBot="1">
      <c r="A42" s="93"/>
      <c r="B42" s="437"/>
      <c r="C42" s="93"/>
      <c r="D42" s="426"/>
      <c r="E42" s="426"/>
      <c r="F42" s="426"/>
      <c r="G42" s="426"/>
      <c r="H42" s="426"/>
      <c r="I42" s="426"/>
      <c r="J42" s="426"/>
      <c r="K42" s="436"/>
      <c r="L42" s="93"/>
      <c r="M42" s="93"/>
      <c r="N42" s="93"/>
      <c r="O42" s="93"/>
      <c r="P42" s="93"/>
      <c r="Q42" s="93"/>
      <c r="R42" s="93"/>
    </row>
    <row r="43" spans="1:19" ht="13.5" outlineLevel="1" thickBot="1">
      <c r="A43" s="122" t="s">
        <v>882</v>
      </c>
      <c r="B43" s="42">
        <f>B30-B41</f>
        <v>4.7815800963955954</v>
      </c>
      <c r="C43" s="93" t="s">
        <v>859</v>
      </c>
      <c r="D43" s="426"/>
      <c r="E43" s="426"/>
      <c r="F43" s="426"/>
      <c r="G43" s="426"/>
      <c r="H43" s="426"/>
      <c r="I43" s="426"/>
      <c r="J43" s="426"/>
      <c r="K43" s="93"/>
      <c r="L43" s="93"/>
      <c r="M43" s="93"/>
      <c r="N43" s="93"/>
      <c r="O43" s="93"/>
      <c r="P43" s="93"/>
      <c r="Q43" s="93"/>
      <c r="R43" s="93"/>
    </row>
    <row r="44" spans="1:19" ht="13" outlineLevel="1">
      <c r="A44" s="93"/>
      <c r="B44" s="93"/>
      <c r="C44" s="93"/>
      <c r="D44" s="426"/>
      <c r="E44" s="426"/>
      <c r="F44" s="426"/>
      <c r="G44" s="426"/>
      <c r="H44" s="426"/>
      <c r="I44" s="426"/>
      <c r="J44" s="426"/>
      <c r="K44" s="452"/>
      <c r="L44" s="93"/>
      <c r="M44" s="93"/>
      <c r="N44" s="93"/>
      <c r="O44" s="93"/>
      <c r="P44" s="93"/>
      <c r="Q44" s="93"/>
      <c r="R44" s="93"/>
    </row>
    <row r="45" spans="1:19" outlineLevel="1">
      <c r="A45" s="100"/>
      <c r="B45" s="100"/>
      <c r="C45" s="100"/>
      <c r="D45" s="143" t="s">
        <v>817</v>
      </c>
      <c r="E45" s="143"/>
      <c r="F45" s="143"/>
      <c r="G45" s="143"/>
      <c r="H45" s="143"/>
      <c r="I45" s="143"/>
      <c r="J45" s="143"/>
      <c r="K45" s="100"/>
      <c r="L45" s="100"/>
      <c r="M45" s="100"/>
      <c r="N45" s="100"/>
      <c r="O45" s="100"/>
      <c r="P45" s="100"/>
      <c r="Q45" s="100"/>
      <c r="R45" s="100"/>
      <c r="S45" s="425"/>
    </row>
    <row r="46" spans="1:19" ht="13">
      <c r="A46" s="450" t="s">
        <v>897</v>
      </c>
      <c r="B46" s="44"/>
      <c r="C46" s="44"/>
      <c r="D46" s="44"/>
      <c r="E46" s="44"/>
      <c r="F46" s="25"/>
      <c r="G46" s="25"/>
      <c r="H46" s="25"/>
      <c r="I46" s="25"/>
      <c r="J46" s="25"/>
      <c r="K46" s="25"/>
      <c r="L46" s="25"/>
      <c r="M46" s="25"/>
      <c r="N46" s="25"/>
      <c r="O46" s="25"/>
      <c r="P46" s="25"/>
      <c r="Q46" s="25"/>
      <c r="R46" s="25"/>
    </row>
    <row r="47" spans="1:19" ht="13" outlineLevel="1">
      <c r="A47" s="38" t="s">
        <v>938</v>
      </c>
      <c r="B47" s="44"/>
      <c r="C47" s="44"/>
      <c r="D47" s="44"/>
      <c r="E47" s="44"/>
      <c r="F47" s="25"/>
      <c r="G47" s="25"/>
      <c r="H47" s="25"/>
      <c r="I47" s="25"/>
      <c r="J47" s="25"/>
      <c r="K47" s="25"/>
      <c r="L47" s="25"/>
      <c r="M47" s="25"/>
      <c r="N47" s="25"/>
      <c r="O47" s="25"/>
      <c r="P47" s="25"/>
      <c r="Q47" s="25"/>
      <c r="R47" s="25"/>
    </row>
    <row r="48" spans="1:19" outlineLevel="1">
      <c r="A48" s="93" t="s">
        <v>896</v>
      </c>
      <c r="B48" s="436">
        <f>'Antenna Pointing Losses'!K102</f>
        <v>0.71302177034341041</v>
      </c>
      <c r="C48" s="93" t="s">
        <v>859</v>
      </c>
      <c r="D48" s="426" t="s">
        <v>758</v>
      </c>
      <c r="E48" s="426"/>
      <c r="F48" s="426"/>
      <c r="G48" s="426"/>
      <c r="H48" s="426"/>
      <c r="I48" s="426"/>
      <c r="J48" s="426"/>
      <c r="K48" s="93"/>
      <c r="L48" s="93"/>
      <c r="M48" s="93"/>
      <c r="N48" s="93"/>
      <c r="O48" s="93"/>
      <c r="P48" s="93"/>
      <c r="Q48" s="93"/>
      <c r="R48" s="93"/>
    </row>
    <row r="49" spans="1:18" outlineLevel="1">
      <c r="A49" s="93" t="s">
        <v>876</v>
      </c>
      <c r="B49" s="436">
        <f>INDEX('Antenna Gain'!N60:N63,'Antenna Gain'!E58,1)</f>
        <v>22.9</v>
      </c>
      <c r="C49" s="93" t="s">
        <v>36</v>
      </c>
      <c r="D49" s="426" t="s">
        <v>759</v>
      </c>
      <c r="E49" s="426"/>
      <c r="F49" s="426"/>
      <c r="G49" s="426"/>
      <c r="H49" s="426"/>
      <c r="I49" s="426"/>
      <c r="J49" s="426"/>
      <c r="K49" s="93"/>
      <c r="L49" s="93"/>
      <c r="M49" s="93"/>
      <c r="N49" s="93"/>
      <c r="O49" s="93"/>
      <c r="P49" s="93"/>
      <c r="Q49" s="93"/>
      <c r="R49" s="93"/>
    </row>
    <row r="50" spans="1:18" outlineLevel="1">
      <c r="A50" s="93" t="s">
        <v>324</v>
      </c>
      <c r="B50" s="436">
        <f>Receivers!J128</f>
        <v>0.4</v>
      </c>
      <c r="C50" s="93" t="s">
        <v>859</v>
      </c>
      <c r="D50" s="426" t="s">
        <v>325</v>
      </c>
      <c r="E50" s="426"/>
      <c r="F50" s="426"/>
      <c r="G50" s="426"/>
      <c r="H50" s="426"/>
      <c r="I50" s="426"/>
      <c r="J50" s="426"/>
      <c r="K50" s="93"/>
      <c r="L50" s="93"/>
      <c r="M50" s="93"/>
      <c r="N50" s="93"/>
      <c r="O50" s="93"/>
      <c r="P50" s="93"/>
      <c r="Q50" s="93"/>
      <c r="R50" s="93"/>
    </row>
    <row r="51" spans="1:18" outlineLevel="1">
      <c r="A51" s="93" t="s">
        <v>877</v>
      </c>
      <c r="B51" s="439">
        <f>Receivers!J151</f>
        <v>949.68410600554353</v>
      </c>
      <c r="C51" s="93" t="s">
        <v>887</v>
      </c>
      <c r="D51" s="426" t="s">
        <v>323</v>
      </c>
      <c r="E51" s="426"/>
      <c r="F51" s="426"/>
      <c r="G51" s="426"/>
      <c r="H51" s="426"/>
      <c r="I51" s="426"/>
      <c r="J51" s="426"/>
      <c r="K51" s="93"/>
      <c r="L51" s="93"/>
      <c r="M51" s="93"/>
      <c r="N51" s="93"/>
      <c r="O51" s="93"/>
      <c r="P51" s="93"/>
      <c r="Q51" s="93"/>
      <c r="R51" s="93"/>
    </row>
    <row r="52" spans="1:18" outlineLevel="1">
      <c r="A52" s="93" t="s">
        <v>878</v>
      </c>
      <c r="B52" s="436">
        <f>B49-B50-10*LOG10(B51)</f>
        <v>-7.2757916967506375</v>
      </c>
      <c r="C52" s="93" t="s">
        <v>888</v>
      </c>
      <c r="D52" s="426" t="s">
        <v>399</v>
      </c>
      <c r="E52" s="426"/>
      <c r="F52" s="426"/>
      <c r="G52" s="426"/>
      <c r="H52" s="426"/>
      <c r="I52" s="426"/>
      <c r="J52" s="426"/>
      <c r="K52" s="93"/>
      <c r="L52" s="93"/>
      <c r="M52" s="93"/>
      <c r="N52" s="93"/>
      <c r="O52" s="93"/>
      <c r="P52" s="93"/>
      <c r="Q52" s="93"/>
      <c r="R52" s="93"/>
    </row>
    <row r="53" spans="1:18" outlineLevel="1">
      <c r="A53" s="93"/>
      <c r="B53" s="436"/>
      <c r="C53" s="93"/>
      <c r="D53" s="426"/>
      <c r="E53" s="426"/>
      <c r="F53" s="426"/>
      <c r="G53" s="426"/>
      <c r="H53" s="426"/>
      <c r="I53" s="426"/>
      <c r="J53" s="426"/>
      <c r="K53" s="93"/>
      <c r="L53" s="93"/>
      <c r="M53" s="93"/>
      <c r="N53" s="93"/>
      <c r="O53" s="93"/>
      <c r="P53" s="93"/>
      <c r="Q53" s="93"/>
      <c r="R53" s="93"/>
    </row>
    <row r="54" spans="1:18" outlineLevel="1">
      <c r="A54" s="93" t="s">
        <v>898</v>
      </c>
      <c r="B54" s="346">
        <f>B19+B49-B48-B50</f>
        <v>-123.44262820685377</v>
      </c>
      <c r="C54" s="93" t="s">
        <v>884</v>
      </c>
      <c r="D54" s="426" t="s">
        <v>400</v>
      </c>
      <c r="E54" s="426"/>
      <c r="F54" s="426"/>
      <c r="G54" s="426"/>
      <c r="H54" s="426"/>
      <c r="I54" s="426"/>
      <c r="J54" s="426"/>
      <c r="K54" s="93"/>
      <c r="L54" s="93"/>
      <c r="M54" s="93"/>
      <c r="N54" s="93"/>
      <c r="O54" s="93"/>
      <c r="P54" s="93"/>
      <c r="Q54" s="93"/>
      <c r="R54" s="93"/>
    </row>
    <row r="55" spans="1:18" outlineLevel="1">
      <c r="A55" s="93"/>
      <c r="B55" s="449"/>
      <c r="C55" s="93"/>
      <c r="D55" s="426"/>
      <c r="E55" s="426"/>
      <c r="F55" s="426"/>
      <c r="G55" s="426"/>
      <c r="H55" s="426"/>
      <c r="I55" s="426"/>
      <c r="J55" s="426"/>
      <c r="K55" s="93"/>
      <c r="L55" s="93"/>
      <c r="M55" s="93"/>
      <c r="N55" s="93"/>
      <c r="O55" s="93"/>
      <c r="P55" s="93"/>
      <c r="Q55" s="93"/>
      <c r="R55" s="93"/>
    </row>
    <row r="56" spans="1:18" ht="13" outlineLevel="1">
      <c r="A56" s="93" t="s">
        <v>401</v>
      </c>
      <c r="B56" s="972">
        <v>1000000</v>
      </c>
      <c r="C56" s="93" t="s">
        <v>899</v>
      </c>
      <c r="D56" s="426" t="s">
        <v>375</v>
      </c>
      <c r="E56" s="426"/>
      <c r="F56" s="426"/>
      <c r="G56" s="426"/>
      <c r="H56" s="392" t="s">
        <v>140</v>
      </c>
      <c r="I56" s="426"/>
      <c r="J56" s="426"/>
      <c r="K56" s="93"/>
      <c r="L56" s="93"/>
      <c r="M56" s="93"/>
      <c r="N56" s="93"/>
      <c r="O56" s="93"/>
      <c r="P56" s="93"/>
      <c r="Q56" s="93"/>
      <c r="R56" s="93"/>
    </row>
    <row r="57" spans="1:18" outlineLevel="1">
      <c r="A57" s="93"/>
      <c r="B57" s="448"/>
      <c r="C57" s="93"/>
      <c r="D57" s="426"/>
      <c r="E57" s="426"/>
      <c r="F57" s="426"/>
      <c r="G57" s="426"/>
      <c r="H57" s="426"/>
      <c r="I57" s="426"/>
      <c r="J57" s="426"/>
      <c r="K57" s="93"/>
      <c r="L57" s="93"/>
      <c r="M57" s="93"/>
      <c r="N57" s="93"/>
      <c r="O57" s="93"/>
      <c r="P57" s="93"/>
      <c r="Q57" s="93"/>
      <c r="R57" s="93"/>
    </row>
    <row r="58" spans="1:18" outlineLevel="1">
      <c r="A58" s="93" t="s">
        <v>900</v>
      </c>
      <c r="B58" s="346">
        <f>F27+10*LOG10(B51)+10*LOG10(B56)</f>
        <v>-138.82420830324935</v>
      </c>
      <c r="C58" s="93" t="s">
        <v>884</v>
      </c>
      <c r="D58" s="426" t="s">
        <v>440</v>
      </c>
      <c r="E58" s="426"/>
      <c r="F58" s="426"/>
      <c r="G58" s="426"/>
      <c r="H58" s="426"/>
      <c r="I58" s="426"/>
      <c r="J58" s="426"/>
      <c r="K58" s="93"/>
      <c r="L58" s="93"/>
      <c r="M58" s="93"/>
      <c r="N58" s="93"/>
      <c r="O58" s="93"/>
      <c r="P58" s="93"/>
      <c r="Q58" s="93"/>
      <c r="R58" s="93"/>
    </row>
    <row r="59" spans="1:18" outlineLevel="1">
      <c r="A59" s="93"/>
      <c r="B59" s="449"/>
      <c r="C59" s="93"/>
      <c r="D59" s="426"/>
      <c r="E59" s="426"/>
      <c r="F59" s="426"/>
      <c r="G59" s="426"/>
      <c r="H59" s="426"/>
      <c r="I59" s="426"/>
      <c r="J59" s="426"/>
      <c r="K59" s="93"/>
      <c r="L59" s="93"/>
      <c r="M59" s="93"/>
      <c r="N59" s="93"/>
      <c r="O59" s="93"/>
      <c r="P59" s="93"/>
      <c r="Q59" s="93"/>
      <c r="R59" s="93"/>
    </row>
    <row r="60" spans="1:18" outlineLevel="1">
      <c r="A60" s="93" t="s">
        <v>901</v>
      </c>
      <c r="B60" s="422">
        <f>B54-B58</f>
        <v>15.381580096395581</v>
      </c>
      <c r="C60" s="93" t="s">
        <v>859</v>
      </c>
      <c r="D60" s="426" t="s">
        <v>402</v>
      </c>
      <c r="E60" s="426"/>
      <c r="F60" s="426"/>
      <c r="G60" s="426"/>
      <c r="H60" s="426"/>
      <c r="I60" s="426"/>
      <c r="J60" s="426"/>
      <c r="K60" s="93"/>
      <c r="L60" s="93"/>
      <c r="M60" s="93"/>
      <c r="N60" s="93"/>
      <c r="O60" s="93"/>
      <c r="P60" s="93"/>
      <c r="Q60" s="93"/>
      <c r="R60" s="93"/>
    </row>
    <row r="61" spans="1:18" outlineLevel="1">
      <c r="A61" s="93"/>
      <c r="B61" s="299"/>
      <c r="C61" s="93"/>
      <c r="D61" s="426"/>
      <c r="E61" s="426"/>
      <c r="F61" s="426"/>
      <c r="G61" s="426"/>
      <c r="H61" s="426"/>
      <c r="I61" s="426"/>
      <c r="J61" s="426"/>
      <c r="K61" s="93"/>
      <c r="L61" s="93"/>
      <c r="M61" s="93"/>
      <c r="N61" s="93"/>
      <c r="O61" s="93"/>
      <c r="P61" s="93"/>
      <c r="Q61" s="93"/>
      <c r="R61" s="93"/>
    </row>
    <row r="62" spans="1:18" outlineLevel="1">
      <c r="A62" s="93" t="s">
        <v>376</v>
      </c>
      <c r="B62" s="341">
        <v>10.6</v>
      </c>
      <c r="C62" s="93" t="s">
        <v>859</v>
      </c>
      <c r="D62" s="426" t="s">
        <v>403</v>
      </c>
      <c r="E62" s="426"/>
      <c r="F62" s="426"/>
      <c r="G62" s="426"/>
      <c r="H62" s="426"/>
      <c r="I62" s="426"/>
      <c r="J62" s="426"/>
      <c r="K62" s="93"/>
      <c r="L62" s="93"/>
      <c r="M62" s="93"/>
      <c r="N62" s="93"/>
      <c r="O62" s="93"/>
      <c r="P62" s="93"/>
      <c r="Q62" s="93"/>
      <c r="R62" s="93"/>
    </row>
    <row r="63" spans="1:18" ht="13" outlineLevel="1" thickBot="1">
      <c r="A63" s="93"/>
      <c r="B63" s="299"/>
      <c r="C63" s="93"/>
      <c r="D63" s="426"/>
      <c r="E63" s="426"/>
      <c r="F63" s="426"/>
      <c r="G63" s="426"/>
      <c r="H63" s="426"/>
      <c r="I63" s="426"/>
      <c r="J63" s="426"/>
      <c r="K63" s="93"/>
      <c r="L63" s="93"/>
      <c r="M63" s="93"/>
      <c r="N63" s="93"/>
      <c r="O63" s="93"/>
      <c r="P63" s="93"/>
      <c r="Q63" s="93"/>
      <c r="R63" s="93"/>
    </row>
    <row r="64" spans="1:18" ht="13.5" outlineLevel="1" thickBot="1">
      <c r="A64" s="93" t="s">
        <v>397</v>
      </c>
      <c r="B64" s="42">
        <f>B60-B62</f>
        <v>4.7815800963955812</v>
      </c>
      <c r="C64" s="93" t="s">
        <v>859</v>
      </c>
      <c r="D64" s="426"/>
      <c r="E64" s="426"/>
      <c r="F64" s="426"/>
      <c r="G64" s="426"/>
      <c r="H64" s="426"/>
      <c r="I64" s="426"/>
      <c r="J64" s="426"/>
      <c r="K64" s="93"/>
      <c r="L64" s="93"/>
      <c r="M64" s="93"/>
      <c r="N64" s="93"/>
      <c r="O64" s="93"/>
      <c r="P64" s="93"/>
      <c r="Q64" s="93"/>
      <c r="R64" s="93"/>
    </row>
    <row r="65" spans="1:18" outlineLevel="1">
      <c r="A65" s="100"/>
      <c r="B65" s="100"/>
      <c r="C65" s="100"/>
      <c r="D65" s="426"/>
      <c r="E65" s="426"/>
      <c r="F65" s="426"/>
      <c r="G65" s="426"/>
      <c r="H65" s="426"/>
      <c r="I65" s="426"/>
      <c r="J65" s="426"/>
      <c r="K65" s="93"/>
      <c r="L65" s="93"/>
      <c r="M65" s="93"/>
      <c r="N65" s="93"/>
      <c r="O65" s="93"/>
      <c r="P65" s="93"/>
      <c r="Q65" s="93"/>
      <c r="R65" s="93"/>
    </row>
    <row r="66" spans="1:18" outlineLevel="1">
      <c r="A66" s="93"/>
      <c r="B66" s="93"/>
      <c r="C66" s="93"/>
      <c r="D66" s="426"/>
      <c r="E66" s="426"/>
      <c r="F66" s="426"/>
      <c r="G66" s="426"/>
      <c r="H66" s="426"/>
      <c r="I66" s="426"/>
      <c r="J66" s="426"/>
      <c r="K66" s="93"/>
      <c r="L66" s="93"/>
      <c r="M66" s="93"/>
      <c r="N66" s="93"/>
      <c r="O66" s="93"/>
      <c r="P66" s="93"/>
      <c r="Q66" s="93"/>
      <c r="R66" s="93"/>
    </row>
    <row r="67" spans="1:18">
      <c r="D67" t="s">
        <v>817</v>
      </c>
    </row>
    <row r="69" spans="1:18">
      <c r="D69" s="425"/>
      <c r="E69" s="425"/>
      <c r="F69" s="425"/>
    </row>
    <row r="78" spans="1:18">
      <c r="G78" s="425"/>
      <c r="H78" s="425"/>
      <c r="I78" s="425"/>
    </row>
    <row r="92" spans="2:2">
      <c r="B92" t="s">
        <v>817</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12"/>
    <pageSetUpPr fitToPage="1"/>
  </sheetPr>
  <dimension ref="A1:R115"/>
  <sheetViews>
    <sheetView zoomScaleNormal="100" workbookViewId="0">
      <selection activeCell="F112" sqref="F112:M115"/>
    </sheetView>
  </sheetViews>
  <sheetFormatPr defaultColWidth="8.81640625" defaultRowHeight="12.5"/>
  <cols>
    <col min="1" max="1" width="12.6328125" customWidth="1"/>
    <col min="3" max="3" width="9.36328125" customWidth="1"/>
    <col min="4" max="4" width="12.90625" customWidth="1"/>
    <col min="5" max="5" width="10.1796875" customWidth="1"/>
    <col min="6" max="6" width="12.453125" customWidth="1"/>
    <col min="7" max="7" width="10.36328125" customWidth="1"/>
    <col min="8" max="8" width="3.6328125" customWidth="1"/>
    <col min="9" max="9" width="3.81640625" customWidth="1"/>
    <col min="10" max="10" width="9.453125" customWidth="1"/>
    <col min="11" max="11" width="10.453125" customWidth="1"/>
    <col min="12" max="12" width="11.36328125" customWidth="1"/>
    <col min="13" max="13" width="10.36328125" customWidth="1"/>
    <col min="14" max="14" width="12.1796875" customWidth="1"/>
    <col min="15" max="15" width="10.36328125" customWidth="1"/>
    <col min="18" max="18" width="14" customWidth="1"/>
  </cols>
  <sheetData>
    <row r="1" spans="1:18" ht="18.5" thickBot="1">
      <c r="A1" s="127" t="s">
        <v>444</v>
      </c>
      <c r="B1" s="129"/>
      <c r="C1" s="129"/>
      <c r="D1" s="129"/>
      <c r="E1" s="129"/>
      <c r="F1" s="129"/>
      <c r="G1" s="683" t="str">
        <f>'Title Page'!F3</f>
        <v>OreSat - CS0 (DxWiFi)</v>
      </c>
      <c r="H1" s="129"/>
      <c r="I1" s="389"/>
      <c r="J1" s="389"/>
      <c r="K1" s="389"/>
      <c r="L1" s="688" t="str">
        <f>'Title Page'!F23</f>
        <v>2019 February 1</v>
      </c>
      <c r="M1" s="389"/>
      <c r="N1" s="389"/>
      <c r="O1" s="389"/>
      <c r="P1" s="389"/>
      <c r="Q1" s="389"/>
      <c r="R1" s="389"/>
    </row>
    <row r="2" spans="1:18" ht="13">
      <c r="A2" s="462"/>
      <c r="B2" s="637" t="s">
        <v>696</v>
      </c>
      <c r="C2" s="463"/>
      <c r="D2" s="463"/>
      <c r="E2" s="463"/>
      <c r="F2" s="463"/>
      <c r="G2" s="463" t="s">
        <v>817</v>
      </c>
      <c r="H2" s="464"/>
      <c r="I2" s="498"/>
      <c r="J2" s="637" t="s">
        <v>697</v>
      </c>
      <c r="K2" s="463"/>
      <c r="L2" s="463"/>
      <c r="M2" s="463"/>
      <c r="N2" s="463"/>
      <c r="O2" s="463"/>
      <c r="P2" s="463"/>
      <c r="Q2" s="463"/>
      <c r="R2" s="464"/>
    </row>
    <row r="3" spans="1:18" ht="15" customHeight="1">
      <c r="A3" s="102"/>
      <c r="B3" s="271" t="s">
        <v>479</v>
      </c>
      <c r="C3" s="494"/>
      <c r="D3" s="103"/>
      <c r="E3" s="473" t="s">
        <v>855</v>
      </c>
      <c r="F3" s="489">
        <f>Frequency!M10</f>
        <v>2412</v>
      </c>
      <c r="G3" s="103"/>
      <c r="H3" s="107"/>
      <c r="I3" s="102"/>
      <c r="J3" s="246" t="s">
        <v>481</v>
      </c>
      <c r="K3" s="247"/>
      <c r="L3" s="103"/>
      <c r="M3" s="473" t="s">
        <v>855</v>
      </c>
      <c r="N3" s="512">
        <f>Frequency!M16</f>
        <v>2412</v>
      </c>
      <c r="O3" s="103"/>
      <c r="P3" s="103"/>
      <c r="Q3" s="103"/>
      <c r="R3" s="107"/>
    </row>
    <row r="4" spans="1:18" ht="13" thickBot="1">
      <c r="A4" s="102"/>
      <c r="B4" s="103"/>
      <c r="C4" s="103"/>
      <c r="D4" s="103"/>
      <c r="E4" s="103"/>
      <c r="F4" s="103"/>
      <c r="G4" s="103"/>
      <c r="H4" s="107"/>
      <c r="I4" s="102"/>
      <c r="J4" s="103"/>
      <c r="K4" s="103"/>
      <c r="L4" s="103"/>
      <c r="M4" s="103"/>
      <c r="N4" s="103"/>
      <c r="O4" s="103"/>
      <c r="P4" s="103"/>
      <c r="Q4" s="103"/>
      <c r="R4" s="107"/>
    </row>
    <row r="5" spans="1:18" ht="13.5" thickBot="1">
      <c r="A5" s="102" t="s">
        <v>477</v>
      </c>
      <c r="B5" s="427" t="s">
        <v>465</v>
      </c>
      <c r="C5" s="482">
        <f>'Uplink Budget'!B30</f>
        <v>16.048242175284074</v>
      </c>
      <c r="D5" s="103"/>
      <c r="E5" s="472" t="s">
        <v>464</v>
      </c>
      <c r="F5" s="597">
        <f>'Uplink Budget'!B43</f>
        <v>5.448242175284074</v>
      </c>
      <c r="G5" s="598" t="str">
        <f>IF(F5&lt;0,"NO LINK !",IF(F5&lt;6,"MARGINAL LINK",IF(F5&gt;6,"LINK CLOSES")))</f>
        <v>MARGINAL LINK</v>
      </c>
      <c r="H5" s="107"/>
      <c r="I5" s="102"/>
      <c r="J5" s="103"/>
      <c r="K5" s="427" t="s">
        <v>480</v>
      </c>
      <c r="L5" s="497">
        <f>'Downlink Budget'!B28</f>
        <v>1000000</v>
      </c>
      <c r="M5" s="103"/>
      <c r="N5" s="103"/>
      <c r="O5" s="103"/>
      <c r="P5" s="103"/>
      <c r="Q5" s="103"/>
      <c r="R5" s="107"/>
    </row>
    <row r="6" spans="1:18" ht="13" thickBot="1">
      <c r="A6" s="102"/>
      <c r="B6" s="103"/>
      <c r="C6" s="103"/>
      <c r="D6" s="103"/>
      <c r="E6" s="103"/>
      <c r="F6" s="103"/>
      <c r="G6" s="33" t="s">
        <v>817</v>
      </c>
      <c r="H6" s="107"/>
      <c r="I6" s="102"/>
      <c r="J6" s="103"/>
      <c r="K6" s="103"/>
      <c r="L6" s="103"/>
      <c r="M6" s="103"/>
      <c r="N6" s="470" t="s">
        <v>489</v>
      </c>
      <c r="O6" s="467"/>
      <c r="P6" s="103"/>
      <c r="Q6" s="103"/>
      <c r="R6" s="107"/>
    </row>
    <row r="7" spans="1:18" ht="13.5" thickBot="1">
      <c r="A7" s="102" t="s">
        <v>476</v>
      </c>
      <c r="B7" s="427" t="s">
        <v>466</v>
      </c>
      <c r="C7" s="482">
        <f>'Uplink Budget'!B61</f>
        <v>16.048242175284059</v>
      </c>
      <c r="D7" s="103"/>
      <c r="E7" s="472" t="s">
        <v>464</v>
      </c>
      <c r="F7" s="597">
        <f>'Uplink Budget'!B65</f>
        <v>5.4482421752840597</v>
      </c>
      <c r="G7" s="598" t="str">
        <f>IF(F7&lt;0,"NO LINK !",IF(F7&lt;6,"MARGINAL LINK",IF(F7&gt;6,"LINK CLOSES")))</f>
        <v>MARGINAL LINK</v>
      </c>
      <c r="H7" s="107"/>
      <c r="I7" s="102"/>
      <c r="J7" s="103"/>
      <c r="K7" s="499"/>
      <c r="L7" s="103"/>
      <c r="M7" s="103"/>
      <c r="N7" s="468" t="str">
        <f>'Downlink Budget'!B32</f>
        <v>BPSK</v>
      </c>
      <c r="O7" s="469"/>
      <c r="P7" s="103"/>
      <c r="Q7" s="103"/>
      <c r="R7" s="107"/>
    </row>
    <row r="8" spans="1:18" ht="13">
      <c r="A8" s="102"/>
      <c r="B8" s="103"/>
      <c r="C8" s="495"/>
      <c r="D8" s="103"/>
      <c r="E8" s="103"/>
      <c r="F8" s="496"/>
      <c r="G8" s="103"/>
      <c r="H8" s="107"/>
      <c r="I8" s="102"/>
      <c r="J8" s="103"/>
      <c r="K8" s="499"/>
      <c r="L8" s="103"/>
      <c r="M8" s="103"/>
      <c r="N8" s="103"/>
      <c r="O8" s="103"/>
      <c r="P8" s="103"/>
      <c r="Q8" s="103"/>
      <c r="R8" s="107"/>
    </row>
    <row r="9" spans="1:18" ht="13">
      <c r="A9" s="753" t="s">
        <v>140</v>
      </c>
      <c r="B9" s="103"/>
      <c r="C9" s="495"/>
      <c r="D9" s="103"/>
      <c r="E9" s="103"/>
      <c r="F9" s="496"/>
      <c r="G9" s="103"/>
      <c r="H9" s="107"/>
      <c r="I9" s="102"/>
      <c r="J9" s="103"/>
      <c r="K9" s="499"/>
      <c r="L9" s="103"/>
      <c r="M9" s="103"/>
      <c r="N9" s="466" t="s">
        <v>515</v>
      </c>
      <c r="O9" s="467"/>
      <c r="P9" s="103"/>
      <c r="Q9" s="103"/>
      <c r="R9" s="107"/>
    </row>
    <row r="10" spans="1:18">
      <c r="A10" s="102"/>
      <c r="B10" s="103"/>
      <c r="C10" s="427" t="s">
        <v>480</v>
      </c>
      <c r="D10" s="497">
        <f>'Uplink Budget'!B28</f>
        <v>1000000</v>
      </c>
      <c r="E10" s="103"/>
      <c r="F10" s="103"/>
      <c r="G10" s="103"/>
      <c r="H10" s="107"/>
      <c r="I10" s="102"/>
      <c r="J10" s="103"/>
      <c r="K10" s="103"/>
      <c r="L10" s="103"/>
      <c r="M10" s="103"/>
      <c r="N10" s="468" t="str">
        <f>'Downlink Budget'!B33</f>
        <v>None</v>
      </c>
      <c r="O10" s="469"/>
      <c r="P10" s="103"/>
      <c r="Q10" s="103"/>
      <c r="R10" s="107"/>
    </row>
    <row r="11" spans="1:18">
      <c r="A11" s="102"/>
      <c r="B11" s="103"/>
      <c r="C11" s="103"/>
      <c r="D11" s="103"/>
      <c r="E11" s="103"/>
      <c r="F11" s="103"/>
      <c r="G11" s="103"/>
      <c r="H11" s="107"/>
      <c r="I11" s="102"/>
      <c r="J11" s="103"/>
      <c r="K11" s="103"/>
      <c r="L11" s="103"/>
      <c r="M11" s="103"/>
      <c r="N11" s="103"/>
      <c r="O11" s="103"/>
      <c r="P11" s="103"/>
      <c r="Q11" s="103"/>
      <c r="R11" s="107"/>
    </row>
    <row r="12" spans="1:18" ht="15.5">
      <c r="A12" s="102"/>
      <c r="B12" s="103"/>
      <c r="C12" s="103"/>
      <c r="D12" s="103"/>
      <c r="E12" s="103"/>
      <c r="F12" s="103"/>
      <c r="G12" s="103"/>
      <c r="H12" s="107"/>
      <c r="I12" s="102"/>
      <c r="J12" s="103"/>
      <c r="K12" s="103"/>
      <c r="L12" s="103"/>
      <c r="M12" s="103"/>
      <c r="N12" s="501" t="s">
        <v>486</v>
      </c>
      <c r="O12" s="506">
        <v>0.4</v>
      </c>
      <c r="P12" s="103"/>
      <c r="Q12" s="103"/>
      <c r="R12" s="107"/>
    </row>
    <row r="13" spans="1:18">
      <c r="A13" s="102"/>
      <c r="B13" s="103"/>
      <c r="C13" s="103"/>
      <c r="D13" s="103" t="s">
        <v>817</v>
      </c>
      <c r="E13" s="103"/>
      <c r="F13" s="466" t="s">
        <v>514</v>
      </c>
      <c r="G13" s="467"/>
      <c r="H13" s="107"/>
      <c r="I13" s="102"/>
      <c r="J13" s="103"/>
      <c r="K13" s="103"/>
      <c r="L13" s="103"/>
      <c r="M13" s="103"/>
      <c r="N13" s="103"/>
      <c r="O13" s="103"/>
      <c r="P13" s="103"/>
      <c r="Q13" s="103"/>
      <c r="R13" s="107"/>
    </row>
    <row r="14" spans="1:18" ht="13">
      <c r="A14" s="102"/>
      <c r="B14" s="103"/>
      <c r="C14" s="103"/>
      <c r="D14" s="103"/>
      <c r="E14" s="103"/>
      <c r="F14" s="468" t="str">
        <f>'Uplink Budget'!B33</f>
        <v>None</v>
      </c>
      <c r="G14" s="469"/>
      <c r="H14" s="107"/>
      <c r="I14" s="102"/>
      <c r="J14" s="103"/>
      <c r="K14" s="103"/>
      <c r="L14" s="103"/>
      <c r="M14" s="103"/>
      <c r="N14" s="191" t="s">
        <v>487</v>
      </c>
      <c r="O14" s="505">
        <f>O18/O12</f>
        <v>4.5</v>
      </c>
      <c r="P14" s="103"/>
      <c r="Q14" s="103"/>
      <c r="R14" s="107"/>
    </row>
    <row r="15" spans="1:18">
      <c r="A15" s="102"/>
      <c r="B15" s="103"/>
      <c r="C15" s="103"/>
      <c r="D15" s="103"/>
      <c r="E15" s="103"/>
      <c r="F15" s="103"/>
      <c r="G15" s="103"/>
      <c r="H15" s="107"/>
      <c r="I15" s="102"/>
      <c r="J15" s="103"/>
      <c r="K15" s="103"/>
      <c r="L15" s="103"/>
      <c r="M15" s="103"/>
      <c r="N15" s="103"/>
      <c r="O15" s="103"/>
      <c r="P15" s="103"/>
      <c r="Q15" s="103"/>
      <c r="R15" s="107"/>
    </row>
    <row r="16" spans="1:18" ht="13">
      <c r="A16" s="102"/>
      <c r="B16" s="103"/>
      <c r="C16" s="103"/>
      <c r="D16" s="103"/>
      <c r="E16" s="103"/>
      <c r="F16" s="103"/>
      <c r="G16" s="103"/>
      <c r="H16" s="107"/>
      <c r="I16" s="102"/>
      <c r="J16" s="103"/>
      <c r="K16" s="103"/>
      <c r="L16" s="103"/>
      <c r="M16" s="103"/>
      <c r="N16" s="503" t="s">
        <v>488</v>
      </c>
      <c r="O16" s="505">
        <f>O14-O18</f>
        <v>2.7</v>
      </c>
      <c r="P16" s="103"/>
      <c r="Q16" s="103"/>
      <c r="R16" s="107"/>
    </row>
    <row r="17" spans="1:18">
      <c r="A17" s="102"/>
      <c r="B17" s="103"/>
      <c r="C17" s="103"/>
      <c r="D17" s="103"/>
      <c r="E17" s="103"/>
      <c r="F17" s="103"/>
      <c r="G17" s="103"/>
      <c r="H17" s="107"/>
      <c r="I17" s="102"/>
      <c r="J17" s="104" t="s">
        <v>817</v>
      </c>
      <c r="K17" s="103"/>
      <c r="L17" s="103" t="s">
        <v>525</v>
      </c>
      <c r="M17" s="103"/>
      <c r="N17" s="103"/>
      <c r="O17" s="504"/>
      <c r="P17" s="103"/>
      <c r="Q17" s="103"/>
      <c r="R17" s="107"/>
    </row>
    <row r="18" spans="1:18">
      <c r="A18" s="102"/>
      <c r="B18" s="103"/>
      <c r="C18" s="103"/>
      <c r="D18" s="103"/>
      <c r="E18" s="103"/>
      <c r="F18" s="492" t="s">
        <v>478</v>
      </c>
      <c r="G18" s="493">
        <f>'Uplink Budget'!B35</f>
        <v>1.0000000000000001E-5</v>
      </c>
      <c r="H18" s="107"/>
      <c r="I18" s="102"/>
      <c r="J18" s="103"/>
      <c r="K18" s="103"/>
      <c r="L18" s="103"/>
      <c r="M18" s="103"/>
      <c r="N18" s="427" t="s">
        <v>485</v>
      </c>
      <c r="O18" s="502">
        <f>Transmitters!E58</f>
        <v>1.8</v>
      </c>
      <c r="P18" s="103"/>
      <c r="Q18" s="103"/>
      <c r="R18" s="107"/>
    </row>
    <row r="19" spans="1:18">
      <c r="A19" s="102"/>
      <c r="B19" s="103"/>
      <c r="C19" s="103"/>
      <c r="D19" s="103"/>
      <c r="E19" s="103"/>
      <c r="F19" s="466" t="s">
        <v>463</v>
      </c>
      <c r="G19" s="467"/>
      <c r="H19" s="107"/>
      <c r="I19" s="102"/>
      <c r="J19" s="103"/>
      <c r="K19" s="103"/>
      <c r="L19" s="103"/>
      <c r="M19" s="103"/>
      <c r="N19" s="103"/>
      <c r="O19" s="103"/>
      <c r="P19" s="103"/>
      <c r="Q19" s="103"/>
      <c r="R19" s="107"/>
    </row>
    <row r="20" spans="1:18">
      <c r="A20" s="102"/>
      <c r="B20" s="103"/>
      <c r="C20" s="103"/>
      <c r="D20" s="103"/>
      <c r="E20" s="103"/>
      <c r="F20" s="468" t="str">
        <f>'Uplink Budget'!B32</f>
        <v>BPSK</v>
      </c>
      <c r="G20" s="469"/>
      <c r="H20" s="107"/>
      <c r="I20" s="102"/>
      <c r="J20" s="103"/>
      <c r="K20" s="103"/>
      <c r="L20" s="103"/>
      <c r="M20" s="103"/>
      <c r="N20" s="427" t="s">
        <v>456</v>
      </c>
      <c r="O20" s="482">
        <f>Transmitters!E67*Transmitters!I61</f>
        <v>0</v>
      </c>
      <c r="P20" s="103"/>
      <c r="Q20" s="103"/>
      <c r="R20" s="107"/>
    </row>
    <row r="21" spans="1:18">
      <c r="A21" s="102"/>
      <c r="B21" s="103"/>
      <c r="C21" s="103"/>
      <c r="D21" s="103"/>
      <c r="E21" s="103"/>
      <c r="F21" s="490" t="s">
        <v>362</v>
      </c>
      <c r="G21" s="491">
        <f>'Uplink Budget'!B41</f>
        <v>10.6</v>
      </c>
      <c r="H21" s="107"/>
      <c r="I21" s="102"/>
      <c r="J21" s="103"/>
      <c r="K21" s="103"/>
      <c r="L21" s="103"/>
      <c r="M21" s="103"/>
      <c r="N21" s="103"/>
      <c r="O21" s="103"/>
      <c r="P21" s="103"/>
      <c r="Q21" s="103"/>
      <c r="R21" s="107"/>
    </row>
    <row r="22" spans="1:18">
      <c r="A22" s="102"/>
      <c r="B22" s="103"/>
      <c r="C22" s="103"/>
      <c r="D22" s="103"/>
      <c r="E22" s="103"/>
      <c r="F22" s="103"/>
      <c r="G22" s="103"/>
      <c r="H22" s="107"/>
      <c r="I22" s="102"/>
      <c r="J22" s="103"/>
      <c r="K22" s="103"/>
      <c r="L22" s="103"/>
      <c r="M22" s="103"/>
      <c r="N22" s="427" t="s">
        <v>490</v>
      </c>
      <c r="O22" s="482">
        <f>Transmitters!I78</f>
        <v>1.05</v>
      </c>
      <c r="P22" s="103"/>
      <c r="Q22" s="103"/>
      <c r="R22" s="107"/>
    </row>
    <row r="23" spans="1:18">
      <c r="A23" s="102"/>
      <c r="B23" s="103"/>
      <c r="C23" s="103"/>
      <c r="D23" s="103"/>
      <c r="E23" s="103"/>
      <c r="F23" s="103"/>
      <c r="G23" s="103"/>
      <c r="H23" s="107"/>
      <c r="I23" s="102"/>
      <c r="J23" s="104" t="s">
        <v>817</v>
      </c>
      <c r="K23" s="103"/>
      <c r="L23" s="103" t="s">
        <v>526</v>
      </c>
      <c r="M23" s="103"/>
      <c r="N23" s="103"/>
      <c r="O23" s="103"/>
      <c r="P23" s="103"/>
      <c r="Q23" s="103"/>
      <c r="R23" s="107"/>
    </row>
    <row r="24" spans="1:18">
      <c r="A24" s="102"/>
      <c r="B24" s="103"/>
      <c r="C24" s="103"/>
      <c r="D24" s="103"/>
      <c r="E24" s="103"/>
      <c r="F24" s="103"/>
      <c r="G24" s="103"/>
      <c r="H24" s="107"/>
      <c r="I24" s="102"/>
      <c r="J24" s="103"/>
      <c r="K24" s="103"/>
      <c r="L24" s="103"/>
      <c r="M24" s="103"/>
      <c r="N24" s="427" t="s">
        <v>491</v>
      </c>
      <c r="O24" s="482">
        <f>Transmitters!I62*Transmitters!E67</f>
        <v>0</v>
      </c>
      <c r="P24" s="103"/>
      <c r="Q24" s="103"/>
      <c r="R24" s="107"/>
    </row>
    <row r="25" spans="1:18">
      <c r="A25" s="102"/>
      <c r="B25" s="103"/>
      <c r="C25" s="103"/>
      <c r="D25" s="103"/>
      <c r="E25" s="103"/>
      <c r="F25" s="427" t="s">
        <v>474</v>
      </c>
      <c r="G25" s="487">
        <f>'Uplink Budget'!B57</f>
        <v>1000000</v>
      </c>
      <c r="H25" s="107"/>
      <c r="I25" s="102"/>
      <c r="J25" s="103"/>
      <c r="K25" s="103"/>
      <c r="L25" s="103"/>
      <c r="M25" s="103"/>
      <c r="N25" s="103"/>
      <c r="O25" s="103"/>
      <c r="P25" s="103"/>
      <c r="Q25" s="103"/>
      <c r="R25" s="107"/>
    </row>
    <row r="26" spans="1:18">
      <c r="A26" s="102"/>
      <c r="B26" s="103"/>
      <c r="C26" s="103"/>
      <c r="D26" s="103"/>
      <c r="E26" s="103"/>
      <c r="F26" s="103" t="s">
        <v>475</v>
      </c>
      <c r="G26" s="103"/>
      <c r="H26" s="107"/>
      <c r="I26" s="102"/>
      <c r="J26" s="103"/>
      <c r="K26" s="103"/>
      <c r="L26" s="103"/>
      <c r="M26" s="103"/>
      <c r="N26" s="427" t="s">
        <v>496</v>
      </c>
      <c r="O26" s="482">
        <f>Transmitters!I79</f>
        <v>0</v>
      </c>
      <c r="P26" s="103"/>
      <c r="Q26" s="103"/>
      <c r="R26" s="107"/>
    </row>
    <row r="27" spans="1:18">
      <c r="A27" s="102"/>
      <c r="B27" s="103"/>
      <c r="C27" s="103"/>
      <c r="D27" s="103"/>
      <c r="E27" s="103"/>
      <c r="F27" s="103"/>
      <c r="G27" s="103"/>
      <c r="H27" s="107"/>
      <c r="I27" s="102"/>
      <c r="J27" s="103"/>
      <c r="K27" s="103"/>
      <c r="L27" s="103"/>
      <c r="M27" s="103"/>
      <c r="N27" s="513">
        <f>Transmitters!F79</f>
        <v>0</v>
      </c>
      <c r="O27" s="479"/>
      <c r="P27" s="103"/>
      <c r="Q27" s="103"/>
      <c r="R27" s="107"/>
    </row>
    <row r="28" spans="1:18">
      <c r="A28" s="102"/>
      <c r="B28" s="103"/>
      <c r="C28" s="103"/>
      <c r="D28" s="103"/>
      <c r="E28" s="103"/>
      <c r="F28" s="103"/>
      <c r="G28" s="103"/>
      <c r="H28" s="107"/>
      <c r="I28" s="102"/>
      <c r="J28" s="103"/>
      <c r="K28" s="103"/>
      <c r="L28" s="103"/>
      <c r="M28" s="103"/>
      <c r="N28" s="103" t="s">
        <v>817</v>
      </c>
      <c r="O28" s="103"/>
      <c r="P28" s="103"/>
      <c r="Q28" s="103"/>
      <c r="R28" s="107"/>
    </row>
    <row r="29" spans="1:18">
      <c r="A29" s="102"/>
      <c r="B29" s="103"/>
      <c r="C29" s="103"/>
      <c r="D29" s="103"/>
      <c r="E29" s="103"/>
      <c r="F29" s="103"/>
      <c r="G29" s="103"/>
      <c r="H29" s="107"/>
      <c r="I29" s="102"/>
      <c r="J29" s="103"/>
      <c r="K29" s="103"/>
      <c r="L29" s="103"/>
      <c r="M29" s="103"/>
      <c r="N29" s="427" t="s">
        <v>492</v>
      </c>
      <c r="O29" s="482">
        <f>Transmitters!E67*Transmitters!I63</f>
        <v>0</v>
      </c>
      <c r="P29" s="103"/>
      <c r="Q29" s="103"/>
      <c r="R29" s="107"/>
    </row>
    <row r="30" spans="1:18">
      <c r="A30" s="102"/>
      <c r="B30" s="103"/>
      <c r="C30" s="103"/>
      <c r="D30" s="103"/>
      <c r="E30" s="103"/>
      <c r="F30" s="103"/>
      <c r="G30" s="103"/>
      <c r="H30" s="107"/>
      <c r="I30" s="102"/>
      <c r="J30" s="104" t="s">
        <v>817</v>
      </c>
      <c r="K30" s="103"/>
      <c r="L30" s="103" t="s">
        <v>524</v>
      </c>
      <c r="M30" s="103"/>
      <c r="N30" s="103"/>
      <c r="O30" s="103"/>
      <c r="P30" s="103"/>
      <c r="Q30" s="103"/>
      <c r="R30" s="107"/>
    </row>
    <row r="31" spans="1:18">
      <c r="A31" s="102"/>
      <c r="B31" s="103"/>
      <c r="C31" s="103"/>
      <c r="D31" s="103"/>
      <c r="E31" s="103"/>
      <c r="F31" s="103"/>
      <c r="G31" s="103"/>
      <c r="H31" s="107"/>
      <c r="I31" s="102"/>
      <c r="J31" s="103"/>
      <c r="K31" s="103"/>
      <c r="L31" s="103"/>
      <c r="M31" s="103"/>
      <c r="N31" s="427" t="s">
        <v>493</v>
      </c>
      <c r="O31" s="482">
        <f>Transmitters!I83</f>
        <v>1.6260000000000001</v>
      </c>
      <c r="P31" s="103"/>
      <c r="Q31" s="103"/>
      <c r="R31" s="107"/>
    </row>
    <row r="32" spans="1:18">
      <c r="A32" s="102"/>
      <c r="B32" s="103"/>
      <c r="C32" s="103"/>
      <c r="D32" s="103"/>
      <c r="E32" s="103"/>
      <c r="F32" s="103"/>
      <c r="G32" s="103"/>
      <c r="H32" s="107"/>
      <c r="I32" s="102"/>
      <c r="J32" s="103"/>
      <c r="K32" s="103"/>
      <c r="L32" s="103"/>
      <c r="M32" s="103"/>
      <c r="N32" s="103"/>
      <c r="O32" s="103"/>
      <c r="P32" s="103"/>
      <c r="Q32" s="103"/>
      <c r="R32" s="107"/>
    </row>
    <row r="33" spans="1:18" ht="13">
      <c r="A33" s="102"/>
      <c r="B33" s="103"/>
      <c r="C33" s="103"/>
      <c r="D33" s="103"/>
      <c r="E33" s="103"/>
      <c r="F33" s="103"/>
      <c r="G33" s="103"/>
      <c r="H33" s="107"/>
      <c r="I33" s="102"/>
      <c r="J33" s="103"/>
      <c r="K33" s="103"/>
      <c r="L33" s="103"/>
      <c r="M33" s="465" t="s">
        <v>980</v>
      </c>
      <c r="N33" s="103"/>
      <c r="O33" s="103"/>
      <c r="P33" s="103"/>
      <c r="Q33" s="103"/>
      <c r="R33" s="107"/>
    </row>
    <row r="34" spans="1:18">
      <c r="A34" s="102"/>
      <c r="B34" s="103"/>
      <c r="C34" s="103"/>
      <c r="D34" s="103"/>
      <c r="E34" s="103"/>
      <c r="F34" s="427" t="s">
        <v>468</v>
      </c>
      <c r="G34" s="486">
        <f>'Uplink Budget'!B26</f>
        <v>-17.763317157385917</v>
      </c>
      <c r="H34" s="107"/>
      <c r="I34" s="102"/>
      <c r="J34" s="103"/>
      <c r="K34" s="103"/>
      <c r="L34" s="103"/>
      <c r="M34" s="103"/>
      <c r="N34" s="103"/>
      <c r="O34" s="103"/>
      <c r="P34" s="103"/>
      <c r="Q34" s="103"/>
      <c r="R34" s="107"/>
    </row>
    <row r="35" spans="1:18">
      <c r="A35" s="102"/>
      <c r="B35" s="103"/>
      <c r="C35" s="103"/>
      <c r="D35" s="103"/>
      <c r="E35" s="103"/>
      <c r="F35" s="103"/>
      <c r="G35" s="103"/>
      <c r="H35" s="107"/>
      <c r="I35" s="102"/>
      <c r="J35" s="103"/>
      <c r="K35" s="103"/>
      <c r="L35" s="103"/>
      <c r="M35" s="103"/>
      <c r="N35" s="466" t="s">
        <v>494</v>
      </c>
      <c r="O35" s="515">
        <f>'Downlink Budget'!B10</f>
        <v>12</v>
      </c>
      <c r="P35" s="103"/>
      <c r="Q35" s="103"/>
      <c r="R35" s="107"/>
    </row>
    <row r="36" spans="1:18">
      <c r="A36" s="102"/>
      <c r="B36" s="103"/>
      <c r="C36" s="103"/>
      <c r="D36" s="103"/>
      <c r="E36" s="103"/>
      <c r="F36" s="427" t="s">
        <v>467</v>
      </c>
      <c r="G36" s="485">
        <f>'Uplink Budget'!B25</f>
        <v>464.22841076062673</v>
      </c>
      <c r="H36" s="107"/>
      <c r="I36" s="102"/>
      <c r="J36" s="103"/>
      <c r="K36" s="103"/>
      <c r="L36" s="103"/>
      <c r="M36" s="103"/>
      <c r="N36" s="492" t="s">
        <v>60</v>
      </c>
      <c r="O36" s="377" t="str">
        <f>'Antenna Gain'!K41</f>
        <v>RHCP</v>
      </c>
      <c r="P36" s="103"/>
      <c r="Q36" s="103"/>
      <c r="R36" s="107"/>
    </row>
    <row r="37" spans="1:18">
      <c r="A37" s="102"/>
      <c r="B37" s="103"/>
      <c r="C37" s="103"/>
      <c r="D37" s="103"/>
      <c r="E37" s="103"/>
      <c r="F37" s="103"/>
      <c r="G37" s="103"/>
      <c r="H37" s="107"/>
      <c r="I37" s="102"/>
      <c r="J37" s="103"/>
      <c r="K37" s="103"/>
      <c r="L37" s="103"/>
      <c r="M37" s="103"/>
      <c r="N37" s="103"/>
      <c r="O37" s="103"/>
      <c r="P37" s="103"/>
      <c r="Q37" s="103"/>
      <c r="R37" s="107"/>
    </row>
    <row r="38" spans="1:18">
      <c r="A38" s="102"/>
      <c r="B38" s="103"/>
      <c r="C38" s="103"/>
      <c r="D38" s="103"/>
      <c r="E38" s="103"/>
      <c r="F38" s="103"/>
      <c r="G38" s="103"/>
      <c r="H38" s="107"/>
      <c r="I38" s="102"/>
      <c r="J38" s="623" t="str">
        <f>'Antenna Gain'!F41</f>
        <v>Other (User Defined)</v>
      </c>
      <c r="K38" s="103"/>
      <c r="L38" s="103"/>
      <c r="M38" s="103"/>
      <c r="N38" s="191" t="s">
        <v>495</v>
      </c>
      <c r="O38" s="516">
        <f>'Downlink Budget'!B11</f>
        <v>12.92672505103306</v>
      </c>
      <c r="P38" s="103"/>
      <c r="Q38" s="103"/>
      <c r="R38" s="107"/>
    </row>
    <row r="39" spans="1:18">
      <c r="A39" s="102"/>
      <c r="B39" s="103"/>
      <c r="C39" s="103"/>
      <c r="D39" s="103"/>
      <c r="E39" s="103"/>
      <c r="F39" s="427" t="s">
        <v>462</v>
      </c>
      <c r="G39" s="485">
        <f>Receivers!J67</f>
        <v>4692</v>
      </c>
      <c r="H39" s="107"/>
      <c r="I39" s="102"/>
      <c r="J39" s="103"/>
      <c r="K39" s="103"/>
      <c r="L39" s="103"/>
      <c r="M39" s="103"/>
      <c r="N39" s="103"/>
      <c r="O39" s="103"/>
      <c r="P39" s="103"/>
      <c r="Q39" s="103"/>
      <c r="R39" s="107"/>
    </row>
    <row r="40" spans="1:18">
      <c r="A40" s="102"/>
      <c r="B40" s="103"/>
      <c r="C40" s="103"/>
      <c r="D40" s="103"/>
      <c r="E40" s="103"/>
      <c r="F40" s="103"/>
      <c r="G40" s="103"/>
      <c r="H40" s="107"/>
      <c r="I40" s="102"/>
      <c r="J40" s="103"/>
      <c r="K40" s="103"/>
      <c r="L40" s="103"/>
      <c r="M40" s="103"/>
      <c r="N40" s="507" t="s">
        <v>497</v>
      </c>
      <c r="O40" s="508"/>
      <c r="P40" s="103"/>
      <c r="Q40" s="103"/>
      <c r="R40" s="107"/>
    </row>
    <row r="41" spans="1:18">
      <c r="A41" s="102"/>
      <c r="B41" s="103"/>
      <c r="C41" s="103"/>
      <c r="D41" s="103"/>
      <c r="E41" s="103"/>
      <c r="F41" s="103"/>
      <c r="G41" s="103"/>
      <c r="H41" s="107"/>
      <c r="I41" s="102"/>
      <c r="J41" s="103"/>
      <c r="K41" s="103"/>
      <c r="L41" s="103"/>
      <c r="M41" s="103"/>
      <c r="N41" s="520">
        <f>'Downlink Budget'!B13+'Downlink Budget'!B14+'Downlink Budget'!B15+'Downlink Budget'!B16+'Downlink Budget'!B17+'Downlink Budget'!B18+'Downlink Budget'!B22</f>
        <v>158.86935325788681</v>
      </c>
      <c r="O41" s="521" t="s">
        <v>859</v>
      </c>
      <c r="P41" s="103"/>
      <c r="Q41" s="103"/>
      <c r="R41" s="107"/>
    </row>
    <row r="42" spans="1:18">
      <c r="A42" s="102"/>
      <c r="B42" s="103"/>
      <c r="C42" s="103"/>
      <c r="D42" s="103"/>
      <c r="E42" s="103"/>
      <c r="F42" s="103"/>
      <c r="G42" s="103"/>
      <c r="H42" s="107"/>
      <c r="I42" s="102"/>
      <c r="J42" s="103"/>
      <c r="K42" s="103"/>
      <c r="L42" s="103"/>
      <c r="M42" s="103"/>
      <c r="N42" s="103"/>
      <c r="O42" s="103"/>
      <c r="P42" s="103"/>
      <c r="Q42" s="103"/>
      <c r="R42" s="107"/>
    </row>
    <row r="43" spans="1:18">
      <c r="A43" s="102"/>
      <c r="B43" s="103"/>
      <c r="C43" s="103"/>
      <c r="D43" s="103"/>
      <c r="E43" s="103"/>
      <c r="F43" s="103"/>
      <c r="G43" s="103"/>
      <c r="H43" s="107"/>
      <c r="I43" s="102"/>
      <c r="J43" s="103"/>
      <c r="K43" s="103"/>
      <c r="L43" s="103"/>
      <c r="M43" s="103"/>
      <c r="N43" s="427" t="s">
        <v>498</v>
      </c>
      <c r="O43" s="482">
        <f>'Downlink Budget'!B15</f>
        <v>157.5988935799457</v>
      </c>
      <c r="P43" s="103"/>
      <c r="Q43" s="103"/>
      <c r="R43" s="107"/>
    </row>
    <row r="44" spans="1:18">
      <c r="A44" s="102"/>
      <c r="B44" s="103"/>
      <c r="C44" s="103"/>
      <c r="D44" s="103"/>
      <c r="E44" s="103"/>
      <c r="F44" s="103"/>
      <c r="G44" s="103"/>
      <c r="H44" s="107"/>
      <c r="I44" s="102"/>
      <c r="J44" s="103"/>
      <c r="K44" s="103"/>
      <c r="L44" s="103"/>
      <c r="M44" s="103"/>
      <c r="N44" s="103"/>
      <c r="O44" s="103"/>
      <c r="P44" s="103"/>
      <c r="Q44" s="103"/>
      <c r="R44" s="107"/>
    </row>
    <row r="45" spans="1:18">
      <c r="A45" s="102"/>
      <c r="B45" s="103"/>
      <c r="C45" s="103"/>
      <c r="D45" s="103"/>
      <c r="E45" s="103"/>
      <c r="F45" s="427" t="s">
        <v>459</v>
      </c>
      <c r="G45" s="482">
        <f>Receivers!F65</f>
        <v>15.6</v>
      </c>
      <c r="H45" s="107"/>
      <c r="I45" s="102"/>
      <c r="J45" s="103" t="str">
        <f>'Antenna Gain'!F58</f>
        <v xml:space="preserve">User Defined </v>
      </c>
      <c r="K45" s="103"/>
      <c r="L45" s="103"/>
      <c r="M45" s="103"/>
      <c r="N45" s="103"/>
      <c r="O45" s="103"/>
      <c r="P45" s="103"/>
      <c r="Q45" s="103"/>
      <c r="R45" s="107"/>
    </row>
    <row r="46" spans="1:18">
      <c r="A46" s="102"/>
      <c r="B46" s="103"/>
      <c r="C46" s="103"/>
      <c r="D46" s="103"/>
      <c r="E46" s="103"/>
      <c r="F46" s="103"/>
      <c r="G46" s="103"/>
      <c r="H46" s="107"/>
      <c r="I46" s="102"/>
      <c r="J46" s="103"/>
      <c r="K46" s="103"/>
      <c r="L46" s="103"/>
      <c r="M46" s="103"/>
      <c r="N46" s="103"/>
      <c r="O46" s="103"/>
      <c r="P46" s="103"/>
      <c r="Q46" s="103"/>
      <c r="R46" s="107"/>
    </row>
    <row r="47" spans="1:18">
      <c r="A47" s="102"/>
      <c r="B47" s="103"/>
      <c r="C47" s="103"/>
      <c r="D47" s="103"/>
      <c r="E47" s="103"/>
      <c r="F47" s="427" t="s">
        <v>458</v>
      </c>
      <c r="G47" s="485">
        <f>Receivers!J63</f>
        <v>45</v>
      </c>
      <c r="H47" s="107"/>
      <c r="I47" s="102"/>
      <c r="J47" s="103"/>
      <c r="K47" s="103"/>
      <c r="L47" s="103"/>
      <c r="M47" s="103"/>
      <c r="N47" s="427" t="s">
        <v>499</v>
      </c>
      <c r="O47" s="480">
        <f>'Downlink Budget'!B23</f>
        <v>22.9</v>
      </c>
      <c r="P47" s="103"/>
      <c r="Q47" s="103"/>
      <c r="R47" s="107"/>
    </row>
    <row r="48" spans="1:18">
      <c r="A48" s="102"/>
      <c r="B48" s="103"/>
      <c r="C48" s="103"/>
      <c r="D48" s="103"/>
      <c r="E48" s="103"/>
      <c r="F48" s="103"/>
      <c r="G48" s="103"/>
      <c r="H48" s="107"/>
      <c r="I48" s="102"/>
      <c r="J48" s="103"/>
      <c r="K48" s="103"/>
      <c r="L48" s="103"/>
      <c r="M48" s="103"/>
      <c r="N48" s="492" t="s">
        <v>60</v>
      </c>
      <c r="O48" s="377" t="str">
        <f>'Antenna Gain'!K58</f>
        <v>RHCP</v>
      </c>
      <c r="P48" s="103"/>
      <c r="Q48" s="103"/>
      <c r="R48" s="107"/>
    </row>
    <row r="49" spans="1:18">
      <c r="A49" s="102"/>
      <c r="B49" s="103"/>
      <c r="C49" s="103"/>
      <c r="D49" s="103"/>
      <c r="E49" s="103"/>
      <c r="F49" s="427" t="s">
        <v>460</v>
      </c>
      <c r="G49" s="484">
        <f>Receivers!J55</f>
        <v>3.0960000000000001</v>
      </c>
      <c r="H49" s="107"/>
      <c r="I49" s="102"/>
      <c r="J49" s="103"/>
      <c r="K49" s="103"/>
      <c r="L49" s="103"/>
      <c r="M49" s="103"/>
      <c r="N49" s="103"/>
      <c r="O49" s="103"/>
      <c r="P49" s="103"/>
      <c r="Q49" s="103"/>
      <c r="R49" s="107"/>
    </row>
    <row r="50" spans="1:18" ht="13">
      <c r="A50" s="102"/>
      <c r="B50" s="103"/>
      <c r="C50" s="103"/>
      <c r="D50" s="103"/>
      <c r="E50" s="103"/>
      <c r="F50" s="103"/>
      <c r="G50" s="103"/>
      <c r="H50" s="107"/>
      <c r="I50" s="102"/>
      <c r="J50" s="103"/>
      <c r="K50" s="103"/>
      <c r="L50" s="103"/>
      <c r="M50" s="465" t="s">
        <v>985</v>
      </c>
      <c r="N50" s="103"/>
      <c r="O50" s="103"/>
      <c r="P50" s="103"/>
      <c r="Q50" s="103"/>
      <c r="R50" s="107"/>
    </row>
    <row r="51" spans="1:18">
      <c r="A51" s="102"/>
      <c r="B51" s="103"/>
      <c r="C51" s="103"/>
      <c r="D51" s="103"/>
      <c r="E51" s="103" t="s">
        <v>445</v>
      </c>
      <c r="F51" s="427" t="s">
        <v>456</v>
      </c>
      <c r="G51" s="483">
        <f>Receivers!J45</f>
        <v>2412</v>
      </c>
      <c r="H51" s="107"/>
      <c r="I51" s="102"/>
      <c r="J51" s="103"/>
      <c r="K51" s="103"/>
      <c r="L51" s="103"/>
      <c r="M51" s="103"/>
      <c r="N51" s="103"/>
      <c r="O51" s="103"/>
      <c r="P51" s="103"/>
      <c r="Q51" s="103"/>
      <c r="R51" s="107"/>
    </row>
    <row r="52" spans="1:18">
      <c r="A52" s="102"/>
      <c r="B52" s="103"/>
      <c r="C52" s="103"/>
      <c r="D52" s="103"/>
      <c r="E52" s="103"/>
      <c r="F52" s="103"/>
      <c r="G52" s="103"/>
      <c r="H52" s="107"/>
      <c r="I52" s="102"/>
      <c r="J52" s="103"/>
      <c r="K52" s="103"/>
      <c r="L52" s="103"/>
      <c r="M52" s="103"/>
      <c r="N52" s="103" t="s">
        <v>817</v>
      </c>
      <c r="O52" s="103"/>
      <c r="P52" s="103"/>
      <c r="Q52" s="103"/>
      <c r="R52" s="107"/>
    </row>
    <row r="53" spans="1:18">
      <c r="A53" s="102"/>
      <c r="B53" s="103"/>
      <c r="C53" s="103"/>
      <c r="D53" s="103"/>
      <c r="E53" s="103"/>
      <c r="F53" s="427" t="s">
        <v>470</v>
      </c>
      <c r="G53" s="476">
        <f>Receivers!J48</f>
        <v>0</v>
      </c>
      <c r="H53" s="107"/>
      <c r="I53" s="102"/>
      <c r="J53" s="103"/>
      <c r="K53" s="103"/>
      <c r="L53" s="103"/>
      <c r="M53" s="103"/>
      <c r="N53" s="103"/>
      <c r="O53" s="103"/>
      <c r="P53" s="103"/>
      <c r="Q53" s="103"/>
      <c r="R53" s="107"/>
    </row>
    <row r="54" spans="1:18">
      <c r="A54" s="102"/>
      <c r="B54" s="103"/>
      <c r="C54" s="103"/>
      <c r="D54" s="103"/>
      <c r="E54" s="103"/>
      <c r="F54" s="103"/>
      <c r="G54" s="103"/>
      <c r="H54" s="107"/>
      <c r="I54" s="102"/>
      <c r="J54" s="103"/>
      <c r="K54" s="103"/>
      <c r="L54" s="103"/>
      <c r="M54" s="103" t="s">
        <v>446</v>
      </c>
      <c r="N54" s="427" t="s">
        <v>500</v>
      </c>
      <c r="O54" s="517">
        <f>Receivers!J122</f>
        <v>0</v>
      </c>
      <c r="P54" s="103"/>
      <c r="Q54" s="103"/>
      <c r="R54" s="107"/>
    </row>
    <row r="55" spans="1:18">
      <c r="A55" s="102"/>
      <c r="B55" s="103"/>
      <c r="C55" s="103"/>
      <c r="D55" s="103"/>
      <c r="E55" s="103" t="s">
        <v>185</v>
      </c>
      <c r="F55" s="427" t="s">
        <v>455</v>
      </c>
      <c r="G55" s="483">
        <f>Receivers!J46</f>
        <v>0</v>
      </c>
      <c r="H55" s="107"/>
      <c r="I55" s="102"/>
      <c r="J55" s="103"/>
      <c r="K55" s="103"/>
      <c r="L55" s="103"/>
      <c r="M55" s="103"/>
      <c r="N55" s="103"/>
      <c r="O55" s="103"/>
      <c r="P55" s="103"/>
      <c r="Q55" s="103"/>
      <c r="R55" s="107"/>
    </row>
    <row r="56" spans="1:18">
      <c r="A56" s="102"/>
      <c r="B56" s="103"/>
      <c r="C56" s="103"/>
      <c r="D56" s="103"/>
      <c r="E56" s="103"/>
      <c r="F56" s="103"/>
      <c r="G56" s="103"/>
      <c r="H56" s="107"/>
      <c r="I56" s="102"/>
      <c r="J56" s="103"/>
      <c r="K56" s="103"/>
      <c r="L56" s="103"/>
      <c r="M56" s="103"/>
      <c r="N56" s="427" t="s">
        <v>565</v>
      </c>
      <c r="O56" s="482">
        <f>Receivers!J124</f>
        <v>0</v>
      </c>
      <c r="P56" s="103"/>
      <c r="Q56" s="103"/>
      <c r="R56" s="107"/>
    </row>
    <row r="57" spans="1:18">
      <c r="A57" s="102"/>
      <c r="B57" s="103"/>
      <c r="C57" s="103"/>
      <c r="D57" s="103"/>
      <c r="E57" s="103"/>
      <c r="F57" s="103"/>
      <c r="G57" s="103"/>
      <c r="H57" s="107"/>
      <c r="I57" s="102"/>
      <c r="J57" s="103"/>
      <c r="K57" s="103"/>
      <c r="L57" s="103"/>
      <c r="M57" s="103"/>
      <c r="N57" s="478" t="str">
        <f>Receivers!J126</f>
        <v>none</v>
      </c>
      <c r="O57" s="479"/>
      <c r="P57" s="103"/>
      <c r="Q57" s="103"/>
      <c r="R57" s="107"/>
    </row>
    <row r="58" spans="1:18">
      <c r="A58" s="102"/>
      <c r="B58" s="103"/>
      <c r="C58" s="103"/>
      <c r="D58" s="103"/>
      <c r="E58" s="103"/>
      <c r="F58" s="427" t="s">
        <v>566</v>
      </c>
      <c r="G58" s="476">
        <f>Receivers!J49</f>
        <v>0</v>
      </c>
      <c r="H58" s="107"/>
      <c r="I58" s="102"/>
      <c r="J58" s="103"/>
      <c r="K58" s="103"/>
      <c r="L58" s="103"/>
      <c r="M58" s="103"/>
      <c r="N58" s="103"/>
      <c r="O58" s="103"/>
      <c r="P58" s="103"/>
      <c r="Q58" s="103"/>
      <c r="R58" s="107"/>
    </row>
    <row r="59" spans="1:18">
      <c r="A59" s="102"/>
      <c r="B59" s="103"/>
      <c r="C59" s="103"/>
      <c r="D59" s="103"/>
      <c r="E59" s="103"/>
      <c r="F59" s="478">
        <f>Receivers!J51</f>
        <v>0.7</v>
      </c>
      <c r="G59" s="479"/>
      <c r="H59" s="107"/>
      <c r="I59" s="102"/>
      <c r="J59" s="103"/>
      <c r="K59" s="103"/>
      <c r="L59" s="103"/>
      <c r="M59" s="103" t="s">
        <v>185</v>
      </c>
      <c r="N59" s="427" t="s">
        <v>504</v>
      </c>
      <c r="O59" s="483">
        <f>Receivers!J121</f>
        <v>0</v>
      </c>
      <c r="P59" s="103"/>
      <c r="Q59" s="103"/>
      <c r="R59" s="107"/>
    </row>
    <row r="60" spans="1:18">
      <c r="A60" s="102"/>
      <c r="B60" s="103"/>
      <c r="C60" s="103"/>
      <c r="D60" s="103"/>
      <c r="E60" s="103"/>
      <c r="F60" s="103"/>
      <c r="G60" s="103"/>
      <c r="H60" s="107"/>
      <c r="I60" s="102"/>
      <c r="J60" s="103"/>
      <c r="K60" s="103"/>
      <c r="L60" s="103"/>
      <c r="M60" s="103"/>
      <c r="N60" s="103"/>
      <c r="O60" s="103"/>
      <c r="P60" s="103"/>
      <c r="Q60" s="103"/>
      <c r="R60" s="107"/>
    </row>
    <row r="61" spans="1:18">
      <c r="A61" s="102"/>
      <c r="B61" s="103"/>
      <c r="C61" s="103"/>
      <c r="D61" s="103"/>
      <c r="E61" s="103" t="s">
        <v>446</v>
      </c>
      <c r="F61" s="427" t="s">
        <v>454</v>
      </c>
      <c r="G61" s="483">
        <f>Receivers!J47</f>
        <v>9.6000000000000002E-2</v>
      </c>
      <c r="H61" s="107"/>
      <c r="I61" s="102"/>
      <c r="J61" s="103"/>
      <c r="K61" s="103"/>
      <c r="L61" s="103"/>
      <c r="M61" s="103"/>
      <c r="N61" s="103"/>
      <c r="O61" s="103"/>
      <c r="P61" s="103"/>
      <c r="Q61" s="103"/>
      <c r="R61" s="107"/>
    </row>
    <row r="62" spans="1:18">
      <c r="A62" s="102"/>
      <c r="B62" s="103"/>
      <c r="C62" s="103"/>
      <c r="D62" s="103"/>
      <c r="E62" s="103"/>
      <c r="F62" s="103"/>
      <c r="G62" s="103"/>
      <c r="H62" s="107"/>
      <c r="I62" s="102"/>
      <c r="J62" s="103"/>
      <c r="K62" s="103"/>
      <c r="L62" s="103"/>
      <c r="M62" s="103"/>
      <c r="N62" s="427" t="s">
        <v>506</v>
      </c>
      <c r="O62" s="482">
        <f>Receivers!J123</f>
        <v>0</v>
      </c>
      <c r="P62" s="103"/>
      <c r="Q62" s="103"/>
      <c r="R62" s="107"/>
    </row>
    <row r="63" spans="1:18">
      <c r="A63" s="102"/>
      <c r="B63" s="103"/>
      <c r="C63" s="103"/>
      <c r="D63" s="103"/>
      <c r="E63" s="103"/>
      <c r="F63" s="103"/>
      <c r="G63" s="103"/>
      <c r="H63" s="107"/>
      <c r="I63" s="102"/>
      <c r="J63" s="103"/>
      <c r="K63" s="103"/>
      <c r="L63" s="103"/>
      <c r="M63" s="103"/>
      <c r="N63" s="103"/>
      <c r="O63" s="103"/>
      <c r="P63" s="103"/>
      <c r="Q63" s="103"/>
      <c r="R63" s="107"/>
    </row>
    <row r="64" spans="1:18" ht="13">
      <c r="A64" s="102"/>
      <c r="B64" s="103"/>
      <c r="C64" s="103"/>
      <c r="D64" s="103"/>
      <c r="E64" s="465" t="s">
        <v>985</v>
      </c>
      <c r="F64" s="103"/>
      <c r="G64" s="103"/>
      <c r="H64" s="107"/>
      <c r="I64" s="102"/>
      <c r="J64" s="103"/>
      <c r="K64" s="103"/>
      <c r="L64" s="103"/>
      <c r="M64" s="103"/>
      <c r="N64" s="103"/>
      <c r="O64" s="103"/>
      <c r="P64" s="103"/>
      <c r="Q64" s="103"/>
      <c r="R64" s="107"/>
    </row>
    <row r="65" spans="1:18">
      <c r="A65" s="102"/>
      <c r="B65" s="103"/>
      <c r="C65" s="103"/>
      <c r="D65" s="103"/>
      <c r="E65" s="103"/>
      <c r="F65" s="103"/>
      <c r="G65" s="103"/>
      <c r="H65" s="107"/>
      <c r="I65" s="102"/>
      <c r="J65" s="103"/>
      <c r="K65" s="103"/>
      <c r="L65" s="103"/>
      <c r="M65" s="103" t="s">
        <v>445</v>
      </c>
      <c r="N65" s="427" t="s">
        <v>505</v>
      </c>
      <c r="O65" s="482">
        <f>Receivers!J120</f>
        <v>0</v>
      </c>
      <c r="P65" s="103"/>
      <c r="Q65" s="103"/>
      <c r="R65" s="107"/>
    </row>
    <row r="66" spans="1:18">
      <c r="A66" s="102"/>
      <c r="B66" s="103"/>
      <c r="C66" s="103"/>
      <c r="D66" s="103"/>
      <c r="E66" s="103"/>
      <c r="F66" s="427" t="s">
        <v>471</v>
      </c>
      <c r="G66" s="480">
        <f>'Uplink Budget'!B23</f>
        <v>12</v>
      </c>
      <c r="H66" s="107"/>
      <c r="I66" s="102"/>
      <c r="J66" s="103"/>
      <c r="K66" s="103"/>
      <c r="L66" s="103"/>
      <c r="M66" s="103"/>
      <c r="N66" s="103"/>
      <c r="O66" s="103"/>
      <c r="P66" s="103"/>
      <c r="Q66" s="103"/>
      <c r="R66" s="107"/>
    </row>
    <row r="67" spans="1:18">
      <c r="A67" s="102"/>
      <c r="B67" s="103" t="str">
        <f>'Antenna Gain'!F24</f>
        <v>Other (User Defined)</v>
      </c>
      <c r="C67" s="103"/>
      <c r="D67" s="103"/>
      <c r="E67" s="103"/>
      <c r="F67" s="492" t="s">
        <v>483</v>
      </c>
      <c r="G67" s="500" t="str">
        <f>'Antenna Gain'!K11</f>
        <v>RHCP</v>
      </c>
      <c r="H67" s="107"/>
      <c r="I67" s="102"/>
      <c r="J67" s="103"/>
      <c r="K67" s="103"/>
      <c r="L67" s="103"/>
      <c r="M67" s="103"/>
      <c r="N67" s="427" t="s">
        <v>507</v>
      </c>
      <c r="O67" s="482">
        <f>Receivers!J128</f>
        <v>0.4</v>
      </c>
      <c r="P67" s="103"/>
      <c r="Q67" s="103"/>
      <c r="R67" s="107"/>
    </row>
    <row r="68" spans="1:18">
      <c r="A68" s="102"/>
      <c r="B68" s="103"/>
      <c r="C68" s="103"/>
      <c r="D68" s="103"/>
      <c r="E68" s="103"/>
      <c r="F68" s="103" t="s">
        <v>817</v>
      </c>
      <c r="G68" s="103"/>
      <c r="H68" s="107"/>
      <c r="I68" s="102"/>
      <c r="J68" s="103"/>
      <c r="K68" s="103"/>
      <c r="L68" s="103"/>
      <c r="M68" s="103"/>
      <c r="N68" s="103"/>
      <c r="O68" s="103"/>
      <c r="P68" s="103"/>
      <c r="Q68" s="103"/>
      <c r="R68" s="107"/>
    </row>
    <row r="69" spans="1:18">
      <c r="A69" s="102"/>
      <c r="B69" s="103"/>
      <c r="C69" s="103"/>
      <c r="D69" s="103"/>
      <c r="E69" s="103"/>
      <c r="F69" s="427" t="s">
        <v>452</v>
      </c>
      <c r="G69" s="482">
        <f>'Uplink Budget'!B15</f>
        <v>157.5988935799457</v>
      </c>
      <c r="H69" s="107"/>
      <c r="I69" s="102"/>
      <c r="J69" s="103"/>
      <c r="K69" s="103"/>
      <c r="L69" s="103"/>
      <c r="M69" s="103"/>
      <c r="N69" s="427" t="s">
        <v>509</v>
      </c>
      <c r="O69" s="485">
        <f>Receivers!J136</f>
        <v>360</v>
      </c>
      <c r="P69" s="103"/>
      <c r="Q69" s="103"/>
      <c r="R69" s="107"/>
    </row>
    <row r="70" spans="1:18">
      <c r="A70" s="102"/>
      <c r="B70" s="103"/>
      <c r="C70" s="103"/>
      <c r="D70" s="103"/>
      <c r="E70" s="103"/>
      <c r="F70" s="103"/>
      <c r="G70" s="103"/>
      <c r="H70" s="107"/>
      <c r="I70" s="102"/>
      <c r="J70" s="103"/>
      <c r="K70" s="103"/>
      <c r="L70" s="103"/>
      <c r="M70" s="103"/>
      <c r="N70" s="103"/>
      <c r="O70" s="103"/>
      <c r="P70" s="103"/>
      <c r="Q70" s="103"/>
      <c r="R70" s="107"/>
    </row>
    <row r="71" spans="1:18">
      <c r="A71" s="102"/>
      <c r="B71" s="103"/>
      <c r="C71" s="103"/>
      <c r="D71" s="103"/>
      <c r="E71" s="103"/>
      <c r="F71" s="470" t="s">
        <v>482</v>
      </c>
      <c r="G71" s="471"/>
      <c r="H71" s="107"/>
      <c r="I71" s="102"/>
      <c r="J71" s="103"/>
      <c r="K71" s="103"/>
      <c r="L71" s="103"/>
      <c r="M71" s="103"/>
      <c r="N71" s="427" t="s">
        <v>508</v>
      </c>
      <c r="O71" s="482">
        <f>Receivers!F138</f>
        <v>16</v>
      </c>
      <c r="P71" s="103"/>
      <c r="Q71" s="103"/>
      <c r="R71" s="107"/>
    </row>
    <row r="72" spans="1:18">
      <c r="A72" s="102"/>
      <c r="B72" s="103"/>
      <c r="C72" s="103"/>
      <c r="D72" s="103"/>
      <c r="E72" s="103"/>
      <c r="F72" s="518">
        <f>'Uplink Budget'!B13+'Uplink Budget'!B14+'Uplink Budget'!B15+'Uplink Budget'!B16+'Uplink Budget'!B17+'Uplink Budget'!B18+'Uplink Budget'!B22</f>
        <v>158.86935325788681</v>
      </c>
      <c r="G72" s="519" t="s">
        <v>859</v>
      </c>
      <c r="H72" s="107"/>
      <c r="I72" s="102"/>
      <c r="J72" s="103"/>
      <c r="K72" s="103"/>
      <c r="L72" s="103"/>
      <c r="M72" s="103"/>
      <c r="N72" s="103"/>
      <c r="O72" s="103"/>
      <c r="P72" s="103"/>
      <c r="Q72" s="103"/>
      <c r="R72" s="107"/>
    </row>
    <row r="73" spans="1:18">
      <c r="A73" s="102"/>
      <c r="B73" s="103"/>
      <c r="C73" s="103"/>
      <c r="D73" s="103"/>
      <c r="E73" s="103"/>
      <c r="F73" s="103"/>
      <c r="G73" s="103"/>
      <c r="H73" s="107"/>
      <c r="I73" s="102"/>
      <c r="J73" s="103"/>
      <c r="K73" s="103"/>
      <c r="L73" s="103"/>
      <c r="M73" s="103"/>
      <c r="N73" s="103"/>
      <c r="O73" s="103"/>
      <c r="P73" s="103"/>
      <c r="Q73" s="103"/>
      <c r="R73" s="107"/>
    </row>
    <row r="74" spans="1:18">
      <c r="A74" s="102"/>
      <c r="B74" s="103"/>
      <c r="C74" s="103"/>
      <c r="D74" s="103"/>
      <c r="E74" s="103"/>
      <c r="F74" s="191" t="s">
        <v>472</v>
      </c>
      <c r="G74" s="481">
        <f>'Uplink Budget'!B11</f>
        <v>24.08091259055681</v>
      </c>
      <c r="H74" s="107"/>
      <c r="I74" s="102"/>
      <c r="J74" s="103"/>
      <c r="K74" s="103"/>
      <c r="L74" s="103"/>
      <c r="M74" s="103"/>
      <c r="N74" s="103"/>
      <c r="O74" s="103"/>
      <c r="P74" s="103"/>
      <c r="Q74" s="103"/>
      <c r="R74" s="107"/>
    </row>
    <row r="75" spans="1:18">
      <c r="A75" s="102"/>
      <c r="B75" s="103"/>
      <c r="C75" s="103"/>
      <c r="D75" s="103"/>
      <c r="E75" s="103"/>
      <c r="F75" s="103"/>
      <c r="G75" s="103"/>
      <c r="H75" s="107"/>
      <c r="I75" s="102"/>
      <c r="J75" s="103"/>
      <c r="K75" s="103"/>
      <c r="L75" s="103"/>
      <c r="M75" s="103"/>
      <c r="N75" s="427" t="s">
        <v>510</v>
      </c>
      <c r="O75" s="485">
        <f>Receivers!J148</f>
        <v>4306</v>
      </c>
      <c r="P75" s="103"/>
      <c r="Q75" s="103"/>
      <c r="R75" s="107"/>
    </row>
    <row r="76" spans="1:18">
      <c r="A76" s="102"/>
      <c r="B76" s="103" t="str">
        <f>'Antenna Gain'!F11</f>
        <v xml:space="preserve">User Defined </v>
      </c>
      <c r="C76" s="103"/>
      <c r="D76" s="103"/>
      <c r="E76" s="103"/>
      <c r="F76" s="427" t="s">
        <v>469</v>
      </c>
      <c r="G76" s="480">
        <f>'Uplink Budget'!B10</f>
        <v>22.9</v>
      </c>
      <c r="H76" s="107"/>
      <c r="I76" s="102"/>
      <c r="J76" s="103"/>
      <c r="K76" s="103"/>
      <c r="L76" s="103"/>
      <c r="M76" s="103"/>
      <c r="N76" s="103"/>
      <c r="O76" s="103"/>
      <c r="P76" s="103"/>
      <c r="Q76" s="103"/>
      <c r="R76" s="107"/>
    </row>
    <row r="77" spans="1:18">
      <c r="A77" s="102"/>
      <c r="B77" s="103"/>
      <c r="C77" s="103"/>
      <c r="D77" s="103"/>
      <c r="E77" s="103"/>
      <c r="F77" s="492" t="s">
        <v>484</v>
      </c>
      <c r="G77" s="500" t="str">
        <f>'Antenna Gain'!K11</f>
        <v>RHCP</v>
      </c>
      <c r="H77" s="107"/>
      <c r="I77" s="102"/>
      <c r="J77" s="103"/>
      <c r="K77" s="103"/>
      <c r="L77" s="103"/>
      <c r="M77" s="103"/>
      <c r="N77" s="103"/>
      <c r="O77" s="103"/>
      <c r="P77" s="103"/>
      <c r="Q77" s="103"/>
      <c r="R77" s="107"/>
    </row>
    <row r="78" spans="1:18">
      <c r="A78" s="102"/>
      <c r="B78" s="103"/>
      <c r="C78" s="103"/>
      <c r="D78" s="103"/>
      <c r="E78" s="103"/>
      <c r="F78" s="103" t="s">
        <v>817</v>
      </c>
      <c r="G78" s="103"/>
      <c r="H78" s="107"/>
      <c r="I78" s="102"/>
      <c r="J78" s="103"/>
      <c r="K78" s="103"/>
      <c r="L78" s="103"/>
      <c r="M78" s="103"/>
      <c r="N78" s="103"/>
      <c r="O78" s="103"/>
      <c r="P78" s="103"/>
      <c r="Q78" s="103"/>
      <c r="R78" s="107"/>
    </row>
    <row r="79" spans="1:18" ht="13">
      <c r="A79" s="102"/>
      <c r="B79" s="103"/>
      <c r="C79" s="103"/>
      <c r="D79" s="103"/>
      <c r="E79" s="465" t="s">
        <v>980</v>
      </c>
      <c r="F79" s="103"/>
      <c r="G79" s="103"/>
      <c r="H79" s="107"/>
      <c r="I79" s="102"/>
      <c r="J79" s="103"/>
      <c r="K79" s="103"/>
      <c r="L79" s="103"/>
      <c r="M79" s="103"/>
      <c r="N79" s="103"/>
      <c r="O79" s="103"/>
      <c r="P79" s="103"/>
      <c r="Q79" s="103"/>
      <c r="R79" s="107"/>
    </row>
    <row r="80" spans="1:18">
      <c r="A80" s="102"/>
      <c r="B80" s="103"/>
      <c r="C80" s="103"/>
      <c r="D80" s="103"/>
      <c r="E80" s="103"/>
      <c r="F80" s="103"/>
      <c r="G80" s="103"/>
      <c r="H80" s="107"/>
      <c r="I80" s="102"/>
      <c r="J80" s="103"/>
      <c r="K80" s="103"/>
      <c r="L80" s="103"/>
      <c r="M80" s="103"/>
      <c r="N80" s="103"/>
      <c r="O80" s="103"/>
      <c r="P80" s="103"/>
      <c r="Q80" s="103"/>
      <c r="R80" s="107"/>
    </row>
    <row r="81" spans="1:18">
      <c r="A81" s="102"/>
      <c r="B81" s="103"/>
      <c r="C81" s="103"/>
      <c r="D81" s="103"/>
      <c r="E81" s="103"/>
      <c r="F81" s="103"/>
      <c r="G81" s="103"/>
      <c r="H81" s="107"/>
      <c r="I81" s="102"/>
      <c r="J81" s="103"/>
      <c r="K81" s="103"/>
      <c r="L81" s="103"/>
      <c r="M81" s="103"/>
      <c r="N81" s="103"/>
      <c r="O81" s="103"/>
      <c r="P81" s="103"/>
      <c r="Q81" s="103"/>
      <c r="R81" s="107"/>
    </row>
    <row r="82" spans="1:18">
      <c r="A82" s="102"/>
      <c r="B82" s="103"/>
      <c r="C82" s="103"/>
      <c r="D82" s="103"/>
      <c r="E82" s="103"/>
      <c r="F82" s="427" t="s">
        <v>461</v>
      </c>
      <c r="G82" s="484">
        <f>Transmitters!I41</f>
        <v>0.58000000000000007</v>
      </c>
      <c r="H82" s="107"/>
      <c r="I82" s="102"/>
      <c r="J82" s="103"/>
      <c r="K82" s="103"/>
      <c r="L82" s="103"/>
      <c r="M82" s="103"/>
      <c r="N82" s="103"/>
      <c r="O82" s="103"/>
      <c r="P82" s="103"/>
      <c r="Q82" s="103"/>
      <c r="R82" s="107"/>
    </row>
    <row r="83" spans="1:18">
      <c r="A83" s="102"/>
      <c r="B83" s="103"/>
      <c r="C83" s="103"/>
      <c r="D83" s="103"/>
      <c r="E83" s="103" t="s">
        <v>817</v>
      </c>
      <c r="F83" s="103" t="s">
        <v>817</v>
      </c>
      <c r="G83" s="103"/>
      <c r="H83" s="107"/>
      <c r="I83" s="102"/>
      <c r="J83" s="103"/>
      <c r="K83" s="103"/>
      <c r="L83" s="103"/>
      <c r="M83" s="103"/>
      <c r="N83" s="103"/>
      <c r="O83" s="103"/>
      <c r="P83" s="103"/>
      <c r="Q83" s="103"/>
      <c r="R83" s="107"/>
    </row>
    <row r="84" spans="1:18">
      <c r="A84" s="102"/>
      <c r="B84" s="103"/>
      <c r="C84" s="103"/>
      <c r="D84" s="103"/>
      <c r="E84" s="103" t="s">
        <v>446</v>
      </c>
      <c r="F84" s="427" t="s">
        <v>450</v>
      </c>
      <c r="G84" s="477">
        <f>Transmitters!E25*Transmitters!I21</f>
        <v>0</v>
      </c>
      <c r="H84" s="107"/>
      <c r="I84" s="102"/>
      <c r="J84" s="103"/>
      <c r="K84" s="103"/>
      <c r="L84" s="103"/>
      <c r="M84" s="103"/>
      <c r="N84" s="103"/>
      <c r="O84" s="103"/>
      <c r="P84" s="103"/>
      <c r="Q84" s="103"/>
      <c r="R84" s="107"/>
    </row>
    <row r="85" spans="1:18">
      <c r="A85" s="102"/>
      <c r="B85" s="103"/>
      <c r="C85" s="103"/>
      <c r="D85" s="103"/>
      <c r="E85" s="103"/>
      <c r="F85" s="103"/>
      <c r="G85" s="103"/>
      <c r="H85" s="107"/>
      <c r="I85" s="102"/>
      <c r="J85" s="103"/>
      <c r="K85" s="103"/>
      <c r="L85" s="103"/>
      <c r="M85" s="103"/>
      <c r="N85" s="103"/>
      <c r="O85" s="103"/>
      <c r="P85" s="103"/>
      <c r="Q85" s="103"/>
      <c r="R85" s="107"/>
    </row>
    <row r="86" spans="1:18">
      <c r="A86" s="102"/>
      <c r="B86" s="103"/>
      <c r="C86" s="103"/>
      <c r="D86" s="103"/>
      <c r="E86" s="103"/>
      <c r="F86" s="103"/>
      <c r="G86" s="103"/>
      <c r="H86" s="107"/>
      <c r="I86" s="102"/>
      <c r="J86" s="103"/>
      <c r="K86" s="103"/>
      <c r="L86" s="103"/>
      <c r="M86" s="103"/>
      <c r="N86" s="103"/>
      <c r="O86" s="103"/>
      <c r="P86" s="103"/>
      <c r="Q86" s="103"/>
      <c r="R86" s="107"/>
    </row>
    <row r="87" spans="1:18">
      <c r="A87" s="102"/>
      <c r="B87" s="103"/>
      <c r="C87" s="103"/>
      <c r="D87" s="103"/>
      <c r="E87" s="103"/>
      <c r="F87" s="427" t="s">
        <v>457</v>
      </c>
      <c r="G87" s="480">
        <f>Transmitters!I37</f>
        <v>0</v>
      </c>
      <c r="H87" s="107"/>
      <c r="I87" s="102"/>
      <c r="J87" s="103"/>
      <c r="K87" s="103"/>
      <c r="L87" s="103"/>
      <c r="M87" s="103"/>
      <c r="N87" s="103"/>
      <c r="O87" s="103"/>
      <c r="P87" s="103"/>
      <c r="Q87" s="103"/>
      <c r="R87" s="107"/>
    </row>
    <row r="88" spans="1:18">
      <c r="A88" s="102"/>
      <c r="B88" s="103"/>
      <c r="C88" s="103"/>
      <c r="D88" s="103"/>
      <c r="E88" s="103"/>
      <c r="F88" s="514" t="str">
        <f>Transmitters!F37</f>
        <v>none</v>
      </c>
      <c r="G88" s="479"/>
      <c r="H88" s="107"/>
      <c r="I88" s="102"/>
      <c r="J88" s="103"/>
      <c r="K88" s="103"/>
      <c r="L88" s="103"/>
      <c r="M88" s="103"/>
      <c r="N88" s="427" t="s">
        <v>511</v>
      </c>
      <c r="O88" s="522">
        <f>'Downlink Budget'!B56</f>
        <v>1000000</v>
      </c>
      <c r="P88" s="103"/>
      <c r="Q88" s="103"/>
      <c r="R88" s="107"/>
    </row>
    <row r="89" spans="1:18">
      <c r="A89" s="102"/>
      <c r="B89" s="103"/>
      <c r="C89" s="103"/>
      <c r="D89" s="103"/>
      <c r="E89" s="103"/>
      <c r="F89" s="103"/>
      <c r="G89" s="103"/>
      <c r="H89" s="107"/>
      <c r="I89" s="102"/>
      <c r="J89" s="103"/>
      <c r="K89" s="103"/>
      <c r="L89" s="103"/>
      <c r="M89" s="103"/>
      <c r="N89" s="103" t="s">
        <v>512</v>
      </c>
      <c r="O89" s="103"/>
      <c r="P89" s="103"/>
      <c r="Q89" s="103"/>
      <c r="R89" s="107"/>
    </row>
    <row r="90" spans="1:18">
      <c r="A90" s="102"/>
      <c r="B90" s="103"/>
      <c r="C90" s="103"/>
      <c r="D90" s="103"/>
      <c r="E90" s="103" t="s">
        <v>185</v>
      </c>
      <c r="F90" s="427" t="s">
        <v>449</v>
      </c>
      <c r="G90" s="477">
        <f>Transmitters!E25*Transmitters!I20</f>
        <v>0</v>
      </c>
      <c r="H90" s="107"/>
      <c r="I90" s="102"/>
      <c r="J90" s="103"/>
      <c r="K90" s="103"/>
      <c r="L90" s="103"/>
      <c r="M90" s="103"/>
      <c r="N90" s="103"/>
      <c r="O90" s="103"/>
      <c r="P90" s="103"/>
      <c r="Q90" s="103"/>
      <c r="R90" s="107"/>
    </row>
    <row r="91" spans="1:18">
      <c r="A91" s="102"/>
      <c r="B91" s="103"/>
      <c r="C91" s="103"/>
      <c r="D91" s="103"/>
      <c r="E91" s="103"/>
      <c r="F91" s="103"/>
      <c r="G91" s="103"/>
      <c r="H91" s="107"/>
      <c r="I91" s="102"/>
      <c r="J91" s="103"/>
      <c r="K91" s="103"/>
      <c r="L91" s="103"/>
      <c r="M91" s="103"/>
      <c r="N91" s="103"/>
      <c r="O91" s="103"/>
      <c r="P91" s="103"/>
      <c r="Q91" s="103"/>
      <c r="R91" s="107"/>
    </row>
    <row r="92" spans="1:18">
      <c r="A92" s="102"/>
      <c r="B92" s="103"/>
      <c r="C92" s="103"/>
      <c r="D92" s="103"/>
      <c r="E92" s="103"/>
      <c r="F92" s="103"/>
      <c r="G92" s="103"/>
      <c r="H92" s="107"/>
      <c r="I92" s="102"/>
      <c r="J92" s="103"/>
      <c r="K92" s="103"/>
      <c r="L92" s="103"/>
      <c r="M92" s="103"/>
      <c r="N92" s="103"/>
      <c r="O92" s="103"/>
      <c r="P92" s="103"/>
      <c r="Q92" s="103"/>
      <c r="R92" s="107"/>
    </row>
    <row r="93" spans="1:18">
      <c r="A93" s="102"/>
      <c r="B93" s="103"/>
      <c r="C93" s="103"/>
      <c r="D93" s="103"/>
      <c r="E93" s="103"/>
      <c r="F93" s="427" t="s">
        <v>453</v>
      </c>
      <c r="G93" s="476">
        <f>Transmitters!I35</f>
        <v>0</v>
      </c>
      <c r="H93" s="107"/>
      <c r="I93" s="102"/>
      <c r="J93" s="103"/>
      <c r="K93" s="103"/>
      <c r="L93" s="103"/>
      <c r="M93" s="103"/>
      <c r="N93" s="492" t="s">
        <v>478</v>
      </c>
      <c r="O93" s="523">
        <f>'Downlink Budget'!B35</f>
        <v>1.0000000000000001E-5</v>
      </c>
      <c r="P93" s="103"/>
      <c r="Q93" s="103"/>
      <c r="R93" s="107"/>
    </row>
    <row r="94" spans="1:18">
      <c r="A94" s="102"/>
      <c r="B94" s="103"/>
      <c r="C94" s="103"/>
      <c r="D94" s="103"/>
      <c r="E94" s="103"/>
      <c r="F94" s="103"/>
      <c r="G94" s="103"/>
      <c r="H94" s="107"/>
      <c r="I94" s="102"/>
      <c r="J94" s="103"/>
      <c r="K94" s="103"/>
      <c r="L94" s="103"/>
      <c r="M94" s="103"/>
      <c r="N94" s="509" t="s">
        <v>517</v>
      </c>
      <c r="O94" s="510"/>
      <c r="P94" s="103"/>
      <c r="Q94" s="103"/>
      <c r="R94" s="107"/>
    </row>
    <row r="95" spans="1:18">
      <c r="A95" s="102"/>
      <c r="B95" s="103"/>
      <c r="C95" s="103"/>
      <c r="D95" s="103"/>
      <c r="E95" s="103" t="s">
        <v>445</v>
      </c>
      <c r="F95" s="427" t="s">
        <v>448</v>
      </c>
      <c r="G95" s="477">
        <f>Transmitters!E25*Transmitters!I19</f>
        <v>0</v>
      </c>
      <c r="H95" s="107"/>
      <c r="I95" s="102"/>
      <c r="J95" s="103"/>
      <c r="K95" s="103"/>
      <c r="L95" s="103"/>
      <c r="M95" s="103"/>
      <c r="N95" s="509" t="str">
        <f>'Downlink Budget'!B32</f>
        <v>BPSK</v>
      </c>
      <c r="O95" s="510"/>
      <c r="P95" s="103"/>
      <c r="Q95" s="103"/>
      <c r="R95" s="107"/>
    </row>
    <row r="96" spans="1:18">
      <c r="A96" s="102"/>
      <c r="B96" s="103"/>
      <c r="C96" s="103"/>
      <c r="D96" s="103"/>
      <c r="E96" s="103"/>
      <c r="F96" s="103" t="s">
        <v>817</v>
      </c>
      <c r="G96" s="103"/>
      <c r="H96" s="107"/>
      <c r="I96" s="102"/>
      <c r="J96" s="103"/>
      <c r="K96" s="103"/>
      <c r="L96" s="103"/>
      <c r="M96" s="103"/>
      <c r="N96" s="511" t="s">
        <v>362</v>
      </c>
      <c r="O96" s="491">
        <f>'Downlink Budget'!B41</f>
        <v>10.6</v>
      </c>
      <c r="P96" s="103"/>
      <c r="Q96" s="103"/>
      <c r="R96" s="107"/>
    </row>
    <row r="97" spans="1:18">
      <c r="A97" s="102"/>
      <c r="B97" s="103"/>
      <c r="C97" s="103"/>
      <c r="D97" s="103"/>
      <c r="E97" s="103"/>
      <c r="F97" s="427" t="s">
        <v>447</v>
      </c>
      <c r="G97" s="475">
        <f>Transmitters!E16</f>
        <v>1.5</v>
      </c>
      <c r="H97" s="107"/>
      <c r="I97" s="102"/>
      <c r="J97" s="103"/>
      <c r="K97" s="103"/>
      <c r="L97" s="103"/>
      <c r="M97" s="103"/>
      <c r="N97" s="103"/>
      <c r="O97" s="103"/>
      <c r="P97" s="103"/>
      <c r="Q97" s="103"/>
      <c r="R97" s="107"/>
    </row>
    <row r="98" spans="1:18">
      <c r="A98" s="102"/>
      <c r="B98" s="103"/>
      <c r="C98" s="103"/>
      <c r="D98" s="103"/>
      <c r="E98" s="103"/>
      <c r="F98" s="103"/>
      <c r="G98" s="103"/>
      <c r="H98" s="107"/>
      <c r="I98" s="102"/>
      <c r="J98" s="103"/>
      <c r="K98" s="103"/>
      <c r="L98" s="103"/>
      <c r="M98" s="103"/>
      <c r="N98" s="103"/>
      <c r="O98" s="103"/>
      <c r="P98" s="103"/>
      <c r="Q98" s="103"/>
      <c r="R98" s="107"/>
    </row>
    <row r="99" spans="1:18">
      <c r="A99" s="102"/>
      <c r="B99" s="103"/>
      <c r="C99" s="103"/>
      <c r="D99" s="103"/>
      <c r="E99" s="103"/>
      <c r="F99" s="103"/>
      <c r="G99" s="103"/>
      <c r="H99" s="107"/>
      <c r="I99" s="102"/>
      <c r="J99" s="103"/>
      <c r="K99" s="103"/>
      <c r="L99" s="103"/>
      <c r="M99" s="103"/>
      <c r="N99" s="103"/>
      <c r="O99" s="103"/>
      <c r="P99" s="103"/>
      <c r="Q99" s="103"/>
      <c r="R99" s="107"/>
    </row>
    <row r="100" spans="1:18">
      <c r="A100" s="102"/>
      <c r="B100" s="103"/>
      <c r="C100" s="103"/>
      <c r="D100" s="103"/>
      <c r="E100" s="103"/>
      <c r="F100" s="103"/>
      <c r="G100" s="103"/>
      <c r="H100" s="107"/>
      <c r="I100" s="102"/>
      <c r="J100" s="103"/>
      <c r="K100" s="103"/>
      <c r="L100" s="103"/>
      <c r="M100" s="103"/>
      <c r="N100" s="466" t="s">
        <v>513</v>
      </c>
      <c r="O100" s="467"/>
      <c r="P100" s="103"/>
      <c r="Q100" s="103"/>
      <c r="R100" s="107"/>
    </row>
    <row r="101" spans="1:18">
      <c r="A101" s="102"/>
      <c r="B101" s="103"/>
      <c r="C101" s="103"/>
      <c r="D101" s="103"/>
      <c r="E101" s="103"/>
      <c r="F101" s="103"/>
      <c r="G101" s="103"/>
      <c r="H101" s="107"/>
      <c r="I101" s="102"/>
      <c r="J101" s="103"/>
      <c r="K101" s="103"/>
      <c r="L101" s="103"/>
      <c r="M101" s="103"/>
      <c r="N101" s="524" t="str">
        <f>'Downlink Budget'!B33</f>
        <v>None</v>
      </c>
      <c r="O101" s="469"/>
      <c r="P101" s="103"/>
      <c r="Q101" s="103"/>
      <c r="R101" s="107"/>
    </row>
    <row r="102" spans="1:18">
      <c r="A102" s="102"/>
      <c r="B102" s="103"/>
      <c r="C102" s="103"/>
      <c r="D102" s="103"/>
      <c r="E102" s="103"/>
      <c r="F102" s="103"/>
      <c r="G102" s="103"/>
      <c r="H102" s="107"/>
      <c r="I102" s="102"/>
      <c r="J102" s="103"/>
      <c r="K102" s="103"/>
      <c r="L102" s="103"/>
      <c r="M102" s="103"/>
      <c r="N102" s="103"/>
      <c r="O102" s="103"/>
      <c r="P102" s="103"/>
      <c r="Q102" s="103"/>
      <c r="R102" s="107"/>
    </row>
    <row r="103" spans="1:18">
      <c r="A103" s="102"/>
      <c r="B103" s="103"/>
      <c r="C103" s="103"/>
      <c r="D103" s="103"/>
      <c r="E103" s="103"/>
      <c r="F103" s="466" t="s">
        <v>473</v>
      </c>
      <c r="G103" s="467"/>
      <c r="H103" s="107"/>
      <c r="I103" s="102"/>
      <c r="J103" s="103"/>
      <c r="K103" s="103"/>
      <c r="L103" s="103"/>
      <c r="M103" s="103"/>
      <c r="N103" s="103"/>
      <c r="O103" s="103"/>
      <c r="P103" s="103"/>
      <c r="Q103" s="103"/>
      <c r="R103" s="107"/>
    </row>
    <row r="104" spans="1:18">
      <c r="A104" s="102"/>
      <c r="B104" s="103"/>
      <c r="C104" s="103"/>
      <c r="D104" s="103"/>
      <c r="E104" s="103"/>
      <c r="F104" s="468" t="str">
        <f>'Uplink Budget'!B32</f>
        <v>BPSK</v>
      </c>
      <c r="G104" s="469"/>
      <c r="H104" s="107"/>
      <c r="I104" s="102"/>
      <c r="J104" s="103"/>
      <c r="K104" s="103"/>
      <c r="L104" s="103"/>
      <c r="M104" s="103"/>
      <c r="N104" s="103"/>
      <c r="O104" s="103"/>
      <c r="P104" s="103"/>
      <c r="Q104" s="103"/>
      <c r="R104" s="107"/>
    </row>
    <row r="105" spans="1:18">
      <c r="A105" s="102"/>
      <c r="B105" s="103"/>
      <c r="C105" s="103"/>
      <c r="D105" s="103"/>
      <c r="E105" s="103"/>
      <c r="F105" s="103"/>
      <c r="G105" s="103"/>
      <c r="H105" s="107"/>
      <c r="I105" s="102"/>
      <c r="J105" s="103"/>
      <c r="K105" s="427" t="s">
        <v>480</v>
      </c>
      <c r="L105" s="522">
        <f>'Downlink Budget'!B28</f>
        <v>1000000</v>
      </c>
      <c r="M105" s="103"/>
      <c r="N105" s="103"/>
      <c r="O105" s="103" t="s">
        <v>817</v>
      </c>
      <c r="P105" s="103" t="s">
        <v>817</v>
      </c>
      <c r="Q105" s="103"/>
      <c r="R105" s="107"/>
    </row>
    <row r="106" spans="1:18" ht="13" thickBot="1">
      <c r="A106" s="102"/>
      <c r="B106" s="103"/>
      <c r="C106" s="103"/>
      <c r="D106" s="103"/>
      <c r="E106" s="103"/>
      <c r="F106" s="470" t="s">
        <v>516</v>
      </c>
      <c r="G106" s="471"/>
      <c r="H106" s="107"/>
      <c r="I106" s="102"/>
      <c r="J106" s="103"/>
      <c r="K106" s="103"/>
      <c r="L106" s="103"/>
      <c r="M106" s="103"/>
      <c r="N106" s="103"/>
      <c r="O106" s="103"/>
      <c r="P106" s="103"/>
      <c r="Q106" s="103"/>
      <c r="R106" s="107"/>
    </row>
    <row r="107" spans="1:18" ht="13.5" thickBot="1">
      <c r="A107" s="102"/>
      <c r="B107" s="103"/>
      <c r="C107" s="103"/>
      <c r="D107" s="103"/>
      <c r="E107" s="103"/>
      <c r="F107" s="468" t="str">
        <f>'Uplink Budget'!B33</f>
        <v>None</v>
      </c>
      <c r="G107" s="469"/>
      <c r="H107" s="107"/>
      <c r="I107" s="102" t="s">
        <v>518</v>
      </c>
      <c r="J107" s="103"/>
      <c r="K107" s="427" t="s">
        <v>521</v>
      </c>
      <c r="L107" s="482">
        <f>'Downlink Budget'!B30</f>
        <v>15.381580096395595</v>
      </c>
      <c r="M107" s="103"/>
      <c r="N107" s="488" t="s">
        <v>464</v>
      </c>
      <c r="O107" s="597">
        <f>'Downlink Budget'!B43</f>
        <v>4.7815800963955954</v>
      </c>
      <c r="P107" s="598" t="str">
        <f>IF(O107&lt;0,"NO LINK !",IF(O107&lt;6,"MARGINAL LINK",IF(O107&gt;6,"LINK CLOSES")))</f>
        <v>MARGINAL LINK</v>
      </c>
      <c r="Q107" s="103"/>
      <c r="R107" s="107"/>
    </row>
    <row r="108" spans="1:18" ht="13" thickBot="1">
      <c r="A108" s="102"/>
      <c r="B108" s="103"/>
      <c r="C108" s="103"/>
      <c r="D108" s="103"/>
      <c r="E108" s="103"/>
      <c r="F108" s="103"/>
      <c r="G108" s="103"/>
      <c r="H108" s="107"/>
      <c r="I108" s="102"/>
      <c r="J108" s="103"/>
      <c r="K108" s="103"/>
      <c r="L108" s="103"/>
      <c r="M108" s="103"/>
      <c r="N108" s="103"/>
      <c r="O108" s="103"/>
      <c r="P108" s="103"/>
      <c r="Q108" s="103"/>
      <c r="R108" s="107"/>
    </row>
    <row r="109" spans="1:18" ht="13.5" thickBot="1">
      <c r="A109" s="102"/>
      <c r="B109" s="103"/>
      <c r="C109" s="427" t="s">
        <v>451</v>
      </c>
      <c r="D109" s="474">
        <f>'Uplink Budget'!B28</f>
        <v>1000000</v>
      </c>
      <c r="E109" s="103"/>
      <c r="F109" s="103"/>
      <c r="G109" s="103"/>
      <c r="H109" s="107"/>
      <c r="I109" s="102" t="s">
        <v>520</v>
      </c>
      <c r="J109" s="103"/>
      <c r="K109" s="427" t="s">
        <v>522</v>
      </c>
      <c r="L109" s="482">
        <f>'Downlink Budget'!B60</f>
        <v>15.381580096395581</v>
      </c>
      <c r="M109" s="103"/>
      <c r="N109" s="488" t="s">
        <v>523</v>
      </c>
      <c r="O109" s="597">
        <f>'Downlink Budget'!B64</f>
        <v>4.7815800963955812</v>
      </c>
      <c r="P109" s="598" t="str">
        <f>IF(O109&lt;0,"NO LINK !",IF(O109&lt;6,"MARGINAL LINK",IF(O109&gt;6,"LINK CLOSES")))</f>
        <v>MARGINAL LINK</v>
      </c>
      <c r="Q109" s="103"/>
      <c r="R109" s="107"/>
    </row>
    <row r="110" spans="1:18">
      <c r="A110" s="102"/>
      <c r="B110" s="103"/>
      <c r="C110" s="103"/>
      <c r="D110" s="103"/>
      <c r="E110" s="103"/>
      <c r="F110" s="103"/>
      <c r="G110" s="103"/>
      <c r="H110" s="107"/>
      <c r="I110" s="102"/>
      <c r="J110" s="103"/>
      <c r="K110" s="103"/>
      <c r="L110" s="103"/>
      <c r="M110" s="103"/>
      <c r="N110" s="103"/>
      <c r="O110" s="103"/>
      <c r="P110" s="103"/>
      <c r="Q110" s="103"/>
      <c r="R110" s="107"/>
    </row>
    <row r="111" spans="1:18" ht="12.5" customHeight="1" thickBot="1">
      <c r="A111" s="102"/>
      <c r="B111" s="103"/>
      <c r="C111" s="103"/>
      <c r="D111" s="103"/>
      <c r="E111" s="103"/>
      <c r="F111" s="103"/>
      <c r="G111" s="103"/>
      <c r="H111" s="107"/>
      <c r="I111" s="102"/>
      <c r="J111" s="994"/>
      <c r="K111" s="994"/>
      <c r="L111" s="994"/>
      <c r="M111" s="994"/>
      <c r="N111" s="994"/>
      <c r="O111" s="994"/>
      <c r="P111" s="994"/>
      <c r="Q111" s="994"/>
      <c r="R111" s="107"/>
    </row>
    <row r="112" spans="1:18">
      <c r="A112" s="102"/>
      <c r="B112" s="103"/>
      <c r="C112" s="103"/>
      <c r="D112" s="103"/>
      <c r="E112" s="103"/>
      <c r="F112" s="1061" t="s">
        <v>1071</v>
      </c>
      <c r="G112" s="1062"/>
      <c r="H112" s="1062"/>
      <c r="I112" s="1062"/>
      <c r="J112" s="1062"/>
      <c r="K112" s="1062"/>
      <c r="L112" s="1062"/>
      <c r="M112" s="1063"/>
      <c r="N112" s="994"/>
      <c r="O112" s="994"/>
      <c r="P112" s="994"/>
      <c r="Q112" s="994"/>
      <c r="R112" s="107"/>
    </row>
    <row r="113" spans="1:18">
      <c r="A113" s="102"/>
      <c r="B113" s="103"/>
      <c r="C113" s="103"/>
      <c r="D113" s="103"/>
      <c r="E113" s="103"/>
      <c r="F113" s="1064"/>
      <c r="G113" s="1065"/>
      <c r="H113" s="1065"/>
      <c r="I113" s="1065"/>
      <c r="J113" s="1065"/>
      <c r="K113" s="1065"/>
      <c r="L113" s="1065"/>
      <c r="M113" s="1066"/>
      <c r="N113" s="994"/>
      <c r="O113" s="994"/>
      <c r="P113" s="994"/>
      <c r="Q113" s="994"/>
      <c r="R113" s="107"/>
    </row>
    <row r="114" spans="1:18">
      <c r="A114" s="102"/>
      <c r="B114" s="103"/>
      <c r="C114" s="103"/>
      <c r="D114" s="103"/>
      <c r="E114" s="103"/>
      <c r="F114" s="1064"/>
      <c r="G114" s="1065"/>
      <c r="H114" s="1065"/>
      <c r="I114" s="1065"/>
      <c r="J114" s="1065"/>
      <c r="K114" s="1065"/>
      <c r="L114" s="1065"/>
      <c r="M114" s="1066"/>
      <c r="N114" s="994"/>
      <c r="O114" s="994"/>
      <c r="P114" s="994"/>
      <c r="Q114" s="994"/>
      <c r="R114" s="107"/>
    </row>
    <row r="115" spans="1:18" ht="13" thickBot="1">
      <c r="A115" s="113"/>
      <c r="B115" s="114"/>
      <c r="C115" s="114"/>
      <c r="D115" s="114"/>
      <c r="E115" s="114"/>
      <c r="F115" s="1067"/>
      <c r="G115" s="1068"/>
      <c r="H115" s="1068"/>
      <c r="I115" s="1068"/>
      <c r="J115" s="1068"/>
      <c r="K115" s="1068"/>
      <c r="L115" s="1068"/>
      <c r="M115" s="1069"/>
      <c r="N115" s="114"/>
      <c r="O115" s="114"/>
      <c r="P115" s="114"/>
      <c r="Q115" s="114"/>
      <c r="R115" s="115"/>
    </row>
  </sheetData>
  <mergeCells count="1">
    <mergeCell ref="F112:M115"/>
  </mergeCells>
  <phoneticPr fontId="26" type="noConversion"/>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0.82" right="0.19" top="1" bottom="0.64" header="0.5" footer="0.5"/>
  <pageSetup paperSize="9" scale="49" orientation="portrait" horizontalDpi="4294967292" verticalDpi="360"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zoomScale="150" zoomScaleNormal="150" workbookViewId="0">
      <selection activeCell="A6" sqref="A6"/>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7" t="s">
        <v>662</v>
      </c>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612" t="s">
        <v>156</v>
      </c>
      <c r="B4" s="4"/>
      <c r="C4" s="3"/>
      <c r="D4" s="3" t="s">
        <v>817</v>
      </c>
      <c r="E4" s="3"/>
      <c r="F4" s="3"/>
      <c r="G4" s="3"/>
      <c r="H4" s="3"/>
      <c r="I4" s="3"/>
      <c r="J4" s="3"/>
      <c r="K4" s="3"/>
      <c r="L4" s="3"/>
      <c r="M4" s="3"/>
      <c r="N4" s="3"/>
      <c r="O4" s="3"/>
      <c r="P4" s="3"/>
      <c r="Q4" s="3"/>
      <c r="R4" s="3"/>
      <c r="S4" s="3"/>
      <c r="T4" s="3"/>
      <c r="U4" s="3"/>
      <c r="V4" s="3"/>
      <c r="W4" s="3"/>
      <c r="X4" s="3"/>
      <c r="Y4" s="3"/>
      <c r="Z4" s="3"/>
      <c r="AA4" s="3"/>
      <c r="AB4" s="3"/>
      <c r="AC4" s="3"/>
    </row>
    <row r="5" spans="1:29" ht="13">
      <c r="A5" s="46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620" t="s">
        <v>698</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3"/>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3"/>
      <c r="B8" s="610" t="s">
        <v>663</v>
      </c>
      <c r="C8" s="959" t="s">
        <v>1050</v>
      </c>
      <c r="D8" s="614" t="s">
        <v>155</v>
      </c>
      <c r="E8" s="371" t="s">
        <v>817</v>
      </c>
      <c r="F8" s="425"/>
      <c r="G8" s="425"/>
      <c r="H8" s="425"/>
      <c r="I8" s="425"/>
      <c r="J8" s="425"/>
      <c r="K8" s="425"/>
      <c r="L8" s="425"/>
      <c r="M8" s="425"/>
      <c r="N8" s="3"/>
      <c r="O8" s="3"/>
      <c r="P8" s="3"/>
      <c r="Q8" s="3"/>
      <c r="R8" s="3"/>
      <c r="S8" s="3"/>
      <c r="T8" s="3"/>
      <c r="U8" s="3"/>
      <c r="V8" s="3"/>
      <c r="W8" s="3"/>
      <c r="X8" s="3"/>
      <c r="Y8" s="3"/>
      <c r="Z8" s="3"/>
      <c r="AA8" s="3"/>
      <c r="AB8" s="3"/>
      <c r="AC8" s="3"/>
    </row>
    <row r="9" spans="1:29">
      <c r="A9" s="3"/>
      <c r="B9" s="3"/>
      <c r="C9" s="33">
        <v>0</v>
      </c>
      <c r="D9" s="718">
        <f t="shared" ref="D9:D27" si="0">IF(C9&lt;100,5.15+10*LOG10(COS(RADIANS(90-C9))),"No Signal")</f>
        <v>-156.97841279011377</v>
      </c>
      <c r="E9" s="3"/>
      <c r="F9" s="425"/>
      <c r="G9" s="425"/>
      <c r="H9" s="425"/>
      <c r="I9" s="425"/>
      <c r="J9" s="425"/>
      <c r="K9" s="425"/>
      <c r="L9" s="425"/>
      <c r="M9" s="425"/>
      <c r="N9" s="3"/>
      <c r="O9" s="3"/>
      <c r="P9" s="3"/>
      <c r="Q9" s="3"/>
      <c r="R9" s="3"/>
      <c r="S9" s="3"/>
      <c r="T9" s="3"/>
      <c r="U9" s="3"/>
      <c r="V9" s="3"/>
      <c r="W9" s="3"/>
      <c r="X9" s="3"/>
      <c r="Y9" s="3"/>
      <c r="Z9" s="3"/>
      <c r="AA9" s="3"/>
      <c r="AB9" s="3"/>
      <c r="AC9" s="3"/>
    </row>
    <row r="10" spans="1:29">
      <c r="A10" s="3"/>
      <c r="B10" s="3"/>
      <c r="C10" s="33">
        <v>5</v>
      </c>
      <c r="D10" s="718">
        <f t="shared" si="0"/>
        <v>-5.4470399166987971</v>
      </c>
      <c r="E10" s="3"/>
      <c r="F10" s="425"/>
      <c r="G10" s="425"/>
      <c r="H10" s="425"/>
      <c r="I10" s="425"/>
      <c r="J10" s="425"/>
      <c r="K10" s="425"/>
      <c r="L10" s="425"/>
      <c r="M10" s="425"/>
      <c r="N10" s="3"/>
      <c r="O10" s="3"/>
      <c r="P10" s="3"/>
      <c r="Q10" s="3"/>
      <c r="R10" s="3"/>
      <c r="S10" s="3"/>
      <c r="T10" s="3"/>
      <c r="U10" s="3"/>
      <c r="V10" s="3"/>
      <c r="W10" s="3"/>
      <c r="X10" s="3"/>
      <c r="Y10" s="3"/>
      <c r="Z10" s="3"/>
      <c r="AA10" s="3"/>
      <c r="AB10" s="3"/>
      <c r="AC10" s="3"/>
    </row>
    <row r="11" spans="1:29">
      <c r="A11" s="3"/>
      <c r="B11" s="3"/>
      <c r="C11" s="33">
        <v>10</v>
      </c>
      <c r="D11" s="718">
        <f t="shared" si="0"/>
        <v>-2.4532976998839926</v>
      </c>
      <c r="E11" s="3"/>
      <c r="F11" s="425"/>
      <c r="G11" s="425"/>
      <c r="H11" s="425"/>
      <c r="I11" s="425"/>
      <c r="J11" s="425"/>
      <c r="K11" s="425"/>
      <c r="L11" s="425"/>
      <c r="M11" s="425"/>
      <c r="N11" s="3"/>
      <c r="O11" s="3"/>
      <c r="P11" s="3"/>
      <c r="Q11" s="3"/>
      <c r="R11" s="3"/>
      <c r="S11" s="3"/>
      <c r="T11" s="3"/>
      <c r="U11" s="3"/>
      <c r="V11" s="3"/>
      <c r="W11" s="3"/>
      <c r="X11" s="3"/>
      <c r="Y11" s="3"/>
      <c r="Z11" s="3"/>
      <c r="AA11" s="3"/>
      <c r="AB11" s="3"/>
      <c r="AC11" s="3"/>
    </row>
    <row r="12" spans="1:29">
      <c r="A12" s="3"/>
      <c r="B12" s="3"/>
      <c r="C12" s="33">
        <v>15</v>
      </c>
      <c r="D12" s="718">
        <f t="shared" si="0"/>
        <v>-0.72003769430660824</v>
      </c>
      <c r="E12" s="3"/>
      <c r="F12" s="425"/>
      <c r="G12" s="425"/>
      <c r="H12" s="425"/>
      <c r="I12" s="425"/>
      <c r="J12" s="425"/>
      <c r="K12" s="425"/>
      <c r="L12" s="425"/>
      <c r="M12" s="425"/>
      <c r="N12" s="3"/>
      <c r="O12" s="3"/>
      <c r="P12" s="3"/>
      <c r="Q12" s="3"/>
      <c r="R12" s="3"/>
      <c r="S12" s="3"/>
      <c r="T12" s="3"/>
      <c r="U12" s="3"/>
      <c r="V12" s="3"/>
      <c r="W12" s="3"/>
      <c r="X12" s="3"/>
      <c r="Y12" s="3"/>
      <c r="Z12" s="3"/>
      <c r="AA12" s="3"/>
      <c r="AB12" s="3"/>
      <c r="AC12" s="3"/>
    </row>
    <row r="13" spans="1:29">
      <c r="A13" s="3"/>
      <c r="B13" s="3"/>
      <c r="C13" s="33">
        <v>20</v>
      </c>
      <c r="D13" s="718">
        <f t="shared" si="0"/>
        <v>0.4905168464551739</v>
      </c>
      <c r="E13" s="3"/>
      <c r="F13" s="425"/>
      <c r="G13" s="425"/>
      <c r="H13" s="425"/>
      <c r="I13" s="425"/>
      <c r="J13" s="425"/>
      <c r="K13" s="425"/>
      <c r="L13" s="425"/>
      <c r="M13" s="425"/>
      <c r="N13" s="3"/>
      <c r="O13" s="3"/>
      <c r="P13" s="3"/>
      <c r="Q13" s="3"/>
      <c r="R13" s="3"/>
      <c r="S13" s="3"/>
      <c r="T13" s="3"/>
      <c r="U13" s="3"/>
      <c r="V13" s="3"/>
      <c r="W13" s="3"/>
      <c r="X13" s="3"/>
      <c r="Y13" s="3"/>
      <c r="Z13" s="3"/>
      <c r="AA13" s="3"/>
      <c r="AB13" s="3"/>
      <c r="AC13" s="3"/>
    </row>
    <row r="14" spans="1:29">
      <c r="A14" s="3"/>
      <c r="B14" s="3"/>
      <c r="C14" s="33">
        <v>25</v>
      </c>
      <c r="D14" s="718">
        <f t="shared" si="0"/>
        <v>1.409482594031398</v>
      </c>
      <c r="E14" s="3"/>
      <c r="F14" s="425"/>
      <c r="G14" s="425"/>
      <c r="H14" s="425"/>
      <c r="I14" s="425"/>
      <c r="J14" s="425"/>
      <c r="K14" s="425"/>
      <c r="L14" s="425"/>
      <c r="M14" s="425"/>
      <c r="N14" s="3"/>
      <c r="O14" s="3"/>
      <c r="P14" s="3"/>
      <c r="Q14" s="3"/>
      <c r="R14" s="3"/>
      <c r="S14" s="3"/>
      <c r="T14" s="3"/>
      <c r="U14" s="3"/>
      <c r="V14" s="3"/>
      <c r="W14" s="3"/>
      <c r="X14" s="3"/>
      <c r="Y14" s="3"/>
      <c r="Z14" s="3"/>
      <c r="AA14" s="3"/>
      <c r="AB14" s="3"/>
      <c r="AC14" s="3"/>
    </row>
    <row r="15" spans="1:29">
      <c r="A15" s="3"/>
      <c r="B15" s="3"/>
      <c r="C15" s="33">
        <v>30</v>
      </c>
      <c r="D15" s="718">
        <f t="shared" si="0"/>
        <v>2.1397000433601896</v>
      </c>
      <c r="E15" s="3"/>
      <c r="F15" s="425"/>
      <c r="G15" s="425"/>
      <c r="H15" s="425"/>
      <c r="I15" s="425"/>
      <c r="J15" s="425"/>
      <c r="K15" s="425"/>
      <c r="L15" s="425"/>
      <c r="M15" s="425"/>
      <c r="N15" s="3"/>
      <c r="O15" s="3"/>
      <c r="P15" s="3"/>
      <c r="Q15" s="3"/>
      <c r="R15" s="3"/>
      <c r="S15" s="3"/>
      <c r="T15" s="3"/>
      <c r="U15" s="3"/>
      <c r="V15" s="3"/>
      <c r="W15" s="3"/>
      <c r="X15" s="3"/>
      <c r="Y15" s="3"/>
      <c r="Z15" s="3"/>
      <c r="AA15" s="3"/>
      <c r="AB15" s="3"/>
      <c r="AC15" s="3"/>
    </row>
    <row r="16" spans="1:29">
      <c r="A16" s="3"/>
      <c r="B16" s="3"/>
      <c r="C16" s="33">
        <v>35</v>
      </c>
      <c r="D16" s="718">
        <f t="shared" si="0"/>
        <v>2.7359130135409742</v>
      </c>
      <c r="E16" s="3"/>
      <c r="F16" s="425"/>
      <c r="G16" s="425"/>
      <c r="H16" s="425"/>
      <c r="I16" s="425"/>
      <c r="J16" s="425"/>
      <c r="K16" s="425"/>
      <c r="L16" s="425"/>
      <c r="M16" s="425"/>
      <c r="N16" s="3"/>
      <c r="O16" s="3"/>
      <c r="P16" s="3"/>
      <c r="Q16" s="3"/>
      <c r="R16" s="3"/>
      <c r="S16" s="3"/>
      <c r="T16" s="3"/>
      <c r="U16" s="3"/>
      <c r="V16" s="3"/>
      <c r="W16" s="3"/>
      <c r="X16" s="3"/>
      <c r="Y16" s="3"/>
      <c r="Z16" s="3"/>
      <c r="AA16" s="3"/>
      <c r="AB16" s="3"/>
      <c r="AC16" s="3"/>
    </row>
    <row r="17" spans="1:29">
      <c r="A17" s="3"/>
      <c r="B17" s="3"/>
      <c r="C17" s="33">
        <v>40</v>
      </c>
      <c r="D17" s="718">
        <f t="shared" si="0"/>
        <v>3.2306749675243496</v>
      </c>
      <c r="E17" s="3"/>
      <c r="F17" s="425"/>
      <c r="G17" s="425"/>
      <c r="H17" s="425"/>
      <c r="I17" s="425"/>
      <c r="J17" s="425"/>
      <c r="K17" s="425"/>
      <c r="L17" s="425"/>
      <c r="M17" s="425"/>
      <c r="N17" s="3"/>
      <c r="O17" s="3"/>
      <c r="P17" s="3"/>
      <c r="Q17" s="3"/>
      <c r="R17" s="3"/>
      <c r="S17" s="3"/>
      <c r="T17" s="3"/>
      <c r="U17" s="3"/>
      <c r="V17" s="3"/>
      <c r="W17" s="3"/>
      <c r="X17" s="3"/>
      <c r="Y17" s="3"/>
      <c r="Z17" s="3"/>
      <c r="AA17" s="3"/>
      <c r="AB17" s="3"/>
      <c r="AC17" s="3"/>
    </row>
    <row r="18" spans="1:29">
      <c r="A18" s="3"/>
      <c r="B18" s="3"/>
      <c r="C18" s="33">
        <v>45</v>
      </c>
      <c r="D18" s="718">
        <f t="shared" si="0"/>
        <v>3.6448500216800945</v>
      </c>
      <c r="E18" s="3"/>
      <c r="F18" s="425"/>
      <c r="G18" s="425"/>
      <c r="H18" s="425"/>
      <c r="I18" s="425" t="s">
        <v>669</v>
      </c>
      <c r="J18" s="425"/>
      <c r="K18" s="425"/>
      <c r="L18" s="425"/>
      <c r="M18" s="425"/>
      <c r="N18" s="3"/>
      <c r="O18" s="3"/>
      <c r="P18" s="3"/>
      <c r="Q18" s="3"/>
      <c r="R18" s="3"/>
      <c r="S18" s="3"/>
      <c r="T18" s="3"/>
      <c r="U18" s="3"/>
      <c r="V18" s="3"/>
      <c r="W18" s="3"/>
      <c r="X18" s="3"/>
      <c r="Y18" s="3"/>
      <c r="Z18" s="3"/>
      <c r="AA18" s="3"/>
      <c r="AB18" s="3"/>
      <c r="AC18" s="3"/>
    </row>
    <row r="19" spans="1:29">
      <c r="A19" s="3"/>
      <c r="B19" s="3"/>
      <c r="C19" s="33">
        <v>50</v>
      </c>
      <c r="D19" s="718">
        <f t="shared" si="0"/>
        <v>3.9925396655351948</v>
      </c>
      <c r="E19" s="3"/>
      <c r="F19" s="425"/>
      <c r="G19" s="425"/>
      <c r="H19" s="425"/>
      <c r="I19" s="425"/>
      <c r="J19" s="425" t="s">
        <v>670</v>
      </c>
      <c r="K19" s="425"/>
      <c r="L19" s="425"/>
      <c r="M19" s="425"/>
      <c r="N19" s="3"/>
      <c r="O19" s="3"/>
      <c r="P19" s="3"/>
      <c r="Q19" s="3"/>
      <c r="R19" s="3"/>
      <c r="S19" s="3"/>
      <c r="T19" s="3"/>
      <c r="U19" s="3"/>
      <c r="V19" s="3"/>
      <c r="W19" s="3"/>
      <c r="X19" s="3"/>
      <c r="Y19" s="3"/>
      <c r="Z19" s="3"/>
      <c r="AA19" s="3"/>
      <c r="AB19" s="3"/>
      <c r="AC19" s="3"/>
    </row>
    <row r="20" spans="1:29">
      <c r="A20" s="3"/>
      <c r="B20" s="3"/>
      <c r="C20" s="33">
        <v>55</v>
      </c>
      <c r="D20" s="718">
        <f t="shared" si="0"/>
        <v>4.2836451942485798</v>
      </c>
      <c r="E20" s="3"/>
      <c r="F20" s="425"/>
      <c r="G20" s="425"/>
      <c r="H20" s="425"/>
      <c r="I20" s="425"/>
      <c r="J20" s="425"/>
      <c r="K20" s="425"/>
      <c r="L20" s="425"/>
      <c r="M20" s="425"/>
      <c r="N20" s="3"/>
      <c r="O20" s="3"/>
      <c r="P20" s="3"/>
      <c r="Q20" s="3"/>
      <c r="R20" s="3"/>
      <c r="S20" s="3"/>
      <c r="T20" s="3"/>
      <c r="U20" s="3"/>
      <c r="V20" s="3"/>
      <c r="W20" s="3"/>
      <c r="X20" s="3"/>
      <c r="Y20" s="3"/>
      <c r="Z20" s="3"/>
      <c r="AA20" s="3"/>
      <c r="AB20" s="3"/>
      <c r="AC20" s="3"/>
    </row>
    <row r="21" spans="1:29">
      <c r="A21" s="3"/>
      <c r="B21" s="3"/>
      <c r="C21" s="33">
        <v>60</v>
      </c>
      <c r="D21" s="718">
        <f t="shared" si="0"/>
        <v>4.5253063169585008</v>
      </c>
      <c r="E21" s="3" t="s">
        <v>817</v>
      </c>
      <c r="F21" s="425"/>
      <c r="G21" s="425"/>
      <c r="H21" s="425"/>
      <c r="I21" s="425"/>
      <c r="J21" s="425"/>
      <c r="K21" s="425"/>
      <c r="L21" s="425"/>
      <c r="M21" s="425"/>
      <c r="N21" s="3"/>
      <c r="O21" s="3"/>
      <c r="P21" s="3"/>
      <c r="Q21" s="3"/>
      <c r="R21" s="3"/>
      <c r="S21" s="3"/>
      <c r="T21" s="3"/>
      <c r="U21" s="3"/>
      <c r="V21" s="3"/>
      <c r="W21" s="3"/>
      <c r="X21" s="3"/>
      <c r="Y21" s="3"/>
      <c r="Z21" s="3"/>
      <c r="AA21" s="3"/>
      <c r="AB21" s="3"/>
      <c r="AC21" s="3"/>
    </row>
    <row r="22" spans="1:29">
      <c r="A22" s="3"/>
      <c r="B22" s="3"/>
      <c r="C22" s="33">
        <v>65</v>
      </c>
      <c r="D22" s="718">
        <f t="shared" si="0"/>
        <v>4.7227571148639855</v>
      </c>
      <c r="E22" s="3"/>
      <c r="F22" s="425"/>
      <c r="G22" s="425"/>
      <c r="H22" s="425"/>
      <c r="I22" s="425"/>
      <c r="J22" s="425"/>
      <c r="K22" s="425"/>
      <c r="L22" s="425"/>
      <c r="M22" s="425"/>
      <c r="N22" s="3"/>
      <c r="O22" s="3"/>
      <c r="P22" s="3"/>
      <c r="Q22" s="3"/>
      <c r="R22" s="3"/>
      <c r="S22" s="3"/>
      <c r="T22" s="3"/>
      <c r="U22" s="3"/>
      <c r="V22" s="3"/>
      <c r="W22" s="3"/>
      <c r="X22" s="3"/>
      <c r="Y22" s="3"/>
      <c r="Z22" s="3"/>
      <c r="AA22" s="3"/>
      <c r="AB22" s="3"/>
      <c r="AC22" s="3"/>
    </row>
    <row r="23" spans="1:29">
      <c r="A23" s="3"/>
      <c r="B23" s="3"/>
      <c r="C23" s="33">
        <v>70</v>
      </c>
      <c r="D23" s="718">
        <f t="shared" si="0"/>
        <v>4.8798581644293648</v>
      </c>
      <c r="E23" s="3"/>
      <c r="F23" s="425"/>
      <c r="G23" s="425"/>
      <c r="H23" s="425"/>
      <c r="I23" s="425"/>
      <c r="J23" s="425"/>
      <c r="K23" s="425"/>
      <c r="L23" s="425"/>
      <c r="M23" s="425"/>
      <c r="N23" s="3"/>
      <c r="O23" s="3"/>
      <c r="P23" s="3"/>
      <c r="Q23" s="3"/>
      <c r="R23" s="3"/>
      <c r="S23" s="3"/>
      <c r="T23" s="3"/>
      <c r="U23" s="3"/>
      <c r="V23" s="3"/>
      <c r="W23" s="3"/>
      <c r="X23" s="3"/>
      <c r="Y23" s="3"/>
      <c r="Z23" s="3"/>
      <c r="AA23" s="3"/>
      <c r="AB23" s="3"/>
      <c r="AC23" s="3"/>
    </row>
    <row r="24" spans="1:29">
      <c r="A24" s="3"/>
      <c r="B24" s="3"/>
      <c r="C24" s="33">
        <v>75</v>
      </c>
      <c r="D24" s="718">
        <f t="shared" si="0"/>
        <v>4.9994377810269857</v>
      </c>
      <c r="E24" s="3"/>
      <c r="F24" s="425"/>
      <c r="G24" s="425"/>
      <c r="H24" s="425"/>
      <c r="I24" s="425"/>
      <c r="J24" s="425"/>
      <c r="K24" s="425"/>
      <c r="L24" s="425"/>
      <c r="M24" s="425"/>
      <c r="N24" s="3"/>
      <c r="O24" s="3"/>
      <c r="P24" s="3"/>
      <c r="Q24" s="3"/>
      <c r="R24" s="3"/>
      <c r="S24" s="3"/>
      <c r="T24" s="3"/>
      <c r="U24" s="3"/>
      <c r="V24" s="3"/>
      <c r="W24" s="3"/>
      <c r="X24" s="3"/>
      <c r="Y24" s="3"/>
      <c r="Z24" s="3"/>
      <c r="AA24" s="3"/>
      <c r="AB24" s="3"/>
      <c r="AC24" s="3"/>
    </row>
    <row r="25" spans="1:29">
      <c r="A25" s="3"/>
      <c r="B25" s="3"/>
      <c r="C25" s="33">
        <v>80</v>
      </c>
      <c r="D25" s="718">
        <f t="shared" si="0"/>
        <v>5.0835145896993552</v>
      </c>
      <c r="E25" s="3"/>
      <c r="F25" s="425"/>
      <c r="G25" s="425"/>
      <c r="H25" s="425"/>
      <c r="I25" s="425"/>
      <c r="J25" s="425"/>
      <c r="K25" s="425"/>
      <c r="L25" s="425"/>
      <c r="M25" s="425"/>
      <c r="N25" s="3"/>
      <c r="O25" s="3"/>
      <c r="P25" s="3"/>
      <c r="Q25" s="3"/>
      <c r="R25" s="3"/>
      <c r="S25" s="3"/>
      <c r="T25" s="3"/>
      <c r="U25" s="3"/>
      <c r="V25" s="3"/>
      <c r="W25" s="3"/>
      <c r="X25" s="3"/>
      <c r="Y25" s="3"/>
      <c r="Z25" s="3"/>
      <c r="AA25" s="3"/>
      <c r="AB25" s="3"/>
      <c r="AC25" s="3"/>
    </row>
    <row r="26" spans="1:29">
      <c r="A26" s="3"/>
      <c r="B26" s="3"/>
      <c r="C26" s="33">
        <v>85</v>
      </c>
      <c r="D26" s="718">
        <f t="shared" si="0"/>
        <v>5.1334422601749914</v>
      </c>
      <c r="E26" s="3"/>
      <c r="F26" s="425"/>
      <c r="G26" s="425"/>
      <c r="H26" s="425"/>
      <c r="I26" s="425"/>
      <c r="J26" s="425"/>
      <c r="K26" s="425"/>
      <c r="L26" s="425"/>
      <c r="M26" s="425"/>
      <c r="N26" s="3"/>
      <c r="O26" s="3"/>
      <c r="P26" s="3"/>
      <c r="Q26" s="3"/>
      <c r="R26" s="3"/>
      <c r="S26" s="3"/>
      <c r="T26" s="3"/>
      <c r="U26" s="3"/>
      <c r="V26" s="3"/>
      <c r="W26" s="3"/>
      <c r="X26" s="3"/>
      <c r="Y26" s="3"/>
      <c r="Z26" s="3"/>
      <c r="AA26" s="3"/>
      <c r="AB26" s="3"/>
      <c r="AC26" s="3"/>
    </row>
    <row r="27" spans="1:29">
      <c r="A27" s="3"/>
      <c r="B27" s="3"/>
      <c r="C27" s="33">
        <v>90</v>
      </c>
      <c r="D27" s="718">
        <f t="shared" si="0"/>
        <v>5.15</v>
      </c>
      <c r="E27" s="3"/>
      <c r="F27" s="425"/>
      <c r="G27" s="425"/>
      <c r="H27" s="425"/>
      <c r="I27" s="425"/>
      <c r="J27" s="425"/>
      <c r="K27" s="425"/>
      <c r="L27" s="425"/>
      <c r="M27" s="425"/>
      <c r="N27" s="3"/>
      <c r="O27" s="3"/>
      <c r="P27" s="3"/>
      <c r="Q27" s="3"/>
      <c r="R27" s="3"/>
      <c r="S27" s="3"/>
      <c r="T27" s="3"/>
      <c r="U27" s="3"/>
      <c r="V27" s="3"/>
      <c r="W27" s="3"/>
      <c r="X27" s="3"/>
      <c r="Y27" s="3"/>
      <c r="Z27" s="3"/>
      <c r="AA27" s="3"/>
      <c r="AB27" s="3"/>
      <c r="AC27" s="3"/>
    </row>
    <row r="28" spans="1:29">
      <c r="A28" s="3"/>
      <c r="B28" s="3"/>
      <c r="C28" s="33">
        <v>92.5</v>
      </c>
      <c r="D28" s="718">
        <v>0</v>
      </c>
      <c r="E28" s="3"/>
      <c r="F28" s="425"/>
      <c r="G28" s="425"/>
      <c r="H28" s="425"/>
      <c r="I28" s="425"/>
      <c r="J28" s="425"/>
      <c r="K28" s="425"/>
      <c r="L28" s="425"/>
      <c r="M28" s="425"/>
      <c r="N28" s="3"/>
      <c r="O28" s="3"/>
      <c r="P28" s="3"/>
      <c r="Q28" s="3"/>
      <c r="R28" s="3"/>
      <c r="S28" s="3"/>
      <c r="T28" s="3"/>
      <c r="U28" s="3"/>
      <c r="V28" s="3"/>
      <c r="W28" s="3"/>
      <c r="X28" s="3"/>
      <c r="Y28" s="3"/>
      <c r="Z28" s="3"/>
      <c r="AA28" s="3"/>
      <c r="AB28" s="3"/>
      <c r="AC28" s="3"/>
    </row>
    <row r="29" spans="1:29">
      <c r="A29" s="3"/>
      <c r="B29" s="3"/>
      <c r="C29" s="33">
        <v>95</v>
      </c>
      <c r="D29" s="718">
        <v>-20</v>
      </c>
      <c r="E29" s="3"/>
      <c r="F29" s="425"/>
      <c r="G29" s="425"/>
      <c r="H29" s="425"/>
      <c r="I29" s="425"/>
      <c r="J29" s="425"/>
      <c r="K29" s="425"/>
      <c r="L29" s="425"/>
      <c r="M29" s="425"/>
      <c r="N29" s="3"/>
      <c r="O29" s="3"/>
      <c r="P29" s="3"/>
      <c r="Q29" s="3"/>
      <c r="R29" s="3"/>
      <c r="S29" s="3"/>
      <c r="T29" s="3"/>
      <c r="U29" s="3"/>
      <c r="V29" s="3"/>
      <c r="W29" s="3"/>
      <c r="X29" s="3"/>
      <c r="Y29" s="3"/>
      <c r="Z29" s="3"/>
      <c r="AA29" s="3"/>
      <c r="AB29" s="3"/>
      <c r="AC29" s="3"/>
    </row>
    <row r="30" spans="1:29">
      <c r="A30" s="3"/>
      <c r="B30" s="3"/>
      <c r="C30" s="33">
        <v>97.5</v>
      </c>
      <c r="D30" s="718">
        <v>-60</v>
      </c>
      <c r="E30" s="3"/>
      <c r="F30" s="425"/>
      <c r="G30" s="425"/>
      <c r="H30" s="425"/>
      <c r="I30" s="425"/>
      <c r="J30" s="425"/>
      <c r="K30" s="425"/>
      <c r="L30" s="425"/>
      <c r="M30" s="425"/>
      <c r="N30" s="3"/>
      <c r="O30" s="3"/>
      <c r="P30" s="3"/>
      <c r="Q30" s="3"/>
      <c r="R30" s="3"/>
      <c r="S30" s="3"/>
      <c r="T30" s="3"/>
      <c r="U30" s="3"/>
      <c r="V30" s="3"/>
      <c r="W30" s="3"/>
      <c r="X30" s="3"/>
      <c r="Y30" s="3"/>
      <c r="Z30" s="3"/>
      <c r="AA30" s="3"/>
      <c r="AB30" s="3"/>
      <c r="AC30" s="3"/>
    </row>
    <row r="31" spans="1:29">
      <c r="A31" s="3"/>
      <c r="B31" s="3"/>
      <c r="C31" s="33">
        <v>100</v>
      </c>
      <c r="D31" s="718">
        <v>-160</v>
      </c>
      <c r="E31" s="3"/>
      <c r="F31" s="425"/>
      <c r="G31" s="425"/>
      <c r="H31" s="425"/>
      <c r="I31" s="425"/>
      <c r="J31" s="425"/>
      <c r="K31" s="425"/>
      <c r="L31" s="425"/>
      <c r="M31" s="425"/>
      <c r="N31" s="3"/>
      <c r="O31" s="3"/>
      <c r="P31" s="3"/>
      <c r="Q31" s="3"/>
      <c r="R31" s="3"/>
      <c r="S31" s="3"/>
      <c r="T31" s="3"/>
      <c r="U31" s="3"/>
      <c r="V31" s="3"/>
      <c r="W31" s="3"/>
      <c r="X31" s="3"/>
      <c r="Y31" s="3"/>
      <c r="Z31" s="3"/>
      <c r="AA31" s="3"/>
      <c r="AB31" s="3"/>
      <c r="AC31" s="3"/>
    </row>
    <row r="32" spans="1:29">
      <c r="A32" s="3"/>
      <c r="B32" s="3"/>
      <c r="C32" s="33">
        <v>110</v>
      </c>
      <c r="D32" s="718" t="s">
        <v>280</v>
      </c>
      <c r="E32" s="3"/>
      <c r="F32" s="425"/>
      <c r="G32" s="425"/>
      <c r="H32" s="425"/>
      <c r="I32" s="425"/>
      <c r="J32" s="425"/>
      <c r="K32" s="425"/>
      <c r="L32" s="425"/>
      <c r="M32" s="425"/>
      <c r="N32" s="3"/>
      <c r="O32" s="3"/>
      <c r="P32" s="3"/>
      <c r="Q32" s="3"/>
      <c r="R32" s="3"/>
      <c r="S32" s="3"/>
      <c r="T32" s="3"/>
      <c r="U32" s="3"/>
      <c r="V32" s="3"/>
      <c r="W32" s="3"/>
      <c r="X32" s="3"/>
      <c r="Y32" s="3"/>
      <c r="Z32" s="3"/>
      <c r="AA32" s="3"/>
      <c r="AB32" s="3"/>
      <c r="AC32" s="3"/>
    </row>
    <row r="33" spans="1:29">
      <c r="A33" s="3"/>
      <c r="B33" s="3"/>
      <c r="C33" s="33"/>
      <c r="D33" s="718"/>
      <c r="E33" s="3"/>
      <c r="F33" s="425"/>
      <c r="G33" s="425"/>
      <c r="H33" s="425"/>
      <c r="I33" s="425"/>
      <c r="J33" s="425"/>
      <c r="K33" s="425"/>
      <c r="L33" s="425"/>
      <c r="M33" s="425"/>
      <c r="N33" s="3"/>
      <c r="O33" s="3"/>
      <c r="P33" s="3"/>
      <c r="Q33" s="3"/>
      <c r="R33" s="3"/>
      <c r="S33" s="3"/>
      <c r="T33" s="3"/>
      <c r="U33" s="3"/>
      <c r="V33" s="3"/>
      <c r="W33" s="3"/>
      <c r="X33" s="3"/>
      <c r="Y33" s="3"/>
      <c r="Z33" s="3"/>
      <c r="AA33" s="3"/>
      <c r="AB33" s="3"/>
      <c r="AC33" s="3"/>
    </row>
    <row r="34" spans="1:29">
      <c r="A34" s="3"/>
      <c r="B34" s="3"/>
      <c r="C34" s="33"/>
      <c r="D34" s="718"/>
      <c r="E34" s="3"/>
      <c r="F34" s="425"/>
      <c r="G34" s="425"/>
      <c r="H34" s="425"/>
      <c r="I34" s="425"/>
      <c r="J34" s="425"/>
      <c r="K34" s="425"/>
      <c r="L34" s="425"/>
      <c r="M34" s="425"/>
      <c r="N34" s="3"/>
      <c r="O34" s="3"/>
      <c r="P34" s="3"/>
      <c r="Q34" s="3"/>
      <c r="R34" s="3"/>
      <c r="S34" s="3"/>
      <c r="T34" s="3"/>
      <c r="U34" s="3"/>
      <c r="V34" s="3"/>
      <c r="W34" s="3"/>
      <c r="X34" s="3"/>
      <c r="Y34" s="3"/>
      <c r="Z34" s="3"/>
      <c r="AA34" s="3"/>
      <c r="AB34" s="3"/>
      <c r="AC34" s="3"/>
    </row>
    <row r="35" spans="1:29">
      <c r="A35" s="3"/>
      <c r="B35" s="3"/>
      <c r="C35" s="33"/>
      <c r="D35" s="718"/>
      <c r="E35" s="3"/>
      <c r="F35" s="103"/>
      <c r="G35" s="103"/>
      <c r="H35" s="103"/>
      <c r="I35" s="103"/>
      <c r="J35" s="103"/>
      <c r="K35" s="103"/>
      <c r="L35" s="103"/>
      <c r="M35" s="103"/>
      <c r="N35" s="3"/>
      <c r="O35" s="3"/>
      <c r="P35" s="3"/>
      <c r="Q35" s="3"/>
      <c r="R35" s="3"/>
      <c r="S35" s="3"/>
      <c r="T35" s="3"/>
      <c r="U35" s="3"/>
      <c r="V35" s="3"/>
      <c r="W35" s="3"/>
      <c r="X35" s="3"/>
      <c r="Y35" s="3"/>
      <c r="Z35" s="3"/>
      <c r="AA35" s="3"/>
      <c r="AB35" s="3"/>
      <c r="AC35" s="3"/>
    </row>
    <row r="36" spans="1:29" ht="13">
      <c r="A36" s="3"/>
      <c r="B36" s="3"/>
      <c r="C36" s="33"/>
      <c r="D36" s="718"/>
      <c r="E36" s="3"/>
      <c r="F36" s="103"/>
      <c r="G36" s="103"/>
      <c r="H36" s="103"/>
      <c r="I36" s="103"/>
      <c r="J36" s="103"/>
      <c r="K36" s="103"/>
      <c r="L36" s="465" t="s">
        <v>281</v>
      </c>
      <c r="M36" s="465"/>
      <c r="N36" s="3"/>
      <c r="O36" s="3"/>
      <c r="P36" s="3"/>
      <c r="Q36" s="3"/>
      <c r="R36" s="3"/>
      <c r="S36" s="3"/>
      <c r="T36" s="3"/>
      <c r="U36" s="3"/>
      <c r="V36" s="3"/>
      <c r="W36" s="3"/>
      <c r="X36" s="3"/>
      <c r="Y36" s="3"/>
      <c r="Z36" s="3"/>
      <c r="AA36" s="3"/>
      <c r="AB36" s="3"/>
      <c r="AC36" s="3"/>
    </row>
    <row r="37" spans="1:29">
      <c r="A37" s="3"/>
      <c r="B37" s="3"/>
      <c r="C37" s="33"/>
      <c r="D37" s="718"/>
      <c r="E37" s="3"/>
      <c r="F37" s="103"/>
      <c r="G37" s="103"/>
      <c r="H37" s="103"/>
      <c r="I37" s="103"/>
      <c r="J37" s="103"/>
      <c r="K37" s="103"/>
      <c r="L37" s="103"/>
      <c r="M37" s="103"/>
      <c r="N37" s="3"/>
      <c r="O37" s="3"/>
      <c r="P37" s="3"/>
      <c r="Q37" s="3"/>
      <c r="R37" s="3"/>
      <c r="S37" s="3"/>
      <c r="T37" s="3"/>
      <c r="U37" s="3"/>
      <c r="V37" s="3"/>
      <c r="W37" s="3"/>
      <c r="X37" s="3"/>
      <c r="Y37" s="3"/>
      <c r="Z37" s="3"/>
      <c r="AA37" s="3"/>
      <c r="AB37" s="3"/>
      <c r="AC37" s="3"/>
    </row>
    <row r="38" spans="1:29">
      <c r="A38" s="3"/>
      <c r="B38" s="3"/>
      <c r="C38" s="33"/>
      <c r="D38" s="718"/>
      <c r="E38" s="3"/>
      <c r="F38" s="3" t="s">
        <v>40</v>
      </c>
      <c r="G38" s="3"/>
      <c r="H38" s="3">
        <v>5.15</v>
      </c>
      <c r="I38" s="3" t="s">
        <v>36</v>
      </c>
      <c r="J38" s="3"/>
      <c r="K38" s="3"/>
      <c r="L38" s="3"/>
      <c r="M38" s="103"/>
      <c r="N38" s="3"/>
      <c r="O38" s="3"/>
      <c r="P38" s="3"/>
      <c r="Q38" s="3"/>
      <c r="R38" s="3"/>
      <c r="S38" s="3"/>
      <c r="T38" s="3"/>
      <c r="U38" s="3"/>
      <c r="V38" s="3"/>
      <c r="W38" s="3"/>
      <c r="X38" s="3"/>
      <c r="Y38" s="3"/>
      <c r="Z38" s="3"/>
      <c r="AA38" s="3"/>
      <c r="AB38" s="3"/>
      <c r="AC38" s="3"/>
    </row>
    <row r="39" spans="1:29">
      <c r="A39" s="3"/>
      <c r="B39" s="3"/>
      <c r="C39" s="33"/>
      <c r="D39" s="718"/>
      <c r="E39" s="3"/>
      <c r="F39" s="3"/>
      <c r="G39" s="3"/>
      <c r="H39" s="3"/>
      <c r="I39" s="3"/>
      <c r="J39" s="3"/>
      <c r="K39" s="3"/>
      <c r="L39" s="3"/>
      <c r="M39" s="103"/>
      <c r="N39" s="3"/>
      <c r="O39" s="3"/>
      <c r="P39" s="3"/>
      <c r="Q39" s="3"/>
      <c r="R39" s="3"/>
      <c r="S39" s="3"/>
      <c r="T39" s="3"/>
      <c r="U39" s="3"/>
      <c r="V39" s="3"/>
      <c r="W39" s="3"/>
      <c r="X39" s="3"/>
      <c r="Y39" s="3"/>
      <c r="Z39" s="3"/>
      <c r="AA39" s="3"/>
      <c r="AB39" s="3"/>
      <c r="AC39" s="3"/>
    </row>
    <row r="40" spans="1:29">
      <c r="A40" s="3"/>
      <c r="B40" s="3"/>
      <c r="C40" s="33"/>
      <c r="D40" s="718"/>
      <c r="E40" s="3"/>
      <c r="F40" s="3" t="s">
        <v>61</v>
      </c>
      <c r="G40" s="3"/>
      <c r="H40" s="3">
        <v>38.6</v>
      </c>
      <c r="I40" s="3" t="s">
        <v>826</v>
      </c>
      <c r="J40" s="3" t="s">
        <v>418</v>
      </c>
      <c r="K40" s="3"/>
      <c r="L40" s="3"/>
      <c r="M40" s="103"/>
      <c r="N40" s="3"/>
      <c r="O40" s="3"/>
      <c r="P40" s="3"/>
      <c r="Q40" s="3"/>
      <c r="R40" s="3"/>
      <c r="S40" s="3"/>
      <c r="T40" s="3"/>
      <c r="U40" s="3"/>
      <c r="V40" s="3"/>
      <c r="W40" s="3"/>
      <c r="X40" s="3"/>
      <c r="Y40" s="3"/>
      <c r="Z40" s="3"/>
      <c r="AA40" s="3"/>
      <c r="AB40" s="3"/>
      <c r="AC40" s="3"/>
    </row>
    <row r="41" spans="1:29">
      <c r="A41" s="3"/>
      <c r="B41" s="3"/>
      <c r="C41" s="33"/>
      <c r="D41" s="718"/>
      <c r="E41" s="3"/>
      <c r="F41" s="3"/>
      <c r="G41" s="3"/>
      <c r="H41" s="3"/>
      <c r="I41" s="3"/>
      <c r="J41" s="3"/>
      <c r="K41" s="3"/>
      <c r="L41" s="3"/>
      <c r="M41" s="103"/>
      <c r="N41" s="3"/>
      <c r="O41" s="3"/>
      <c r="P41" s="3"/>
      <c r="Q41" s="3"/>
      <c r="R41" s="3"/>
      <c r="S41" s="3"/>
      <c r="T41" s="3"/>
      <c r="U41" s="3"/>
      <c r="V41" s="3"/>
      <c r="W41" s="3"/>
      <c r="X41" s="3"/>
      <c r="Y41" s="3"/>
      <c r="Z41" s="3"/>
      <c r="AA41" s="3"/>
      <c r="AB41" s="3"/>
      <c r="AC41" s="3"/>
    </row>
    <row r="42" spans="1:29">
      <c r="A42" s="3"/>
      <c r="B42" s="3"/>
      <c r="C42" s="33"/>
      <c r="D42" s="718"/>
      <c r="E42" s="3"/>
      <c r="F42" s="3" t="s">
        <v>416</v>
      </c>
      <c r="G42" s="3"/>
      <c r="H42" s="558">
        <v>0</v>
      </c>
      <c r="I42" s="3" t="s">
        <v>826</v>
      </c>
      <c r="J42" s="3" t="s">
        <v>417</v>
      </c>
      <c r="K42" s="3"/>
      <c r="L42" s="3"/>
      <c r="M42" s="103"/>
      <c r="N42" s="3"/>
      <c r="O42" s="3"/>
      <c r="P42" s="3"/>
      <c r="Q42" s="3"/>
      <c r="R42" s="3"/>
      <c r="S42" s="3"/>
      <c r="T42" s="3"/>
      <c r="U42" s="3"/>
      <c r="V42" s="3"/>
      <c r="W42" s="3"/>
      <c r="X42" s="3"/>
      <c r="Y42" s="3"/>
      <c r="Z42" s="3"/>
      <c r="AA42" s="3"/>
      <c r="AB42" s="3"/>
      <c r="AC42" s="3"/>
    </row>
    <row r="43" spans="1:29">
      <c r="A43" s="3"/>
      <c r="B43" s="3"/>
      <c r="C43" s="33"/>
      <c r="D43" s="718"/>
      <c r="E43" s="3"/>
      <c r="F43" s="3"/>
      <c r="G43" s="3"/>
      <c r="H43" s="3"/>
      <c r="I43" s="3"/>
      <c r="J43" s="3"/>
      <c r="K43" s="3"/>
      <c r="L43" s="3"/>
      <c r="M43" s="103"/>
      <c r="N43" s="3"/>
      <c r="O43" s="3"/>
      <c r="P43" s="3"/>
      <c r="Q43" s="3"/>
      <c r="R43" s="3"/>
      <c r="S43" s="3"/>
      <c r="T43" s="3"/>
      <c r="U43" s="3"/>
      <c r="V43" s="3"/>
      <c r="W43" s="3"/>
      <c r="X43" s="3"/>
      <c r="Y43" s="3"/>
      <c r="Z43" s="3"/>
      <c r="AA43" s="3"/>
      <c r="AB43" s="3"/>
      <c r="AC43" s="3"/>
    </row>
    <row r="44" spans="1:29">
      <c r="A44" s="3"/>
      <c r="B44" s="3"/>
      <c r="C44" s="33" t="s">
        <v>817</v>
      </c>
      <c r="D44" s="413" t="s">
        <v>817</v>
      </c>
      <c r="E44" s="3"/>
      <c r="F44" s="3" t="s">
        <v>419</v>
      </c>
      <c r="G44" s="3"/>
      <c r="H44" s="3">
        <v>5.15</v>
      </c>
      <c r="I44" s="3" t="s">
        <v>36</v>
      </c>
      <c r="J44" s="3" t="s">
        <v>420</v>
      </c>
      <c r="K44" s="3"/>
      <c r="L44" s="3"/>
      <c r="M44" s="3"/>
      <c r="N44" s="3"/>
      <c r="O44" s="3"/>
      <c r="P44" s="3"/>
      <c r="Q44" s="3"/>
      <c r="R44" s="3"/>
      <c r="S44" s="3"/>
      <c r="T44" s="3"/>
      <c r="U44" s="3"/>
      <c r="V44" s="3"/>
      <c r="W44" s="3"/>
      <c r="X44" s="3"/>
      <c r="Y44" s="3"/>
      <c r="Z44" s="3"/>
      <c r="AA44" s="3"/>
      <c r="AB44" s="3"/>
      <c r="AC44" s="3"/>
    </row>
    <row r="45" spans="1:29">
      <c r="A45" s="3"/>
      <c r="B45" s="3"/>
      <c r="C45" s="103"/>
      <c r="D45" s="33"/>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3" t="s">
        <v>817</v>
      </c>
      <c r="C46" s="3"/>
      <c r="D46" s="3"/>
      <c r="E46" s="3"/>
      <c r="F46" s="3" t="s">
        <v>421</v>
      </c>
      <c r="G46" s="3"/>
      <c r="H46" s="558">
        <v>0</v>
      </c>
      <c r="I46" s="3" t="s">
        <v>826</v>
      </c>
      <c r="J46" s="3"/>
      <c r="K46" s="3"/>
      <c r="L46" s="3"/>
      <c r="M46" s="3"/>
      <c r="N46" s="3"/>
      <c r="O46" s="3"/>
      <c r="P46" s="3"/>
      <c r="Q46" s="3"/>
      <c r="R46" s="3"/>
      <c r="S46" s="3"/>
      <c r="T46" s="3"/>
      <c r="U46" s="3"/>
      <c r="V46" s="3"/>
      <c r="W46" s="3"/>
      <c r="X46" s="3"/>
      <c r="Y46" s="3"/>
      <c r="Z46" s="3"/>
      <c r="AA46" s="3"/>
      <c r="AB46" s="3"/>
      <c r="AC46" s="3"/>
    </row>
    <row r="47" spans="1:29">
      <c r="A47" s="3"/>
      <c r="B47" s="33"/>
      <c r="C47" s="3"/>
      <c r="D47" s="3"/>
      <c r="E47" s="3"/>
      <c r="F47" s="3" t="s">
        <v>817</v>
      </c>
      <c r="G47" s="3"/>
      <c r="H47" s="558"/>
      <c r="I47" s="3"/>
      <c r="J47" s="3"/>
      <c r="K47" s="3"/>
      <c r="L47" s="3"/>
      <c r="M47" s="3"/>
      <c r="N47" s="3"/>
      <c r="O47" s="3"/>
      <c r="P47" s="3"/>
      <c r="Q47" s="3"/>
      <c r="R47" s="3"/>
      <c r="S47" s="3"/>
      <c r="T47" s="3"/>
      <c r="U47" s="3"/>
      <c r="V47" s="3"/>
      <c r="W47" s="3"/>
      <c r="X47" s="3"/>
      <c r="Y47" s="3"/>
      <c r="Z47" s="3"/>
      <c r="AA47" s="3"/>
      <c r="AB47" s="3"/>
      <c r="AC47" s="3"/>
    </row>
    <row r="48" spans="1:29">
      <c r="A48" s="3"/>
      <c r="B48" s="33"/>
      <c r="C48" s="3"/>
      <c r="D48" s="3"/>
      <c r="E48" s="3"/>
      <c r="F48" s="3"/>
      <c r="G48" s="3"/>
      <c r="H48" s="558"/>
      <c r="I48" s="3"/>
      <c r="J48" s="3"/>
      <c r="K48" s="3"/>
      <c r="L48" s="3"/>
      <c r="M48" s="3"/>
      <c r="N48" s="3"/>
      <c r="O48" s="3"/>
      <c r="P48" s="3"/>
      <c r="Q48" s="3"/>
      <c r="R48" s="3"/>
      <c r="S48" s="3"/>
      <c r="T48" s="3"/>
      <c r="U48" s="3"/>
      <c r="V48" s="3"/>
      <c r="W48" s="3"/>
      <c r="X48" s="3"/>
      <c r="Y48" s="3"/>
      <c r="Z48" s="3"/>
      <c r="AA48" s="3"/>
      <c r="AB48" s="3"/>
      <c r="AC48" s="3"/>
    </row>
    <row r="49" spans="1:29">
      <c r="A49" s="3"/>
      <c r="B49" s="610" t="s">
        <v>664</v>
      </c>
      <c r="C49" s="959" t="s">
        <v>1050</v>
      </c>
      <c r="D49" s="614" t="s">
        <v>155</v>
      </c>
      <c r="E49" s="371"/>
      <c r="F49" t="s">
        <v>817</v>
      </c>
      <c r="P49" s="3"/>
      <c r="Q49" s="3"/>
      <c r="R49" s="3"/>
      <c r="S49" s="3"/>
      <c r="T49" s="3"/>
      <c r="U49" s="3"/>
      <c r="V49" s="3"/>
      <c r="W49" s="3"/>
      <c r="X49" s="3"/>
      <c r="Y49" s="3"/>
      <c r="Z49" s="3"/>
      <c r="AA49" s="3"/>
      <c r="AB49" s="3"/>
      <c r="AC49" s="3"/>
    </row>
    <row r="50" spans="1:29">
      <c r="A50" s="3"/>
      <c r="B50" s="3"/>
      <c r="C50" s="81">
        <v>0</v>
      </c>
      <c r="D50" s="17">
        <f>2.15+10*LOG10(COS(RADIANS(C50)))</f>
        <v>2.15</v>
      </c>
      <c r="E50" s="3"/>
      <c r="P50" s="3"/>
      <c r="Q50" s="3"/>
      <c r="R50" s="3"/>
      <c r="S50" s="3"/>
      <c r="T50" s="3"/>
      <c r="U50" s="3"/>
      <c r="V50" s="3"/>
      <c r="W50" s="3"/>
      <c r="X50" s="3"/>
      <c r="Y50" s="3"/>
      <c r="Z50" s="3"/>
      <c r="AA50" s="3"/>
      <c r="AB50" s="3"/>
      <c r="AC50" s="3"/>
    </row>
    <row r="51" spans="1:29">
      <c r="A51" s="3"/>
      <c r="B51" s="3"/>
      <c r="C51" s="81">
        <f>C50+10</f>
        <v>10</v>
      </c>
      <c r="D51" s="17">
        <f t="shared" ref="D51:D60" si="1">2.15+10*LOG10(COS(RADIANS(C51)))</f>
        <v>2.0835145896993548</v>
      </c>
      <c r="E51" s="3"/>
      <c r="P51" s="3"/>
      <c r="Q51" s="3"/>
      <c r="R51" s="3"/>
      <c r="S51" s="3"/>
      <c r="T51" s="3"/>
      <c r="U51" s="3"/>
      <c r="V51" s="3"/>
      <c r="W51" s="3"/>
      <c r="X51" s="3"/>
      <c r="Y51" s="3"/>
      <c r="Z51" s="3"/>
      <c r="AA51" s="3"/>
      <c r="AB51" s="3"/>
      <c r="AC51" s="3"/>
    </row>
    <row r="52" spans="1:29">
      <c r="A52" s="3"/>
      <c r="B52" s="3"/>
      <c r="C52" s="81">
        <f t="shared" ref="C52:C94" si="2">C51+10</f>
        <v>20</v>
      </c>
      <c r="D52" s="17">
        <f t="shared" si="1"/>
        <v>1.8798581644293648</v>
      </c>
      <c r="E52" s="3"/>
      <c r="P52" s="3"/>
      <c r="Q52" s="3"/>
      <c r="R52" s="3"/>
      <c r="S52" s="3"/>
      <c r="T52" s="3"/>
      <c r="U52" s="3"/>
      <c r="V52" s="3"/>
      <c r="W52" s="3"/>
      <c r="X52" s="3"/>
      <c r="Y52" s="3"/>
      <c r="Z52" s="3"/>
      <c r="AA52" s="3"/>
      <c r="AB52" s="3"/>
      <c r="AC52" s="3"/>
    </row>
    <row r="53" spans="1:29">
      <c r="A53" s="3"/>
      <c r="B53" s="3"/>
      <c r="C53" s="81">
        <f t="shared" si="2"/>
        <v>30</v>
      </c>
      <c r="D53" s="17">
        <f t="shared" si="1"/>
        <v>1.5253063169585004</v>
      </c>
      <c r="E53" s="3"/>
      <c r="P53" s="3"/>
      <c r="Q53" s="3"/>
      <c r="R53" s="3"/>
      <c r="S53" s="3"/>
      <c r="T53" s="3"/>
      <c r="U53" s="3"/>
      <c r="V53" s="3"/>
      <c r="W53" s="3"/>
      <c r="X53" s="3"/>
      <c r="Y53" s="3"/>
      <c r="Z53" s="3"/>
      <c r="AA53" s="3"/>
      <c r="AB53" s="3"/>
      <c r="AC53" s="3"/>
    </row>
    <row r="54" spans="1:29">
      <c r="A54" s="3"/>
      <c r="B54" s="3"/>
      <c r="C54" s="81">
        <f t="shared" si="2"/>
        <v>40</v>
      </c>
      <c r="D54" s="17">
        <f t="shared" si="1"/>
        <v>0.99253966553519413</v>
      </c>
      <c r="E54" s="3"/>
      <c r="P54" s="3"/>
      <c r="Q54" s="3"/>
      <c r="R54" s="3"/>
      <c r="S54" s="3"/>
      <c r="T54" s="3"/>
      <c r="U54" s="3"/>
      <c r="V54" s="3"/>
      <c r="W54" s="3"/>
      <c r="X54" s="3"/>
      <c r="Y54" s="3"/>
      <c r="Z54" s="3"/>
      <c r="AA54" s="3"/>
      <c r="AB54" s="3"/>
      <c r="AC54" s="3"/>
    </row>
    <row r="55" spans="1:29">
      <c r="A55" s="3"/>
      <c r="B55" s="3" t="s">
        <v>817</v>
      </c>
      <c r="C55" s="81">
        <f t="shared" si="2"/>
        <v>50</v>
      </c>
      <c r="D55" s="17">
        <f t="shared" si="1"/>
        <v>0.23067496752434913</v>
      </c>
      <c r="E55" s="3"/>
      <c r="P55" s="3"/>
      <c r="Q55" s="3"/>
      <c r="R55" s="3"/>
      <c r="S55" s="3"/>
      <c r="T55" s="3"/>
      <c r="U55" s="3"/>
      <c r="V55" s="3"/>
      <c r="W55" s="3"/>
      <c r="X55" s="3"/>
      <c r="Y55" s="3"/>
      <c r="Z55" s="3"/>
      <c r="AA55" s="3"/>
      <c r="AB55" s="3"/>
      <c r="AC55" s="3"/>
    </row>
    <row r="56" spans="1:29">
      <c r="A56" s="3"/>
      <c r="B56" s="3"/>
      <c r="C56" s="81">
        <f t="shared" si="2"/>
        <v>60</v>
      </c>
      <c r="D56" s="17">
        <f t="shared" si="1"/>
        <v>-0.86029995663981085</v>
      </c>
      <c r="E56" s="3"/>
      <c r="P56" s="3"/>
      <c r="Q56" s="3"/>
      <c r="R56" s="3"/>
      <c r="S56" s="3"/>
      <c r="T56" s="3"/>
      <c r="U56" s="3"/>
      <c r="V56" s="3"/>
      <c r="W56" s="3"/>
      <c r="X56" s="3"/>
      <c r="Y56" s="3"/>
      <c r="Z56" s="3"/>
      <c r="AA56" s="3"/>
      <c r="AB56" s="3"/>
      <c r="AC56" s="3"/>
    </row>
    <row r="57" spans="1:29">
      <c r="A57" s="3"/>
      <c r="B57" s="3"/>
      <c r="C57" s="81">
        <f t="shared" si="2"/>
        <v>70</v>
      </c>
      <c r="D57" s="17">
        <f t="shared" si="1"/>
        <v>-2.5094831535448265</v>
      </c>
      <c r="E57" s="3"/>
      <c r="P57" s="3"/>
      <c r="Q57" s="3"/>
      <c r="R57" s="3"/>
      <c r="S57" s="3"/>
      <c r="T57" s="3"/>
      <c r="U57" s="3"/>
      <c r="V57" s="3"/>
      <c r="W57" s="3"/>
      <c r="X57" s="3"/>
      <c r="Y57" s="3"/>
      <c r="Z57" s="3"/>
      <c r="AA57" s="3"/>
      <c r="AB57" s="3"/>
      <c r="AC57" s="3"/>
    </row>
    <row r="58" spans="1:29">
      <c r="A58" s="3"/>
      <c r="B58" s="3"/>
      <c r="C58" s="81">
        <f t="shared" si="2"/>
        <v>80</v>
      </c>
      <c r="D58" s="17">
        <f t="shared" si="1"/>
        <v>-5.4532976998839935</v>
      </c>
      <c r="E58" s="3" t="s">
        <v>817</v>
      </c>
      <c r="P58" s="3"/>
      <c r="Q58" s="3"/>
      <c r="R58" s="3"/>
      <c r="S58" s="3"/>
      <c r="T58" s="3"/>
      <c r="U58" s="3"/>
      <c r="V58" s="3"/>
      <c r="W58" s="3"/>
      <c r="X58" s="3"/>
      <c r="Y58" s="3"/>
      <c r="Z58" s="3"/>
      <c r="AA58" s="3"/>
      <c r="AB58" s="3"/>
      <c r="AC58" s="3"/>
    </row>
    <row r="59" spans="1:29">
      <c r="A59" s="3"/>
      <c r="B59" s="3"/>
      <c r="C59" s="81">
        <v>85</v>
      </c>
      <c r="D59" s="17">
        <f t="shared" si="1"/>
        <v>-8.4470399166987971</v>
      </c>
      <c r="E59" s="3"/>
      <c r="P59" s="3"/>
      <c r="Q59" s="3"/>
      <c r="R59" s="3"/>
      <c r="S59" s="3"/>
      <c r="T59" s="3"/>
      <c r="U59" s="3"/>
      <c r="V59" s="3"/>
      <c r="W59" s="3"/>
      <c r="X59" s="3"/>
      <c r="Y59" s="3"/>
      <c r="Z59" s="3"/>
      <c r="AA59" s="3"/>
      <c r="AB59" s="3"/>
      <c r="AC59" s="3"/>
    </row>
    <row r="60" spans="1:29">
      <c r="A60" s="3"/>
      <c r="B60" s="3"/>
      <c r="C60" s="81">
        <v>87.5</v>
      </c>
      <c r="D60" s="17">
        <f t="shared" si="1"/>
        <v>-11.453204383841507</v>
      </c>
      <c r="E60" s="3"/>
      <c r="P60" s="3"/>
      <c r="Q60" s="3"/>
      <c r="R60" s="3"/>
      <c r="S60" s="3"/>
      <c r="T60" s="3"/>
      <c r="U60" s="3"/>
      <c r="V60" s="3"/>
      <c r="W60" s="3"/>
      <c r="X60" s="3"/>
      <c r="Y60" s="3"/>
      <c r="Z60" s="3"/>
      <c r="AA60" s="3"/>
      <c r="AB60" s="3"/>
      <c r="AC60" s="3"/>
    </row>
    <row r="61" spans="1:29">
      <c r="A61" s="3"/>
      <c r="B61" s="3"/>
      <c r="C61" s="81">
        <f>C58+10</f>
        <v>90</v>
      </c>
      <c r="D61" s="17">
        <v>-40</v>
      </c>
      <c r="E61" s="3"/>
      <c r="P61" s="3"/>
      <c r="Q61" s="3"/>
      <c r="R61" s="3"/>
      <c r="S61" s="3"/>
      <c r="T61" s="3"/>
      <c r="U61" s="3"/>
      <c r="V61" s="3"/>
      <c r="W61" s="3"/>
      <c r="X61" s="3"/>
      <c r="Y61" s="3"/>
      <c r="Z61" s="3"/>
      <c r="AA61" s="3"/>
      <c r="AB61" s="3"/>
      <c r="AC61" s="3"/>
    </row>
    <row r="62" spans="1:29">
      <c r="A62" s="3"/>
      <c r="B62" s="3"/>
      <c r="C62" s="81">
        <v>92.5</v>
      </c>
      <c r="D62" s="17">
        <f>2.15+10*LOG10(-COS(RADIANS(C62)))</f>
        <v>-11.453204383841518</v>
      </c>
      <c r="E62" s="3"/>
      <c r="P62" s="3"/>
      <c r="Q62" s="3"/>
      <c r="R62" s="3"/>
      <c r="S62" s="3"/>
      <c r="T62" s="3"/>
      <c r="U62" s="3"/>
      <c r="V62" s="3"/>
      <c r="W62" s="3"/>
      <c r="X62" s="3"/>
      <c r="Y62" s="3"/>
      <c r="Z62" s="3"/>
      <c r="AA62" s="3"/>
      <c r="AB62" s="3"/>
      <c r="AC62" s="3"/>
    </row>
    <row r="63" spans="1:29">
      <c r="A63" s="3"/>
      <c r="B63" s="3"/>
      <c r="C63" s="81">
        <v>95</v>
      </c>
      <c r="D63" s="17">
        <f>2.15+10*LOG10(-COS(RADIANS(C63)))</f>
        <v>-8.4470399166987935</v>
      </c>
      <c r="E63" s="3" t="s">
        <v>817</v>
      </c>
      <c r="P63" s="3"/>
      <c r="Q63" s="3"/>
      <c r="R63" s="3"/>
      <c r="S63" s="3"/>
      <c r="T63" s="3"/>
      <c r="U63" s="3"/>
      <c r="V63" s="3"/>
      <c r="W63" s="3"/>
      <c r="X63" s="3"/>
      <c r="Y63" s="3"/>
      <c r="Z63" s="3"/>
      <c r="AA63" s="3"/>
      <c r="AB63" s="3"/>
      <c r="AC63" s="3"/>
    </row>
    <row r="64" spans="1:29">
      <c r="A64" s="3"/>
      <c r="B64" s="3"/>
      <c r="C64" s="81">
        <f>C61+10</f>
        <v>100</v>
      </c>
      <c r="D64" s="17">
        <f>2.15+10*LOG10(-COS(RADIANS(C64)))</f>
        <v>-5.453297699883997</v>
      </c>
      <c r="E64" s="3"/>
      <c r="P64" s="3"/>
      <c r="Q64" s="3"/>
      <c r="R64" s="3"/>
      <c r="S64" s="3"/>
      <c r="T64" s="3"/>
      <c r="U64" s="3"/>
      <c r="V64" s="3"/>
      <c r="W64" s="3"/>
      <c r="X64" s="3"/>
      <c r="Y64" s="3"/>
      <c r="Z64" s="3"/>
      <c r="AA64" s="3"/>
      <c r="AB64" s="3"/>
      <c r="AC64" s="3"/>
    </row>
    <row r="65" spans="1:29">
      <c r="A65" s="3"/>
      <c r="B65" s="3"/>
      <c r="C65" s="81">
        <f t="shared" si="2"/>
        <v>110</v>
      </c>
      <c r="D65" s="17">
        <f t="shared" ref="D65:D82" si="3">2.15+10*LOG10(-COS(RADIANS(C65)))</f>
        <v>-2.5094831535448283</v>
      </c>
      <c r="E65" s="3"/>
      <c r="P65" s="3"/>
      <c r="Q65" s="3"/>
      <c r="R65" s="3"/>
      <c r="S65" s="3"/>
      <c r="T65" s="3"/>
      <c r="U65" s="3"/>
      <c r="V65" s="3"/>
      <c r="W65" s="3"/>
      <c r="X65" s="3"/>
      <c r="Y65" s="3"/>
      <c r="Z65" s="3"/>
      <c r="AA65" s="3"/>
      <c r="AB65" s="3"/>
      <c r="AC65" s="3"/>
    </row>
    <row r="66" spans="1:29">
      <c r="A66" s="3"/>
      <c r="B66" s="3"/>
      <c r="C66" s="81">
        <f t="shared" si="2"/>
        <v>120</v>
      </c>
      <c r="D66" s="17">
        <f t="shared" si="3"/>
        <v>-0.86029995663981351</v>
      </c>
      <c r="E66" s="3"/>
      <c r="P66" s="3"/>
      <c r="Q66" s="3"/>
      <c r="R66" s="3"/>
      <c r="S66" s="3"/>
      <c r="T66" s="3"/>
      <c r="U66" s="3"/>
      <c r="V66" s="3"/>
      <c r="W66" s="3"/>
      <c r="X66" s="3"/>
      <c r="Y66" s="3"/>
      <c r="Z66" s="3"/>
      <c r="AA66" s="3"/>
      <c r="AB66" s="3"/>
      <c r="AC66" s="3"/>
    </row>
    <row r="67" spans="1:29">
      <c r="A67" s="3"/>
      <c r="B67" s="3"/>
      <c r="C67" s="81">
        <f t="shared" si="2"/>
        <v>130</v>
      </c>
      <c r="D67" s="17">
        <f t="shared" si="3"/>
        <v>0.23067496752434913</v>
      </c>
      <c r="E67" s="3"/>
      <c r="P67" s="3"/>
      <c r="Q67" s="3"/>
      <c r="R67" s="3"/>
      <c r="S67" s="3"/>
      <c r="T67" s="3"/>
      <c r="U67" s="3"/>
      <c r="V67" s="3"/>
      <c r="W67" s="3"/>
      <c r="X67" s="3"/>
      <c r="Y67" s="3"/>
      <c r="Z67" s="3"/>
      <c r="AA67" s="3"/>
      <c r="AB67" s="3"/>
      <c r="AC67" s="3"/>
    </row>
    <row r="68" spans="1:29">
      <c r="A68" s="3"/>
      <c r="B68" s="3"/>
      <c r="C68" s="81">
        <f t="shared" si="2"/>
        <v>140</v>
      </c>
      <c r="D68" s="17">
        <f t="shared" si="3"/>
        <v>0.99253966553519346</v>
      </c>
      <c r="E68" s="3"/>
      <c r="P68" s="3"/>
      <c r="Q68" s="3"/>
      <c r="R68" s="3"/>
      <c r="S68" s="3"/>
      <c r="T68" s="3"/>
      <c r="U68" s="3"/>
      <c r="V68" s="3"/>
      <c r="W68" s="3"/>
      <c r="X68" s="3"/>
      <c r="Y68" s="3"/>
      <c r="Z68" s="3"/>
      <c r="AA68" s="3"/>
      <c r="AB68" s="3"/>
      <c r="AC68" s="3"/>
    </row>
    <row r="69" spans="1:29">
      <c r="A69" s="3"/>
      <c r="B69" s="3"/>
      <c r="C69" s="81">
        <f t="shared" si="2"/>
        <v>150</v>
      </c>
      <c r="D69" s="17">
        <f t="shared" si="3"/>
        <v>1.5253063169585004</v>
      </c>
      <c r="E69" s="3"/>
      <c r="P69" s="3"/>
      <c r="Q69" s="3"/>
      <c r="R69" s="3"/>
      <c r="S69" s="3"/>
      <c r="T69" s="3"/>
      <c r="U69" s="3"/>
      <c r="V69" s="3"/>
      <c r="W69" s="3"/>
      <c r="X69" s="3"/>
      <c r="Y69" s="3"/>
      <c r="Z69" s="3"/>
      <c r="AA69" s="3"/>
      <c r="AB69" s="3"/>
      <c r="AC69" s="3"/>
    </row>
    <row r="70" spans="1:29">
      <c r="A70" s="3"/>
      <c r="B70" s="3"/>
      <c r="C70" s="81">
        <f t="shared" si="2"/>
        <v>160</v>
      </c>
      <c r="D70" s="17">
        <f t="shared" si="3"/>
        <v>1.8798581644293644</v>
      </c>
      <c r="E70" s="3"/>
      <c r="P70" s="3"/>
      <c r="Q70" s="3"/>
      <c r="R70" s="3"/>
      <c r="S70" s="3"/>
      <c r="T70" s="3"/>
      <c r="U70" s="3"/>
      <c r="V70" s="3"/>
      <c r="W70" s="3"/>
      <c r="X70" s="3"/>
      <c r="Y70" s="3"/>
      <c r="Z70" s="3"/>
      <c r="AA70" s="3"/>
      <c r="AB70" s="3"/>
      <c r="AC70" s="3"/>
    </row>
    <row r="71" spans="1:29">
      <c r="A71" s="3"/>
      <c r="B71" s="3"/>
      <c r="C71" s="81">
        <f t="shared" si="2"/>
        <v>170</v>
      </c>
      <c r="D71" s="17">
        <f t="shared" si="3"/>
        <v>2.0835145896993548</v>
      </c>
      <c r="E71" s="3"/>
      <c r="P71" s="3"/>
      <c r="Q71" s="3"/>
      <c r="R71" s="3"/>
      <c r="S71" s="3"/>
      <c r="T71" s="3"/>
      <c r="U71" s="3"/>
      <c r="V71" s="3"/>
      <c r="W71" s="3"/>
      <c r="X71" s="3"/>
      <c r="Y71" s="3"/>
      <c r="Z71" s="3"/>
      <c r="AA71" s="3"/>
      <c r="AB71" s="3"/>
      <c r="AC71" s="3"/>
    </row>
    <row r="72" spans="1:29">
      <c r="A72" s="3"/>
      <c r="B72" s="3"/>
      <c r="C72" s="81">
        <f t="shared" si="2"/>
        <v>180</v>
      </c>
      <c r="D72" s="17">
        <f t="shared" si="3"/>
        <v>2.15</v>
      </c>
      <c r="E72" s="3"/>
      <c r="P72" s="3"/>
      <c r="Q72" s="3"/>
      <c r="R72" s="3"/>
      <c r="S72" s="3"/>
      <c r="T72" s="3"/>
      <c r="U72" s="3"/>
      <c r="V72" s="3"/>
      <c r="W72" s="3"/>
      <c r="X72" s="3"/>
      <c r="Y72" s="3"/>
      <c r="Z72" s="3"/>
      <c r="AA72" s="3"/>
      <c r="AB72" s="3"/>
      <c r="AC72" s="3"/>
    </row>
    <row r="73" spans="1:29">
      <c r="A73" s="3"/>
      <c r="B73" s="3"/>
      <c r="C73" s="81">
        <f t="shared" si="2"/>
        <v>190</v>
      </c>
      <c r="D73" s="17">
        <f t="shared" si="3"/>
        <v>2.0835145896993548</v>
      </c>
      <c r="E73" s="3"/>
      <c r="P73" s="3"/>
      <c r="Q73" s="3"/>
      <c r="R73" s="3"/>
      <c r="S73" s="3"/>
      <c r="T73" s="3"/>
      <c r="U73" s="3"/>
      <c r="V73" s="3"/>
      <c r="W73" s="3"/>
      <c r="X73" s="3"/>
      <c r="Y73" s="3"/>
      <c r="Z73" s="3"/>
      <c r="AA73" s="3"/>
      <c r="AB73" s="3"/>
      <c r="AC73" s="3"/>
    </row>
    <row r="74" spans="1:29">
      <c r="A74" s="3"/>
      <c r="B74" s="3"/>
      <c r="C74" s="81">
        <f t="shared" si="2"/>
        <v>200</v>
      </c>
      <c r="D74" s="17">
        <f t="shared" si="3"/>
        <v>1.8798581644293648</v>
      </c>
      <c r="E74" s="3"/>
      <c r="P74" s="3"/>
      <c r="Q74" s="3"/>
      <c r="R74" s="3"/>
      <c r="S74" s="3"/>
      <c r="T74" s="3"/>
      <c r="U74" s="3"/>
      <c r="V74" s="3"/>
      <c r="W74" s="3"/>
      <c r="X74" s="3"/>
      <c r="Y74" s="3"/>
      <c r="Z74" s="3"/>
      <c r="AA74" s="3"/>
      <c r="AB74" s="3"/>
      <c r="AC74" s="3"/>
    </row>
    <row r="75" spans="1:29">
      <c r="A75" s="3"/>
      <c r="B75" s="3"/>
      <c r="C75" s="81">
        <f t="shared" si="2"/>
        <v>210</v>
      </c>
      <c r="D75" s="17">
        <f t="shared" si="3"/>
        <v>1.5253063169584999</v>
      </c>
      <c r="E75" s="3"/>
      <c r="P75" s="3"/>
      <c r="Q75" s="3"/>
      <c r="R75" s="3"/>
      <c r="S75" s="3"/>
      <c r="T75" s="3"/>
      <c r="U75" s="3"/>
      <c r="V75" s="3"/>
      <c r="W75" s="3"/>
      <c r="X75" s="3"/>
      <c r="Y75" s="3"/>
      <c r="Z75" s="3"/>
      <c r="AA75" s="3"/>
      <c r="AB75" s="3"/>
      <c r="AC75" s="3"/>
    </row>
    <row r="76" spans="1:29">
      <c r="A76" s="3"/>
      <c r="B76" s="3"/>
      <c r="C76" s="81">
        <f t="shared" si="2"/>
        <v>220</v>
      </c>
      <c r="D76" s="17">
        <f t="shared" si="3"/>
        <v>0.99253966553519413</v>
      </c>
      <c r="E76" s="3"/>
      <c r="P76" s="3"/>
      <c r="Q76" s="3"/>
      <c r="R76" s="3"/>
      <c r="S76" s="3"/>
      <c r="T76" s="3"/>
      <c r="U76" s="3"/>
      <c r="V76" s="3"/>
      <c r="W76" s="3"/>
      <c r="X76" s="3"/>
      <c r="Y76" s="3"/>
      <c r="Z76" s="3"/>
      <c r="AA76" s="3"/>
      <c r="AB76" s="3"/>
      <c r="AC76" s="3"/>
    </row>
    <row r="77" spans="1:29">
      <c r="A77" s="3"/>
      <c r="B77" s="3"/>
      <c r="C77" s="81">
        <f t="shared" si="2"/>
        <v>230</v>
      </c>
      <c r="D77" s="17">
        <f t="shared" si="3"/>
        <v>0.23067496752435002</v>
      </c>
      <c r="E77" s="3"/>
      <c r="P77" s="3"/>
      <c r="Q77" s="3"/>
      <c r="R77" s="3"/>
      <c r="S77" s="3"/>
      <c r="T77" s="3"/>
      <c r="U77" s="3"/>
      <c r="V77" s="3"/>
      <c r="W77" s="3"/>
      <c r="X77" s="3"/>
      <c r="Y77" s="3"/>
      <c r="Z77" s="3"/>
      <c r="AA77" s="3"/>
      <c r="AB77" s="3"/>
      <c r="AC77" s="3"/>
    </row>
    <row r="78" spans="1:29">
      <c r="A78" s="3"/>
      <c r="B78" s="3"/>
      <c r="C78" s="81">
        <f t="shared" si="2"/>
        <v>240</v>
      </c>
      <c r="D78" s="17">
        <f t="shared" si="3"/>
        <v>-0.86029995663980818</v>
      </c>
      <c r="E78" s="3"/>
      <c r="P78" s="3"/>
      <c r="Q78" s="3"/>
      <c r="R78" s="3"/>
      <c r="S78" s="3"/>
      <c r="T78" s="3"/>
      <c r="U78" s="3"/>
      <c r="V78" s="3"/>
      <c r="W78" s="3"/>
      <c r="X78" s="3"/>
      <c r="Y78" s="3"/>
      <c r="Z78" s="3"/>
      <c r="AA78" s="3"/>
      <c r="AB78" s="3"/>
      <c r="AC78" s="3"/>
    </row>
    <row r="79" spans="1:29">
      <c r="A79" s="3"/>
      <c r="B79" s="3"/>
      <c r="C79" s="81">
        <f t="shared" si="2"/>
        <v>250</v>
      </c>
      <c r="D79" s="17">
        <f t="shared" si="3"/>
        <v>-2.5094831535448301</v>
      </c>
      <c r="E79" s="3"/>
      <c r="P79" s="3"/>
      <c r="Q79" s="3"/>
      <c r="R79" s="3"/>
      <c r="S79" s="3"/>
      <c r="T79" s="3"/>
      <c r="U79" s="3"/>
      <c r="V79" s="3"/>
      <c r="W79" s="3"/>
      <c r="X79" s="3"/>
      <c r="Y79" s="3"/>
      <c r="Z79" s="3"/>
      <c r="AA79" s="3"/>
      <c r="AB79" s="3"/>
      <c r="AC79" s="3"/>
    </row>
    <row r="80" spans="1:29">
      <c r="A80" s="3"/>
      <c r="B80" s="3"/>
      <c r="C80" s="81">
        <f t="shared" si="2"/>
        <v>260</v>
      </c>
      <c r="D80" s="17">
        <f t="shared" si="3"/>
        <v>-5.4532976998839953</v>
      </c>
      <c r="E80" s="3"/>
      <c r="P80" s="3"/>
      <c r="Q80" s="3"/>
      <c r="R80" s="3"/>
      <c r="S80" s="3"/>
      <c r="T80" s="3"/>
      <c r="U80" s="3"/>
      <c r="V80" s="3"/>
      <c r="W80" s="3"/>
      <c r="X80" s="3"/>
      <c r="Y80" s="3"/>
      <c r="Z80" s="3"/>
      <c r="AA80" s="3"/>
      <c r="AB80" s="3"/>
      <c r="AC80" s="3"/>
    </row>
    <row r="81" spans="1:29" ht="13">
      <c r="A81" s="3"/>
      <c r="B81" s="3"/>
      <c r="C81" s="81">
        <v>265</v>
      </c>
      <c r="D81" s="17">
        <f t="shared" si="3"/>
        <v>-8.4470399166987935</v>
      </c>
      <c r="E81" s="3" t="s">
        <v>817</v>
      </c>
      <c r="F81" s="3"/>
      <c r="G81" s="3"/>
      <c r="H81" s="3"/>
      <c r="I81" s="3"/>
      <c r="J81" s="3"/>
      <c r="K81" s="3"/>
      <c r="L81" s="3"/>
      <c r="M81" s="4" t="s">
        <v>422</v>
      </c>
      <c r="N81" s="3"/>
      <c r="O81" s="3"/>
      <c r="P81" s="3"/>
      <c r="Q81" s="3"/>
      <c r="R81" s="3"/>
      <c r="S81" s="3"/>
      <c r="T81" s="3"/>
      <c r="U81" s="3"/>
      <c r="V81" s="3"/>
      <c r="W81" s="3"/>
      <c r="X81" s="3"/>
      <c r="Y81" s="3"/>
      <c r="Z81" s="3"/>
      <c r="AA81" s="3"/>
      <c r="AB81" s="3"/>
      <c r="AC81" s="3"/>
    </row>
    <row r="82" spans="1:29">
      <c r="A82" s="3"/>
      <c r="B82" s="3"/>
      <c r="C82" s="81">
        <v>267.5</v>
      </c>
      <c r="D82" s="17">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81">
        <f>C80+10</f>
        <v>270</v>
      </c>
      <c r="D83" s="17">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81">
        <v>272.5</v>
      </c>
      <c r="D84" s="17">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81">
        <v>275</v>
      </c>
      <c r="D85" s="17">
        <f t="shared" si="4"/>
        <v>-8.4470399166988113</v>
      </c>
      <c r="E85" s="3"/>
      <c r="F85" s="3"/>
      <c r="G85" s="3" t="s">
        <v>61</v>
      </c>
      <c r="H85" s="3"/>
      <c r="I85" s="3">
        <v>78.8</v>
      </c>
      <c r="J85" s="3" t="s">
        <v>826</v>
      </c>
      <c r="K85" s="3" t="s">
        <v>418</v>
      </c>
      <c r="L85" s="3"/>
      <c r="M85" s="3"/>
      <c r="N85" s="3"/>
      <c r="O85" s="3"/>
      <c r="P85" s="3"/>
      <c r="Q85" s="3"/>
      <c r="R85" s="3"/>
      <c r="S85" s="3"/>
      <c r="T85" s="3"/>
      <c r="U85" s="3"/>
      <c r="V85" s="3"/>
      <c r="W85" s="3"/>
      <c r="X85" s="3"/>
      <c r="Y85" s="3"/>
      <c r="Z85" s="3"/>
      <c r="AA85" s="3"/>
      <c r="AB85" s="3"/>
      <c r="AC85" s="3"/>
    </row>
    <row r="86" spans="1:29">
      <c r="A86" s="3"/>
      <c r="B86" s="3"/>
      <c r="C86" s="81">
        <f>C83+10</f>
        <v>280</v>
      </c>
      <c r="D86" s="17">
        <f t="shared" si="4"/>
        <v>-5.4532976998840041</v>
      </c>
      <c r="E86" s="3" t="s">
        <v>817</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81">
        <f t="shared" si="2"/>
        <v>290</v>
      </c>
      <c r="D87" s="17">
        <f t="shared" si="4"/>
        <v>-2.5094831535448248</v>
      </c>
      <c r="E87" s="3"/>
      <c r="F87" s="3"/>
      <c r="G87" s="3" t="s">
        <v>416</v>
      </c>
      <c r="H87" s="3"/>
      <c r="I87" s="558">
        <v>0</v>
      </c>
      <c r="J87" s="3" t="s">
        <v>826</v>
      </c>
      <c r="K87" s="3" t="s">
        <v>417</v>
      </c>
      <c r="L87" s="3"/>
      <c r="M87" s="3"/>
      <c r="N87" s="3"/>
      <c r="O87" s="3"/>
      <c r="P87" s="3"/>
      <c r="Q87" s="3"/>
      <c r="R87" s="3"/>
      <c r="S87" s="3"/>
      <c r="T87" s="3"/>
      <c r="U87" s="3"/>
      <c r="V87" s="3"/>
      <c r="W87" s="3"/>
      <c r="X87" s="3"/>
      <c r="Y87" s="3"/>
      <c r="Z87" s="3"/>
      <c r="AA87" s="3"/>
      <c r="AB87" s="3"/>
      <c r="AC87" s="3"/>
    </row>
    <row r="88" spans="1:29">
      <c r="A88" s="3"/>
      <c r="B88" s="3"/>
      <c r="C88" s="81">
        <f t="shared" si="2"/>
        <v>300</v>
      </c>
      <c r="D88" s="17">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81">
        <f t="shared" si="2"/>
        <v>310</v>
      </c>
      <c r="D89" s="17">
        <f t="shared" si="4"/>
        <v>0.23067496752434824</v>
      </c>
      <c r="E89" s="3"/>
      <c r="F89" s="3"/>
      <c r="G89" s="3" t="s">
        <v>419</v>
      </c>
      <c r="H89" s="3"/>
      <c r="I89" s="3">
        <v>2.15</v>
      </c>
      <c r="J89" s="3" t="s">
        <v>36</v>
      </c>
      <c r="K89" s="3" t="s">
        <v>420</v>
      </c>
      <c r="L89" s="3"/>
      <c r="M89" s="3"/>
      <c r="N89" s="3"/>
      <c r="O89" s="3"/>
      <c r="P89" s="3"/>
      <c r="Q89" s="3"/>
      <c r="R89" s="3"/>
      <c r="S89" s="3"/>
      <c r="T89" s="3"/>
      <c r="U89" s="3"/>
      <c r="V89" s="3"/>
      <c r="W89" s="3"/>
      <c r="X89" s="3"/>
      <c r="Y89" s="3"/>
      <c r="Z89" s="3"/>
      <c r="AA89" s="3"/>
      <c r="AB89" s="3"/>
      <c r="AC89" s="3"/>
    </row>
    <row r="90" spans="1:29">
      <c r="A90" s="3"/>
      <c r="B90" s="3"/>
      <c r="C90" s="81">
        <f t="shared" si="2"/>
        <v>320</v>
      </c>
      <c r="D90" s="17">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81">
        <f t="shared" si="2"/>
        <v>330</v>
      </c>
      <c r="D91" s="17">
        <f t="shared" si="4"/>
        <v>1.5253063169584988</v>
      </c>
      <c r="E91" s="3"/>
      <c r="F91" s="3"/>
      <c r="G91" s="3" t="s">
        <v>421</v>
      </c>
      <c r="H91" s="3"/>
      <c r="I91" s="558">
        <v>0</v>
      </c>
      <c r="J91" s="3" t="s">
        <v>826</v>
      </c>
      <c r="K91" s="3"/>
      <c r="L91" s="3"/>
      <c r="M91" s="3"/>
      <c r="N91" s="3"/>
      <c r="O91" s="3"/>
      <c r="P91" s="3"/>
      <c r="Q91" s="3"/>
      <c r="R91" s="3"/>
      <c r="S91" s="3"/>
      <c r="T91" s="3"/>
      <c r="U91" s="3"/>
      <c r="V91" s="3"/>
      <c r="W91" s="3"/>
      <c r="X91" s="3"/>
      <c r="Y91" s="3"/>
      <c r="Z91" s="3"/>
      <c r="AA91" s="3"/>
      <c r="AB91" s="3"/>
      <c r="AC91" s="3"/>
    </row>
    <row r="92" spans="1:29">
      <c r="A92" s="3"/>
      <c r="B92" s="3"/>
      <c r="C92" s="81">
        <f t="shared" si="2"/>
        <v>340</v>
      </c>
      <c r="D92" s="17">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81">
        <f t="shared" si="2"/>
        <v>350</v>
      </c>
      <c r="D93" s="17">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81">
        <f t="shared" si="2"/>
        <v>360</v>
      </c>
      <c r="D94" s="17">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3" t="s">
        <v>817</v>
      </c>
      <c r="C97" s="3"/>
      <c r="D97" s="616" t="s">
        <v>62</v>
      </c>
      <c r="E97" s="617"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610" t="s">
        <v>671</v>
      </c>
      <c r="C98" s="959" t="s">
        <v>1050</v>
      </c>
      <c r="D98" s="615" t="s">
        <v>155</v>
      </c>
      <c r="E98" s="618" t="s">
        <v>155</v>
      </c>
      <c r="F98" s="3"/>
      <c r="G98" s="3"/>
      <c r="H98" s="3"/>
      <c r="I98" s="3"/>
      <c r="J98" s="3"/>
      <c r="K98" s="3"/>
      <c r="L98" s="3"/>
      <c r="M98" s="3"/>
      <c r="N98" s="3"/>
      <c r="O98" s="3"/>
      <c r="U98" s="3"/>
      <c r="V98" s="3"/>
      <c r="W98" s="3"/>
      <c r="X98" s="3"/>
      <c r="Y98" s="3"/>
      <c r="Z98" s="3"/>
      <c r="AA98" s="3"/>
      <c r="AB98" s="3"/>
      <c r="AC98" s="3"/>
    </row>
    <row r="99" spans="1:29" ht="25">
      <c r="A99" s="3"/>
      <c r="B99" s="721" t="s">
        <v>282</v>
      </c>
      <c r="C99" s="81">
        <v>0</v>
      </c>
      <c r="D99" s="35">
        <f>2-0.00075*(C99)^2</f>
        <v>2</v>
      </c>
      <c r="E99" s="35">
        <f>0.5-0.00075*(180-C99)^2</f>
        <v>-23.8</v>
      </c>
      <c r="F99" t="s">
        <v>817</v>
      </c>
      <c r="G99" t="s">
        <v>817</v>
      </c>
      <c r="U99" s="3"/>
      <c r="V99" s="3"/>
      <c r="W99" s="3"/>
      <c r="X99" s="3"/>
      <c r="Y99" s="3"/>
      <c r="Z99" s="3"/>
      <c r="AA99" s="3"/>
      <c r="AB99" s="3"/>
      <c r="AC99" s="3"/>
    </row>
    <row r="100" spans="1:29">
      <c r="A100" s="3"/>
      <c r="B100" s="3"/>
      <c r="C100" s="81">
        <f>C99+5</f>
        <v>5</v>
      </c>
      <c r="D100" s="35">
        <f t="shared" ref="D100:D135" si="5">2-0.00075*(C100)^2</f>
        <v>1.98125</v>
      </c>
      <c r="E100" s="35">
        <f t="shared" ref="E100:E135" si="6">0.5-0.00075*(180-C100)^2</f>
        <v>-22.46875</v>
      </c>
      <c r="U100" s="3"/>
      <c r="V100" s="3"/>
      <c r="W100" s="3"/>
      <c r="X100" s="3"/>
      <c r="Y100" s="3"/>
      <c r="Z100" s="3"/>
      <c r="AA100" s="3"/>
      <c r="AB100" s="3"/>
      <c r="AC100" s="3"/>
    </row>
    <row r="101" spans="1:29">
      <c r="A101" s="3"/>
      <c r="B101" s="3"/>
      <c r="C101" s="81">
        <f t="shared" ref="C101:C128" si="7">C100+5</f>
        <v>10</v>
      </c>
      <c r="D101" s="35">
        <f t="shared" si="5"/>
        <v>1.925</v>
      </c>
      <c r="E101" s="35">
        <f t="shared" si="6"/>
        <v>-21.175000000000001</v>
      </c>
      <c r="U101" s="3"/>
      <c r="V101" s="3"/>
      <c r="W101" s="3"/>
      <c r="X101" s="3"/>
      <c r="Y101" s="3"/>
      <c r="Z101" s="3"/>
      <c r="AA101" s="3"/>
      <c r="AB101" s="3"/>
      <c r="AC101" s="3"/>
    </row>
    <row r="102" spans="1:29">
      <c r="A102" s="3"/>
      <c r="B102" s="3"/>
      <c r="C102" s="81">
        <f t="shared" si="7"/>
        <v>15</v>
      </c>
      <c r="D102" s="35">
        <f t="shared" si="5"/>
        <v>1.83125</v>
      </c>
      <c r="E102" s="35">
        <f t="shared" si="6"/>
        <v>-19.918749999999999</v>
      </c>
      <c r="U102" s="3"/>
      <c r="V102" s="3"/>
      <c r="W102" s="3"/>
      <c r="X102" s="3"/>
      <c r="Y102" s="3"/>
      <c r="Z102" s="3"/>
      <c r="AA102" s="3"/>
      <c r="AB102" s="3"/>
      <c r="AC102" s="3"/>
    </row>
    <row r="103" spans="1:29">
      <c r="A103" s="3"/>
      <c r="B103" s="3"/>
      <c r="C103" s="81">
        <f t="shared" si="7"/>
        <v>20</v>
      </c>
      <c r="D103" s="35">
        <f t="shared" si="5"/>
        <v>1.7</v>
      </c>
      <c r="E103" s="35">
        <f t="shared" si="6"/>
        <v>-18.7</v>
      </c>
      <c r="U103" s="3"/>
      <c r="V103" s="3"/>
      <c r="W103" s="3"/>
      <c r="X103" s="3"/>
      <c r="Y103" s="3"/>
      <c r="Z103" s="3"/>
      <c r="AA103" s="3"/>
      <c r="AB103" s="3"/>
      <c r="AC103" s="3"/>
    </row>
    <row r="104" spans="1:29">
      <c r="A104" s="3"/>
      <c r="B104" s="3" t="s">
        <v>817</v>
      </c>
      <c r="C104" s="81">
        <f t="shared" si="7"/>
        <v>25</v>
      </c>
      <c r="D104" s="35">
        <f t="shared" si="5"/>
        <v>1.53125</v>
      </c>
      <c r="E104" s="35">
        <f t="shared" si="6"/>
        <v>-17.518750000000001</v>
      </c>
      <c r="U104" s="3"/>
      <c r="V104" s="3"/>
      <c r="W104" s="3"/>
      <c r="X104" s="3"/>
      <c r="Y104" s="3"/>
      <c r="Z104" s="3"/>
      <c r="AA104" s="3"/>
      <c r="AB104" s="3"/>
      <c r="AC104" s="3"/>
    </row>
    <row r="105" spans="1:29">
      <c r="A105" s="3"/>
      <c r="B105" s="3"/>
      <c r="C105" s="81">
        <f t="shared" si="7"/>
        <v>30</v>
      </c>
      <c r="D105" s="35">
        <f t="shared" si="5"/>
        <v>1.325</v>
      </c>
      <c r="E105" s="35">
        <f t="shared" si="6"/>
        <v>-16.375</v>
      </c>
      <c r="U105" s="3"/>
      <c r="V105" s="3"/>
      <c r="W105" s="3"/>
      <c r="X105" s="3"/>
      <c r="Y105" s="3"/>
      <c r="Z105" s="3"/>
      <c r="AA105" s="3"/>
      <c r="AB105" s="3"/>
      <c r="AC105" s="3"/>
    </row>
    <row r="106" spans="1:29">
      <c r="A106" s="3"/>
      <c r="B106" s="3"/>
      <c r="C106" s="81">
        <f t="shared" si="7"/>
        <v>35</v>
      </c>
      <c r="D106" s="35">
        <f t="shared" si="5"/>
        <v>1.0812499999999998</v>
      </c>
      <c r="E106" s="35">
        <f t="shared" si="6"/>
        <v>-15.268750000000001</v>
      </c>
      <c r="U106" s="3"/>
      <c r="V106" s="3"/>
      <c r="W106" s="3"/>
      <c r="X106" s="3"/>
      <c r="Y106" s="3"/>
      <c r="Z106" s="3"/>
      <c r="AA106" s="3"/>
      <c r="AB106" s="3"/>
      <c r="AC106" s="3"/>
    </row>
    <row r="107" spans="1:29">
      <c r="A107" s="3"/>
      <c r="B107" s="3"/>
      <c r="C107" s="81">
        <f t="shared" si="7"/>
        <v>40</v>
      </c>
      <c r="D107" s="35">
        <f t="shared" si="5"/>
        <v>0.8</v>
      </c>
      <c r="E107" s="35">
        <f t="shared" si="6"/>
        <v>-14.200000000000001</v>
      </c>
      <c r="U107" s="3"/>
      <c r="V107" s="3"/>
      <c r="W107" s="3"/>
      <c r="X107" s="3"/>
      <c r="Y107" s="3"/>
      <c r="Z107" s="3"/>
      <c r="AA107" s="3"/>
      <c r="AB107" s="3"/>
      <c r="AC107" s="3"/>
    </row>
    <row r="108" spans="1:29">
      <c r="A108" s="3"/>
      <c r="B108" s="3"/>
      <c r="C108" s="81">
        <f t="shared" si="7"/>
        <v>45</v>
      </c>
      <c r="D108" s="35">
        <f t="shared" si="5"/>
        <v>0.48124999999999996</v>
      </c>
      <c r="E108" s="35">
        <f t="shared" si="6"/>
        <v>-13.168750000000001</v>
      </c>
      <c r="U108" s="3"/>
      <c r="V108" s="3"/>
      <c r="W108" s="3"/>
      <c r="X108" s="3"/>
      <c r="Y108" s="3"/>
      <c r="Z108" s="3"/>
      <c r="AA108" s="3"/>
      <c r="AB108" s="3"/>
      <c r="AC108" s="3"/>
    </row>
    <row r="109" spans="1:29">
      <c r="A109" s="3"/>
      <c r="B109" s="3"/>
      <c r="C109" s="81">
        <f t="shared" si="7"/>
        <v>50</v>
      </c>
      <c r="D109" s="35">
        <f t="shared" si="5"/>
        <v>0.125</v>
      </c>
      <c r="E109" s="35">
        <f t="shared" si="6"/>
        <v>-12.175000000000001</v>
      </c>
      <c r="U109" s="3"/>
      <c r="V109" s="3"/>
      <c r="W109" s="3"/>
      <c r="X109" s="3"/>
      <c r="Y109" s="3"/>
      <c r="Z109" s="3"/>
      <c r="AA109" s="3"/>
      <c r="AB109" s="3"/>
      <c r="AC109" s="3"/>
    </row>
    <row r="110" spans="1:29">
      <c r="A110" s="3"/>
      <c r="B110" s="3"/>
      <c r="C110" s="81">
        <f t="shared" si="7"/>
        <v>55</v>
      </c>
      <c r="D110" s="35">
        <f t="shared" si="5"/>
        <v>-0.26875000000000027</v>
      </c>
      <c r="E110" s="35">
        <f t="shared" si="6"/>
        <v>-11.21875</v>
      </c>
      <c r="U110" s="3"/>
      <c r="V110" s="3"/>
      <c r="W110" s="3"/>
      <c r="X110" s="3"/>
      <c r="Y110" s="3"/>
      <c r="Z110" s="3"/>
      <c r="AA110" s="3"/>
      <c r="AB110" s="3"/>
      <c r="AC110" s="3"/>
    </row>
    <row r="111" spans="1:29">
      <c r="A111" s="3"/>
      <c r="B111" s="3"/>
      <c r="C111" s="81">
        <f t="shared" si="7"/>
        <v>60</v>
      </c>
      <c r="D111" s="35">
        <f t="shared" si="5"/>
        <v>-0.70000000000000018</v>
      </c>
      <c r="E111" s="35">
        <f t="shared" si="6"/>
        <v>-10.3</v>
      </c>
      <c r="U111" s="3"/>
      <c r="V111" s="3"/>
      <c r="W111" s="3"/>
      <c r="X111" s="3"/>
      <c r="Y111" s="3"/>
      <c r="Z111" s="3"/>
      <c r="AA111" s="3"/>
      <c r="AB111" s="3"/>
      <c r="AC111" s="3"/>
    </row>
    <row r="112" spans="1:29">
      <c r="A112" s="3"/>
      <c r="B112" s="3"/>
      <c r="C112" s="81">
        <f t="shared" si="7"/>
        <v>65</v>
      </c>
      <c r="D112" s="35">
        <f t="shared" si="5"/>
        <v>-1.1687500000000002</v>
      </c>
      <c r="E112" s="35">
        <f t="shared" si="6"/>
        <v>-9.4187500000000011</v>
      </c>
      <c r="U112" s="3"/>
      <c r="V112" s="3"/>
      <c r="W112" s="3"/>
      <c r="X112" s="3"/>
      <c r="Y112" s="3"/>
      <c r="Z112" s="3"/>
      <c r="AA112" s="3"/>
      <c r="AB112" s="3"/>
      <c r="AC112" s="3"/>
    </row>
    <row r="113" spans="1:29">
      <c r="A113" s="3"/>
      <c r="B113" s="3"/>
      <c r="C113" s="81">
        <f t="shared" si="7"/>
        <v>70</v>
      </c>
      <c r="D113" s="35">
        <f t="shared" si="5"/>
        <v>-1.6750000000000003</v>
      </c>
      <c r="E113" s="35">
        <f t="shared" si="6"/>
        <v>-8.5750000000000011</v>
      </c>
      <c r="U113" s="3"/>
      <c r="V113" s="3"/>
      <c r="W113" s="3"/>
      <c r="X113" s="3"/>
      <c r="Y113" s="3"/>
      <c r="Z113" s="3"/>
      <c r="AA113" s="3"/>
      <c r="AB113" s="3"/>
      <c r="AC113" s="3"/>
    </row>
    <row r="114" spans="1:29">
      <c r="A114" s="3"/>
      <c r="B114" s="3"/>
      <c r="C114" s="81">
        <f t="shared" si="7"/>
        <v>75</v>
      </c>
      <c r="D114" s="35">
        <f t="shared" si="5"/>
        <v>-2.21875</v>
      </c>
      <c r="E114" s="35">
        <f t="shared" si="6"/>
        <v>-7.7687500000000007</v>
      </c>
      <c r="U114" s="3"/>
      <c r="V114" s="3"/>
      <c r="W114" s="3"/>
      <c r="X114" s="3"/>
      <c r="Y114" s="3"/>
      <c r="Z114" s="3"/>
      <c r="AA114" s="3"/>
      <c r="AB114" s="3"/>
      <c r="AC114" s="3"/>
    </row>
    <row r="115" spans="1:29">
      <c r="A115" s="3"/>
      <c r="B115" s="3"/>
      <c r="C115" s="81">
        <f t="shared" si="7"/>
        <v>80</v>
      </c>
      <c r="D115" s="35">
        <f t="shared" si="5"/>
        <v>-2.8</v>
      </c>
      <c r="E115" s="35">
        <f t="shared" si="6"/>
        <v>-7</v>
      </c>
      <c r="U115" s="3"/>
      <c r="V115" s="3"/>
      <c r="W115" s="3"/>
      <c r="X115" s="3"/>
      <c r="Y115" s="3"/>
      <c r="Z115" s="3"/>
      <c r="AA115" s="3"/>
      <c r="AB115" s="3"/>
      <c r="AC115" s="3"/>
    </row>
    <row r="116" spans="1:29">
      <c r="A116" s="3"/>
      <c r="B116" s="3"/>
      <c r="C116" s="81">
        <f t="shared" si="7"/>
        <v>85</v>
      </c>
      <c r="D116" s="35">
        <f t="shared" si="5"/>
        <v>-3.4187500000000002</v>
      </c>
      <c r="E116" s="35">
        <f t="shared" si="6"/>
        <v>-6.2687499999999998</v>
      </c>
      <c r="U116" s="3"/>
      <c r="V116" s="3"/>
      <c r="W116" s="3"/>
      <c r="X116" s="3"/>
      <c r="Y116" s="3"/>
      <c r="Z116" s="3"/>
      <c r="AA116" s="3"/>
      <c r="AB116" s="3"/>
      <c r="AC116" s="3"/>
    </row>
    <row r="117" spans="1:29">
      <c r="A117" s="3"/>
      <c r="B117" s="3"/>
      <c r="C117" s="81">
        <f t="shared" si="7"/>
        <v>90</v>
      </c>
      <c r="D117" s="35">
        <f t="shared" si="5"/>
        <v>-4.0750000000000002</v>
      </c>
      <c r="E117" s="35">
        <f t="shared" si="6"/>
        <v>-5.5750000000000002</v>
      </c>
      <c r="U117" s="3"/>
      <c r="V117" s="3"/>
      <c r="W117" s="3"/>
      <c r="X117" s="3"/>
      <c r="Y117" s="3"/>
      <c r="Z117" s="3"/>
      <c r="AA117" s="3"/>
      <c r="AB117" s="3"/>
      <c r="AC117" s="3"/>
    </row>
    <row r="118" spans="1:29">
      <c r="A118" s="3"/>
      <c r="B118" s="3"/>
      <c r="C118" s="81">
        <f t="shared" si="7"/>
        <v>95</v>
      </c>
      <c r="D118" s="35">
        <f t="shared" si="5"/>
        <v>-4.7687499999999998</v>
      </c>
      <c r="E118" s="35">
        <f t="shared" si="6"/>
        <v>-4.9187500000000002</v>
      </c>
      <c r="U118" s="3"/>
      <c r="V118" s="3"/>
      <c r="W118" s="3"/>
      <c r="X118" s="3"/>
      <c r="Y118" s="3"/>
      <c r="Z118" s="3"/>
      <c r="AA118" s="3"/>
      <c r="AB118" s="3"/>
      <c r="AC118" s="3"/>
    </row>
    <row r="119" spans="1:29">
      <c r="A119" s="3"/>
      <c r="B119" s="3"/>
      <c r="C119" s="81">
        <f t="shared" si="7"/>
        <v>100</v>
      </c>
      <c r="D119" s="35">
        <f t="shared" si="5"/>
        <v>-5.5</v>
      </c>
      <c r="E119" s="35">
        <f t="shared" si="6"/>
        <v>-4.3</v>
      </c>
      <c r="U119" s="3"/>
      <c r="V119" s="3"/>
      <c r="W119" s="3"/>
      <c r="X119" s="3"/>
      <c r="Y119" s="3"/>
      <c r="Z119" s="3"/>
      <c r="AA119" s="3"/>
      <c r="AB119" s="3"/>
      <c r="AC119" s="3"/>
    </row>
    <row r="120" spans="1:29">
      <c r="A120" s="3"/>
      <c r="B120" s="3"/>
      <c r="C120" s="81">
        <f t="shared" si="7"/>
        <v>105</v>
      </c>
      <c r="D120" s="35">
        <f t="shared" si="5"/>
        <v>-6.2687500000000007</v>
      </c>
      <c r="E120" s="35">
        <f t="shared" si="6"/>
        <v>-3.71875</v>
      </c>
      <c r="U120" s="3"/>
      <c r="V120" s="3"/>
      <c r="W120" s="3"/>
      <c r="X120" s="3"/>
      <c r="Y120" s="3"/>
      <c r="Z120" s="3"/>
      <c r="AA120" s="3"/>
      <c r="AB120" s="3"/>
      <c r="AC120" s="3"/>
    </row>
    <row r="121" spans="1:29">
      <c r="A121" s="3"/>
      <c r="B121" s="3"/>
      <c r="C121" s="81">
        <f t="shared" si="7"/>
        <v>110</v>
      </c>
      <c r="D121" s="35">
        <f t="shared" si="5"/>
        <v>-7.0750000000000011</v>
      </c>
      <c r="E121" s="35">
        <f t="shared" si="6"/>
        <v>-3.1750000000000003</v>
      </c>
      <c r="U121" s="3"/>
      <c r="V121" s="3"/>
      <c r="W121" s="3"/>
      <c r="X121" s="3"/>
      <c r="Y121" s="3"/>
      <c r="Z121" s="3"/>
      <c r="AA121" s="3"/>
      <c r="AB121" s="3"/>
      <c r="AC121" s="3"/>
    </row>
    <row r="122" spans="1:29">
      <c r="A122" s="3"/>
      <c r="B122" s="3"/>
      <c r="C122" s="81">
        <f t="shared" si="7"/>
        <v>115</v>
      </c>
      <c r="D122" s="35">
        <f t="shared" si="5"/>
        <v>-7.9187500000000011</v>
      </c>
      <c r="E122" s="35">
        <f t="shared" si="6"/>
        <v>-2.6687500000000002</v>
      </c>
      <c r="U122" s="3"/>
      <c r="V122" s="3"/>
      <c r="W122" s="3"/>
      <c r="X122" s="3"/>
      <c r="Y122" s="3"/>
      <c r="Z122" s="3"/>
      <c r="AA122" s="3"/>
      <c r="AB122" s="3"/>
      <c r="AC122" s="3"/>
    </row>
    <row r="123" spans="1:29">
      <c r="A123" s="3"/>
      <c r="B123" s="3"/>
      <c r="C123" s="81">
        <f t="shared" si="7"/>
        <v>120</v>
      </c>
      <c r="D123" s="35">
        <f t="shared" si="5"/>
        <v>-8.8000000000000007</v>
      </c>
      <c r="E123" s="35">
        <f t="shared" si="6"/>
        <v>-2.2000000000000002</v>
      </c>
      <c r="U123" s="3"/>
      <c r="V123" s="3"/>
      <c r="W123" s="3"/>
      <c r="X123" s="3"/>
      <c r="Y123" s="3"/>
      <c r="Z123" s="3"/>
      <c r="AA123" s="3"/>
      <c r="AB123" s="3"/>
      <c r="AC123" s="3"/>
    </row>
    <row r="124" spans="1:29">
      <c r="A124" s="3"/>
      <c r="B124" s="3"/>
      <c r="C124" s="81">
        <f t="shared" si="7"/>
        <v>125</v>
      </c>
      <c r="D124" s="35">
        <f t="shared" si="5"/>
        <v>-9.71875</v>
      </c>
      <c r="E124" s="35">
        <f t="shared" si="6"/>
        <v>-1.7687500000000003</v>
      </c>
      <c r="U124" s="3"/>
      <c r="V124" s="3"/>
      <c r="W124" s="3"/>
      <c r="X124" s="3"/>
      <c r="Y124" s="3"/>
      <c r="Z124" s="3"/>
      <c r="AA124" s="3"/>
      <c r="AB124" s="3"/>
      <c r="AC124" s="3"/>
    </row>
    <row r="125" spans="1:29">
      <c r="A125" s="3"/>
      <c r="B125" s="3"/>
      <c r="C125" s="81">
        <f t="shared" si="7"/>
        <v>130</v>
      </c>
      <c r="D125" s="35">
        <f t="shared" si="5"/>
        <v>-10.675000000000001</v>
      </c>
      <c r="E125" s="35">
        <f t="shared" si="6"/>
        <v>-1.375</v>
      </c>
      <c r="U125" s="3"/>
      <c r="V125" s="3"/>
      <c r="W125" s="3"/>
      <c r="X125" s="3"/>
      <c r="Y125" s="3"/>
      <c r="Z125" s="3"/>
      <c r="AA125" s="3"/>
      <c r="AB125" s="3"/>
      <c r="AC125" s="3"/>
    </row>
    <row r="126" spans="1:29">
      <c r="A126" s="3"/>
      <c r="B126" s="3"/>
      <c r="C126" s="81">
        <f t="shared" si="7"/>
        <v>135</v>
      </c>
      <c r="D126" s="35">
        <f t="shared" si="5"/>
        <v>-11.668750000000001</v>
      </c>
      <c r="E126" s="35">
        <f t="shared" si="6"/>
        <v>-1.01875</v>
      </c>
      <c r="U126" s="3"/>
      <c r="V126" s="3"/>
      <c r="W126" s="3"/>
      <c r="X126" s="3"/>
      <c r="Y126" s="3"/>
      <c r="Z126" s="3"/>
      <c r="AA126" s="3"/>
      <c r="AB126" s="3"/>
      <c r="AC126" s="3"/>
    </row>
    <row r="127" spans="1:29">
      <c r="A127" s="3"/>
      <c r="B127" s="3"/>
      <c r="C127" s="81">
        <f t="shared" si="7"/>
        <v>140</v>
      </c>
      <c r="D127" s="35">
        <f t="shared" si="5"/>
        <v>-12.700000000000001</v>
      </c>
      <c r="E127" s="35">
        <f t="shared" si="6"/>
        <v>-0.7</v>
      </c>
      <c r="U127" s="3"/>
      <c r="V127" s="3"/>
      <c r="W127" s="3"/>
      <c r="X127" s="3"/>
      <c r="Y127" s="3"/>
      <c r="Z127" s="3"/>
      <c r="AA127" s="3"/>
      <c r="AB127" s="3"/>
      <c r="AC127" s="3"/>
    </row>
    <row r="128" spans="1:29">
      <c r="A128" s="3"/>
      <c r="B128" s="3"/>
      <c r="C128" s="81">
        <f t="shared" si="7"/>
        <v>145</v>
      </c>
      <c r="D128" s="35">
        <f t="shared" si="5"/>
        <v>-13.768750000000001</v>
      </c>
      <c r="E128" s="35">
        <f t="shared" si="6"/>
        <v>-0.41875000000000007</v>
      </c>
      <c r="U128" s="3"/>
      <c r="V128" s="3"/>
      <c r="W128" s="3"/>
      <c r="X128" s="3"/>
      <c r="Y128" s="3"/>
      <c r="Z128" s="3"/>
      <c r="AA128" s="3"/>
      <c r="AB128" s="3"/>
      <c r="AC128" s="3"/>
    </row>
    <row r="129" spans="1:29">
      <c r="A129" s="3"/>
      <c r="B129" s="3"/>
      <c r="C129" s="81">
        <f>C128+5</f>
        <v>150</v>
      </c>
      <c r="D129" s="35">
        <f t="shared" si="5"/>
        <v>-14.875</v>
      </c>
      <c r="E129" s="35">
        <f t="shared" si="6"/>
        <v>-0.17500000000000004</v>
      </c>
      <c r="U129" s="3"/>
      <c r="V129" s="3"/>
      <c r="W129" s="3"/>
      <c r="X129" s="3"/>
      <c r="Y129" s="3"/>
      <c r="Z129" s="3"/>
      <c r="AA129" s="3"/>
      <c r="AB129" s="3"/>
      <c r="AC129" s="3"/>
    </row>
    <row r="130" spans="1:29">
      <c r="A130" s="3"/>
      <c r="B130" s="3"/>
      <c r="C130" s="81">
        <f>C129+5</f>
        <v>155</v>
      </c>
      <c r="D130" s="35">
        <f t="shared" si="5"/>
        <v>-16.018750000000001</v>
      </c>
      <c r="E130" s="35">
        <f t="shared" si="6"/>
        <v>3.125E-2</v>
      </c>
      <c r="U130" s="3"/>
      <c r="V130" s="3"/>
      <c r="W130" s="3"/>
      <c r="X130" s="3"/>
      <c r="Y130" s="3"/>
      <c r="Z130" s="3"/>
      <c r="AA130" s="3"/>
      <c r="AB130" s="3"/>
      <c r="AC130" s="3"/>
    </row>
    <row r="131" spans="1:29">
      <c r="A131" s="3"/>
      <c r="B131" s="3"/>
      <c r="C131" s="81">
        <f t="shared" ref="C131:C170" si="8">C130+5</f>
        <v>160</v>
      </c>
      <c r="D131" s="35">
        <f t="shared" si="5"/>
        <v>-17.2</v>
      </c>
      <c r="E131" s="35">
        <f t="shared" si="6"/>
        <v>0.2</v>
      </c>
      <c r="U131" s="3"/>
      <c r="V131" s="3"/>
      <c r="W131" s="3"/>
      <c r="X131" s="3"/>
      <c r="Y131" s="3"/>
      <c r="Z131" s="3"/>
      <c r="AA131" s="3"/>
      <c r="AB131" s="3"/>
      <c r="AC131" s="3"/>
    </row>
    <row r="132" spans="1:29">
      <c r="A132" s="3"/>
      <c r="B132" s="3"/>
      <c r="C132" s="81">
        <f t="shared" si="8"/>
        <v>165</v>
      </c>
      <c r="D132" s="35">
        <f t="shared" si="5"/>
        <v>-18.418749999999999</v>
      </c>
      <c r="E132" s="35">
        <f t="shared" si="6"/>
        <v>0.33124999999999999</v>
      </c>
      <c r="U132" s="3"/>
      <c r="V132" s="3"/>
      <c r="W132" s="3"/>
      <c r="X132" s="3"/>
      <c r="Y132" s="3"/>
      <c r="Z132" s="3"/>
      <c r="AA132" s="3"/>
      <c r="AB132" s="3"/>
      <c r="AC132" s="3"/>
    </row>
    <row r="133" spans="1:29">
      <c r="A133" s="3"/>
      <c r="B133" s="3"/>
      <c r="C133" s="81">
        <f t="shared" si="8"/>
        <v>170</v>
      </c>
      <c r="D133" s="35">
        <f t="shared" si="5"/>
        <v>-19.675000000000001</v>
      </c>
      <c r="E133" s="35">
        <f t="shared" si="6"/>
        <v>0.42499999999999999</v>
      </c>
      <c r="U133" s="3"/>
      <c r="V133" s="3"/>
      <c r="W133" s="3"/>
      <c r="X133" s="3"/>
      <c r="Y133" s="3"/>
      <c r="Z133" s="3"/>
      <c r="AA133" s="3"/>
      <c r="AB133" s="3"/>
      <c r="AC133" s="3"/>
    </row>
    <row r="134" spans="1:29">
      <c r="A134" s="3"/>
      <c r="B134" s="3"/>
      <c r="C134" s="81">
        <f t="shared" si="8"/>
        <v>175</v>
      </c>
      <c r="D134" s="35">
        <f t="shared" si="5"/>
        <v>-20.96875</v>
      </c>
      <c r="E134" s="17">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81">
        <f t="shared" si="8"/>
        <v>180</v>
      </c>
      <c r="D135" s="35">
        <f t="shared" si="5"/>
        <v>-22.3</v>
      </c>
      <c r="E135" s="35">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81">
        <f t="shared" si="8"/>
        <v>185</v>
      </c>
      <c r="D136" s="35">
        <f>2-0.00075*(360-C136)^2</f>
        <v>-20.96875</v>
      </c>
      <c r="E136" s="17">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81">
        <f t="shared" si="8"/>
        <v>190</v>
      </c>
      <c r="D137" s="35">
        <f t="shared" ref="D137:D171" si="9">2-0.00075*(360-C137)^2</f>
        <v>-19.675000000000001</v>
      </c>
      <c r="E137" s="17">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81">
        <f t="shared" si="8"/>
        <v>195</v>
      </c>
      <c r="D138" s="35">
        <f t="shared" si="9"/>
        <v>-18.418749999999999</v>
      </c>
      <c r="E138" s="17">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81">
        <f t="shared" si="8"/>
        <v>200</v>
      </c>
      <c r="D139" s="35">
        <f t="shared" si="9"/>
        <v>-17.2</v>
      </c>
      <c r="E139" s="17">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81">
        <f t="shared" si="8"/>
        <v>205</v>
      </c>
      <c r="D140" s="35">
        <f t="shared" si="9"/>
        <v>-16.018750000000001</v>
      </c>
      <c r="E140" s="17">
        <f t="shared" si="10"/>
        <v>3.125E-2</v>
      </c>
      <c r="F140" s="3"/>
      <c r="G140" s="3" t="s">
        <v>817</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81">
        <f t="shared" si="8"/>
        <v>210</v>
      </c>
      <c r="D141" s="35">
        <f t="shared" si="9"/>
        <v>-14.875</v>
      </c>
      <c r="E141" s="17">
        <f t="shared" si="10"/>
        <v>-0.17500000000000004</v>
      </c>
      <c r="F141" s="3"/>
      <c r="G141" s="3" t="s">
        <v>817</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81">
        <f t="shared" si="8"/>
        <v>215</v>
      </c>
      <c r="D142" s="35">
        <f t="shared" si="9"/>
        <v>-13.768750000000001</v>
      </c>
      <c r="E142" s="17">
        <f t="shared" si="10"/>
        <v>-0.41875000000000007</v>
      </c>
      <c r="F142" s="3"/>
      <c r="G142" s="3" t="s">
        <v>817</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81">
        <f t="shared" si="8"/>
        <v>220</v>
      </c>
      <c r="D143" s="35">
        <f t="shared" si="9"/>
        <v>-12.700000000000001</v>
      </c>
      <c r="E143" s="17">
        <f t="shared" si="10"/>
        <v>-0.7</v>
      </c>
      <c r="F143" s="3"/>
      <c r="G143" s="3" t="s">
        <v>817</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81">
        <f t="shared" si="8"/>
        <v>225</v>
      </c>
      <c r="D144" s="35">
        <f t="shared" si="9"/>
        <v>-11.668750000000001</v>
      </c>
      <c r="E144" s="17">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81">
        <f t="shared" si="8"/>
        <v>230</v>
      </c>
      <c r="D145" s="35">
        <f t="shared" si="9"/>
        <v>-10.675000000000001</v>
      </c>
      <c r="E145" s="17">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81">
        <f t="shared" si="8"/>
        <v>235</v>
      </c>
      <c r="D146" s="35">
        <f t="shared" si="9"/>
        <v>-9.71875</v>
      </c>
      <c r="E146" s="17">
        <f t="shared" si="10"/>
        <v>-1.7687500000000003</v>
      </c>
      <c r="F146" s="3" t="s">
        <v>817</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81">
        <f t="shared" si="8"/>
        <v>240</v>
      </c>
      <c r="D147" s="35">
        <f t="shared" si="9"/>
        <v>-8.8000000000000007</v>
      </c>
      <c r="E147" s="17">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81">
        <f t="shared" si="8"/>
        <v>245</v>
      </c>
      <c r="D148" s="35">
        <f t="shared" si="9"/>
        <v>-7.9187500000000011</v>
      </c>
      <c r="E148" s="17">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81">
        <f t="shared" si="8"/>
        <v>250</v>
      </c>
      <c r="D149" s="35">
        <f t="shared" si="9"/>
        <v>-7.0750000000000011</v>
      </c>
      <c r="E149" s="17">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81">
        <f t="shared" si="8"/>
        <v>255</v>
      </c>
      <c r="D150" s="35">
        <f t="shared" si="9"/>
        <v>-6.2687500000000007</v>
      </c>
      <c r="E150" s="17">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81">
        <f t="shared" si="8"/>
        <v>260</v>
      </c>
      <c r="D151" s="35">
        <f t="shared" si="9"/>
        <v>-5.5</v>
      </c>
      <c r="E151" s="17">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81">
        <f t="shared" si="8"/>
        <v>265</v>
      </c>
      <c r="D152" s="35">
        <f t="shared" si="9"/>
        <v>-4.7687499999999998</v>
      </c>
      <c r="E152" s="17">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81">
        <f t="shared" si="8"/>
        <v>270</v>
      </c>
      <c r="D153" s="35">
        <f t="shared" si="9"/>
        <v>-4.0750000000000002</v>
      </c>
      <c r="E153" s="17">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81">
        <f t="shared" si="8"/>
        <v>275</v>
      </c>
      <c r="D154" s="35">
        <f t="shared" si="9"/>
        <v>-3.4187500000000002</v>
      </c>
      <c r="E154" s="17">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81">
        <f t="shared" si="8"/>
        <v>280</v>
      </c>
      <c r="D155" s="35">
        <f t="shared" si="9"/>
        <v>-2.8</v>
      </c>
      <c r="E155" s="17">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81">
        <f t="shared" si="8"/>
        <v>285</v>
      </c>
      <c r="D156" s="35">
        <f t="shared" si="9"/>
        <v>-2.21875</v>
      </c>
      <c r="E156" s="17">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81">
        <f t="shared" si="8"/>
        <v>290</v>
      </c>
      <c r="D157" s="35">
        <f t="shared" si="9"/>
        <v>-1.6750000000000003</v>
      </c>
      <c r="E157" s="17">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81">
        <f t="shared" si="8"/>
        <v>295</v>
      </c>
      <c r="D158" s="35">
        <f t="shared" si="9"/>
        <v>-1.1687500000000002</v>
      </c>
      <c r="E158" s="17">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81">
        <f t="shared" si="8"/>
        <v>300</v>
      </c>
      <c r="D159" s="35">
        <f t="shared" si="9"/>
        <v>-0.70000000000000018</v>
      </c>
      <c r="E159" s="17">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81">
        <f t="shared" si="8"/>
        <v>305</v>
      </c>
      <c r="D160" s="35">
        <f t="shared" si="9"/>
        <v>-0.26875000000000027</v>
      </c>
      <c r="E160" s="17">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81">
        <f t="shared" si="8"/>
        <v>310</v>
      </c>
      <c r="D161" s="35">
        <f t="shared" si="9"/>
        <v>0.125</v>
      </c>
      <c r="E161" s="17">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81">
        <f t="shared" si="8"/>
        <v>315</v>
      </c>
      <c r="D162" s="35">
        <f t="shared" si="9"/>
        <v>0.48124999999999996</v>
      </c>
      <c r="E162" s="17">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81">
        <f t="shared" si="8"/>
        <v>320</v>
      </c>
      <c r="D163" s="35">
        <f t="shared" si="9"/>
        <v>0.8</v>
      </c>
      <c r="E163" s="17">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81">
        <f t="shared" si="8"/>
        <v>325</v>
      </c>
      <c r="D164" s="35">
        <f t="shared" si="9"/>
        <v>1.0812499999999998</v>
      </c>
      <c r="E164" s="17">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81">
        <f t="shared" si="8"/>
        <v>330</v>
      </c>
      <c r="D165" s="35">
        <f t="shared" si="9"/>
        <v>1.325</v>
      </c>
      <c r="E165" s="17">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81">
        <f t="shared" si="8"/>
        <v>335</v>
      </c>
      <c r="D166" s="35">
        <f t="shared" si="9"/>
        <v>1.53125</v>
      </c>
      <c r="E166" s="17">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81">
        <f t="shared" si="8"/>
        <v>340</v>
      </c>
      <c r="D167" s="35">
        <f t="shared" si="9"/>
        <v>1.7</v>
      </c>
      <c r="E167" s="17">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81">
        <f t="shared" si="8"/>
        <v>345</v>
      </c>
      <c r="D168" s="35">
        <f t="shared" si="9"/>
        <v>1.83125</v>
      </c>
      <c r="E168" s="17">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81">
        <f t="shared" si="8"/>
        <v>350</v>
      </c>
      <c r="D169" s="35">
        <f t="shared" si="9"/>
        <v>1.925</v>
      </c>
      <c r="E169" s="17">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81">
        <f t="shared" si="8"/>
        <v>355</v>
      </c>
      <c r="D170" s="35">
        <f t="shared" si="9"/>
        <v>1.98125</v>
      </c>
      <c r="E170" s="17">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81">
        <v>360</v>
      </c>
      <c r="D171" s="35">
        <f t="shared" si="9"/>
        <v>2</v>
      </c>
      <c r="E171" s="17">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81"/>
      <c r="D172" s="35"/>
      <c r="E172" s="17"/>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81"/>
      <c r="D173" s="35"/>
      <c r="E173" s="17"/>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3" t="s">
        <v>817</v>
      </c>
      <c r="C174" s="3"/>
      <c r="D174" s="616" t="s">
        <v>62</v>
      </c>
      <c r="E174" s="617"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610" t="s">
        <v>672</v>
      </c>
      <c r="C175" s="453" t="s">
        <v>153</v>
      </c>
      <c r="D175" s="615" t="s">
        <v>155</v>
      </c>
      <c r="E175" s="615" t="s">
        <v>155</v>
      </c>
      <c r="F175" s="930"/>
      <c r="G175" s="425"/>
      <c r="H175" s="425"/>
      <c r="I175" s="425"/>
      <c r="J175" s="425"/>
      <c r="K175" s="425"/>
      <c r="L175" s="425"/>
      <c r="M175" s="103"/>
      <c r="N175" s="103"/>
      <c r="O175" s="3"/>
      <c r="P175" s="3"/>
      <c r="Q175" s="3"/>
      <c r="R175" s="3"/>
      <c r="S175" s="3"/>
      <c r="T175" s="3"/>
      <c r="U175" s="3"/>
      <c r="V175" s="3"/>
      <c r="W175" s="3"/>
      <c r="X175" s="3"/>
      <c r="Y175" s="3"/>
      <c r="Z175" s="3"/>
      <c r="AA175" s="3"/>
      <c r="AB175" s="3"/>
      <c r="AC175" s="3"/>
    </row>
    <row r="176" spans="1:29">
      <c r="A176" s="3"/>
      <c r="B176" s="33"/>
      <c r="C176" s="81">
        <v>0</v>
      </c>
      <c r="D176" s="413">
        <f>4-1.5*((4-10*LOG10(1.256*(1+COS(RADIANS(C176))))))</f>
        <v>4.0002945259773774</v>
      </c>
      <c r="E176" s="81"/>
      <c r="F176" s="930"/>
      <c r="G176" s="425"/>
      <c r="H176" s="425"/>
      <c r="I176" s="425"/>
      <c r="J176" s="425"/>
      <c r="K176" s="425"/>
      <c r="L176" s="425"/>
      <c r="M176" s="103"/>
      <c r="N176" s="103"/>
      <c r="O176" s="3"/>
      <c r="P176" s="3"/>
      <c r="Q176" s="3"/>
      <c r="R176" s="3"/>
      <c r="S176" s="3"/>
      <c r="T176" s="3"/>
      <c r="U176" s="3"/>
      <c r="V176" s="3"/>
      <c r="W176" s="3"/>
      <c r="X176" s="3"/>
      <c r="Y176" s="3"/>
      <c r="Z176" s="3"/>
      <c r="AA176" s="3"/>
      <c r="AB176" s="3"/>
      <c r="AC176" s="3"/>
    </row>
    <row r="177" spans="1:29">
      <c r="A177" s="3"/>
      <c r="B177" s="33"/>
      <c r="C177" s="81">
        <f>C176+5</f>
        <v>5</v>
      </c>
      <c r="D177" s="413">
        <f t="shared" ref="D177:D211" si="11">4-1.5*((4-10*LOG10(1.256*(1+COS(RADIANS(C177))))))</f>
        <v>3.9878880574860744</v>
      </c>
      <c r="E177" s="81"/>
      <c r="F177" s="930"/>
      <c r="G177" s="425"/>
      <c r="H177" s="425"/>
      <c r="I177" s="425"/>
      <c r="J177" s="425"/>
      <c r="K177" s="425"/>
      <c r="L177" s="425"/>
      <c r="M177" s="103"/>
      <c r="N177" s="103"/>
      <c r="O177" s="3"/>
      <c r="P177" s="3"/>
      <c r="Q177" s="3"/>
      <c r="R177" s="3"/>
      <c r="S177" s="3"/>
      <c r="T177" s="3"/>
      <c r="U177" s="3"/>
      <c r="V177" s="3"/>
      <c r="W177" s="3"/>
      <c r="X177" s="3"/>
      <c r="Y177" s="3"/>
      <c r="Z177" s="3"/>
      <c r="AA177" s="3"/>
      <c r="AB177" s="3"/>
      <c r="AC177" s="3"/>
    </row>
    <row r="178" spans="1:29">
      <c r="A178" s="3"/>
      <c r="B178" s="33"/>
      <c r="C178" s="81">
        <f t="shared" ref="C178:C212" si="12">C177+5</f>
        <v>10</v>
      </c>
      <c r="D178" s="413">
        <f t="shared" si="11"/>
        <v>3.9506213065023497</v>
      </c>
      <c r="E178" s="81"/>
      <c r="F178" s="930"/>
      <c r="G178" s="425"/>
      <c r="H178" s="425"/>
      <c r="I178" s="425"/>
      <c r="J178" s="425"/>
      <c r="K178" s="425"/>
      <c r="L178" s="425"/>
      <c r="M178" s="103"/>
      <c r="N178" s="103"/>
      <c r="O178" s="3"/>
      <c r="P178" s="3"/>
      <c r="Q178" s="3"/>
      <c r="R178" s="3"/>
      <c r="S178" s="3"/>
      <c r="T178" s="3"/>
      <c r="U178" s="3"/>
      <c r="V178" s="3"/>
      <c r="W178" s="3"/>
      <c r="X178" s="3"/>
      <c r="Y178" s="3"/>
      <c r="Z178" s="3"/>
      <c r="AA178" s="3"/>
      <c r="AB178" s="3"/>
      <c r="AC178" s="3"/>
    </row>
    <row r="179" spans="1:29">
      <c r="A179" s="3"/>
      <c r="B179" s="33"/>
      <c r="C179" s="81">
        <f t="shared" si="12"/>
        <v>15</v>
      </c>
      <c r="D179" s="413">
        <f t="shared" si="11"/>
        <v>3.8883515113557801</v>
      </c>
      <c r="E179" s="81"/>
      <c r="F179" s="930"/>
      <c r="G179" s="425"/>
      <c r="H179" s="425"/>
      <c r="I179" s="425"/>
      <c r="J179" s="425"/>
      <c r="K179" s="425"/>
      <c r="L179" s="425"/>
      <c r="M179" s="103"/>
      <c r="N179" s="103"/>
      <c r="O179" s="3"/>
      <c r="P179" s="3"/>
      <c r="Q179" s="3"/>
      <c r="R179" s="3"/>
      <c r="S179" s="3"/>
      <c r="T179" s="3"/>
      <c r="U179" s="3"/>
      <c r="V179" s="3"/>
      <c r="W179" s="3"/>
      <c r="X179" s="3"/>
      <c r="Y179" s="3"/>
      <c r="Z179" s="3"/>
      <c r="AA179" s="3"/>
      <c r="AB179" s="3"/>
      <c r="AC179" s="3"/>
    </row>
    <row r="180" spans="1:29">
      <c r="A180" s="3"/>
      <c r="B180" s="33"/>
      <c r="C180" s="81">
        <f t="shared" si="12"/>
        <v>20</v>
      </c>
      <c r="D180" s="413">
        <f t="shared" si="11"/>
        <v>3.8008382950754434</v>
      </c>
      <c r="E180" s="81"/>
      <c r="F180" s="930"/>
      <c r="G180" s="425"/>
      <c r="H180" s="425"/>
      <c r="I180" s="425"/>
      <c r="J180" s="425"/>
      <c r="K180" s="425"/>
      <c r="L180" s="425"/>
      <c r="M180" s="103"/>
      <c r="N180" s="103"/>
      <c r="O180" s="3"/>
      <c r="P180" s="3"/>
      <c r="Q180" s="3"/>
      <c r="R180" s="3"/>
      <c r="S180" s="3"/>
      <c r="T180" s="3"/>
      <c r="U180" s="3"/>
      <c r="V180" s="3"/>
      <c r="W180" s="3"/>
      <c r="X180" s="3"/>
      <c r="Y180" s="3"/>
      <c r="Z180" s="3"/>
      <c r="AA180" s="3"/>
      <c r="AB180" s="3"/>
      <c r="AC180" s="3"/>
    </row>
    <row r="181" spans="1:29">
      <c r="A181" s="3"/>
      <c r="B181" s="33"/>
      <c r="C181" s="81">
        <f t="shared" si="12"/>
        <v>25</v>
      </c>
      <c r="D181" s="413">
        <f t="shared" si="11"/>
        <v>3.6877399197602871</v>
      </c>
      <c r="E181" s="81" t="s">
        <v>817</v>
      </c>
      <c r="F181" s="930"/>
      <c r="G181" s="425"/>
      <c r="H181" s="425"/>
      <c r="I181" s="425"/>
      <c r="J181" s="425"/>
      <c r="K181" s="425"/>
      <c r="L181" s="425"/>
      <c r="M181" s="103"/>
      <c r="N181" s="103"/>
      <c r="O181" s="3"/>
      <c r="P181" s="3"/>
      <c r="Q181" s="3"/>
      <c r="R181" s="3"/>
      <c r="S181" s="3"/>
      <c r="T181" s="3"/>
      <c r="U181" s="3"/>
      <c r="V181" s="3"/>
      <c r="W181" s="3"/>
      <c r="X181" s="3"/>
      <c r="Y181" s="3"/>
      <c r="Z181" s="3"/>
      <c r="AA181" s="3"/>
      <c r="AB181" s="3"/>
      <c r="AC181" s="3"/>
    </row>
    <row r="182" spans="1:29">
      <c r="A182" s="3"/>
      <c r="B182" s="33"/>
      <c r="C182" s="81">
        <f t="shared" si="12"/>
        <v>30</v>
      </c>
      <c r="D182" s="413">
        <f t="shared" si="11"/>
        <v>3.5486078690583334</v>
      </c>
      <c r="E182" s="81"/>
      <c r="F182" s="930"/>
      <c r="G182" s="425"/>
      <c r="H182" s="425"/>
      <c r="I182" s="425"/>
      <c r="J182" s="425"/>
      <c r="K182" s="425"/>
      <c r="L182" s="425"/>
      <c r="M182" s="103"/>
      <c r="N182" s="103"/>
      <c r="O182" s="3"/>
      <c r="P182" s="3"/>
      <c r="Q182" s="3"/>
      <c r="R182" s="3"/>
      <c r="S182" s="3"/>
      <c r="T182" s="3"/>
      <c r="U182" s="3"/>
      <c r="V182" s="3"/>
      <c r="W182" s="3"/>
      <c r="X182" s="3"/>
      <c r="Y182" s="3"/>
      <c r="Z182" s="3"/>
      <c r="AA182" s="3"/>
      <c r="AB182" s="3"/>
      <c r="AC182" s="3"/>
    </row>
    <row r="183" spans="1:29">
      <c r="A183" s="3"/>
      <c r="B183" s="33"/>
      <c r="C183" s="81">
        <f t="shared" si="12"/>
        <v>35</v>
      </c>
      <c r="D183" s="413">
        <f t="shared" si="11"/>
        <v>3.3828795731450212</v>
      </c>
      <c r="E183" s="81"/>
      <c r="F183" s="930"/>
      <c r="G183" s="425"/>
      <c r="H183" s="425"/>
      <c r="I183" s="425"/>
      <c r="J183" s="425"/>
      <c r="K183" s="425"/>
      <c r="L183" s="425"/>
      <c r="M183" s="103"/>
      <c r="N183" s="103"/>
      <c r="O183" s="3"/>
      <c r="P183" s="3"/>
      <c r="Q183" s="3"/>
      <c r="R183" s="3"/>
      <c r="S183" s="3"/>
      <c r="T183" s="3"/>
      <c r="U183" s="3"/>
      <c r="V183" s="3"/>
      <c r="W183" s="3"/>
      <c r="X183" s="3"/>
      <c r="Y183" s="3"/>
      <c r="Z183" s="3"/>
      <c r="AA183" s="3"/>
      <c r="AB183" s="3"/>
      <c r="AC183" s="3"/>
    </row>
    <row r="184" spans="1:29">
      <c r="A184" s="3"/>
      <c r="B184" s="33"/>
      <c r="C184" s="81">
        <f t="shared" si="12"/>
        <v>40</v>
      </c>
      <c r="D184" s="413">
        <f t="shared" si="11"/>
        <v>3.1898690192654722</v>
      </c>
      <c r="E184" s="81"/>
      <c r="F184" s="930"/>
      <c r="G184" s="425"/>
      <c r="H184" s="425"/>
      <c r="I184" s="425"/>
      <c r="J184" s="425"/>
      <c r="K184" s="425"/>
      <c r="L184" s="425"/>
      <c r="M184" s="103"/>
      <c r="N184" s="103"/>
      <c r="O184" s="3"/>
      <c r="P184" s="3"/>
      <c r="Q184" s="3"/>
      <c r="R184" s="3"/>
      <c r="S184" s="3"/>
      <c r="T184" s="3"/>
      <c r="U184" s="3"/>
      <c r="V184" s="3"/>
      <c r="W184" s="3"/>
      <c r="X184" s="3"/>
      <c r="Y184" s="3"/>
      <c r="Z184" s="3"/>
      <c r="AA184" s="3"/>
      <c r="AB184" s="3"/>
      <c r="AC184" s="3"/>
    </row>
    <row r="185" spans="1:29">
      <c r="A185" s="3"/>
      <c r="B185" s="33"/>
      <c r="C185" s="81">
        <f t="shared" si="12"/>
        <v>45</v>
      </c>
      <c r="D185" s="413">
        <f t="shared" si="11"/>
        <v>2.9687549036057468</v>
      </c>
      <c r="E185" s="81"/>
      <c r="F185" s="930"/>
      <c r="G185" s="425"/>
      <c r="H185" s="425" t="s">
        <v>817</v>
      </c>
      <c r="I185" s="425" t="s">
        <v>674</v>
      </c>
      <c r="J185" s="425"/>
      <c r="K185" s="425"/>
      <c r="L185" s="425"/>
      <c r="M185" s="103"/>
      <c r="N185" s="103"/>
      <c r="O185" s="3"/>
      <c r="P185" s="3"/>
      <c r="Q185" s="3"/>
      <c r="R185" s="3"/>
      <c r="S185" s="3"/>
      <c r="T185" s="3"/>
      <c r="U185" s="3"/>
      <c r="V185" s="3"/>
      <c r="W185" s="3"/>
      <c r="X185" s="3"/>
      <c r="Y185" s="3"/>
      <c r="Z185" s="3"/>
      <c r="AA185" s="3"/>
      <c r="AB185" s="3"/>
      <c r="AC185" s="3"/>
    </row>
    <row r="186" spans="1:29">
      <c r="A186" s="3"/>
      <c r="B186" s="33"/>
      <c r="C186" s="81">
        <f t="shared" si="12"/>
        <v>50</v>
      </c>
      <c r="D186" s="413">
        <f t="shared" si="11"/>
        <v>2.7185658705693321</v>
      </c>
      <c r="E186" s="81"/>
      <c r="F186" s="930"/>
      <c r="G186" s="425"/>
      <c r="H186" s="425"/>
      <c r="I186" s="425"/>
      <c r="J186" s="425" t="s">
        <v>670</v>
      </c>
      <c r="K186" s="425"/>
      <c r="L186" s="425"/>
      <c r="M186" s="103"/>
      <c r="N186" s="103"/>
      <c r="O186" s="3"/>
      <c r="P186" s="3"/>
      <c r="Q186" s="3"/>
      <c r="R186" s="3"/>
      <c r="S186" s="3"/>
      <c r="T186" s="3"/>
      <c r="U186" s="3"/>
      <c r="V186" s="3"/>
      <c r="W186" s="3"/>
      <c r="X186" s="3"/>
      <c r="Y186" s="3"/>
      <c r="Z186" s="3"/>
      <c r="AA186" s="3"/>
      <c r="AB186" s="3"/>
      <c r="AC186" s="3"/>
    </row>
    <row r="187" spans="1:29">
      <c r="A187" s="3"/>
      <c r="B187" s="33"/>
      <c r="C187" s="81">
        <f t="shared" si="12"/>
        <v>55</v>
      </c>
      <c r="D187" s="413">
        <f t="shared" si="11"/>
        <v>2.4381622447440372</v>
      </c>
      <c r="E187" s="81"/>
      <c r="F187" s="930"/>
      <c r="G187" s="425"/>
      <c r="H187" s="425"/>
      <c r="I187" s="425"/>
      <c r="J187" s="425"/>
      <c r="K187" s="425"/>
      <c r="L187" s="425"/>
      <c r="M187" s="103"/>
      <c r="N187" s="103"/>
      <c r="O187" s="3"/>
      <c r="P187" s="3"/>
      <c r="Q187" s="3"/>
      <c r="R187" s="3"/>
      <c r="S187" s="3"/>
      <c r="T187" s="3"/>
      <c r="U187" s="3"/>
      <c r="V187" s="3"/>
      <c r="W187" s="3"/>
      <c r="X187" s="3"/>
      <c r="Y187" s="3"/>
      <c r="Z187" s="3"/>
      <c r="AA187" s="3"/>
      <c r="AB187" s="3"/>
      <c r="AC187" s="3"/>
    </row>
    <row r="188" spans="1:29">
      <c r="A188" s="3"/>
      <c r="B188" s="33"/>
      <c r="C188" s="81">
        <f t="shared" si="12"/>
        <v>60</v>
      </c>
      <c r="D188" s="413">
        <f t="shared" si="11"/>
        <v>2.1262134768528775</v>
      </c>
      <c r="E188" s="81"/>
      <c r="F188" s="930"/>
      <c r="G188" s="425"/>
      <c r="H188" s="425"/>
      <c r="I188" s="425"/>
      <c r="J188" s="425"/>
      <c r="K188" s="425"/>
      <c r="L188" s="425"/>
      <c r="M188" s="103"/>
      <c r="N188" s="103"/>
      <c r="O188" s="3"/>
      <c r="P188" s="3"/>
      <c r="Q188" s="3"/>
      <c r="R188" s="3"/>
      <c r="S188" s="3"/>
      <c r="T188" s="3"/>
      <c r="U188" s="3"/>
      <c r="V188" s="3"/>
      <c r="W188" s="3"/>
      <c r="X188" s="3"/>
      <c r="Y188" s="3"/>
      <c r="Z188" s="3"/>
      <c r="AA188" s="3"/>
      <c r="AB188" s="3"/>
      <c r="AC188" s="3"/>
    </row>
    <row r="189" spans="1:29">
      <c r="A189" s="3"/>
      <c r="B189" s="33"/>
      <c r="C189" s="81">
        <f t="shared" si="12"/>
        <v>65</v>
      </c>
      <c r="D189" s="413">
        <f t="shared" si="11"/>
        <v>1.7811702806787064</v>
      </c>
      <c r="E189" s="81"/>
      <c r="F189" s="930"/>
      <c r="G189" s="425"/>
      <c r="H189" s="425"/>
      <c r="I189" s="425"/>
      <c r="J189" s="425"/>
      <c r="K189" s="425"/>
      <c r="L189" s="425"/>
      <c r="M189" s="103"/>
      <c r="N189" s="103"/>
      <c r="O189" s="3"/>
      <c r="P189" s="3"/>
      <c r="Q189" s="3"/>
      <c r="R189" s="3"/>
      <c r="S189" s="3"/>
      <c r="T189" s="3"/>
      <c r="U189" s="3"/>
      <c r="V189" s="3"/>
      <c r="W189" s="3"/>
      <c r="X189" s="3"/>
      <c r="Y189" s="3"/>
      <c r="Z189" s="3"/>
      <c r="AA189" s="3"/>
      <c r="AB189" s="3"/>
      <c r="AC189" s="3"/>
    </row>
    <row r="190" spans="1:29">
      <c r="A190" s="3"/>
      <c r="B190" s="33"/>
      <c r="C190" s="81">
        <f t="shared" si="12"/>
        <v>70</v>
      </c>
      <c r="D190" s="413">
        <f t="shared" si="11"/>
        <v>1.4012301087231167</v>
      </c>
      <c r="E190" s="81"/>
      <c r="F190" s="930"/>
      <c r="G190" s="425"/>
      <c r="H190" s="425"/>
      <c r="I190" s="425"/>
      <c r="J190" s="425"/>
      <c r="K190" s="425"/>
      <c r="L190" s="425"/>
      <c r="M190" s="103"/>
      <c r="N190" s="103"/>
      <c r="O190" s="3"/>
      <c r="P190" s="3"/>
      <c r="Q190" s="3"/>
      <c r="R190" s="3"/>
      <c r="S190" s="3"/>
      <c r="T190" s="3"/>
      <c r="U190" s="3"/>
      <c r="V190" s="3"/>
      <c r="W190" s="3"/>
      <c r="X190" s="3"/>
      <c r="Y190" s="3"/>
      <c r="Z190" s="3"/>
      <c r="AA190" s="3"/>
      <c r="AB190" s="3"/>
      <c r="AC190" s="3"/>
    </row>
    <row r="191" spans="1:29">
      <c r="A191" s="3"/>
      <c r="B191" s="33"/>
      <c r="C191" s="81">
        <f t="shared" si="12"/>
        <v>75</v>
      </c>
      <c r="D191" s="413">
        <f t="shared" si="11"/>
        <v>0.98429416422027893</v>
      </c>
      <c r="E191" s="81"/>
      <c r="F191" s="930"/>
      <c r="G191" s="425"/>
      <c r="H191" s="425"/>
      <c r="I191" s="425"/>
      <c r="J191" s="425"/>
      <c r="K191" s="425"/>
      <c r="L191" s="425"/>
      <c r="M191" s="103"/>
      <c r="N191" s="103"/>
      <c r="O191" s="3"/>
      <c r="P191" s="3"/>
      <c r="Q191" s="3"/>
      <c r="R191" s="3"/>
      <c r="S191" s="3"/>
      <c r="T191" s="3"/>
      <c r="U191" s="3"/>
      <c r="V191" s="3"/>
      <c r="W191" s="3"/>
      <c r="X191" s="3"/>
      <c r="Y191" s="3"/>
      <c r="Z191" s="3"/>
      <c r="AA191" s="3"/>
      <c r="AB191" s="3"/>
      <c r="AC191" s="3"/>
    </row>
    <row r="192" spans="1:29">
      <c r="A192" s="3"/>
      <c r="B192" s="33"/>
      <c r="C192" s="81">
        <f t="shared" si="12"/>
        <v>80</v>
      </c>
      <c r="D192" s="413">
        <f t="shared" si="11"/>
        <v>0.52791352258296209</v>
      </c>
      <c r="E192" s="81"/>
      <c r="F192" s="930"/>
      <c r="G192" s="425"/>
      <c r="H192" s="425"/>
      <c r="I192" s="425"/>
      <c r="J192" s="425"/>
      <c r="K192" s="425"/>
      <c r="L192" s="425"/>
      <c r="M192" s="103"/>
      <c r="N192" s="103"/>
      <c r="O192" s="3"/>
      <c r="P192" s="3"/>
      <c r="Q192" s="3"/>
      <c r="R192" s="3"/>
      <c r="S192" s="3"/>
      <c r="T192" s="3"/>
      <c r="U192" s="3"/>
      <c r="V192" s="3"/>
      <c r="W192" s="3"/>
      <c r="X192" s="3"/>
      <c r="Y192" s="3"/>
      <c r="Z192" s="3"/>
      <c r="AA192" s="3"/>
      <c r="AB192" s="3"/>
      <c r="AC192" s="3"/>
    </row>
    <row r="193" spans="1:29">
      <c r="A193" s="3"/>
      <c r="B193" s="33"/>
      <c r="C193" s="81">
        <f t="shared" si="12"/>
        <v>85</v>
      </c>
      <c r="D193" s="413">
        <f t="shared" si="11"/>
        <v>2.9221055497633763E-2</v>
      </c>
      <c r="E193" s="81"/>
      <c r="F193" s="930"/>
      <c r="G193" s="425"/>
      <c r="H193" s="425"/>
      <c r="I193" s="425"/>
      <c r="J193" s="425"/>
      <c r="K193" s="425"/>
      <c r="L193" s="425"/>
      <c r="M193" s="103"/>
      <c r="N193" s="103"/>
      <c r="O193" s="3"/>
      <c r="P193" s="3"/>
      <c r="Q193" s="3"/>
      <c r="R193" s="3"/>
      <c r="S193" s="3"/>
      <c r="T193" s="3"/>
      <c r="U193" s="3"/>
      <c r="V193" s="3"/>
      <c r="W193" s="3"/>
      <c r="X193" s="3"/>
      <c r="Y193" s="3"/>
      <c r="Z193" s="3"/>
      <c r="AA193" s="3"/>
      <c r="AB193" s="3"/>
      <c r="AC193" s="3"/>
    </row>
    <row r="194" spans="1:29">
      <c r="A194" s="3"/>
      <c r="B194" s="33"/>
      <c r="C194" s="81">
        <f t="shared" si="12"/>
        <v>90</v>
      </c>
      <c r="D194" s="413">
        <f t="shared" si="11"/>
        <v>-0.51515540898233958</v>
      </c>
      <c r="E194" s="81"/>
      <c r="F194" s="930"/>
      <c r="G194" s="425"/>
      <c r="H194" s="425"/>
      <c r="I194" s="425"/>
      <c r="J194" s="425"/>
      <c r="K194" s="425"/>
      <c r="L194" s="425"/>
      <c r="M194" s="103"/>
      <c r="N194" s="103"/>
      <c r="O194" s="3"/>
      <c r="P194" s="3"/>
      <c r="Q194" s="3"/>
      <c r="R194" s="3"/>
      <c r="S194" s="3"/>
      <c r="T194" s="3"/>
      <c r="U194" s="3"/>
      <c r="V194" s="3"/>
      <c r="W194" s="3"/>
      <c r="X194" s="3"/>
      <c r="Y194" s="3"/>
      <c r="Z194" s="3"/>
      <c r="AA194" s="3"/>
      <c r="AB194" s="3"/>
      <c r="AC194" s="3"/>
    </row>
    <row r="195" spans="1:29">
      <c r="A195" s="3"/>
      <c r="B195" s="33"/>
      <c r="C195" s="81">
        <f t="shared" si="12"/>
        <v>95</v>
      </c>
      <c r="D195" s="413">
        <f t="shared" si="11"/>
        <v>-1.1092050929373443</v>
      </c>
      <c r="E195" s="81"/>
      <c r="F195" s="930"/>
      <c r="G195" s="425"/>
      <c r="H195" s="425"/>
      <c r="I195" s="425"/>
      <c r="J195" s="425"/>
      <c r="K195" s="425"/>
      <c r="L195" s="425"/>
      <c r="M195" s="103"/>
      <c r="N195" s="103"/>
      <c r="O195" s="3"/>
      <c r="P195" s="3"/>
      <c r="Q195" s="3"/>
      <c r="R195" s="3"/>
      <c r="S195" s="3"/>
      <c r="T195" s="3"/>
      <c r="U195" s="3"/>
      <c r="V195" s="3"/>
      <c r="W195" s="3"/>
      <c r="X195" s="3"/>
      <c r="Y195" s="3"/>
      <c r="Z195" s="3"/>
      <c r="AA195" s="3"/>
      <c r="AB195" s="3"/>
      <c r="AC195" s="3"/>
    </row>
    <row r="196" spans="1:29">
      <c r="A196" s="3"/>
      <c r="B196" s="33"/>
      <c r="C196" s="81">
        <f t="shared" si="12"/>
        <v>100</v>
      </c>
      <c r="D196" s="413">
        <f t="shared" si="11"/>
        <v>-1.7576805714495745</v>
      </c>
      <c r="E196" s="81"/>
      <c r="F196" s="930"/>
      <c r="G196" s="425"/>
      <c r="H196" s="425"/>
      <c r="I196" s="425"/>
      <c r="J196" s="425"/>
      <c r="K196" s="425"/>
      <c r="L196" s="425"/>
      <c r="M196" s="103"/>
      <c r="N196" s="103"/>
      <c r="O196" s="3"/>
      <c r="P196" s="3"/>
      <c r="Q196" s="3"/>
      <c r="R196" s="3"/>
      <c r="S196" s="3"/>
      <c r="T196" s="3"/>
      <c r="U196" s="3"/>
      <c r="V196" s="3"/>
      <c r="W196" s="3"/>
      <c r="X196" s="3"/>
      <c r="Y196" s="3"/>
      <c r="Z196" s="3"/>
      <c r="AA196" s="3"/>
      <c r="AB196" s="3"/>
      <c r="AC196" s="3"/>
    </row>
    <row r="197" spans="1:29">
      <c r="A197" s="3"/>
      <c r="B197" s="33"/>
      <c r="C197" s="81">
        <f t="shared" si="12"/>
        <v>105</v>
      </c>
      <c r="D197" s="413">
        <f t="shared" si="11"/>
        <v>-2.4662916391040044</v>
      </c>
      <c r="E197" s="81"/>
      <c r="F197" s="930"/>
      <c r="G197" s="425"/>
      <c r="H197" s="425"/>
      <c r="I197" s="425"/>
      <c r="J197" s="425"/>
      <c r="K197" s="425"/>
      <c r="L197" s="425"/>
      <c r="M197" s="103"/>
      <c r="N197" s="103"/>
      <c r="O197" s="3"/>
      <c r="P197" s="3"/>
      <c r="Q197" s="3"/>
      <c r="R197" s="3"/>
      <c r="S197" s="3"/>
      <c r="T197" s="3"/>
      <c r="U197" s="3"/>
      <c r="V197" s="3"/>
      <c r="W197" s="3"/>
      <c r="X197" s="3"/>
      <c r="Y197" s="3"/>
      <c r="Z197" s="3"/>
      <c r="AA197" s="3"/>
      <c r="AB197" s="3"/>
      <c r="AC197" s="3"/>
    </row>
    <row r="198" spans="1:29">
      <c r="A198" s="3"/>
      <c r="B198" s="33"/>
      <c r="C198" s="81">
        <f t="shared" si="12"/>
        <v>110</v>
      </c>
      <c r="D198" s="413">
        <f t="shared" si="11"/>
        <v>-3.2419664333997016</v>
      </c>
      <c r="E198" s="81"/>
      <c r="F198" s="930"/>
      <c r="G198" s="425"/>
      <c r="H198" s="425"/>
      <c r="I198" s="425"/>
      <c r="J198" s="425"/>
      <c r="K198" s="425"/>
      <c r="L198" s="425"/>
      <c r="M198" s="103"/>
      <c r="N198" s="103"/>
      <c r="O198" s="3"/>
      <c r="P198" s="3"/>
      <c r="Q198" s="3"/>
      <c r="R198" s="3"/>
      <c r="S198" s="3"/>
      <c r="T198" s="3"/>
      <c r="U198" s="3"/>
      <c r="V198" s="3"/>
      <c r="W198" s="3"/>
      <c r="X198" s="3"/>
      <c r="Y198" s="3"/>
      <c r="Z198" s="3"/>
      <c r="AA198" s="3"/>
      <c r="AB198" s="3"/>
      <c r="AC198" s="3"/>
    </row>
    <row r="199" spans="1:29">
      <c r="A199" s="3"/>
      <c r="B199" s="33"/>
      <c r="C199" s="81">
        <f t="shared" si="12"/>
        <v>115</v>
      </c>
      <c r="D199" s="413">
        <f t="shared" si="11"/>
        <v>-4.0932097540514292</v>
      </c>
      <c r="E199" s="81"/>
      <c r="F199" s="930"/>
      <c r="G199" s="425"/>
      <c r="H199" s="425"/>
      <c r="I199" s="425"/>
      <c r="J199" s="425"/>
      <c r="K199" s="425"/>
      <c r="L199" s="425"/>
      <c r="M199" s="103"/>
      <c r="N199" s="103"/>
      <c r="O199" s="3"/>
      <c r="P199" s="3"/>
      <c r="Q199" s="3"/>
      <c r="R199" s="3"/>
      <c r="S199" s="3"/>
      <c r="T199" s="3"/>
      <c r="U199" s="3"/>
      <c r="V199" s="3"/>
      <c r="W199" s="3"/>
      <c r="X199" s="3"/>
      <c r="Y199" s="3"/>
      <c r="Z199" s="3"/>
      <c r="AA199" s="3"/>
      <c r="AB199" s="3"/>
      <c r="AC199" s="3"/>
    </row>
    <row r="200" spans="1:29">
      <c r="A200" s="3"/>
      <c r="B200" s="33"/>
      <c r="C200" s="81">
        <f t="shared" si="12"/>
        <v>120</v>
      </c>
      <c r="D200" s="413">
        <f t="shared" si="11"/>
        <v>-5.0306053439420548</v>
      </c>
      <c r="E200" s="81"/>
      <c r="F200" s="3"/>
      <c r="G200" s="3"/>
      <c r="H200" s="3"/>
      <c r="I200" s="3"/>
      <c r="J200" s="3"/>
      <c r="K200" s="3"/>
      <c r="L200" s="3"/>
      <c r="M200" s="3"/>
      <c r="N200" s="3"/>
      <c r="O200" s="3"/>
      <c r="P200" s="3" t="s">
        <v>817</v>
      </c>
      <c r="Q200" s="3"/>
      <c r="R200" s="3"/>
      <c r="S200" s="3"/>
      <c r="T200" s="3"/>
      <c r="U200" s="3"/>
      <c r="V200" s="3"/>
      <c r="W200" s="3"/>
      <c r="X200" s="3"/>
      <c r="Y200" s="3"/>
      <c r="Z200" s="3"/>
      <c r="AA200" s="3"/>
      <c r="AB200" s="3"/>
      <c r="AC200" s="3"/>
    </row>
    <row r="201" spans="1:29">
      <c r="A201" s="3"/>
      <c r="B201" s="33"/>
      <c r="C201" s="81">
        <f t="shared" si="12"/>
        <v>125</v>
      </c>
      <c r="D201" s="413">
        <f t="shared" si="11"/>
        <v>-6.0675374799629793</v>
      </c>
      <c r="E201" s="81"/>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3"/>
      <c r="C202" s="81">
        <f t="shared" si="12"/>
        <v>130</v>
      </c>
      <c r="D202" s="413">
        <f t="shared" si="11"/>
        <v>-7.2212576919284306</v>
      </c>
      <c r="E202" s="81"/>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3"/>
      <c r="C203" s="81">
        <f t="shared" si="12"/>
        <v>135</v>
      </c>
      <c r="D203" s="413">
        <f t="shared" si="11"/>
        <v>-8.5145156565301416</v>
      </c>
      <c r="E203" s="81"/>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3"/>
      <c r="C204" s="81">
        <f t="shared" si="12"/>
        <v>140</v>
      </c>
      <c r="D204" s="413">
        <f t="shared" si="11"/>
        <v>-9.9781549346571019</v>
      </c>
      <c r="E204" s="81"/>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3"/>
      <c r="C205" s="81">
        <f t="shared" si="12"/>
        <v>145</v>
      </c>
      <c r="D205" s="413">
        <f t="shared" si="11"/>
        <v>-11.655451350486784</v>
      </c>
      <c r="E205" s="81"/>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3"/>
      <c r="C206" s="81">
        <f t="shared" si="12"/>
        <v>150</v>
      </c>
      <c r="D206" s="413">
        <f t="shared" si="11"/>
        <v>-13.60981855694245</v>
      </c>
      <c r="E206" s="81" t="s">
        <v>817</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3"/>
      <c r="C207" s="81">
        <f t="shared" si="12"/>
        <v>155</v>
      </c>
      <c r="D207" s="413">
        <f t="shared" si="11"/>
        <v>-15.939602955630772</v>
      </c>
      <c r="E207" s="81"/>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3"/>
      <c r="C208" s="81">
        <f t="shared" si="12"/>
        <v>160</v>
      </c>
      <c r="D208" s="413">
        <f t="shared" si="11"/>
        <v>-18.809598573674599</v>
      </c>
      <c r="E208" s="81"/>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3"/>
      <c r="C209" s="81">
        <f t="shared" si="12"/>
        <v>165</v>
      </c>
      <c r="D209" s="413">
        <f t="shared" si="11"/>
        <v>-22.528775412240272</v>
      </c>
      <c r="E209" s="81"/>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3"/>
      <c r="C210" s="81">
        <f t="shared" si="12"/>
        <v>170</v>
      </c>
      <c r="D210" s="413">
        <f t="shared" si="11"/>
        <v>-27.790825224118993</v>
      </c>
      <c r="E210" s="81"/>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3"/>
      <c r="C211" s="81">
        <f t="shared" si="12"/>
        <v>175</v>
      </c>
      <c r="D211" s="413">
        <f t="shared" si="11"/>
        <v>-36.809318625547164</v>
      </c>
      <c r="E211" s="81"/>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3"/>
      <c r="C212" s="81">
        <f t="shared" si="12"/>
        <v>180</v>
      </c>
      <c r="D212" s="413">
        <v>-160</v>
      </c>
      <c r="E212" s="81"/>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3" t="s">
        <v>817</v>
      </c>
      <c r="C214" s="3"/>
      <c r="D214" s="616" t="s">
        <v>62</v>
      </c>
      <c r="E214" s="617"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610" t="s">
        <v>673</v>
      </c>
      <c r="C215" s="931" t="s">
        <v>1034</v>
      </c>
      <c r="D215" s="615" t="s">
        <v>155</v>
      </c>
      <c r="E215" s="618" t="s">
        <v>155</v>
      </c>
      <c r="F215" s="425"/>
      <c r="G215" s="425" t="s">
        <v>817</v>
      </c>
      <c r="H215" s="425"/>
      <c r="I215" s="425"/>
      <c r="J215" s="425"/>
      <c r="K215" s="425"/>
      <c r="L215" s="425"/>
      <c r="M215" s="425"/>
      <c r="N215" s="607"/>
      <c r="O215" s="3"/>
      <c r="P215" s="3"/>
      <c r="Q215" s="3"/>
      <c r="R215" s="3"/>
      <c r="S215" s="3"/>
      <c r="T215" s="3"/>
      <c r="U215" s="3"/>
      <c r="V215" s="3"/>
      <c r="W215" s="3"/>
      <c r="X215" s="3"/>
      <c r="Y215" s="3"/>
      <c r="Z215" s="3"/>
      <c r="AA215" s="3"/>
      <c r="AB215" s="3"/>
      <c r="AC215" s="3"/>
    </row>
    <row r="216" spans="1:29">
      <c r="A216" s="3"/>
      <c r="B216" s="3"/>
      <c r="C216" s="601">
        <v>1.0000000000000001E-5</v>
      </c>
      <c r="D216" s="929">
        <f>6-(-10*LOG10(3282.81*((SIN(RADIANS(C216*1.7724))^2)/((C216*1.7724)^2))))</f>
        <v>6.0000048287003951</v>
      </c>
      <c r="E216" s="81" t="s">
        <v>817</v>
      </c>
      <c r="F216" s="425"/>
      <c r="G216" s="425"/>
      <c r="H216" s="425"/>
      <c r="I216" s="425"/>
      <c r="J216" s="425"/>
      <c r="K216" s="425"/>
      <c r="L216" s="425"/>
      <c r="M216" s="425"/>
      <c r="N216" s="608"/>
      <c r="O216" s="3"/>
      <c r="P216" s="3"/>
      <c r="Q216" s="3"/>
      <c r="R216" s="3"/>
      <c r="S216" s="3"/>
      <c r="T216" s="3"/>
      <c r="U216" s="3"/>
      <c r="V216" s="3"/>
      <c r="W216" s="3"/>
      <c r="X216" s="3"/>
      <c r="Y216" s="3"/>
      <c r="Z216" s="3"/>
      <c r="AA216" s="3"/>
      <c r="AB216" s="3"/>
      <c r="AC216" s="3"/>
    </row>
    <row r="217" spans="1:29">
      <c r="A217" s="3"/>
      <c r="B217" s="3"/>
      <c r="C217" s="601">
        <f>C216+5</f>
        <v>5.0000099999999996</v>
      </c>
      <c r="D217" s="929">
        <f t="shared" ref="D217:D252" si="13">6-(-10*LOG10(3282.81*((SIN(RADIANS(C217*1.7724))^2)/((C217*1.7724)^2))))</f>
        <v>5.9653447349382374</v>
      </c>
      <c r="E217" s="81" t="s">
        <v>817</v>
      </c>
      <c r="F217" s="425"/>
      <c r="G217" s="425"/>
      <c r="H217" s="425"/>
      <c r="I217" s="425"/>
      <c r="J217" s="425"/>
      <c r="K217" s="425"/>
      <c r="L217" s="425"/>
      <c r="M217" s="425"/>
      <c r="N217" s="608"/>
      <c r="O217" s="3"/>
      <c r="P217" s="3"/>
      <c r="Q217" s="3"/>
      <c r="R217" s="3"/>
      <c r="S217" s="3"/>
      <c r="T217" s="3"/>
      <c r="U217" s="3"/>
      <c r="V217" s="3"/>
      <c r="W217" s="3"/>
      <c r="X217" s="3"/>
      <c r="Y217" s="3"/>
      <c r="Z217" s="3"/>
      <c r="AA217" s="3"/>
      <c r="AB217" s="3"/>
      <c r="AC217" s="3"/>
    </row>
    <row r="218" spans="1:29">
      <c r="A218" s="3"/>
      <c r="B218" s="3"/>
      <c r="C218" s="601">
        <f t="shared" ref="C218:C283" si="14">C217+5</f>
        <v>10.00001</v>
      </c>
      <c r="D218" s="929">
        <f t="shared" si="13"/>
        <v>5.8610307884493329</v>
      </c>
      <c r="E218" s="81"/>
      <c r="F218" s="425"/>
      <c r="G218" s="425"/>
      <c r="H218" s="425"/>
      <c r="I218" s="425"/>
      <c r="J218" s="425"/>
      <c r="K218" s="425"/>
      <c r="L218" s="425"/>
      <c r="M218" s="425"/>
      <c r="N218" s="608"/>
      <c r="O218" s="3"/>
      <c r="P218" s="3"/>
      <c r="Q218" s="3"/>
      <c r="R218" s="3"/>
      <c r="S218" s="3"/>
      <c r="T218" s="3"/>
      <c r="U218" s="3"/>
      <c r="V218" s="3"/>
      <c r="W218" s="3"/>
      <c r="X218" s="3"/>
      <c r="Y218" s="3"/>
      <c r="Z218" s="3"/>
      <c r="AA218" s="3"/>
      <c r="AB218" s="3"/>
      <c r="AC218" s="3"/>
    </row>
    <row r="219" spans="1:29">
      <c r="A219" s="3"/>
      <c r="B219" s="3"/>
      <c r="C219" s="601">
        <f t="shared" si="14"/>
        <v>15.00001</v>
      </c>
      <c r="D219" s="929">
        <f t="shared" si="13"/>
        <v>5.6860456751103436</v>
      </c>
      <c r="E219" s="81"/>
      <c r="F219" s="425"/>
      <c r="G219" s="425"/>
      <c r="H219" s="425"/>
      <c r="I219" s="425"/>
      <c r="J219" s="425"/>
      <c r="K219" s="425"/>
      <c r="L219" s="425"/>
      <c r="M219" s="425"/>
      <c r="N219" s="608"/>
      <c r="O219" s="3"/>
      <c r="P219" s="3"/>
      <c r="Q219" s="3"/>
      <c r="R219" s="3"/>
      <c r="S219" s="3"/>
      <c r="T219" s="3"/>
      <c r="U219" s="3"/>
      <c r="V219" s="3"/>
      <c r="W219" s="3"/>
      <c r="X219" s="3"/>
      <c r="Y219" s="3"/>
      <c r="Z219" s="3"/>
      <c r="AA219" s="3"/>
      <c r="AB219" s="3"/>
      <c r="AC219" s="3"/>
    </row>
    <row r="220" spans="1:29">
      <c r="A220" s="3"/>
      <c r="B220" s="3"/>
      <c r="C220" s="601">
        <f t="shared" si="14"/>
        <v>20.00001</v>
      </c>
      <c r="D220" s="929">
        <f t="shared" si="13"/>
        <v>5.4386406342061937</v>
      </c>
      <c r="E220" s="81"/>
      <c r="F220" s="425"/>
      <c r="G220" s="425"/>
      <c r="H220" s="425"/>
      <c r="I220" s="425"/>
      <c r="J220" s="425"/>
      <c r="K220" s="425"/>
      <c r="L220" s="425"/>
      <c r="M220" s="425"/>
      <c r="N220" s="608"/>
      <c r="O220" s="3"/>
      <c r="P220" s="3"/>
      <c r="Q220" s="3"/>
      <c r="R220" s="3"/>
      <c r="S220" s="3"/>
      <c r="T220" s="3"/>
      <c r="U220" s="3"/>
      <c r="V220" s="3"/>
      <c r="W220" s="3"/>
      <c r="X220" s="3"/>
      <c r="Y220" s="3"/>
      <c r="Z220" s="3"/>
      <c r="AA220" s="3"/>
      <c r="AB220" s="3"/>
      <c r="AC220" s="3"/>
    </row>
    <row r="221" spans="1:29">
      <c r="A221" s="3"/>
      <c r="B221" s="3"/>
      <c r="C221" s="601">
        <f t="shared" si="14"/>
        <v>25.00001</v>
      </c>
      <c r="D221" s="929">
        <f t="shared" si="13"/>
        <v>5.1162496734715912</v>
      </c>
      <c r="E221" s="81"/>
      <c r="F221" s="425"/>
      <c r="G221" s="425"/>
      <c r="H221" s="425"/>
      <c r="I221" s="425"/>
      <c r="J221" s="425"/>
      <c r="K221" s="425"/>
      <c r="L221" s="425"/>
      <c r="M221" s="425"/>
      <c r="N221" s="608"/>
      <c r="O221" s="3"/>
      <c r="P221" s="3"/>
      <c r="Q221" s="3"/>
      <c r="R221" s="3"/>
      <c r="S221" s="3"/>
      <c r="T221" s="3"/>
      <c r="U221" s="3"/>
      <c r="V221" s="3"/>
      <c r="W221" s="3"/>
      <c r="X221" s="3"/>
      <c r="Y221" s="3"/>
      <c r="Z221" s="3"/>
      <c r="AA221" s="3"/>
      <c r="AB221" s="3"/>
      <c r="AC221" s="3"/>
    </row>
    <row r="222" spans="1:29">
      <c r="A222" s="3"/>
      <c r="B222" s="3"/>
      <c r="C222" s="601">
        <f t="shared" si="14"/>
        <v>30.00001</v>
      </c>
      <c r="D222" s="929">
        <f t="shared" si="13"/>
        <v>4.7153564644619106</v>
      </c>
      <c r="E222" s="81"/>
      <c r="F222" s="425"/>
      <c r="G222" s="425"/>
      <c r="H222" s="425"/>
      <c r="I222" s="425"/>
      <c r="J222" s="425"/>
      <c r="K222" s="425"/>
      <c r="L222" s="425"/>
      <c r="M222" s="425"/>
      <c r="N222" s="608"/>
      <c r="O222" s="3"/>
      <c r="P222" s="3"/>
      <c r="Q222" s="3"/>
      <c r="R222" s="3"/>
      <c r="S222" s="3"/>
      <c r="T222" s="3"/>
      <c r="U222" s="3"/>
      <c r="V222" s="3"/>
      <c r="W222" s="3"/>
      <c r="X222" s="3"/>
      <c r="Y222" s="3"/>
      <c r="Z222" s="3"/>
      <c r="AA222" s="3"/>
      <c r="AB222" s="3"/>
      <c r="AC222" s="3"/>
    </row>
    <row r="223" spans="1:29">
      <c r="A223" s="3"/>
      <c r="B223" s="3"/>
      <c r="C223" s="601">
        <f t="shared" si="14"/>
        <v>35.000010000000003</v>
      </c>
      <c r="D223" s="929">
        <f t="shared" si="13"/>
        <v>4.2312978799201479</v>
      </c>
      <c r="E223" s="81"/>
      <c r="F223" s="425"/>
      <c r="G223" s="425"/>
      <c r="H223" s="425"/>
      <c r="I223" s="425"/>
      <c r="J223" s="425"/>
      <c r="K223" s="425"/>
      <c r="L223" s="425"/>
      <c r="M223" s="425"/>
      <c r="N223" s="608"/>
      <c r="O223" s="3"/>
      <c r="P223" s="3"/>
      <c r="Q223" s="3"/>
      <c r="R223" s="3"/>
      <c r="S223" s="3"/>
      <c r="T223" s="3"/>
      <c r="U223" s="3"/>
      <c r="V223" s="3"/>
      <c r="W223" s="3"/>
      <c r="X223" s="3"/>
      <c r="Y223" s="3"/>
      <c r="Z223" s="3"/>
      <c r="AA223" s="3"/>
      <c r="AB223" s="3"/>
      <c r="AC223" s="3"/>
    </row>
    <row r="224" spans="1:29">
      <c r="A224" s="3"/>
      <c r="B224" s="3"/>
      <c r="C224" s="601">
        <f t="shared" si="14"/>
        <v>40.000010000000003</v>
      </c>
      <c r="D224" s="929">
        <f t="shared" si="13"/>
        <v>3.6579781652012575</v>
      </c>
      <c r="E224" s="81"/>
      <c r="F224" s="425"/>
      <c r="G224" s="425"/>
      <c r="H224" s="425"/>
      <c r="I224" s="425"/>
      <c r="J224" s="425"/>
      <c r="K224" s="425"/>
      <c r="L224" s="425"/>
      <c r="M224" s="425"/>
      <c r="N224" s="608"/>
      <c r="O224" s="3"/>
      <c r="P224" s="3"/>
      <c r="Q224" s="3"/>
      <c r="R224" s="3"/>
      <c r="S224" s="3"/>
      <c r="T224" s="3"/>
      <c r="U224" s="3"/>
      <c r="V224" s="3"/>
      <c r="W224" s="3"/>
      <c r="X224" s="3"/>
      <c r="Y224" s="3"/>
      <c r="Z224" s="3"/>
      <c r="AA224" s="3"/>
      <c r="AB224" s="3"/>
      <c r="AC224" s="3"/>
    </row>
    <row r="225" spans="1:29">
      <c r="A225" s="3"/>
      <c r="B225" s="3"/>
      <c r="C225" s="601">
        <f t="shared" si="14"/>
        <v>45.000010000000003</v>
      </c>
      <c r="D225" s="929">
        <f t="shared" si="13"/>
        <v>2.9874513525559072</v>
      </c>
      <c r="E225" s="81"/>
      <c r="F225" s="425"/>
      <c r="G225" s="425"/>
      <c r="H225" s="425" t="s">
        <v>817</v>
      </c>
      <c r="I225" s="425" t="s">
        <v>675</v>
      </c>
      <c r="J225" s="425"/>
      <c r="K225" s="425"/>
      <c r="L225" s="425"/>
      <c r="M225" s="425"/>
      <c r="N225" s="608"/>
      <c r="O225" s="3"/>
      <c r="P225" s="3"/>
      <c r="Q225" s="3"/>
      <c r="R225" s="3"/>
      <c r="S225" s="3"/>
      <c r="T225" s="3"/>
      <c r="U225" s="3"/>
      <c r="V225" s="3"/>
      <c r="W225" s="3"/>
      <c r="X225" s="3"/>
      <c r="Y225" s="3"/>
      <c r="Z225" s="3"/>
      <c r="AA225" s="3"/>
      <c r="AB225" s="3"/>
      <c r="AC225" s="3"/>
    </row>
    <row r="226" spans="1:29">
      <c r="A226" s="3"/>
      <c r="B226" s="3"/>
      <c r="C226" s="601">
        <f t="shared" si="14"/>
        <v>50.000010000000003</v>
      </c>
      <c r="D226" s="929">
        <f t="shared" si="13"/>
        <v>2.2093012463479962</v>
      </c>
      <c r="E226" s="81"/>
      <c r="F226" s="425"/>
      <c r="G226" s="425"/>
      <c r="H226" s="425"/>
      <c r="I226" s="425"/>
      <c r="J226" s="611" t="s">
        <v>670</v>
      </c>
      <c r="K226" s="425"/>
      <c r="L226" s="425"/>
      <c r="M226" s="425"/>
      <c r="N226" s="608"/>
      <c r="O226" s="3"/>
      <c r="P226" s="3"/>
      <c r="Q226" s="3"/>
      <c r="R226" s="3"/>
      <c r="S226" s="3"/>
      <c r="T226" s="3"/>
      <c r="U226" s="3"/>
      <c r="V226" s="3"/>
      <c r="W226" s="3"/>
      <c r="X226" s="3"/>
      <c r="Y226" s="3"/>
      <c r="Z226" s="3"/>
      <c r="AA226" s="3"/>
      <c r="AB226" s="3"/>
      <c r="AC226" s="3"/>
    </row>
    <row r="227" spans="1:29">
      <c r="A227" s="3"/>
      <c r="B227" s="3"/>
      <c r="C227" s="601">
        <f t="shared" si="14"/>
        <v>55.000010000000003</v>
      </c>
      <c r="D227" s="929">
        <f t="shared" si="13"/>
        <v>1.3096970623209385</v>
      </c>
      <c r="E227" s="81"/>
      <c r="F227" s="425"/>
      <c r="G227" s="425"/>
      <c r="H227" s="425"/>
      <c r="I227" s="425"/>
      <c r="J227" s="425"/>
      <c r="K227" s="425"/>
      <c r="L227" s="425"/>
      <c r="M227" s="425"/>
      <c r="N227" s="608"/>
      <c r="O227" s="3"/>
      <c r="P227" s="3"/>
      <c r="Q227" s="3"/>
      <c r="R227" s="3"/>
      <c r="S227" s="3"/>
      <c r="T227" s="3"/>
      <c r="U227" s="3"/>
      <c r="V227" s="3"/>
      <c r="W227" s="3"/>
      <c r="X227" s="3"/>
      <c r="Y227" s="3"/>
      <c r="Z227" s="3"/>
      <c r="AA227" s="3"/>
      <c r="AB227" s="3"/>
      <c r="AC227" s="3"/>
    </row>
    <row r="228" spans="1:29">
      <c r="A228" s="3"/>
      <c r="B228" s="3"/>
      <c r="C228" s="601">
        <f t="shared" si="14"/>
        <v>60.000010000000003</v>
      </c>
      <c r="D228" s="929">
        <f t="shared" si="13"/>
        <v>0.26990490064927641</v>
      </c>
      <c r="E228" s="81"/>
      <c r="F228" s="425"/>
      <c r="G228" s="425"/>
      <c r="H228" s="425"/>
      <c r="I228" s="425"/>
      <c r="J228" s="425"/>
      <c r="K228" s="425"/>
      <c r="L228" s="425"/>
      <c r="M228" s="425"/>
      <c r="N228" s="608"/>
      <c r="O228" s="3"/>
      <c r="P228" s="3"/>
      <c r="Q228" s="3"/>
      <c r="R228" s="3"/>
      <c r="S228" s="3"/>
      <c r="T228" s="3"/>
      <c r="U228" s="3"/>
      <c r="V228" s="3"/>
      <c r="W228" s="3"/>
      <c r="X228" s="3"/>
      <c r="Y228" s="3"/>
      <c r="Z228" s="3"/>
      <c r="AA228" s="3"/>
      <c r="AB228" s="3"/>
      <c r="AC228" s="3"/>
    </row>
    <row r="229" spans="1:29">
      <c r="A229" s="3"/>
      <c r="B229" s="3"/>
      <c r="C229" s="601">
        <f t="shared" si="14"/>
        <v>65.000010000000003</v>
      </c>
      <c r="D229" s="929">
        <f t="shared" si="13"/>
        <v>-0.93616362774185458</v>
      </c>
      <c r="E229" s="81"/>
      <c r="F229" s="425"/>
      <c r="G229" s="425"/>
      <c r="H229" s="425"/>
      <c r="I229" s="425"/>
      <c r="J229" s="425"/>
      <c r="K229" s="425"/>
      <c r="L229" s="425"/>
      <c r="M229" s="425"/>
      <c r="N229" s="608"/>
      <c r="O229" s="3"/>
      <c r="P229" s="3"/>
      <c r="Q229" s="3"/>
      <c r="R229" s="3"/>
      <c r="S229" s="3"/>
      <c r="T229" s="3"/>
      <c r="U229" s="3"/>
      <c r="V229" s="3"/>
      <c r="W229" s="3"/>
      <c r="X229" s="3"/>
      <c r="Y229" s="3"/>
      <c r="Z229" s="3"/>
      <c r="AA229" s="3"/>
      <c r="AB229" s="3"/>
      <c r="AC229" s="3"/>
    </row>
    <row r="230" spans="1:29">
      <c r="A230" s="3"/>
      <c r="B230" s="3"/>
      <c r="C230" s="601">
        <f t="shared" si="14"/>
        <v>70.000010000000003</v>
      </c>
      <c r="D230" s="929">
        <f t="shared" si="13"/>
        <v>-2.346219096006557</v>
      </c>
      <c r="E230" s="81"/>
      <c r="F230" s="425"/>
      <c r="G230" s="425"/>
      <c r="H230" s="425"/>
      <c r="I230" s="425"/>
      <c r="J230" s="425"/>
      <c r="K230" s="425"/>
      <c r="L230" s="425"/>
      <c r="M230" s="425"/>
      <c r="N230" s="608"/>
      <c r="O230" s="3"/>
      <c r="P230" s="3"/>
      <c r="Q230" s="3"/>
      <c r="R230" s="3"/>
      <c r="S230" s="3"/>
      <c r="T230" s="3"/>
      <c r="U230" s="3"/>
      <c r="V230" s="3"/>
      <c r="W230" s="3"/>
      <c r="X230" s="3"/>
      <c r="Y230" s="3"/>
      <c r="Z230" s="3"/>
      <c r="AA230" s="3"/>
      <c r="AB230" s="3"/>
      <c r="AC230" s="3"/>
    </row>
    <row r="231" spans="1:29">
      <c r="A231" s="3"/>
      <c r="B231" s="3"/>
      <c r="C231" s="601">
        <f t="shared" si="14"/>
        <v>75.000010000000003</v>
      </c>
      <c r="D231" s="929">
        <f t="shared" si="13"/>
        <v>-4.0175734305176114</v>
      </c>
      <c r="E231" s="81"/>
      <c r="F231" s="425"/>
      <c r="G231" s="425"/>
      <c r="H231" s="425"/>
      <c r="I231" s="425"/>
      <c r="J231" s="425"/>
      <c r="K231" s="425"/>
      <c r="L231" s="425"/>
      <c r="M231" s="425"/>
      <c r="N231" s="608"/>
      <c r="O231" s="3"/>
      <c r="P231" s="3"/>
      <c r="Q231" s="3"/>
      <c r="R231" s="3"/>
      <c r="S231" s="3"/>
      <c r="T231" s="3"/>
      <c r="U231" s="3"/>
      <c r="V231" s="3"/>
      <c r="W231" s="3"/>
      <c r="X231" s="3"/>
      <c r="Y231" s="3"/>
      <c r="Z231" s="3"/>
      <c r="AA231" s="3"/>
      <c r="AB231" s="3"/>
      <c r="AC231" s="3"/>
    </row>
    <row r="232" spans="1:29">
      <c r="A232" s="3"/>
      <c r="B232" s="3"/>
      <c r="C232" s="601">
        <f t="shared" si="14"/>
        <v>80.000010000000003</v>
      </c>
      <c r="D232" s="929">
        <f t="shared" si="13"/>
        <v>-6.0435331070795471</v>
      </c>
      <c r="E232" s="81"/>
      <c r="F232" s="425"/>
      <c r="G232" s="425"/>
      <c r="H232" s="425"/>
      <c r="I232" s="425"/>
      <c r="J232" s="425"/>
      <c r="K232" s="425"/>
      <c r="L232" s="425"/>
      <c r="M232" s="425"/>
      <c r="N232" s="608"/>
      <c r="O232" s="3"/>
      <c r="P232" s="3"/>
      <c r="Q232" s="3"/>
      <c r="R232" s="3"/>
      <c r="S232" s="3"/>
      <c r="T232" s="3"/>
      <c r="U232" s="3"/>
      <c r="V232" s="3"/>
      <c r="W232" s="3"/>
      <c r="X232" s="3"/>
      <c r="Y232" s="3"/>
      <c r="Z232" s="3"/>
      <c r="AA232" s="3"/>
      <c r="AB232" s="3"/>
      <c r="AC232" s="3"/>
    </row>
    <row r="233" spans="1:29">
      <c r="A233" s="3"/>
      <c r="B233" s="3"/>
      <c r="C233" s="601">
        <f t="shared" si="14"/>
        <v>85.000010000000003</v>
      </c>
      <c r="D233" s="929">
        <f t="shared" si="13"/>
        <v>-8.5917789014445276</v>
      </c>
      <c r="E233" s="81"/>
      <c r="F233" s="425"/>
      <c r="G233" s="425"/>
      <c r="H233" s="425"/>
      <c r="I233" s="425"/>
      <c r="J233" s="425"/>
      <c r="K233" s="425"/>
      <c r="L233" s="425"/>
      <c r="M233" s="425"/>
      <c r="N233" s="608"/>
      <c r="O233" s="3"/>
      <c r="P233" s="3"/>
      <c r="Q233" s="3"/>
      <c r="R233" s="3"/>
      <c r="S233" s="3"/>
      <c r="T233" s="3"/>
      <c r="U233" s="3"/>
      <c r="V233" s="3"/>
      <c r="W233" s="3"/>
      <c r="X233" s="3"/>
      <c r="Y233" s="3"/>
      <c r="Z233" s="3"/>
      <c r="AA233" s="3"/>
      <c r="AB233" s="3"/>
      <c r="AC233" s="3"/>
    </row>
    <row r="234" spans="1:29">
      <c r="A234" s="3"/>
      <c r="B234" s="3"/>
      <c r="C234" s="601">
        <f t="shared" si="14"/>
        <v>90.000010000000003</v>
      </c>
      <c r="D234" s="929">
        <f t="shared" si="13"/>
        <v>-12.013620001173564</v>
      </c>
      <c r="E234" s="81"/>
      <c r="F234" s="425"/>
      <c r="G234" s="425"/>
      <c r="H234" s="425"/>
      <c r="I234" s="425"/>
      <c r="J234" s="425"/>
      <c r="K234" s="425"/>
      <c r="L234" s="425"/>
      <c r="M234" s="425"/>
      <c r="N234" s="608"/>
      <c r="O234" s="3"/>
      <c r="P234" s="3"/>
      <c r="Q234" s="3"/>
      <c r="R234" s="3"/>
      <c r="S234" s="3"/>
      <c r="T234" s="3"/>
      <c r="U234" s="3"/>
      <c r="V234" s="3"/>
      <c r="W234" s="3"/>
      <c r="X234" s="3"/>
      <c r="Y234" s="3"/>
      <c r="Z234" s="3"/>
      <c r="AA234" s="3"/>
      <c r="AB234" s="3"/>
      <c r="AC234" s="3"/>
    </row>
    <row r="235" spans="1:29">
      <c r="A235" s="3"/>
      <c r="B235" s="3"/>
      <c r="C235" s="601">
        <f t="shared" si="14"/>
        <v>95.000010000000003</v>
      </c>
      <c r="D235" s="929">
        <f t="shared" si="13"/>
        <v>-17.279743973217315</v>
      </c>
      <c r="E235" s="81"/>
      <c r="F235" s="425"/>
      <c r="G235" s="425"/>
      <c r="H235" s="425"/>
      <c r="I235" s="425"/>
      <c r="J235" s="425"/>
      <c r="K235" s="425"/>
      <c r="L235" s="425"/>
      <c r="M235" s="425"/>
      <c r="N235" s="608"/>
      <c r="O235" s="3"/>
      <c r="P235" s="3"/>
      <c r="Q235" s="3"/>
      <c r="R235" s="3"/>
      <c r="S235" s="3"/>
      <c r="T235" s="3"/>
      <c r="U235" s="3"/>
      <c r="V235" s="3"/>
      <c r="W235" s="3"/>
      <c r="X235" s="3"/>
      <c r="Y235" s="3"/>
      <c r="Z235" s="3"/>
      <c r="AA235" s="3"/>
      <c r="AB235" s="3"/>
      <c r="AC235" s="3"/>
    </row>
    <row r="236" spans="1:29">
      <c r="A236" s="3"/>
      <c r="B236" s="3"/>
      <c r="C236" s="601">
        <f t="shared" si="14"/>
        <v>100.00001</v>
      </c>
      <c r="D236" s="929">
        <f t="shared" si="13"/>
        <v>-30.156464421918081</v>
      </c>
      <c r="E236" s="81" t="s">
        <v>1000</v>
      </c>
      <c r="F236" s="425"/>
      <c r="G236" s="425"/>
      <c r="H236" s="425"/>
      <c r="I236" s="425"/>
      <c r="J236" s="425"/>
      <c r="K236" s="425"/>
      <c r="L236" s="425"/>
      <c r="M236" s="425"/>
      <c r="N236" s="608"/>
      <c r="O236" s="3"/>
      <c r="P236" s="3"/>
      <c r="Q236" s="3"/>
      <c r="R236" s="3"/>
      <c r="S236" s="3"/>
      <c r="T236" s="3"/>
      <c r="U236" s="3"/>
      <c r="V236" s="3"/>
      <c r="W236" s="3"/>
      <c r="X236" s="3"/>
      <c r="Y236" s="3"/>
      <c r="Z236" s="3"/>
      <c r="AA236" s="3"/>
      <c r="AB236" s="3"/>
      <c r="AC236" s="3"/>
    </row>
    <row r="237" spans="1:29">
      <c r="A237" s="3"/>
      <c r="B237" s="3"/>
      <c r="C237" s="601">
        <f t="shared" si="14"/>
        <v>105.00001</v>
      </c>
      <c r="D237" s="929">
        <f t="shared" si="13"/>
        <v>-23.701973405406868</v>
      </c>
      <c r="E237" s="81"/>
      <c r="F237" s="425"/>
      <c r="G237" s="425"/>
      <c r="H237" s="425"/>
      <c r="I237" s="425"/>
      <c r="J237" s="425"/>
      <c r="K237" s="425"/>
      <c r="L237" s="425"/>
      <c r="M237" s="425"/>
      <c r="N237" s="608"/>
      <c r="O237" s="3"/>
      <c r="P237" s="3"/>
      <c r="Q237" s="3"/>
      <c r="R237" s="3"/>
      <c r="S237" s="3"/>
      <c r="T237" s="3"/>
      <c r="U237" s="3"/>
      <c r="V237" s="3"/>
      <c r="W237" s="3"/>
      <c r="X237" s="3"/>
      <c r="Y237" s="3"/>
      <c r="Z237" s="3"/>
      <c r="AA237" s="3"/>
      <c r="AB237" s="3"/>
      <c r="AC237" s="3"/>
    </row>
    <row r="238" spans="1:29">
      <c r="A238" s="3"/>
      <c r="B238" s="3"/>
      <c r="C238" s="601">
        <f t="shared" si="14"/>
        <v>110.00001</v>
      </c>
      <c r="D238" s="929">
        <f t="shared" si="13"/>
        <v>-16.397090501132354</v>
      </c>
      <c r="E238" s="81"/>
      <c r="F238" s="425"/>
      <c r="G238" s="425"/>
      <c r="H238" s="425"/>
      <c r="I238" s="425"/>
      <c r="J238" s="425"/>
      <c r="K238" s="425"/>
      <c r="L238" s="425"/>
      <c r="M238" s="425"/>
      <c r="N238" s="608"/>
      <c r="O238" s="3"/>
      <c r="P238" s="3"/>
      <c r="Q238" s="3"/>
      <c r="R238" s="3"/>
      <c r="S238" s="3"/>
      <c r="T238" s="3"/>
      <c r="U238" s="3"/>
      <c r="V238" s="3"/>
      <c r="W238" s="3"/>
      <c r="X238" s="3"/>
      <c r="Y238" s="3"/>
      <c r="Z238" s="3"/>
      <c r="AA238" s="3"/>
      <c r="AB238" s="3"/>
      <c r="AC238" s="3"/>
    </row>
    <row r="239" spans="1:29" ht="13" thickBot="1">
      <c r="A239" s="3"/>
      <c r="B239" s="3"/>
      <c r="C239" s="601">
        <f t="shared" si="14"/>
        <v>115.00001</v>
      </c>
      <c r="D239" s="929">
        <f t="shared" si="13"/>
        <v>-12.895951874930702</v>
      </c>
      <c r="E239" s="81"/>
      <c r="F239" s="425"/>
      <c r="G239" s="425"/>
      <c r="H239" s="425"/>
      <c r="I239" s="425"/>
      <c r="J239" s="425"/>
      <c r="K239" s="425"/>
      <c r="L239" s="425"/>
      <c r="M239" s="425"/>
      <c r="N239" s="609"/>
      <c r="O239" s="3"/>
      <c r="P239" s="3"/>
      <c r="Q239" s="3"/>
      <c r="R239" s="3"/>
      <c r="S239" s="3"/>
      <c r="T239" s="3"/>
      <c r="U239" s="3"/>
      <c r="V239" s="3"/>
      <c r="W239" s="3"/>
      <c r="X239" s="3"/>
      <c r="Y239" s="3"/>
      <c r="Z239" s="3"/>
      <c r="AA239" s="3"/>
      <c r="AB239" s="3"/>
      <c r="AC239" s="3"/>
    </row>
    <row r="240" spans="1:29">
      <c r="A240" s="3"/>
      <c r="B240" s="3"/>
      <c r="C240" s="601">
        <f t="shared" si="14"/>
        <v>120.00001</v>
      </c>
      <c r="D240" s="929">
        <f t="shared" si="13"/>
        <v>-10.743493220007636</v>
      </c>
      <c r="E240" s="81"/>
      <c r="F240" s="103"/>
      <c r="G240" s="103"/>
      <c r="H240" s="103"/>
      <c r="I240" s="103"/>
      <c r="J240" s="103"/>
      <c r="K240" s="103"/>
      <c r="L240" s="103"/>
      <c r="M240" s="103"/>
      <c r="N240" s="3"/>
      <c r="O240" s="3"/>
      <c r="P240" s="3"/>
      <c r="Q240" s="3"/>
      <c r="R240" s="3"/>
      <c r="S240" s="3"/>
      <c r="T240" s="3"/>
      <c r="U240" s="3"/>
      <c r="V240" s="3"/>
      <c r="W240" s="3"/>
      <c r="X240" s="3"/>
      <c r="Y240" s="3"/>
      <c r="Z240" s="3"/>
      <c r="AA240" s="3"/>
      <c r="AB240" s="3"/>
      <c r="AC240" s="3"/>
    </row>
    <row r="241" spans="1:29">
      <c r="A241" s="3"/>
      <c r="B241" s="3"/>
      <c r="C241" s="601">
        <f t="shared" si="14"/>
        <v>125.00001</v>
      </c>
      <c r="D241" s="929">
        <f t="shared" si="13"/>
        <v>-9.3131238834920467</v>
      </c>
      <c r="E241" s="81"/>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601">
        <f t="shared" si="14"/>
        <v>130.00001</v>
      </c>
      <c r="D242" s="929">
        <f t="shared" si="13"/>
        <v>-8.3505360701726996</v>
      </c>
      <c r="E242" s="81"/>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601">
        <f t="shared" si="14"/>
        <v>135.00001</v>
      </c>
      <c r="D243" s="929">
        <f t="shared" si="13"/>
        <v>-7.7293164278551636</v>
      </c>
      <c r="E243" s="81"/>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601">
        <f t="shared" si="14"/>
        <v>140.00001</v>
      </c>
      <c r="D244" s="929">
        <f t="shared" si="13"/>
        <v>-7.3797189350454673</v>
      </c>
      <c r="E244" s="81"/>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601">
        <f t="shared" si="14"/>
        <v>145.00001</v>
      </c>
      <c r="D245" s="929">
        <f t="shared" si="13"/>
        <v>-7.2617287207414059</v>
      </c>
      <c r="E245" s="81"/>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601">
        <f t="shared" si="14"/>
        <v>150.00001</v>
      </c>
      <c r="D246" s="929">
        <f t="shared" si="13"/>
        <v>-7.3532972791944715</v>
      </c>
      <c r="E246" s="81"/>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601">
        <f t="shared" si="14"/>
        <v>155.00001</v>
      </c>
      <c r="D247" s="929">
        <f t="shared" si="13"/>
        <v>-7.6449434430417593</v>
      </c>
      <c r="E247" s="81"/>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601">
        <f t="shared" si="14"/>
        <v>160.00001</v>
      </c>
      <c r="D248" s="929">
        <f t="shared" si="13"/>
        <v>-8.1376149609957675</v>
      </c>
      <c r="E248" s="81"/>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601">
        <f t="shared" si="14"/>
        <v>165.00001</v>
      </c>
      <c r="D249" s="929">
        <f t="shared" si="13"/>
        <v>-8.842764611816559</v>
      </c>
      <c r="E249" s="81"/>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601">
        <f t="shared" si="14"/>
        <v>170.00001</v>
      </c>
      <c r="D250" s="929">
        <f t="shared" si="13"/>
        <v>-9.7846725758335822</v>
      </c>
      <c r="E250" s="81"/>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601">
        <f t="shared" si="14"/>
        <v>175.00001</v>
      </c>
      <c r="D251" s="929">
        <f t="shared" si="13"/>
        <v>-11.006151919034188</v>
      </c>
      <c r="E251" s="81"/>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601">
        <f t="shared" si="14"/>
        <v>180.00001</v>
      </c>
      <c r="D252" s="929">
        <f t="shared" si="13"/>
        <v>-12.580956411963957</v>
      </c>
      <c r="E252" s="81"/>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601">
        <f t="shared" si="14"/>
        <v>185.00001</v>
      </c>
      <c r="D253" s="929">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601">
        <f t="shared" si="14"/>
        <v>190.00001</v>
      </c>
      <c r="D254" s="929">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601">
        <f t="shared" si="14"/>
        <v>195.00001</v>
      </c>
      <c r="D255" s="81">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601">
        <f t="shared" si="14"/>
        <v>200.00001</v>
      </c>
      <c r="D256" s="81">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601">
        <f t="shared" si="14"/>
        <v>205.00001</v>
      </c>
      <c r="D257" s="81">
        <v>-7.6</v>
      </c>
      <c r="E257" s="3" t="s">
        <v>817</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601">
        <f t="shared" si="14"/>
        <v>210.00001</v>
      </c>
      <c r="D258" s="81">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601">
        <f t="shared" si="14"/>
        <v>215.00001</v>
      </c>
      <c r="D259" s="81">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601">
        <f t="shared" si="14"/>
        <v>220.00001</v>
      </c>
      <c r="D260" s="81">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601">
        <f t="shared" si="14"/>
        <v>225.00001</v>
      </c>
      <c r="D261" s="81">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601">
        <f t="shared" si="14"/>
        <v>230.00001</v>
      </c>
      <c r="D262" s="81">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601">
        <f t="shared" si="14"/>
        <v>235.00001</v>
      </c>
      <c r="D263" s="81">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601">
        <f t="shared" si="14"/>
        <v>240.00001</v>
      </c>
      <c r="D264" s="81">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601">
        <f t="shared" si="14"/>
        <v>245.00001</v>
      </c>
      <c r="D265" s="81">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601">
        <f t="shared" si="14"/>
        <v>250.00001</v>
      </c>
      <c r="D266" s="81">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601">
        <f t="shared" si="14"/>
        <v>255.00001</v>
      </c>
      <c r="D267" s="81">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601">
        <f t="shared" si="14"/>
        <v>260.00000999999997</v>
      </c>
      <c r="D268" s="81">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601">
        <f t="shared" si="14"/>
        <v>265.00000999999997</v>
      </c>
      <c r="D269" s="81">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601">
        <f t="shared" si="14"/>
        <v>270.00000999999997</v>
      </c>
      <c r="D270" s="35">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601">
        <f t="shared" si="14"/>
        <v>275.00000999999997</v>
      </c>
      <c r="D271" s="35">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601">
        <f t="shared" si="14"/>
        <v>280.00000999999997</v>
      </c>
      <c r="D272" s="35">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601">
        <f t="shared" si="14"/>
        <v>285.00000999999997</v>
      </c>
      <c r="D273" s="81">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601">
        <f t="shared" si="14"/>
        <v>290.00000999999997</v>
      </c>
      <c r="D274" s="81">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601">
        <f t="shared" si="14"/>
        <v>295.00000999999997</v>
      </c>
      <c r="D275" s="81">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601">
        <f t="shared" si="14"/>
        <v>300.00000999999997</v>
      </c>
      <c r="D276" s="81">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601">
        <f t="shared" si="14"/>
        <v>305.00000999999997</v>
      </c>
      <c r="D277" s="81">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601">
        <f t="shared" si="14"/>
        <v>310.00000999999997</v>
      </c>
      <c r="D278" s="35">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601">
        <f t="shared" si="14"/>
        <v>315.00000999999997</v>
      </c>
      <c r="D279" s="81">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601">
        <f t="shared" si="14"/>
        <v>320.00000999999997</v>
      </c>
      <c r="D280" s="81">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601">
        <f t="shared" si="14"/>
        <v>325.00000999999997</v>
      </c>
      <c r="D281" s="81">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601">
        <f>C281+5</f>
        <v>330.00000999999997</v>
      </c>
      <c r="D282" s="81">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601">
        <f t="shared" si="14"/>
        <v>335.00000999999997</v>
      </c>
      <c r="D283" s="81">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601">
        <f>C283+5</f>
        <v>340.00000999999997</v>
      </c>
      <c r="D284" s="81">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601">
        <f>C284+5</f>
        <v>345.00000999999997</v>
      </c>
      <c r="D285" s="81">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601">
        <f>C285+5</f>
        <v>350.00000999999997</v>
      </c>
      <c r="D286" s="35">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601">
        <f>C286+5</f>
        <v>355.00000999999997</v>
      </c>
      <c r="D287" s="35">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601" t="s">
        <v>817</v>
      </c>
      <c r="D288" s="81"/>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36328125" bestFit="1" customWidth="1"/>
    <col min="4" max="4" width="10.81640625" customWidth="1"/>
    <col min="5" max="5" width="16.1796875" customWidth="1"/>
    <col min="6" max="6" width="14.6328125" customWidth="1"/>
    <col min="10" max="10" width="12.453125" customWidth="1"/>
  </cols>
  <sheetData>
    <row r="1" spans="1:21" ht="18">
      <c r="A1" s="541"/>
      <c r="B1" s="542"/>
      <c r="C1" s="543" t="s">
        <v>152</v>
      </c>
      <c r="D1" s="543"/>
      <c r="E1" s="542"/>
      <c r="F1" s="542"/>
      <c r="G1" s="544"/>
      <c r="H1" s="3"/>
      <c r="I1" s="3"/>
      <c r="J1" s="3"/>
      <c r="K1" s="3"/>
      <c r="L1" s="3"/>
      <c r="M1" s="3"/>
      <c r="N1" s="3"/>
      <c r="O1" s="3"/>
      <c r="P1" s="3"/>
      <c r="Q1" s="3"/>
      <c r="R1" s="3"/>
      <c r="S1" s="912"/>
      <c r="T1" s="912"/>
      <c r="U1" s="912"/>
    </row>
    <row r="2" spans="1:21" ht="18">
      <c r="A2" s="545" t="s">
        <v>54</v>
      </c>
      <c r="B2" s="546"/>
      <c r="C2" s="546"/>
      <c r="D2" s="546"/>
      <c r="E2" s="389"/>
      <c r="F2" s="389"/>
      <c r="G2" s="547"/>
      <c r="H2" s="3"/>
      <c r="I2" s="3"/>
      <c r="J2" s="3"/>
      <c r="K2" s="3"/>
      <c r="L2" s="3"/>
      <c r="M2" s="3"/>
      <c r="N2" s="3"/>
      <c r="O2" s="3"/>
      <c r="P2" s="3"/>
      <c r="Q2" s="3"/>
      <c r="R2" s="3"/>
      <c r="S2" s="912"/>
      <c r="T2" s="912"/>
      <c r="U2" s="912"/>
    </row>
    <row r="3" spans="1:21" ht="18" thickBot="1">
      <c r="A3" s="548" t="s">
        <v>370</v>
      </c>
      <c r="B3" s="549"/>
      <c r="C3" s="549"/>
      <c r="D3" s="549"/>
      <c r="E3" s="550"/>
      <c r="F3" s="129"/>
      <c r="G3" s="551"/>
      <c r="H3" s="3"/>
      <c r="I3" s="453" t="s">
        <v>38</v>
      </c>
      <c r="J3" s="526" t="str">
        <f>'Title Page'!F23</f>
        <v>2019 February 1</v>
      </c>
      <c r="K3" s="371"/>
      <c r="L3" s="4" t="s">
        <v>817</v>
      </c>
      <c r="M3" s="4" t="s">
        <v>817</v>
      </c>
      <c r="N3" s="3"/>
      <c r="O3" s="3"/>
      <c r="P3" s="3"/>
      <c r="Q3" s="3"/>
      <c r="R3" s="3"/>
      <c r="S3" s="912"/>
      <c r="T3" s="912"/>
      <c r="U3" s="912"/>
    </row>
    <row r="4" spans="1:21" ht="13.5" thickBot="1">
      <c r="A4" s="4"/>
      <c r="B4" s="3"/>
      <c r="C4" s="3"/>
      <c r="D4" s="3"/>
      <c r="E4" s="3"/>
      <c r="F4" s="3"/>
      <c r="G4" s="3"/>
      <c r="H4" s="3"/>
      <c r="I4" s="3"/>
      <c r="J4" s="3"/>
      <c r="K4" s="3"/>
      <c r="L4" s="3"/>
      <c r="M4" s="4"/>
      <c r="N4" s="3"/>
      <c r="O4" s="3"/>
      <c r="P4" s="3"/>
      <c r="Q4" s="3"/>
      <c r="R4" s="3"/>
      <c r="S4" s="912"/>
      <c r="T4" s="912"/>
      <c r="U4" s="912"/>
    </row>
    <row r="5" spans="1:21" ht="13.5" thickBot="1">
      <c r="A5" s="641" t="s">
        <v>855</v>
      </c>
      <c r="B5" s="640">
        <v>8.1999999999999993</v>
      </c>
      <c r="C5" s="3" t="s">
        <v>39</v>
      </c>
      <c r="D5" s="3"/>
      <c r="E5" s="557" t="s">
        <v>40</v>
      </c>
      <c r="F5" s="561">
        <f>20.4+20*LOG10(B6)+20*LOG10(B5)+10*LOG10(B7/100)</f>
        <v>58.686579312516898</v>
      </c>
      <c r="G5" s="3" t="s">
        <v>817</v>
      </c>
      <c r="H5" s="390" t="s">
        <v>704</v>
      </c>
      <c r="I5" s="313"/>
      <c r="J5" s="183"/>
      <c r="K5" s="3"/>
      <c r="L5" s="3"/>
      <c r="M5" s="3"/>
      <c r="N5" s="3"/>
      <c r="O5" s="3"/>
      <c r="P5" s="3"/>
      <c r="Q5" s="3"/>
      <c r="R5" s="3"/>
      <c r="S5" s="912"/>
      <c r="T5" s="912"/>
      <c r="U5" s="912"/>
    </row>
    <row r="6" spans="1:21" ht="13.5" thickBot="1">
      <c r="A6" s="641" t="s">
        <v>41</v>
      </c>
      <c r="B6" s="640">
        <v>13.5</v>
      </c>
      <c r="C6" s="3" t="s">
        <v>42</v>
      </c>
      <c r="D6" s="3"/>
      <c r="E6" s="3"/>
      <c r="F6" s="81"/>
      <c r="G6" s="3"/>
      <c r="H6" s="3"/>
      <c r="I6" s="3"/>
      <c r="J6" s="3"/>
      <c r="K6" s="3"/>
      <c r="L6" s="3"/>
      <c r="M6" s="3"/>
      <c r="N6" s="3"/>
      <c r="O6" s="3"/>
      <c r="P6" s="3"/>
      <c r="Q6" s="3"/>
      <c r="R6" s="3"/>
      <c r="S6" s="912"/>
      <c r="T6" s="912"/>
      <c r="U6" s="912"/>
    </row>
    <row r="7" spans="1:21" ht="13.5" thickBot="1">
      <c r="A7" s="642" t="s">
        <v>52</v>
      </c>
      <c r="B7" s="640">
        <v>55</v>
      </c>
      <c r="C7" s="3" t="s">
        <v>37</v>
      </c>
      <c r="D7" s="813" t="s">
        <v>150</v>
      </c>
      <c r="E7" s="4" t="s">
        <v>151</v>
      </c>
      <c r="F7" s="877">
        <f>21/(B5*B6)</f>
        <v>0.18970189701897022</v>
      </c>
      <c r="G7" s="3" t="s">
        <v>4</v>
      </c>
      <c r="H7" s="553" t="s">
        <v>163</v>
      </c>
      <c r="I7" s="3"/>
      <c r="J7" s="3"/>
      <c r="K7" s="3"/>
      <c r="L7" s="3"/>
      <c r="M7" s="3"/>
      <c r="N7" s="3"/>
      <c r="O7" s="3"/>
      <c r="P7" s="3"/>
      <c r="Q7" s="3"/>
      <c r="R7" s="30" t="s">
        <v>817</v>
      </c>
      <c r="S7" s="136">
        <f>F7/2</f>
        <v>9.4850948509485111E-2</v>
      </c>
      <c r="T7" s="912"/>
      <c r="U7" s="912"/>
    </row>
    <row r="8" spans="1:21" ht="13.5" thickBot="1">
      <c r="A8" s="919"/>
      <c r="B8" s="920"/>
      <c r="C8" s="921"/>
      <c r="D8" s="922"/>
      <c r="E8" s="923"/>
      <c r="F8" s="924"/>
      <c r="G8" s="3"/>
      <c r="H8" s="553"/>
      <c r="I8" s="3"/>
      <c r="J8" s="3"/>
      <c r="K8" s="3"/>
      <c r="L8" s="3"/>
      <c r="M8" s="3"/>
      <c r="N8" s="3"/>
      <c r="O8" s="3"/>
      <c r="P8" s="3"/>
      <c r="Q8" s="3"/>
      <c r="R8" s="30"/>
      <c r="S8" s="136"/>
      <c r="T8" s="912"/>
      <c r="U8" s="912"/>
    </row>
    <row r="9" spans="1:21" ht="13" customHeight="1" thickBot="1">
      <c r="A9" s="919"/>
      <c r="B9" s="920"/>
      <c r="C9" s="921"/>
      <c r="D9" s="922" t="s">
        <v>87</v>
      </c>
      <c r="E9" s="923"/>
      <c r="F9" s="925">
        <f>299.8/(B5*1000)</f>
        <v>3.6560975609756102E-2</v>
      </c>
      <c r="G9" s="3" t="s">
        <v>1032</v>
      </c>
      <c r="H9" s="553"/>
      <c r="I9" s="3"/>
      <c r="J9" s="3"/>
      <c r="K9" s="3"/>
      <c r="L9" s="3"/>
      <c r="M9" s="3"/>
      <c r="N9" s="3"/>
      <c r="O9" s="3"/>
      <c r="P9" s="3"/>
      <c r="Q9" s="3"/>
      <c r="R9" s="30"/>
      <c r="S9" s="136"/>
      <c r="T9" s="912"/>
      <c r="U9" s="912"/>
    </row>
    <row r="10" spans="1:21" ht="13.5" thickBot="1">
      <c r="A10" s="919"/>
      <c r="B10" s="920"/>
      <c r="C10" s="921"/>
      <c r="D10" s="922"/>
      <c r="E10" s="923"/>
      <c r="F10" s="924"/>
      <c r="G10" s="3"/>
      <c r="H10" s="934" t="s">
        <v>1047</v>
      </c>
      <c r="I10" s="3"/>
      <c r="J10" s="3"/>
      <c r="K10" s="3" t="s">
        <v>817</v>
      </c>
      <c r="L10" s="3"/>
      <c r="M10" s="3"/>
      <c r="N10" s="3"/>
      <c r="O10" s="3"/>
      <c r="P10" s="3"/>
      <c r="Q10" s="3"/>
      <c r="R10" s="30"/>
      <c r="S10" s="136"/>
      <c r="T10" s="912"/>
      <c r="U10" s="912"/>
    </row>
    <row r="11" spans="1:21" ht="13" customHeight="1" thickBot="1">
      <c r="A11" s="919"/>
      <c r="B11" s="920"/>
      <c r="C11" s="921"/>
      <c r="D11" s="926" t="s">
        <v>1030</v>
      </c>
      <c r="E11" s="923"/>
      <c r="F11" s="927">
        <f>B6/F9</f>
        <v>369.24616410940621</v>
      </c>
      <c r="G11" s="3" t="s">
        <v>1033</v>
      </c>
      <c r="H11" s="928" t="str">
        <f>IF(F11&gt;9.99, "OK", "Too Small")</f>
        <v>OK</v>
      </c>
      <c r="I11" s="3"/>
      <c r="J11" s="3"/>
      <c r="K11" s="3"/>
      <c r="L11" s="3"/>
      <c r="M11" s="3"/>
      <c r="N11" s="3"/>
      <c r="O11" s="3"/>
      <c r="P11" s="3"/>
      <c r="Q11" s="3"/>
      <c r="R11" s="30"/>
      <c r="S11" s="136"/>
      <c r="T11" s="912"/>
      <c r="U11" s="912"/>
    </row>
    <row r="12" spans="1:21" ht="13.5" thickBot="1">
      <c r="A12" s="552"/>
      <c r="B12" s="554"/>
      <c r="C12" s="96"/>
      <c r="D12" s="96"/>
      <c r="E12" s="4"/>
      <c r="F12" s="555"/>
      <c r="G12" s="96"/>
      <c r="H12" s="229"/>
      <c r="I12" s="96"/>
      <c r="J12" s="96"/>
      <c r="K12" s="96"/>
      <c r="L12" s="96"/>
      <c r="M12" s="96"/>
      <c r="N12" s="96"/>
      <c r="O12" s="96"/>
      <c r="P12" s="96"/>
      <c r="Q12" s="96"/>
      <c r="R12" s="556"/>
      <c r="S12" s="136"/>
      <c r="T12" s="912"/>
      <c r="U12" s="912"/>
    </row>
    <row r="13" spans="1:21">
      <c r="A13" s="754" t="s">
        <v>140</v>
      </c>
      <c r="B13" s="539" t="s">
        <v>129</v>
      </c>
      <c r="C13" s="540"/>
      <c r="D13" s="540"/>
      <c r="E13" s="540"/>
      <c r="F13" s="562"/>
      <c r="G13" s="82"/>
      <c r="H13" s="82"/>
      <c r="I13" s="82"/>
      <c r="J13" s="82"/>
      <c r="K13" s="98"/>
      <c r="L13" s="3"/>
      <c r="M13" s="3"/>
      <c r="N13" s="3"/>
      <c r="O13" s="3"/>
      <c r="P13" s="3"/>
      <c r="Q13" s="3"/>
      <c r="R13" s="912"/>
      <c r="S13" s="912"/>
      <c r="T13" s="912"/>
      <c r="U13" s="912"/>
    </row>
    <row r="14" spans="1:21" ht="13.5" thickBot="1">
      <c r="A14" s="944"/>
      <c r="B14" s="945"/>
      <c r="C14" s="944" t="s">
        <v>817</v>
      </c>
      <c r="D14" s="944"/>
      <c r="E14" s="944"/>
      <c r="F14" s="563" t="s">
        <v>55</v>
      </c>
      <c r="G14" s="564"/>
      <c r="H14" s="564"/>
      <c r="I14" s="565" t="s">
        <v>56</v>
      </c>
      <c r="J14" s="564"/>
      <c r="K14" s="566"/>
      <c r="L14" s="3"/>
      <c r="M14" s="3"/>
      <c r="N14" s="3"/>
      <c r="O14" s="3"/>
      <c r="P14" s="3"/>
      <c r="Q14" s="4"/>
      <c r="R14" s="912"/>
      <c r="S14" s="912"/>
      <c r="T14" s="912"/>
      <c r="U14" s="914"/>
    </row>
    <row r="15" spans="1:21" ht="13">
      <c r="A15" s="942"/>
      <c r="B15" s="942">
        <v>1E-4</v>
      </c>
      <c r="C15" s="943">
        <f>((SIN(RADIANS(B15)))^2)/B15^2</f>
        <v>3.046174197863993E-4</v>
      </c>
      <c r="D15" s="942">
        <f>C15*1000000</f>
        <v>304.6174197863993</v>
      </c>
      <c r="E15" s="943">
        <f>D15/304.6174</f>
        <v>1.0000000649549217</v>
      </c>
      <c r="F15" s="252">
        <v>0</v>
      </c>
      <c r="G15" s="250" t="s">
        <v>859</v>
      </c>
      <c r="H15" s="250"/>
      <c r="I15" s="261">
        <f>(S7*B15)/79.76</f>
        <v>1.1892044697778975E-7</v>
      </c>
      <c r="J15" s="262" t="s">
        <v>43</v>
      </c>
      <c r="K15" s="89"/>
      <c r="L15" s="3"/>
      <c r="M15" s="3"/>
      <c r="N15" s="3"/>
      <c r="O15" s="3"/>
      <c r="P15" s="3"/>
      <c r="Q15" s="3"/>
      <c r="R15" s="912"/>
      <c r="S15" s="913"/>
      <c r="T15" s="912"/>
      <c r="U15" s="915"/>
    </row>
    <row r="16" spans="1:21" ht="13">
      <c r="A16" s="942"/>
      <c r="B16" s="942">
        <v>0.1</v>
      </c>
      <c r="C16" s="943">
        <f>((SIN(RADIANS(B16)))^2)/B16^2</f>
        <v>3.0461711048092603E-4</v>
      </c>
      <c r="D16" s="942">
        <f>C16*1000000</f>
        <v>304.61711048092604</v>
      </c>
      <c r="E16" s="942">
        <f t="shared" ref="E16:E81" si="0">D16/304.6174</f>
        <v>0.99999904956488395</v>
      </c>
      <c r="F16" s="713">
        <f>10*LOG10(E16)</f>
        <v>-4.1276892246433878E-6</v>
      </c>
      <c r="G16" s="250" t="s">
        <v>859</v>
      </c>
      <c r="H16" s="250"/>
      <c r="I16" s="251">
        <f>(S7*B16)/79.76</f>
        <v>1.1892044697778976E-4</v>
      </c>
      <c r="J16" s="88"/>
      <c r="K16" s="89"/>
      <c r="L16" s="3"/>
      <c r="M16" s="3"/>
      <c r="N16" s="3"/>
      <c r="O16" s="3"/>
      <c r="P16" s="3"/>
      <c r="Q16" s="3"/>
      <c r="R16" s="912"/>
      <c r="S16" s="912"/>
      <c r="T16" s="912"/>
      <c r="U16" s="916"/>
    </row>
    <row r="17" spans="1:21" ht="13">
      <c r="A17" s="942" t="s">
        <v>817</v>
      </c>
      <c r="B17" s="942">
        <v>3.5</v>
      </c>
      <c r="C17" s="942">
        <f>((SIN(RADIANS(B17)))^2)/B17^2</f>
        <v>3.0423870851746797E-4</v>
      </c>
      <c r="D17" s="942">
        <f>C17*1000000</f>
        <v>304.23870851746796</v>
      </c>
      <c r="E17" s="942">
        <f t="shared" si="0"/>
        <v>0.99875682911569719</v>
      </c>
      <c r="F17" s="252">
        <f>10*LOG10(E17)</f>
        <v>-5.4023812889198589E-3</v>
      </c>
      <c r="G17" s="250" t="s">
        <v>859</v>
      </c>
      <c r="H17" s="250" t="s">
        <v>817</v>
      </c>
      <c r="I17" s="251">
        <f>(S7*B17)/79.76</f>
        <v>4.1622156442226417E-3</v>
      </c>
      <c r="J17" s="88" t="s">
        <v>817</v>
      </c>
      <c r="K17" s="89"/>
      <c r="L17" s="3"/>
      <c r="M17" s="3"/>
      <c r="N17" s="3"/>
      <c r="O17" s="3"/>
      <c r="P17" s="3"/>
      <c r="Q17" s="3"/>
      <c r="R17" s="912"/>
      <c r="S17" s="912"/>
      <c r="T17" s="912"/>
      <c r="U17" s="917"/>
    </row>
    <row r="18" spans="1:21" ht="13">
      <c r="A18" s="942"/>
      <c r="B18" s="942">
        <v>10</v>
      </c>
      <c r="C18" s="942">
        <f t="shared" ref="C18:C24" si="1">((SIN(RADIANS(B18)))^2)/B18^2</f>
        <v>3.0153689607045805E-4</v>
      </c>
      <c r="D18" s="942">
        <f t="shared" ref="D18:D83" si="2">C18*1000000</f>
        <v>301.53689607045806</v>
      </c>
      <c r="E18" s="942">
        <f t="shared" si="0"/>
        <v>0.98988730148198389</v>
      </c>
      <c r="F18" s="252">
        <f>10*LOG10(E18)</f>
        <v>-4.4142469484505009E-2</v>
      </c>
      <c r="G18" s="250" t="s">
        <v>859</v>
      </c>
      <c r="H18" s="250"/>
      <c r="I18" s="251">
        <f>(S7*B18)/79.76</f>
        <v>1.1892044697778974E-2</v>
      </c>
      <c r="J18" s="88"/>
      <c r="K18" s="89"/>
      <c r="L18" s="3"/>
      <c r="M18" s="3"/>
      <c r="N18" s="3"/>
      <c r="O18" s="3"/>
      <c r="P18" s="3"/>
      <c r="Q18" s="30"/>
      <c r="R18" s="912"/>
      <c r="S18" s="912"/>
      <c r="T18" s="912"/>
      <c r="U18" s="917"/>
    </row>
    <row r="19" spans="1:21" ht="13">
      <c r="A19" s="942"/>
      <c r="B19" s="942">
        <v>25</v>
      </c>
      <c r="C19" s="942">
        <f t="shared" si="1"/>
        <v>2.8576991225076853E-4</v>
      </c>
      <c r="D19" s="942">
        <f t="shared" si="2"/>
        <v>285.76991225076853</v>
      </c>
      <c r="E19" s="942">
        <f t="shared" si="0"/>
        <v>0.93812734351605831</v>
      </c>
      <c r="F19" s="254">
        <f t="shared" ref="F19:F84" si="3">10*LOG10(E19)</f>
        <v>-0.27738205509447322</v>
      </c>
      <c r="G19" s="250" t="s">
        <v>859</v>
      </c>
      <c r="H19" s="250"/>
      <c r="I19" s="253">
        <f>(S7*B19)/79.76</f>
        <v>2.9730111744447441E-2</v>
      </c>
      <c r="J19" s="88"/>
      <c r="K19" s="89"/>
      <c r="L19" s="3"/>
      <c r="M19" s="3"/>
      <c r="N19" s="3"/>
      <c r="O19" s="3"/>
      <c r="P19" s="3"/>
      <c r="Q19" s="558"/>
      <c r="R19" s="912"/>
      <c r="S19" s="912"/>
      <c r="T19" s="912"/>
      <c r="U19" s="917"/>
    </row>
    <row r="20" spans="1:21" ht="13">
      <c r="A20" s="942"/>
      <c r="B20" s="942">
        <v>30</v>
      </c>
      <c r="C20" s="942">
        <f t="shared" si="1"/>
        <v>2.7777777777777772E-4</v>
      </c>
      <c r="D20" s="942">
        <f t="shared" si="2"/>
        <v>277.77777777777771</v>
      </c>
      <c r="E20" s="942">
        <f t="shared" si="0"/>
        <v>0.91189071201375149</v>
      </c>
      <c r="F20" s="254">
        <f t="shared" si="3"/>
        <v>-0.4005720773893886</v>
      </c>
      <c r="G20" s="250" t="s">
        <v>859</v>
      </c>
      <c r="H20" s="250"/>
      <c r="I20" s="253">
        <f>(S7*B20)/79.76</f>
        <v>3.5676134093336927E-2</v>
      </c>
      <c r="J20" s="88"/>
      <c r="K20" s="89"/>
      <c r="L20" s="3"/>
      <c r="M20" s="3"/>
      <c r="N20" s="3"/>
      <c r="O20" s="3"/>
      <c r="P20" s="3"/>
      <c r="Q20" s="558"/>
      <c r="R20" s="912"/>
      <c r="S20" s="912"/>
      <c r="T20" s="912"/>
      <c r="U20" s="917"/>
    </row>
    <row r="21" spans="1:21" ht="13">
      <c r="A21" s="942"/>
      <c r="B21" s="942">
        <v>40</v>
      </c>
      <c r="C21" s="942">
        <f t="shared" si="1"/>
        <v>2.5823494447908422E-4</v>
      </c>
      <c r="D21" s="942">
        <f t="shared" si="2"/>
        <v>258.23494447908422</v>
      </c>
      <c r="E21" s="942">
        <f t="shared" si="0"/>
        <v>0.84773537059630943</v>
      </c>
      <c r="F21" s="254">
        <f t="shared" si="3"/>
        <v>-0.71739696122706598</v>
      </c>
      <c r="G21" s="250" t="s">
        <v>859</v>
      </c>
      <c r="H21" s="250"/>
      <c r="I21" s="951">
        <f>(S7*B21)/79.76</f>
        <v>4.7568178791115898E-2</v>
      </c>
      <c r="J21" s="88" t="s">
        <v>817</v>
      </c>
      <c r="K21" s="89"/>
      <c r="L21" s="3"/>
      <c r="M21" s="3"/>
      <c r="N21" s="3"/>
      <c r="O21" s="3"/>
      <c r="P21" s="3"/>
      <c r="Q21" s="558"/>
      <c r="R21" s="912"/>
      <c r="S21" s="912"/>
      <c r="T21" s="912"/>
      <c r="U21" s="917"/>
    </row>
    <row r="22" spans="1:21" ht="13">
      <c r="A22" s="942"/>
      <c r="B22" s="942">
        <v>47</v>
      </c>
      <c r="C22" s="942">
        <f t="shared" si="1"/>
        <v>2.4213591528839411E-4</v>
      </c>
      <c r="D22" s="942">
        <f t="shared" si="2"/>
        <v>242.1359152883941</v>
      </c>
      <c r="E22" s="942">
        <f t="shared" si="0"/>
        <v>0.79488537190716657</v>
      </c>
      <c r="F22" s="935">
        <f t="shared" si="3"/>
        <v>-0.99695495164283776</v>
      </c>
      <c r="G22" s="936" t="s">
        <v>859</v>
      </c>
      <c r="H22" s="936"/>
      <c r="I22" s="941">
        <f>(S7*B22)/79.76</f>
        <v>5.5892610079561179E-2</v>
      </c>
      <c r="J22" s="938"/>
      <c r="K22" s="939"/>
      <c r="L22" s="3"/>
      <c r="M22" s="3"/>
      <c r="N22" s="3"/>
      <c r="O22" s="3"/>
      <c r="P22" s="3"/>
      <c r="Q22" s="558"/>
      <c r="R22" s="912"/>
      <c r="S22" s="912"/>
      <c r="T22" s="912"/>
      <c r="U22" s="918"/>
    </row>
    <row r="23" spans="1:21" ht="13">
      <c r="A23" s="942"/>
      <c r="B23" s="942">
        <v>56.5</v>
      </c>
      <c r="C23" s="942">
        <f t="shared" si="1"/>
        <v>2.1782929414821425E-4</v>
      </c>
      <c r="D23" s="942">
        <f t="shared" si="2"/>
        <v>217.82929414821425</v>
      </c>
      <c r="E23" s="942">
        <f t="shared" si="0"/>
        <v>0.71509143649776497</v>
      </c>
      <c r="F23" s="254">
        <f t="shared" si="3"/>
        <v>-1.4563842277584849</v>
      </c>
      <c r="G23" s="250" t="s">
        <v>859</v>
      </c>
      <c r="H23" s="250"/>
      <c r="I23" s="253">
        <f>(S7*B23)/79.76</f>
        <v>6.7190052542451209E-2</v>
      </c>
      <c r="J23" s="88" t="s">
        <v>817</v>
      </c>
      <c r="K23" s="89"/>
      <c r="L23" s="3"/>
      <c r="M23" s="3"/>
      <c r="N23" s="3"/>
      <c r="O23" s="3"/>
      <c r="P23" s="3"/>
      <c r="Q23" s="558"/>
      <c r="R23" s="912"/>
      <c r="S23" s="912"/>
      <c r="T23" s="912"/>
      <c r="U23" s="918"/>
    </row>
    <row r="24" spans="1:21" ht="13">
      <c r="A24" s="942"/>
      <c r="B24" s="942">
        <v>60</v>
      </c>
      <c r="C24" s="942">
        <f t="shared" si="1"/>
        <v>2.0833333333333329E-4</v>
      </c>
      <c r="D24" s="942">
        <f t="shared" si="2"/>
        <v>208.33333333333329</v>
      </c>
      <c r="E24" s="942">
        <f t="shared" si="0"/>
        <v>0.68391803401031359</v>
      </c>
      <c r="F24" s="254">
        <f t="shared" si="3"/>
        <v>-1.6499594434723883</v>
      </c>
      <c r="G24" s="250" t="s">
        <v>859</v>
      </c>
      <c r="H24" s="250"/>
      <c r="I24" s="253">
        <f>(S7*B24)/79.76</f>
        <v>7.1352268186673853E-2</v>
      </c>
      <c r="J24" s="88"/>
      <c r="K24" s="89"/>
      <c r="L24" s="3"/>
      <c r="M24" s="3"/>
      <c r="N24" s="3"/>
      <c r="O24" s="3"/>
      <c r="P24" s="3"/>
      <c r="Q24" s="558"/>
      <c r="R24" s="912"/>
      <c r="S24" s="912"/>
      <c r="T24" s="912"/>
      <c r="U24" s="918"/>
    </row>
    <row r="25" spans="1:21" ht="13">
      <c r="A25" s="942"/>
      <c r="B25" s="942">
        <v>65</v>
      </c>
      <c r="C25" s="942">
        <f t="shared" ref="C25:C56" si="4">((SIN(RADIANS(B25)))^2)/B25^2</f>
        <v>1.9441273487414665E-4</v>
      </c>
      <c r="D25" s="942">
        <f>C25*1000000</f>
        <v>194.41273487414665</v>
      </c>
      <c r="E25" s="942">
        <f>D25/304.6174</f>
        <v>0.63821940202413474</v>
      </c>
      <c r="F25" s="940">
        <f>10*LOG10(E25)</f>
        <v>-1.9502999728456567</v>
      </c>
      <c r="G25" s="936" t="s">
        <v>859</v>
      </c>
      <c r="H25" s="936"/>
      <c r="I25" s="941">
        <f>(S7*B25)/79.76</f>
        <v>7.7298290535563335E-2</v>
      </c>
      <c r="J25" s="938"/>
      <c r="K25" s="939"/>
      <c r="L25" s="3"/>
      <c r="M25" s="3" t="s">
        <v>817</v>
      </c>
      <c r="N25" s="3"/>
      <c r="O25" s="3"/>
      <c r="P25" s="3"/>
      <c r="Q25" s="558"/>
      <c r="R25" s="921"/>
      <c r="S25" s="921"/>
      <c r="T25" s="921"/>
      <c r="U25" s="918"/>
    </row>
    <row r="26" spans="1:21" ht="13">
      <c r="A26" s="942"/>
      <c r="B26" s="942">
        <v>70</v>
      </c>
      <c r="C26" s="942">
        <f t="shared" si="4"/>
        <v>1.8020861664479364E-4</v>
      </c>
      <c r="D26" s="942">
        <f t="shared" si="2"/>
        <v>180.20861664479364</v>
      </c>
      <c r="E26" s="942">
        <f t="shared" si="0"/>
        <v>0.59159002947564276</v>
      </c>
      <c r="F26" s="254">
        <f t="shared" si="3"/>
        <v>-2.2797915411429233</v>
      </c>
      <c r="G26" s="250" t="s">
        <v>859</v>
      </c>
      <c r="H26" s="250"/>
      <c r="I26" s="253">
        <f>(S7*B26)/79.76</f>
        <v>8.3244312884452831E-2</v>
      </c>
      <c r="J26" s="88"/>
      <c r="K26" s="89"/>
      <c r="L26" s="3"/>
      <c r="M26" s="3"/>
      <c r="N26" s="3"/>
      <c r="O26" s="3"/>
      <c r="P26" s="3"/>
      <c r="Q26" s="559"/>
      <c r="R26" s="912"/>
      <c r="S26" s="913"/>
      <c r="T26" s="912"/>
      <c r="U26" s="916"/>
    </row>
    <row r="27" spans="1:21" ht="13">
      <c r="A27" s="942"/>
      <c r="B27" s="942">
        <v>79.760000000000005</v>
      </c>
      <c r="C27" s="942">
        <f t="shared" si="4"/>
        <v>1.5222403494475541E-4</v>
      </c>
      <c r="D27" s="942">
        <f t="shared" si="2"/>
        <v>152.2240349447554</v>
      </c>
      <c r="E27" s="942">
        <f t="shared" si="0"/>
        <v>0.49972206100096517</v>
      </c>
      <c r="F27" s="946">
        <f t="shared" si="3"/>
        <v>-3.0127147753460362</v>
      </c>
      <c r="G27" s="947" t="s">
        <v>859</v>
      </c>
      <c r="H27" s="947"/>
      <c r="I27" s="948">
        <f>(S7*B27)/79.76</f>
        <v>9.4850948509485111E-2</v>
      </c>
      <c r="J27" s="949" t="s">
        <v>53</v>
      </c>
      <c r="K27" s="950"/>
      <c r="L27" s="3"/>
      <c r="M27" s="3"/>
      <c r="N27" s="3"/>
      <c r="O27" s="3"/>
      <c r="P27" s="3"/>
      <c r="Q27" s="560"/>
      <c r="R27" s="912"/>
      <c r="S27" s="912"/>
      <c r="T27" s="912"/>
      <c r="U27" s="918"/>
    </row>
    <row r="28" spans="1:21" ht="13">
      <c r="A28" s="942"/>
      <c r="B28" s="942">
        <v>80</v>
      </c>
      <c r="C28" s="942">
        <f t="shared" si="4"/>
        <v>1.5153848599889908E-4</v>
      </c>
      <c r="D28" s="942">
        <f t="shared" si="2"/>
        <v>151.53848599889909</v>
      </c>
      <c r="E28" s="942">
        <f t="shared" si="0"/>
        <v>0.49747153642207931</v>
      </c>
      <c r="F28" s="252">
        <f t="shared" si="3"/>
        <v>-3.032317630156677</v>
      </c>
      <c r="G28" s="250" t="s">
        <v>859</v>
      </c>
      <c r="H28" s="250"/>
      <c r="I28" s="253">
        <f>(S7*B28)/79.76</f>
        <v>9.5136357582231795E-2</v>
      </c>
      <c r="J28" s="88" t="s">
        <v>817</v>
      </c>
      <c r="K28" s="89"/>
      <c r="L28" s="3"/>
      <c r="M28" s="3"/>
      <c r="N28" s="3"/>
      <c r="O28" s="3"/>
      <c r="P28" s="3"/>
      <c r="Q28" s="558"/>
      <c r="R28" s="912"/>
      <c r="S28" s="912"/>
      <c r="T28" s="912"/>
      <c r="U28" s="918"/>
    </row>
    <row r="29" spans="1:21" ht="13">
      <c r="A29" s="942"/>
      <c r="B29" s="942">
        <v>90.8</v>
      </c>
      <c r="C29" s="942">
        <f t="shared" si="4"/>
        <v>1.2126727880419004E-4</v>
      </c>
      <c r="D29" s="942">
        <f t="shared" si="2"/>
        <v>121.26727880419004</v>
      </c>
      <c r="E29" s="942">
        <f t="shared" si="0"/>
        <v>0.39809701876580278</v>
      </c>
      <c r="F29" s="935">
        <f t="shared" si="3"/>
        <v>-4.000110747103232</v>
      </c>
      <c r="G29" s="936" t="s">
        <v>859</v>
      </c>
      <c r="H29" s="936"/>
      <c r="I29" s="937">
        <f>(S7*B29)/79.76</f>
        <v>0.10797976585583309</v>
      </c>
      <c r="J29" s="938"/>
      <c r="K29" s="939"/>
      <c r="L29" s="3"/>
      <c r="M29" s="3"/>
      <c r="N29" s="3"/>
      <c r="O29" s="3"/>
      <c r="P29" s="3"/>
      <c r="Q29" s="558"/>
      <c r="R29" s="912"/>
      <c r="S29" s="912"/>
      <c r="T29" s="912"/>
      <c r="U29" s="918"/>
    </row>
    <row r="30" spans="1:21" ht="13">
      <c r="A30" s="942"/>
      <c r="B30" s="942">
        <v>100</v>
      </c>
      <c r="C30" s="942">
        <f t="shared" si="4"/>
        <v>9.6984631039295408E-5</v>
      </c>
      <c r="D30" s="942">
        <f t="shared" si="2"/>
        <v>96.984631039295408</v>
      </c>
      <c r="E30" s="942">
        <f t="shared" si="0"/>
        <v>0.31838178331013073</v>
      </c>
      <c r="F30" s="940">
        <f t="shared" si="3"/>
        <v>-4.9705178903178053</v>
      </c>
      <c r="G30" s="936" t="s">
        <v>859</v>
      </c>
      <c r="H30" s="936"/>
      <c r="I30" s="941">
        <f>(S7*B30)/79.76</f>
        <v>0.11892044697778976</v>
      </c>
      <c r="J30" s="938"/>
      <c r="K30" s="939"/>
      <c r="L30" s="3"/>
      <c r="M30" s="3"/>
      <c r="N30" s="3"/>
      <c r="O30" s="3"/>
      <c r="P30" s="3"/>
      <c r="Q30" s="558"/>
      <c r="R30" s="912"/>
      <c r="S30" s="912"/>
      <c r="T30" s="912"/>
      <c r="U30" s="918"/>
    </row>
    <row r="31" spans="1:21" ht="13">
      <c r="A31" s="942"/>
      <c r="B31" s="942">
        <v>110</v>
      </c>
      <c r="C31" s="942">
        <f t="shared" si="4"/>
        <v>7.2977043104090002E-5</v>
      </c>
      <c r="D31" s="942">
        <f t="shared" si="2"/>
        <v>72.977043104090001</v>
      </c>
      <c r="E31" s="942">
        <f t="shared" si="0"/>
        <v>0.23956951606864876</v>
      </c>
      <c r="F31" s="254">
        <f t="shared" si="3"/>
        <v>-6.2056844440222871</v>
      </c>
      <c r="G31" s="250" t="s">
        <v>859</v>
      </c>
      <c r="H31" s="250"/>
      <c r="I31" s="253">
        <f>(S7*B31)/79.76</f>
        <v>0.13081249167556874</v>
      </c>
      <c r="J31" s="88"/>
      <c r="K31" s="89"/>
      <c r="L31" s="3"/>
      <c r="M31" s="3"/>
      <c r="N31" s="3"/>
      <c r="O31" s="3"/>
      <c r="P31" s="3"/>
      <c r="Q31" s="558"/>
      <c r="R31" s="912"/>
      <c r="S31" s="912"/>
      <c r="T31" s="912"/>
      <c r="U31" s="918"/>
    </row>
    <row r="32" spans="1:21" ht="13">
      <c r="A32" s="942"/>
      <c r="B32" s="942">
        <v>122</v>
      </c>
      <c r="C32" s="942">
        <f t="shared" si="4"/>
        <v>4.8319374724169503E-5</v>
      </c>
      <c r="D32" s="942">
        <f t="shared" si="2"/>
        <v>48.319374724169499</v>
      </c>
      <c r="E32" s="942">
        <f t="shared" si="0"/>
        <v>0.15862316047661593</v>
      </c>
      <c r="F32" s="940">
        <f t="shared" si="3"/>
        <v>-7.9963340130062619</v>
      </c>
      <c r="G32" s="936" t="s">
        <v>859</v>
      </c>
      <c r="H32" s="936"/>
      <c r="I32" s="937">
        <f>(S7*B32)/79.76</f>
        <v>0.1450829453129035</v>
      </c>
      <c r="J32" s="938"/>
      <c r="K32" s="939"/>
      <c r="L32" s="3"/>
      <c r="M32" s="3"/>
      <c r="N32" s="3"/>
      <c r="O32" s="3"/>
      <c r="P32" s="3"/>
      <c r="Q32" s="558"/>
      <c r="R32" s="912"/>
      <c r="S32" s="912"/>
      <c r="T32" s="912"/>
      <c r="U32" s="918"/>
    </row>
    <row r="33" spans="1:21" ht="13">
      <c r="A33" s="942"/>
      <c r="B33" s="942">
        <v>130</v>
      </c>
      <c r="C33" s="942">
        <f t="shared" si="4"/>
        <v>3.4723318865885511E-5</v>
      </c>
      <c r="D33" s="942">
        <f t="shared" si="2"/>
        <v>34.72331886588551</v>
      </c>
      <c r="E33" s="942">
        <f t="shared" si="0"/>
        <v>0.11398993907073435</v>
      </c>
      <c r="F33" s="254">
        <f t="shared" si="3"/>
        <v>-9.4313347847828624</v>
      </c>
      <c r="G33" s="250" t="s">
        <v>859</v>
      </c>
      <c r="H33" s="250"/>
      <c r="I33" s="253">
        <f>(S7*B33)/79.76</f>
        <v>0.15459658107112667</v>
      </c>
      <c r="J33" s="88"/>
      <c r="K33" s="89"/>
      <c r="L33" s="3"/>
      <c r="M33" s="3"/>
      <c r="N33" s="3"/>
      <c r="O33" s="3"/>
      <c r="P33" s="3"/>
      <c r="Q33" s="558"/>
      <c r="R33" s="912"/>
      <c r="S33" s="912"/>
      <c r="T33" s="912"/>
      <c r="U33" s="918"/>
    </row>
    <row r="34" spans="1:21" ht="13">
      <c r="A34" s="942"/>
      <c r="B34" s="942">
        <v>132.85</v>
      </c>
      <c r="C34" s="942">
        <f t="shared" si="4"/>
        <v>3.0454169232105675E-5</v>
      </c>
      <c r="D34" s="942">
        <f>C34*1000000</f>
        <v>30.454169232105674</v>
      </c>
      <c r="E34" s="942">
        <f>D34/304.6174</f>
        <v>9.9975146633467668E-2</v>
      </c>
      <c r="F34" s="935">
        <f>10*LOG10(E34)</f>
        <v>-10.001079502146041</v>
      </c>
      <c r="G34" s="936" t="s">
        <v>859</v>
      </c>
      <c r="H34" s="936"/>
      <c r="I34" s="941">
        <f>(S7*B34)/79.76</f>
        <v>0.15798581380999369</v>
      </c>
      <c r="J34" s="938"/>
      <c r="K34" s="939"/>
      <c r="L34" s="3"/>
      <c r="M34" s="3"/>
      <c r="N34" s="3"/>
      <c r="O34" s="3"/>
      <c r="P34" s="3"/>
      <c r="Q34" s="558"/>
      <c r="R34" s="921"/>
      <c r="S34" s="921"/>
      <c r="T34" s="921"/>
      <c r="U34" s="918"/>
    </row>
    <row r="35" spans="1:21" ht="13">
      <c r="A35" s="942"/>
      <c r="B35" s="942">
        <v>140</v>
      </c>
      <c r="C35" s="942">
        <f t="shared" si="4"/>
        <v>2.1080403630945664E-5</v>
      </c>
      <c r="D35" s="942">
        <f t="shared" si="2"/>
        <v>21.080403630945664</v>
      </c>
      <c r="E35" s="942">
        <f t="shared" si="0"/>
        <v>6.9202887395617141E-2</v>
      </c>
      <c r="F35" s="254">
        <f t="shared" si="3"/>
        <v>-11.598757848232577</v>
      </c>
      <c r="G35" s="250" t="s">
        <v>859</v>
      </c>
      <c r="H35" s="250"/>
      <c r="I35" s="253">
        <f>(S7*B35)/79.76</f>
        <v>0.16648862576890566</v>
      </c>
      <c r="J35" s="88" t="s">
        <v>817</v>
      </c>
      <c r="K35" s="89"/>
      <c r="L35" s="3"/>
      <c r="M35" s="3"/>
      <c r="N35" s="3"/>
      <c r="O35" s="3"/>
      <c r="P35" s="3"/>
      <c r="Q35" s="558"/>
      <c r="R35" s="912"/>
      <c r="S35" s="912"/>
      <c r="T35" s="912"/>
      <c r="U35" s="918"/>
    </row>
    <row r="36" spans="1:21" ht="13">
      <c r="A36" s="942"/>
      <c r="B36" s="942">
        <v>150</v>
      </c>
      <c r="C36" s="942">
        <f t="shared" si="4"/>
        <v>1.1111111111111108E-5</v>
      </c>
      <c r="D36" s="942">
        <f t="shared" si="2"/>
        <v>11.111111111111109</v>
      </c>
      <c r="E36" s="942">
        <f t="shared" si="0"/>
        <v>3.6475628480550061E-2</v>
      </c>
      <c r="F36" s="254">
        <f t="shared" si="3"/>
        <v>-14.379972164109764</v>
      </c>
      <c r="G36" s="250" t="s">
        <v>859</v>
      </c>
      <c r="H36" s="250"/>
      <c r="I36" s="253">
        <f>(S7*B36)/79.76</f>
        <v>0.17838067046668463</v>
      </c>
      <c r="J36" s="88"/>
      <c r="K36" s="89"/>
      <c r="L36" s="3"/>
      <c r="M36" s="3"/>
      <c r="N36" s="3"/>
      <c r="O36" s="3"/>
      <c r="P36" s="3"/>
      <c r="Q36" s="558"/>
      <c r="R36" s="912"/>
      <c r="S36" s="912"/>
      <c r="T36" s="912"/>
      <c r="U36" s="918"/>
    </row>
    <row r="37" spans="1:21" ht="13">
      <c r="A37" s="942"/>
      <c r="B37" s="942">
        <v>160</v>
      </c>
      <c r="C37" s="942">
        <f t="shared" si="4"/>
        <v>4.5694444703324642E-6</v>
      </c>
      <c r="D37" s="942">
        <f t="shared" si="2"/>
        <v>4.5694444703324644</v>
      </c>
      <c r="E37" s="942">
        <f t="shared" si="0"/>
        <v>1.5000602297611576E-2</v>
      </c>
      <c r="F37" s="254">
        <f t="shared" si="3"/>
        <v>-18.23891302992466</v>
      </c>
      <c r="G37" s="250" t="s">
        <v>859</v>
      </c>
      <c r="H37" s="250"/>
      <c r="I37" s="253">
        <f>(S7*B37)/79.76</f>
        <v>0.19027271516446359</v>
      </c>
      <c r="J37" s="88"/>
      <c r="K37" s="89"/>
      <c r="L37" s="3"/>
      <c r="M37" s="3"/>
      <c r="N37" s="3"/>
      <c r="O37" s="3"/>
      <c r="P37" s="3"/>
      <c r="Q37" s="558"/>
      <c r="R37" s="912"/>
      <c r="S37" s="912"/>
      <c r="T37" s="912"/>
      <c r="U37" s="918"/>
    </row>
    <row r="38" spans="1:21" ht="13">
      <c r="A38" s="942">
        <v>170</v>
      </c>
      <c r="B38" s="942">
        <v>172.5</v>
      </c>
      <c r="C38" s="942">
        <f t="shared" si="4"/>
        <v>5.7255490377536986E-7</v>
      </c>
      <c r="D38" s="942">
        <f t="shared" si="2"/>
        <v>0.57255490377536988</v>
      </c>
      <c r="E38" s="942">
        <f t="shared" si="0"/>
        <v>1.8795869959344737E-3</v>
      </c>
      <c r="F38" s="254">
        <f t="shared" si="3"/>
        <v>-27.259375683380821</v>
      </c>
      <c r="G38" s="250" t="s">
        <v>859</v>
      </c>
      <c r="H38" s="250"/>
      <c r="I38" s="251">
        <f>(S7*B38)/79.76</f>
        <v>0.20513777103668729</v>
      </c>
      <c r="J38" s="88"/>
      <c r="K38" s="89"/>
      <c r="L38" s="3"/>
      <c r="M38" s="3"/>
      <c r="N38" s="3"/>
      <c r="O38" s="3"/>
      <c r="P38" s="3"/>
      <c r="Q38" s="558"/>
      <c r="R38" s="912"/>
      <c r="S38" s="912"/>
      <c r="T38" s="912"/>
      <c r="U38" s="918"/>
    </row>
    <row r="39" spans="1:21" ht="13">
      <c r="A39" s="942"/>
      <c r="B39" s="942">
        <v>180</v>
      </c>
      <c r="C39" s="942">
        <f t="shared" si="4"/>
        <v>4.6326812856943794E-37</v>
      </c>
      <c r="D39" s="942">
        <f t="shared" si="2"/>
        <v>4.6326812856943792E-31</v>
      </c>
      <c r="E39" s="942">
        <f t="shared" si="0"/>
        <v>1.5208196530120668E-33</v>
      </c>
      <c r="F39" s="255">
        <f t="shared" si="3"/>
        <v>-328.17922283873054</v>
      </c>
      <c r="G39" s="250" t="s">
        <v>859</v>
      </c>
      <c r="H39" s="250"/>
      <c r="I39" s="256">
        <f>(S7*B39)/79.76</f>
        <v>0.21405680456002157</v>
      </c>
      <c r="J39" s="189" t="s">
        <v>44</v>
      </c>
      <c r="K39" s="89"/>
      <c r="L39" s="3"/>
      <c r="M39" s="3"/>
      <c r="N39" s="3"/>
      <c r="O39" s="3"/>
      <c r="P39" s="3"/>
      <c r="Q39" s="558"/>
      <c r="R39" s="912"/>
      <c r="S39" s="912"/>
      <c r="T39" s="912"/>
      <c r="U39" s="918"/>
    </row>
    <row r="40" spans="1:21" ht="13">
      <c r="A40" s="942"/>
      <c r="B40" s="942">
        <v>190</v>
      </c>
      <c r="C40" s="942">
        <f t="shared" si="4"/>
        <v>8.3528226058298746E-7</v>
      </c>
      <c r="D40" s="942">
        <f t="shared" si="2"/>
        <v>0.83528226058298749</v>
      </c>
      <c r="E40" s="942">
        <f t="shared" si="0"/>
        <v>2.7420700872077155E-3</v>
      </c>
      <c r="F40" s="254">
        <f t="shared" si="3"/>
        <v>-25.619214488541079</v>
      </c>
      <c r="G40" s="250" t="s">
        <v>859</v>
      </c>
      <c r="H40" s="250"/>
      <c r="I40" s="253">
        <f>(S7*B40)/79.76</f>
        <v>0.22594884925780051</v>
      </c>
      <c r="J40" s="88"/>
      <c r="K40" s="89"/>
      <c r="L40" s="3"/>
      <c r="M40" s="3"/>
      <c r="N40" s="3"/>
      <c r="O40" s="3"/>
      <c r="P40" s="3"/>
      <c r="Q40" s="558"/>
      <c r="R40" s="912"/>
      <c r="S40" s="912"/>
      <c r="T40" s="912"/>
      <c r="U40" s="918"/>
    </row>
    <row r="41" spans="1:21" ht="13">
      <c r="A41" s="942"/>
      <c r="B41" s="942">
        <v>200</v>
      </c>
      <c r="C41" s="942">
        <f t="shared" si="4"/>
        <v>2.924444461012773E-6</v>
      </c>
      <c r="D41" s="942">
        <f t="shared" si="2"/>
        <v>2.9244444610127731</v>
      </c>
      <c r="E41" s="942">
        <f t="shared" si="0"/>
        <v>9.6003854704713957E-3</v>
      </c>
      <c r="F41" s="254">
        <f t="shared" si="3"/>
        <v>-20.177113290085799</v>
      </c>
      <c r="G41" s="250" t="s">
        <v>859</v>
      </c>
      <c r="H41" s="250"/>
      <c r="I41" s="253">
        <f>(S7*B41)/79.76</f>
        <v>0.23784089395557953</v>
      </c>
      <c r="J41" s="88"/>
      <c r="K41" s="89"/>
      <c r="L41" s="3"/>
      <c r="M41" s="3"/>
      <c r="N41" s="3"/>
      <c r="O41" s="3"/>
      <c r="P41" s="3"/>
      <c r="Q41" s="558"/>
      <c r="R41" s="912"/>
      <c r="S41" s="912"/>
      <c r="T41" s="912"/>
      <c r="U41" s="918"/>
    </row>
    <row r="42" spans="1:21" ht="13">
      <c r="A42" s="942"/>
      <c r="B42" s="942">
        <v>210</v>
      </c>
      <c r="C42" s="942">
        <f t="shared" si="4"/>
        <v>5.6689342403628144E-6</v>
      </c>
      <c r="D42" s="942">
        <f t="shared" si="2"/>
        <v>5.6689342403628142</v>
      </c>
      <c r="E42" s="942">
        <f t="shared" si="0"/>
        <v>1.86100145308929E-2</v>
      </c>
      <c r="F42" s="254">
        <f t="shared" si="3"/>
        <v>-17.302532877674523</v>
      </c>
      <c r="G42" s="250" t="s">
        <v>859</v>
      </c>
      <c r="H42" s="250"/>
      <c r="I42" s="253">
        <f>(S7*B42)/79.76</f>
        <v>0.24973293865335847</v>
      </c>
      <c r="J42" s="88"/>
      <c r="K42" s="89"/>
      <c r="L42" s="3"/>
      <c r="M42" s="3"/>
      <c r="N42" s="3"/>
      <c r="O42" s="3"/>
      <c r="P42" s="3"/>
      <c r="Q42" s="558"/>
      <c r="R42" s="912"/>
      <c r="S42" s="912"/>
      <c r="T42" s="912"/>
      <c r="U42" s="918"/>
    </row>
    <row r="43" spans="1:21" ht="13">
      <c r="A43" s="942"/>
      <c r="B43" s="942">
        <v>220</v>
      </c>
      <c r="C43" s="942">
        <f t="shared" si="4"/>
        <v>8.5366923794738577E-6</v>
      </c>
      <c r="D43" s="942">
        <f t="shared" si="2"/>
        <v>8.5366923794738572</v>
      </c>
      <c r="E43" s="942">
        <f t="shared" si="0"/>
        <v>2.8024309771778822E-2</v>
      </c>
      <c r="F43" s="254">
        <f t="shared" si="3"/>
        <v>-15.524650751111944</v>
      </c>
      <c r="G43" s="250" t="s">
        <v>859</v>
      </c>
      <c r="H43" s="250"/>
      <c r="I43" s="253">
        <f>(S7*B43)/79.76</f>
        <v>0.26162498335113749</v>
      </c>
      <c r="J43" s="88"/>
      <c r="K43" s="89"/>
      <c r="L43" s="3"/>
      <c r="M43" s="3"/>
      <c r="N43" s="3"/>
      <c r="O43" s="3"/>
      <c r="P43" s="3"/>
      <c r="Q43" s="558"/>
      <c r="R43" s="912"/>
      <c r="S43" s="912"/>
      <c r="T43" s="912"/>
      <c r="U43" s="918"/>
    </row>
    <row r="44" spans="1:21" ht="13">
      <c r="A44" s="942"/>
      <c r="B44" s="942">
        <v>230</v>
      </c>
      <c r="C44" s="942">
        <f t="shared" si="4"/>
        <v>1.1093082964715783E-5</v>
      </c>
      <c r="D44" s="942">
        <f t="shared" si="2"/>
        <v>11.093082964715784</v>
      </c>
      <c r="E44" s="942">
        <f t="shared" si="0"/>
        <v>3.6416445563240266E-2</v>
      </c>
      <c r="F44" s="254">
        <f t="shared" si="3"/>
        <v>-14.387024458997985</v>
      </c>
      <c r="G44" s="250" t="s">
        <v>859</v>
      </c>
      <c r="H44" s="250"/>
      <c r="I44" s="253">
        <f>(S7*B44)/79.76</f>
        <v>0.27351702804891642</v>
      </c>
      <c r="J44" s="88"/>
      <c r="K44" s="89"/>
      <c r="L44" s="3"/>
      <c r="M44" s="3"/>
      <c r="N44" s="3"/>
      <c r="O44" s="3"/>
      <c r="P44" s="3"/>
      <c r="Q44" s="558"/>
      <c r="R44" s="912"/>
      <c r="S44" s="912"/>
      <c r="T44" s="912"/>
      <c r="U44" s="918"/>
    </row>
    <row r="45" spans="1:21" ht="13">
      <c r="A45" s="942"/>
      <c r="B45" s="942">
        <v>240</v>
      </c>
      <c r="C45" s="942">
        <f t="shared" si="4"/>
        <v>1.3020833333333326E-5</v>
      </c>
      <c r="D45" s="942">
        <f t="shared" si="2"/>
        <v>13.020833333333325</v>
      </c>
      <c r="E45" s="942">
        <f t="shared" si="0"/>
        <v>4.2744877125644586E-2</v>
      </c>
      <c r="F45" s="254">
        <f t="shared" si="3"/>
        <v>-13.691159270031637</v>
      </c>
      <c r="G45" s="250" t="s">
        <v>859</v>
      </c>
      <c r="H45" s="250"/>
      <c r="I45" s="253">
        <f>(S7*B45)/79.76</f>
        <v>0.28540907274669541</v>
      </c>
      <c r="J45" s="88"/>
      <c r="K45" s="89"/>
      <c r="L45" s="3"/>
      <c r="M45" s="3"/>
      <c r="N45" s="3"/>
      <c r="O45" s="3"/>
      <c r="P45" s="3"/>
      <c r="Q45" s="558"/>
      <c r="R45" s="912"/>
      <c r="S45" s="913"/>
      <c r="T45" s="912"/>
      <c r="U45" s="918"/>
    </row>
    <row r="46" spans="1:21" ht="13">
      <c r="A46" s="942"/>
      <c r="B46" s="942">
        <v>250</v>
      </c>
      <c r="C46" s="942">
        <f t="shared" si="4"/>
        <v>1.4128355544951825E-5</v>
      </c>
      <c r="D46" s="942">
        <f t="shared" si="2"/>
        <v>14.128355544951825</v>
      </c>
      <c r="E46" s="942">
        <f t="shared" si="0"/>
        <v>4.6380658310890402E-2</v>
      </c>
      <c r="F46" s="257">
        <f t="shared" si="3"/>
        <v>-13.336630914298537</v>
      </c>
      <c r="G46" s="250" t="s">
        <v>859</v>
      </c>
      <c r="H46" s="250"/>
      <c r="I46" s="258">
        <f>(S7*B46)/79.76</f>
        <v>0.29730111744447435</v>
      </c>
      <c r="J46" s="259" t="s">
        <v>45</v>
      </c>
      <c r="K46" s="260"/>
      <c r="L46" s="3"/>
      <c r="M46" s="3"/>
      <c r="N46" s="3"/>
      <c r="O46" s="3"/>
      <c r="P46" s="3"/>
      <c r="Q46" s="558"/>
      <c r="R46" s="912"/>
      <c r="S46" s="912"/>
      <c r="T46" s="912"/>
      <c r="U46" s="918"/>
    </row>
    <row r="47" spans="1:21" ht="13">
      <c r="A47" s="942"/>
      <c r="B47" s="942">
        <v>260</v>
      </c>
      <c r="C47" s="942">
        <f t="shared" si="4"/>
        <v>1.4346838911138375E-5</v>
      </c>
      <c r="D47" s="942">
        <f t="shared" si="2"/>
        <v>14.346838911138374</v>
      </c>
      <c r="E47" s="942">
        <f t="shared" si="0"/>
        <v>4.7097896939368451E-2</v>
      </c>
      <c r="F47" s="254">
        <f t="shared" si="3"/>
        <v>-13.269984849734165</v>
      </c>
      <c r="G47" s="250" t="s">
        <v>859</v>
      </c>
      <c r="H47" s="250"/>
      <c r="I47" s="253">
        <f>(S7*B47)/79.76</f>
        <v>0.30919316214225334</v>
      </c>
      <c r="J47" s="88"/>
      <c r="K47" s="89"/>
      <c r="L47" s="3"/>
      <c r="M47" s="3"/>
      <c r="N47" s="3"/>
      <c r="O47" s="3"/>
      <c r="P47" s="3"/>
      <c r="Q47" s="558"/>
      <c r="R47" s="912"/>
      <c r="S47" s="912"/>
      <c r="T47" s="912"/>
      <c r="U47" s="918"/>
    </row>
    <row r="48" spans="1:21" ht="13">
      <c r="A48" s="942"/>
      <c r="B48" s="942">
        <v>270</v>
      </c>
      <c r="C48" s="942">
        <f t="shared" si="4"/>
        <v>1.3717421124828532E-5</v>
      </c>
      <c r="D48" s="942">
        <f t="shared" si="2"/>
        <v>13.717421124828531</v>
      </c>
      <c r="E48" s="942">
        <f t="shared" si="0"/>
        <v>4.5031640099444527E-2</v>
      </c>
      <c r="F48" s="254">
        <f t="shared" si="3"/>
        <v>-13.464822352896261</v>
      </c>
      <c r="G48" s="250" t="s">
        <v>859</v>
      </c>
      <c r="H48" s="250"/>
      <c r="I48" s="253">
        <f>(S7*B48)/79.76</f>
        <v>0.32108520684003233</v>
      </c>
      <c r="J48" s="88"/>
      <c r="K48" s="89"/>
      <c r="L48" s="3"/>
      <c r="M48" s="3"/>
      <c r="N48" s="3"/>
      <c r="O48" s="3"/>
      <c r="P48" s="3"/>
      <c r="Q48" s="558"/>
      <c r="R48" s="912"/>
      <c r="S48" s="912"/>
      <c r="T48" s="912"/>
      <c r="U48" s="918"/>
    </row>
    <row r="49" spans="1:21" ht="13">
      <c r="A49" s="942"/>
      <c r="B49" s="942">
        <v>280</v>
      </c>
      <c r="C49" s="942">
        <f t="shared" si="4"/>
        <v>1.2370488652971357E-5</v>
      </c>
      <c r="D49" s="942">
        <f t="shared" si="2"/>
        <v>12.370488652971357</v>
      </c>
      <c r="E49" s="942">
        <f t="shared" si="0"/>
        <v>4.0609921340577913E-2</v>
      </c>
      <c r="F49" s="254">
        <f t="shared" si="3"/>
        <v>-13.91367851716219</v>
      </c>
      <c r="G49" s="250" t="s">
        <v>859</v>
      </c>
      <c r="H49" s="250"/>
      <c r="I49" s="253">
        <f>(S7*B49)/79.76</f>
        <v>0.33297725153781133</v>
      </c>
      <c r="J49" s="88"/>
      <c r="K49" s="89"/>
      <c r="L49" s="3"/>
      <c r="M49" s="3"/>
      <c r="N49" s="3"/>
      <c r="O49" s="3"/>
      <c r="P49" s="3"/>
      <c r="Q49" s="558"/>
      <c r="R49" s="912"/>
      <c r="S49" s="912"/>
      <c r="T49" s="912"/>
      <c r="U49" s="918"/>
    </row>
    <row r="50" spans="1:21" ht="13">
      <c r="A50" s="942"/>
      <c r="B50" s="942">
        <v>290</v>
      </c>
      <c r="C50" s="942">
        <f t="shared" si="4"/>
        <v>1.0499669697496894E-5</v>
      </c>
      <c r="D50" s="942">
        <f t="shared" si="2"/>
        <v>10.499669697496895</v>
      </c>
      <c r="E50" s="942">
        <f t="shared" si="0"/>
        <v>3.4468384594894763E-2</v>
      </c>
      <c r="F50" s="254">
        <f t="shared" si="3"/>
        <v>-14.625790698836909</v>
      </c>
      <c r="G50" s="250" t="s">
        <v>859</v>
      </c>
      <c r="H50" s="250"/>
      <c r="I50" s="253">
        <f>(S7*B50)/79.76</f>
        <v>0.34486929623559026</v>
      </c>
      <c r="J50" s="88"/>
      <c r="K50" s="89"/>
      <c r="L50" s="3"/>
      <c r="M50" s="3"/>
      <c r="N50" s="3"/>
      <c r="O50" s="3"/>
      <c r="P50" s="3"/>
      <c r="Q50" s="558"/>
      <c r="R50" s="912"/>
      <c r="S50" s="912"/>
      <c r="T50" s="912"/>
      <c r="U50" s="918"/>
    </row>
    <row r="51" spans="1:21" ht="13">
      <c r="A51" s="942"/>
      <c r="B51" s="942">
        <v>300</v>
      </c>
      <c r="C51" s="942">
        <f t="shared" si="4"/>
        <v>8.333333333333332E-6</v>
      </c>
      <c r="D51" s="942">
        <f t="shared" si="2"/>
        <v>8.3333333333333321</v>
      </c>
      <c r="E51" s="942">
        <f t="shared" si="0"/>
        <v>2.7356721360412548E-2</v>
      </c>
      <c r="F51" s="254">
        <f t="shared" si="3"/>
        <v>-15.629359530192763</v>
      </c>
      <c r="G51" s="250" t="s">
        <v>859</v>
      </c>
      <c r="H51" s="250"/>
      <c r="I51" s="253">
        <f>(S7*B51)/79.76</f>
        <v>0.35676134093336925</v>
      </c>
      <c r="J51" s="88"/>
      <c r="K51" s="89"/>
      <c r="L51" s="3"/>
      <c r="M51" s="3"/>
      <c r="N51" s="3"/>
      <c r="O51" s="3"/>
      <c r="P51" s="3"/>
      <c r="Q51" s="558"/>
      <c r="R51" s="912"/>
      <c r="S51" s="912"/>
      <c r="T51" s="912"/>
      <c r="U51" s="918"/>
    </row>
    <row r="52" spans="1:21" ht="13">
      <c r="A52" s="942"/>
      <c r="B52" s="942">
        <v>310</v>
      </c>
      <c r="C52" s="942">
        <f t="shared" si="4"/>
        <v>6.1063901023253407E-6</v>
      </c>
      <c r="D52" s="942">
        <f t="shared" si="2"/>
        <v>6.1063901023253404</v>
      </c>
      <c r="E52" s="942">
        <f t="shared" si="0"/>
        <v>2.0046097505675452E-2</v>
      </c>
      <c r="F52" s="254">
        <f t="shared" si="3"/>
        <v>-16.979701615331578</v>
      </c>
      <c r="G52" s="250" t="s">
        <v>859</v>
      </c>
      <c r="H52" s="250"/>
      <c r="I52" s="253">
        <f>(S7*B52)/79.76</f>
        <v>0.36865338563114819</v>
      </c>
      <c r="J52" s="88"/>
      <c r="K52" s="89"/>
      <c r="L52" s="3"/>
      <c r="M52" s="3"/>
      <c r="N52" s="3"/>
      <c r="O52" s="3"/>
      <c r="P52" s="3"/>
      <c r="Q52" s="558"/>
      <c r="R52" s="912"/>
      <c r="S52" s="912"/>
      <c r="T52" s="912"/>
      <c r="U52" s="918"/>
    </row>
    <row r="53" spans="1:21" ht="13">
      <c r="A53" s="942"/>
      <c r="B53" s="942">
        <v>320</v>
      </c>
      <c r="C53" s="942">
        <f t="shared" si="4"/>
        <v>4.0349210074856952E-6</v>
      </c>
      <c r="D53" s="942">
        <f t="shared" si="2"/>
        <v>4.0349210074856954</v>
      </c>
      <c r="E53" s="942">
        <f t="shared" si="0"/>
        <v>1.3245865165567351E-2</v>
      </c>
      <c r="F53" s="254">
        <f t="shared" si="3"/>
        <v>-18.779196701065931</v>
      </c>
      <c r="G53" s="250" t="s">
        <v>859</v>
      </c>
      <c r="H53" s="250"/>
      <c r="I53" s="253">
        <f>(S7*B53)/79.76</f>
        <v>0.38054543032892718</v>
      </c>
      <c r="J53" s="88"/>
      <c r="K53" s="89"/>
      <c r="L53" s="3"/>
      <c r="M53" s="3"/>
      <c r="N53" s="3"/>
      <c r="O53" s="3"/>
      <c r="P53" s="3"/>
      <c r="Q53" s="558"/>
      <c r="R53" s="912"/>
      <c r="S53" s="912"/>
      <c r="T53" s="912"/>
      <c r="U53" s="918"/>
    </row>
    <row r="54" spans="1:21" ht="13">
      <c r="A54" s="942"/>
      <c r="B54" s="942">
        <v>330</v>
      </c>
      <c r="C54" s="942">
        <f t="shared" si="4"/>
        <v>2.2956841138659359E-6</v>
      </c>
      <c r="D54" s="942">
        <f t="shared" si="2"/>
        <v>2.2956841138659358</v>
      </c>
      <c r="E54" s="942">
        <f t="shared" si="0"/>
        <v>7.5362868761467208E-3</v>
      </c>
      <c r="F54" s="254">
        <f t="shared" si="3"/>
        <v>-21.228425780553884</v>
      </c>
      <c r="G54" s="250" t="s">
        <v>859</v>
      </c>
      <c r="H54" s="250" t="s">
        <v>817</v>
      </c>
      <c r="I54" s="253">
        <f>(S7*B54)/79.76</f>
        <v>0.39243747502670617</v>
      </c>
      <c r="J54" s="88"/>
      <c r="K54" s="89"/>
      <c r="L54" s="3"/>
      <c r="M54" s="3"/>
      <c r="N54" s="3"/>
      <c r="O54" s="3"/>
      <c r="P54" s="3"/>
      <c r="Q54" s="558"/>
      <c r="R54" s="912"/>
      <c r="S54" s="912"/>
      <c r="T54" s="912"/>
      <c r="U54" s="918"/>
    </row>
    <row r="55" spans="1:21" ht="13">
      <c r="A55" s="942"/>
      <c r="B55" s="942">
        <v>340</v>
      </c>
      <c r="C55" s="942">
        <f t="shared" si="4"/>
        <v>1.0119184986203364E-6</v>
      </c>
      <c r="D55" s="942">
        <f t="shared" si="2"/>
        <v>1.0119184986203364</v>
      </c>
      <c r="E55" s="942">
        <f t="shared" si="0"/>
        <v>3.3219326887444266E-3</v>
      </c>
      <c r="F55" s="254">
        <f t="shared" si="3"/>
        <v>-24.786091717651274</v>
      </c>
      <c r="G55" s="250" t="s">
        <v>859</v>
      </c>
      <c r="H55" s="250"/>
      <c r="I55" s="253">
        <f>(S7*B55)/79.76</f>
        <v>0.40432951972448516</v>
      </c>
      <c r="J55" s="88"/>
      <c r="K55" s="89"/>
      <c r="L55" s="3"/>
      <c r="M55" s="3"/>
      <c r="N55" s="3"/>
      <c r="O55" s="3"/>
      <c r="P55" s="3"/>
      <c r="Q55" s="558"/>
      <c r="R55" s="912"/>
      <c r="S55" s="912"/>
      <c r="T55" s="912"/>
      <c r="U55" s="918"/>
    </row>
    <row r="56" spans="1:21" ht="13">
      <c r="A56" s="942"/>
      <c r="B56" s="942">
        <v>350</v>
      </c>
      <c r="C56" s="942">
        <f t="shared" si="4"/>
        <v>2.4615256822078222E-7</v>
      </c>
      <c r="D56" s="942">
        <f t="shared" si="2"/>
        <v>0.24615256822078221</v>
      </c>
      <c r="E56" s="942">
        <f t="shared" si="0"/>
        <v>8.0807126651590564E-4</v>
      </c>
      <c r="F56" s="254">
        <f t="shared" si="3"/>
        <v>-30.925503356490015</v>
      </c>
      <c r="G56" s="250" t="s">
        <v>859</v>
      </c>
      <c r="H56" s="250"/>
      <c r="I56" s="253">
        <f>(S7*B56)/79.76</f>
        <v>0.41622156442226416</v>
      </c>
      <c r="J56" s="88"/>
      <c r="K56" s="89"/>
      <c r="L56" s="3"/>
      <c r="M56" s="3"/>
      <c r="N56" s="3"/>
      <c r="O56" s="3"/>
      <c r="P56" s="3"/>
      <c r="Q56" s="558"/>
      <c r="R56" s="912"/>
      <c r="S56" s="913"/>
      <c r="T56" s="912"/>
      <c r="U56" s="918"/>
    </row>
    <row r="57" spans="1:21" ht="13">
      <c r="A57" s="942"/>
      <c r="B57" s="942">
        <v>360</v>
      </c>
      <c r="C57" s="942">
        <f t="shared" ref="C57:C88" si="5">((SIN(RADIANS(B57)))^2)/B57^2</f>
        <v>4.6326812856943794E-37</v>
      </c>
      <c r="D57" s="942">
        <f t="shared" si="2"/>
        <v>4.6326812856943792E-31</v>
      </c>
      <c r="E57" s="942">
        <f t="shared" si="0"/>
        <v>1.5208196530120668E-33</v>
      </c>
      <c r="F57" s="255">
        <f t="shared" si="3"/>
        <v>-328.17922283873054</v>
      </c>
      <c r="G57" s="250" t="s">
        <v>859</v>
      </c>
      <c r="H57" s="250"/>
      <c r="I57" s="256">
        <f>(S7*B57)/79.76</f>
        <v>0.42811360912004315</v>
      </c>
      <c r="J57" s="259" t="s">
        <v>46</v>
      </c>
      <c r="K57" s="89"/>
      <c r="L57" s="3"/>
      <c r="M57" s="3"/>
      <c r="N57" s="3"/>
      <c r="O57" s="3"/>
      <c r="P57" s="3"/>
      <c r="Q57" s="558"/>
      <c r="R57" s="912"/>
      <c r="S57" s="912"/>
      <c r="T57" s="912"/>
      <c r="U57" s="918"/>
    </row>
    <row r="58" spans="1:21" ht="13">
      <c r="A58" s="942"/>
      <c r="B58" s="942">
        <v>370</v>
      </c>
      <c r="C58" s="942">
        <f t="shared" si="5"/>
        <v>2.2026069837140728E-7</v>
      </c>
      <c r="D58" s="942">
        <f t="shared" si="2"/>
        <v>0.22026069837140727</v>
      </c>
      <c r="E58" s="942">
        <f t="shared" si="0"/>
        <v>7.230732662395756E-4</v>
      </c>
      <c r="F58" s="254">
        <f t="shared" si="3"/>
        <v>-31.408176950824426</v>
      </c>
      <c r="G58" s="250" t="s">
        <v>859</v>
      </c>
      <c r="H58" s="250"/>
      <c r="I58" s="253">
        <f>(S7*B58)/79.76</f>
        <v>0.44000565381782203</v>
      </c>
      <c r="J58" s="88"/>
      <c r="K58" s="89"/>
      <c r="L58" s="3"/>
      <c r="M58" s="3"/>
      <c r="N58" s="3"/>
      <c r="O58" s="3"/>
      <c r="P58" s="3"/>
      <c r="Q58" s="558"/>
      <c r="R58" s="912"/>
      <c r="S58" s="912"/>
      <c r="T58" s="912"/>
      <c r="U58" s="918"/>
    </row>
    <row r="59" spans="1:21" ht="13">
      <c r="A59" s="942"/>
      <c r="B59" s="942">
        <v>380</v>
      </c>
      <c r="C59" s="942">
        <f t="shared" si="5"/>
        <v>8.1009541856309637E-7</v>
      </c>
      <c r="D59" s="942">
        <f t="shared" si="2"/>
        <v>0.81009541856309641</v>
      </c>
      <c r="E59" s="942">
        <f t="shared" si="0"/>
        <v>2.6593865569172885E-3</v>
      </c>
      <c r="F59" s="254">
        <f t="shared" si="3"/>
        <v>-25.752185309142369</v>
      </c>
      <c r="G59" s="250" t="s">
        <v>859</v>
      </c>
      <c r="H59" s="250"/>
      <c r="I59" s="253">
        <f>(S7*B59)/79.76</f>
        <v>0.45189769851560102</v>
      </c>
      <c r="J59" s="88"/>
      <c r="K59" s="89"/>
      <c r="L59" s="3"/>
      <c r="M59" s="3"/>
      <c r="N59" s="3"/>
      <c r="O59" s="3"/>
      <c r="P59" s="3"/>
      <c r="Q59" s="558"/>
      <c r="R59" s="912"/>
      <c r="S59" s="912"/>
      <c r="T59" s="912"/>
      <c r="U59" s="918"/>
    </row>
    <row r="60" spans="1:21" ht="13">
      <c r="A60" s="942"/>
      <c r="B60" s="942">
        <v>390</v>
      </c>
      <c r="C60" s="942">
        <f t="shared" si="5"/>
        <v>1.643655489809336E-6</v>
      </c>
      <c r="D60" s="942">
        <f t="shared" si="2"/>
        <v>1.6436554898093361</v>
      </c>
      <c r="E60" s="942">
        <f t="shared" si="0"/>
        <v>5.39580302966717E-3</v>
      </c>
      <c r="F60" s="254">
        <f t="shared" si="3"/>
        <v>-22.679439123526123</v>
      </c>
      <c r="G60" s="250" t="s">
        <v>859</v>
      </c>
      <c r="H60" s="250"/>
      <c r="I60" s="253">
        <f>(S7*B60)/79.76</f>
        <v>0.46378974321338007</v>
      </c>
      <c r="J60" s="88"/>
      <c r="K60" s="89"/>
      <c r="L60" s="3"/>
      <c r="M60" s="3"/>
      <c r="N60" s="3"/>
      <c r="O60" s="3"/>
      <c r="P60" s="3"/>
      <c r="Q60" s="558"/>
      <c r="R60" s="912"/>
      <c r="S60" s="912"/>
      <c r="T60" s="912"/>
      <c r="U60" s="918"/>
    </row>
    <row r="61" spans="1:21" ht="13">
      <c r="A61" s="942"/>
      <c r="B61" s="942">
        <v>400</v>
      </c>
      <c r="C61" s="942">
        <f t="shared" si="5"/>
        <v>2.5823494447908412E-6</v>
      </c>
      <c r="D61" s="942">
        <f t="shared" si="2"/>
        <v>2.5823494447908413</v>
      </c>
      <c r="E61" s="942">
        <f t="shared" si="0"/>
        <v>8.4773537059630918E-3</v>
      </c>
      <c r="F61" s="254">
        <f t="shared" si="3"/>
        <v>-20.717396961227067</v>
      </c>
      <c r="G61" s="250" t="s">
        <v>859</v>
      </c>
      <c r="H61" s="250"/>
      <c r="I61" s="253">
        <f>(S7*B61)/79.76</f>
        <v>0.47568178791115906</v>
      </c>
      <c r="J61" s="88"/>
      <c r="K61" s="89"/>
      <c r="L61" s="3"/>
      <c r="M61" s="3"/>
      <c r="N61" s="3"/>
      <c r="O61" s="3"/>
      <c r="P61" s="3"/>
      <c r="Q61" s="558"/>
      <c r="R61" s="912"/>
      <c r="S61" s="912"/>
      <c r="T61" s="912"/>
      <c r="U61" s="918"/>
    </row>
    <row r="62" spans="1:21" ht="13">
      <c r="A62" s="942"/>
      <c r="B62" s="942">
        <v>410</v>
      </c>
      <c r="C62" s="942">
        <f t="shared" si="5"/>
        <v>3.4909225986523783E-6</v>
      </c>
      <c r="D62" s="942">
        <f t="shared" si="2"/>
        <v>3.4909225986523782</v>
      </c>
      <c r="E62" s="942">
        <f t="shared" si="0"/>
        <v>1.1460023618652048E-2</v>
      </c>
      <c r="F62" s="254">
        <f t="shared" si="3"/>
        <v>-19.40814487304084</v>
      </c>
      <c r="G62" s="250" t="s">
        <v>859</v>
      </c>
      <c r="H62" s="250"/>
      <c r="I62" s="253">
        <f>(S7*B62)/79.76</f>
        <v>0.48757383260893794</v>
      </c>
      <c r="J62" s="88"/>
      <c r="K62" s="89"/>
      <c r="L62" s="3"/>
      <c r="M62" s="3"/>
      <c r="N62" s="3"/>
      <c r="O62" s="3"/>
      <c r="P62" s="3"/>
      <c r="Q62" s="558"/>
      <c r="R62" s="912"/>
      <c r="S62" s="912"/>
      <c r="T62" s="912"/>
      <c r="U62" s="918"/>
    </row>
    <row r="63" spans="1:21" ht="13">
      <c r="A63" s="942"/>
      <c r="B63" s="942">
        <v>420</v>
      </c>
      <c r="C63" s="942">
        <f t="shared" si="5"/>
        <v>4.2517006802721104E-6</v>
      </c>
      <c r="D63" s="942">
        <f t="shared" si="2"/>
        <v>4.2517006802721102</v>
      </c>
      <c r="E63" s="942">
        <f t="shared" si="0"/>
        <v>1.3957510898169673E-2</v>
      </c>
      <c r="F63" s="254">
        <f t="shared" si="3"/>
        <v>-18.551920243757522</v>
      </c>
      <c r="G63" s="250" t="s">
        <v>859</v>
      </c>
      <c r="H63" s="250"/>
      <c r="I63" s="253">
        <f>(S7*B63)/79.76</f>
        <v>0.49946587730671693</v>
      </c>
      <c r="J63" s="88"/>
      <c r="K63" s="89"/>
      <c r="L63" s="3"/>
      <c r="M63" s="3"/>
      <c r="N63" s="3"/>
      <c r="O63" s="3"/>
      <c r="P63" s="3"/>
      <c r="Q63" s="558"/>
      <c r="R63" s="912"/>
      <c r="S63" s="912"/>
      <c r="T63" s="912"/>
      <c r="U63" s="918"/>
    </row>
    <row r="64" spans="1:21" ht="13">
      <c r="A64" s="942"/>
      <c r="B64" s="942">
        <v>430</v>
      </c>
      <c r="C64" s="942">
        <f t="shared" si="5"/>
        <v>4.7756745352054575E-6</v>
      </c>
      <c r="D64" s="942">
        <f t="shared" si="2"/>
        <v>4.7756745352054573</v>
      </c>
      <c r="E64" s="942">
        <f t="shared" si="0"/>
        <v>1.5677615708116009E-2</v>
      </c>
      <c r="F64" s="254">
        <f t="shared" si="3"/>
        <v>-18.047199852449516</v>
      </c>
      <c r="G64" s="250" t="s">
        <v>859</v>
      </c>
      <c r="H64" s="250"/>
      <c r="I64" s="253">
        <f>(S7*B64)/79.76</f>
        <v>0.51135792200449592</v>
      </c>
      <c r="J64" s="88"/>
      <c r="K64" s="89"/>
      <c r="L64" s="3"/>
      <c r="M64" s="3"/>
      <c r="N64" s="3"/>
      <c r="O64" s="3"/>
      <c r="P64" s="3"/>
      <c r="Q64" s="558"/>
      <c r="R64" s="912"/>
      <c r="S64" s="913"/>
      <c r="T64" s="912"/>
      <c r="U64" s="918"/>
    </row>
    <row r="65" spans="1:21" ht="13">
      <c r="A65" s="942"/>
      <c r="B65" s="942">
        <v>440</v>
      </c>
      <c r="C65" s="942">
        <f t="shared" si="5"/>
        <v>5.0095367272363332E-6</v>
      </c>
      <c r="D65" s="942">
        <f t="shared" si="2"/>
        <v>5.0095367272363331</v>
      </c>
      <c r="E65" s="942">
        <f t="shared" si="0"/>
        <v>1.6445340047010884E-2</v>
      </c>
      <c r="F65" s="257">
        <f t="shared" si="3"/>
        <v>-17.839571420041555</v>
      </c>
      <c r="G65" s="250" t="s">
        <v>859</v>
      </c>
      <c r="H65" s="250"/>
      <c r="I65" s="258">
        <f>(S7*B65)/79.76</f>
        <v>0.52324996670227497</v>
      </c>
      <c r="J65" s="259" t="s">
        <v>47</v>
      </c>
      <c r="K65" s="260"/>
      <c r="L65" s="3"/>
      <c r="M65" s="3"/>
      <c r="N65" s="3"/>
      <c r="O65" s="3"/>
      <c r="P65" s="3"/>
      <c r="Q65" s="558"/>
      <c r="R65" s="912"/>
      <c r="S65" s="912"/>
      <c r="T65" s="912"/>
      <c r="U65" s="918"/>
    </row>
    <row r="66" spans="1:21" ht="13">
      <c r="A66" s="942"/>
      <c r="B66" s="942">
        <v>450</v>
      </c>
      <c r="C66" s="942">
        <f t="shared" si="5"/>
        <v>4.9382716049382717E-6</v>
      </c>
      <c r="D66" s="942">
        <f t="shared" si="2"/>
        <v>4.9382716049382713</v>
      </c>
      <c r="E66" s="942">
        <f t="shared" si="0"/>
        <v>1.6211390435800031E-2</v>
      </c>
      <c r="F66" s="254">
        <f t="shared" si="3"/>
        <v>-17.90179734522339</v>
      </c>
      <c r="G66" s="250" t="s">
        <v>859</v>
      </c>
      <c r="H66" s="250"/>
      <c r="I66" s="253">
        <f>(S7*B66)/79.76</f>
        <v>0.5351420114000538</v>
      </c>
      <c r="J66" s="88"/>
      <c r="K66" s="89"/>
      <c r="L66" s="3"/>
      <c r="M66" s="3"/>
      <c r="N66" s="3"/>
      <c r="O66" s="3"/>
      <c r="P66" s="3"/>
      <c r="Q66" s="558"/>
      <c r="R66" s="912"/>
      <c r="S66" s="912"/>
      <c r="T66" s="912"/>
      <c r="U66" s="918"/>
    </row>
    <row r="67" spans="1:21" ht="13">
      <c r="A67" s="942"/>
      <c r="B67" s="942">
        <v>460</v>
      </c>
      <c r="C67" s="942">
        <f t="shared" si="5"/>
        <v>4.5833946615924115E-6</v>
      </c>
      <c r="D67" s="942">
        <f t="shared" si="2"/>
        <v>4.5833946615924113</v>
      </c>
      <c r="E67" s="942">
        <f t="shared" si="0"/>
        <v>1.5046398077038316E-2</v>
      </c>
      <c r="F67" s="254">
        <f t="shared" si="3"/>
        <v>-18.225674523949287</v>
      </c>
      <c r="G67" s="250" t="s">
        <v>859</v>
      </c>
      <c r="H67" s="250"/>
      <c r="I67" s="253">
        <f>(S7*B67)/79.76</f>
        <v>0.54703405609783284</v>
      </c>
      <c r="J67" s="88"/>
      <c r="K67" s="89"/>
      <c r="L67" s="3"/>
      <c r="M67" s="3"/>
      <c r="N67" s="3"/>
      <c r="O67" s="3"/>
      <c r="P67" s="3"/>
      <c r="Q67" s="558"/>
      <c r="R67" s="912"/>
      <c r="S67" s="912"/>
      <c r="T67" s="912"/>
      <c r="U67" s="918"/>
    </row>
    <row r="68" spans="1:21" ht="13">
      <c r="A68" s="942"/>
      <c r="B68" s="942">
        <v>470</v>
      </c>
      <c r="C68" s="942">
        <f t="shared" si="5"/>
        <v>3.9973844344023967E-6</v>
      </c>
      <c r="D68" s="942">
        <f t="shared" si="2"/>
        <v>3.9973844344023965</v>
      </c>
      <c r="E68" s="942">
        <f t="shared" si="0"/>
        <v>1.3122639857087602E-2</v>
      </c>
      <c r="F68" s="254">
        <f t="shared" si="3"/>
        <v>-18.819787899572134</v>
      </c>
      <c r="G68" s="250" t="s">
        <v>859</v>
      </c>
      <c r="H68" s="250"/>
      <c r="I68" s="253">
        <f>(S7*B68)/79.76</f>
        <v>0.55892610079561178</v>
      </c>
      <c r="J68" s="88"/>
      <c r="K68" s="89"/>
      <c r="L68" s="3"/>
      <c r="M68" s="3"/>
      <c r="N68" s="3"/>
      <c r="O68" s="3"/>
      <c r="P68" s="3"/>
      <c r="Q68" s="558"/>
      <c r="R68" s="912"/>
      <c r="S68" s="912"/>
      <c r="T68" s="912"/>
      <c r="U68" s="918"/>
    </row>
    <row r="69" spans="1:21" ht="13">
      <c r="A69" s="942"/>
      <c r="B69" s="942">
        <v>480</v>
      </c>
      <c r="C69" s="942">
        <f t="shared" si="5"/>
        <v>3.2552083333333374E-6</v>
      </c>
      <c r="D69" s="942">
        <f t="shared" si="2"/>
        <v>3.2552083333333375</v>
      </c>
      <c r="E69" s="942">
        <f t="shared" si="0"/>
        <v>1.0686219281411165E-2</v>
      </c>
      <c r="F69" s="254">
        <f t="shared" si="3"/>
        <v>-19.711759183311251</v>
      </c>
      <c r="G69" s="250" t="s">
        <v>859</v>
      </c>
      <c r="H69" s="250"/>
      <c r="I69" s="253">
        <f>(S7*B69)/79.76</f>
        <v>0.57081814549339083</v>
      </c>
      <c r="J69" s="88"/>
      <c r="K69" s="89"/>
      <c r="L69" s="3"/>
      <c r="M69" s="3"/>
      <c r="N69" s="3"/>
      <c r="O69" s="3"/>
      <c r="P69" s="3"/>
      <c r="Q69" s="558"/>
      <c r="R69" s="912"/>
      <c r="S69" s="912"/>
      <c r="T69" s="912"/>
      <c r="U69" s="918"/>
    </row>
    <row r="70" spans="1:21" ht="13">
      <c r="A70" s="942"/>
      <c r="B70" s="942">
        <v>490</v>
      </c>
      <c r="C70" s="942">
        <f t="shared" si="5"/>
        <v>2.4440820026383361E-6</v>
      </c>
      <c r="D70" s="942">
        <f t="shared" si="2"/>
        <v>2.4440820026383361</v>
      </c>
      <c r="E70" s="942">
        <f t="shared" si="0"/>
        <v>8.023448439381126E-3</v>
      </c>
      <c r="F70" s="254">
        <f t="shared" si="3"/>
        <v>-20.956389339216408</v>
      </c>
      <c r="G70" s="250" t="s">
        <v>859</v>
      </c>
      <c r="H70" s="250"/>
      <c r="I70" s="253">
        <f>(S7*B70)/79.76</f>
        <v>0.58271019019116987</v>
      </c>
      <c r="J70" s="88"/>
      <c r="K70" s="89"/>
      <c r="L70" s="3"/>
      <c r="M70" s="3"/>
      <c r="N70" s="3"/>
      <c r="O70" s="3"/>
      <c r="P70" s="3"/>
      <c r="Q70" s="558"/>
      <c r="R70" s="912"/>
      <c r="S70" s="912"/>
      <c r="T70" s="912"/>
      <c r="U70" s="918"/>
    </row>
    <row r="71" spans="1:21" ht="13">
      <c r="A71" s="942"/>
      <c r="B71" s="942">
        <v>500</v>
      </c>
      <c r="C71" s="942">
        <f t="shared" si="5"/>
        <v>1.6527036446661378E-6</v>
      </c>
      <c r="D71" s="942">
        <f t="shared" si="2"/>
        <v>1.6527036446661378</v>
      </c>
      <c r="E71" s="942">
        <f t="shared" si="0"/>
        <v>5.4255063718163764E-3</v>
      </c>
      <c r="F71" s="254">
        <f t="shared" si="3"/>
        <v>-22.655597221388199</v>
      </c>
      <c r="G71" s="250" t="s">
        <v>859</v>
      </c>
      <c r="H71" s="250"/>
      <c r="I71" s="253">
        <f>(S7*B71)/79.76</f>
        <v>0.5946022348889487</v>
      </c>
      <c r="J71" s="88"/>
      <c r="K71" s="89"/>
      <c r="L71" s="3"/>
      <c r="M71" s="3"/>
      <c r="N71" s="3"/>
      <c r="O71" s="3"/>
      <c r="P71" s="3"/>
      <c r="Q71" s="558"/>
      <c r="R71" s="912"/>
      <c r="S71" s="912"/>
      <c r="T71" s="912"/>
      <c r="U71" s="918"/>
    </row>
    <row r="72" spans="1:21" ht="13">
      <c r="A72" s="942"/>
      <c r="B72" s="942">
        <v>510</v>
      </c>
      <c r="C72" s="942">
        <f t="shared" si="5"/>
        <v>9.6116878123798444E-7</v>
      </c>
      <c r="D72" s="942">
        <f t="shared" si="2"/>
        <v>0.96116878123798444</v>
      </c>
      <c r="E72" s="942">
        <f t="shared" si="0"/>
        <v>3.1553311834385841E-3</v>
      </c>
      <c r="F72" s="254">
        <f t="shared" si="3"/>
        <v>-25.009550504954873</v>
      </c>
      <c r="G72" s="250" t="s">
        <v>859</v>
      </c>
      <c r="H72" s="250"/>
      <c r="I72" s="253">
        <f>(S7*B72)/79.76</f>
        <v>0.60649427958672775</v>
      </c>
      <c r="J72" s="88"/>
      <c r="K72" s="89"/>
      <c r="L72" s="3"/>
      <c r="M72" s="3"/>
      <c r="N72" s="3"/>
      <c r="O72" s="3"/>
      <c r="P72" s="3"/>
      <c r="Q72" s="558"/>
      <c r="R72" s="912"/>
      <c r="S72" s="912"/>
      <c r="T72" s="912"/>
      <c r="U72" s="918"/>
    </row>
    <row r="73" spans="1:21" ht="13">
      <c r="A73" s="942"/>
      <c r="B73" s="942">
        <v>520</v>
      </c>
      <c r="C73" s="942">
        <f t="shared" si="5"/>
        <v>4.3261012736875356E-7</v>
      </c>
      <c r="D73" s="942">
        <f t="shared" si="2"/>
        <v>0.43261012736875354</v>
      </c>
      <c r="E73" s="942">
        <f t="shared" si="0"/>
        <v>1.4201753654543489E-3</v>
      </c>
      <c r="F73" s="254">
        <f t="shared" si="3"/>
        <v>-28.476580249502152</v>
      </c>
      <c r="G73" s="250" t="s">
        <v>859</v>
      </c>
      <c r="H73" s="250"/>
      <c r="I73" s="253">
        <f>(S7*B73)/79.76</f>
        <v>0.61838632428450668</v>
      </c>
      <c r="J73" s="88"/>
      <c r="K73" s="89"/>
      <c r="L73" s="3"/>
      <c r="M73" s="3"/>
      <c r="N73" s="3"/>
      <c r="O73" s="3"/>
      <c r="P73" s="3"/>
      <c r="Q73" s="558"/>
      <c r="R73" s="912"/>
      <c r="S73" s="912"/>
      <c r="T73" s="912"/>
      <c r="U73" s="918"/>
    </row>
    <row r="74" spans="1:21" ht="13">
      <c r="A74" s="942"/>
      <c r="B74" s="942">
        <v>530</v>
      </c>
      <c r="C74" s="942">
        <f t="shared" si="5"/>
        <v>1.0734670561426081E-7</v>
      </c>
      <c r="D74" s="942">
        <f t="shared" si="2"/>
        <v>0.10734670561426081</v>
      </c>
      <c r="E74" s="942">
        <f t="shared" si="0"/>
        <v>3.5239846973370801E-4</v>
      </c>
      <c r="F74" s="254">
        <f t="shared" si="3"/>
        <v>-34.529659861500278</v>
      </c>
      <c r="G74" s="250" t="s">
        <v>859</v>
      </c>
      <c r="H74" s="250"/>
      <c r="I74" s="253">
        <f>(S7*B74)/79.76</f>
        <v>0.63027836898228573</v>
      </c>
      <c r="J74" s="88"/>
      <c r="K74" s="89"/>
      <c r="L74" s="3"/>
      <c r="M74" s="3"/>
      <c r="N74" s="3"/>
      <c r="O74" s="3"/>
      <c r="P74" s="3"/>
      <c r="Q74" s="558"/>
      <c r="R74" s="912"/>
      <c r="S74" s="913"/>
      <c r="T74" s="912"/>
      <c r="U74" s="918"/>
    </row>
    <row r="75" spans="1:21" ht="13">
      <c r="A75" s="942"/>
      <c r="B75" s="942">
        <v>540</v>
      </c>
      <c r="C75" s="942">
        <f t="shared" si="5"/>
        <v>4.6326812856943794E-37</v>
      </c>
      <c r="D75" s="942">
        <f t="shared" si="2"/>
        <v>4.6326812856943792E-31</v>
      </c>
      <c r="E75" s="942">
        <f t="shared" si="0"/>
        <v>1.5208196530120668E-33</v>
      </c>
      <c r="F75" s="255">
        <f t="shared" si="3"/>
        <v>-328.17922283873054</v>
      </c>
      <c r="G75" s="250" t="s">
        <v>859</v>
      </c>
      <c r="H75" s="250"/>
      <c r="I75" s="256">
        <f>(S7*B75)/79.76</f>
        <v>0.64217041368006467</v>
      </c>
      <c r="J75" s="259" t="s">
        <v>48</v>
      </c>
      <c r="K75" s="89"/>
      <c r="L75" s="3"/>
      <c r="M75" s="3"/>
      <c r="N75" s="3"/>
      <c r="O75" s="3"/>
      <c r="P75" s="3"/>
      <c r="Q75" s="558"/>
      <c r="R75" s="912"/>
      <c r="S75" s="912"/>
      <c r="T75" s="912"/>
      <c r="U75" s="918"/>
    </row>
    <row r="76" spans="1:21" ht="13">
      <c r="A76" s="942"/>
      <c r="B76" s="942">
        <v>550</v>
      </c>
      <c r="C76" s="942">
        <f t="shared" si="5"/>
        <v>9.9681618535687958E-8</v>
      </c>
      <c r="D76" s="942">
        <f t="shared" si="2"/>
        <v>9.9681618535687952E-2</v>
      </c>
      <c r="E76" s="942">
        <f t="shared" si="0"/>
        <v>3.2723547156429005E-4</v>
      </c>
      <c r="F76" s="254">
        <f t="shared" si="3"/>
        <v>-34.851396259369409</v>
      </c>
      <c r="G76" s="250" t="s">
        <v>859</v>
      </c>
      <c r="H76" s="250"/>
      <c r="I76" s="253">
        <f>(S7*B76)/79.76</f>
        <v>0.6540624583778436</v>
      </c>
      <c r="J76" s="88"/>
      <c r="K76" s="89"/>
      <c r="L76" s="3"/>
      <c r="M76" s="3"/>
      <c r="N76" s="3"/>
      <c r="O76" s="3"/>
      <c r="P76" s="3"/>
      <c r="Q76" s="558"/>
      <c r="R76" s="912"/>
      <c r="S76" s="912"/>
      <c r="T76" s="912"/>
      <c r="U76" s="918"/>
    </row>
    <row r="77" spans="1:21" ht="13">
      <c r="A77" s="942"/>
      <c r="B77" s="942">
        <v>560</v>
      </c>
      <c r="C77" s="942">
        <f t="shared" si="5"/>
        <v>3.7301587512917883E-7</v>
      </c>
      <c r="D77" s="942">
        <f t="shared" si="2"/>
        <v>0.37301587512917883</v>
      </c>
      <c r="E77" s="942">
        <f t="shared" si="0"/>
        <v>1.2245389630703265E-3</v>
      </c>
      <c r="F77" s="254">
        <f t="shared" si="3"/>
        <v>-29.120273916930199</v>
      </c>
      <c r="G77" s="250" t="s">
        <v>859</v>
      </c>
      <c r="H77" s="250"/>
      <c r="I77" s="253">
        <f>(S7*B77)/79.76</f>
        <v>0.66595450307562265</v>
      </c>
      <c r="J77" s="88"/>
      <c r="K77" s="89"/>
      <c r="L77" s="3"/>
      <c r="M77" s="3"/>
      <c r="N77" s="3"/>
      <c r="O77" s="3"/>
      <c r="P77" s="3"/>
      <c r="Q77" s="558"/>
      <c r="R77" s="912"/>
      <c r="S77" s="912"/>
      <c r="T77" s="912"/>
      <c r="U77" s="918"/>
    </row>
    <row r="78" spans="1:21" ht="13">
      <c r="A78" s="942"/>
      <c r="B78" s="942">
        <v>570</v>
      </c>
      <c r="C78" s="942">
        <f t="shared" si="5"/>
        <v>7.6946752847029604E-7</v>
      </c>
      <c r="D78" s="942">
        <f t="shared" si="2"/>
        <v>0.76946752847029609</v>
      </c>
      <c r="E78" s="942">
        <f t="shared" si="0"/>
        <v>2.5260130526696643E-3</v>
      </c>
      <c r="F78" s="254">
        <f t="shared" si="3"/>
        <v>-25.975644096445979</v>
      </c>
      <c r="G78" s="250" t="s">
        <v>859</v>
      </c>
      <c r="H78" s="250"/>
      <c r="I78" s="253">
        <f>(S7*B78)/79.76</f>
        <v>0.67784654777340159</v>
      </c>
      <c r="J78" s="88"/>
      <c r="K78" s="89"/>
      <c r="L78" s="3"/>
      <c r="M78" s="3"/>
      <c r="N78" s="3"/>
      <c r="O78" s="3"/>
      <c r="P78" s="3"/>
      <c r="Q78" s="558"/>
      <c r="R78" s="912"/>
      <c r="S78" s="912"/>
      <c r="T78" s="912"/>
      <c r="U78" s="918"/>
    </row>
    <row r="79" spans="1:21" ht="13">
      <c r="A79" s="942"/>
      <c r="B79" s="942">
        <v>580</v>
      </c>
      <c r="C79" s="942">
        <f t="shared" si="5"/>
        <v>1.2282280355723409E-6</v>
      </c>
      <c r="D79" s="942">
        <f t="shared" si="2"/>
        <v>1.2282280355723409</v>
      </c>
      <c r="E79" s="942">
        <f t="shared" si="0"/>
        <v>4.0320350563439284E-3</v>
      </c>
      <c r="F79" s="254">
        <f t="shared" si="3"/>
        <v>-23.944757005926558</v>
      </c>
      <c r="G79" s="250" t="s">
        <v>859</v>
      </c>
      <c r="H79" s="250"/>
      <c r="I79" s="253">
        <f>(S7*B79)/79.76</f>
        <v>0.68973859247118052</v>
      </c>
      <c r="J79" s="88"/>
      <c r="K79" s="89"/>
      <c r="L79" s="3"/>
      <c r="M79" s="3"/>
      <c r="N79" s="3"/>
      <c r="O79" s="3"/>
      <c r="P79" s="3"/>
      <c r="Q79" s="558"/>
      <c r="R79" s="912"/>
      <c r="S79" s="912"/>
      <c r="T79" s="912"/>
      <c r="U79" s="918"/>
    </row>
    <row r="80" spans="1:21" ht="13">
      <c r="A80" s="942"/>
      <c r="B80" s="942">
        <v>590</v>
      </c>
      <c r="C80" s="942">
        <f t="shared" si="5"/>
        <v>1.6857916944368443E-6</v>
      </c>
      <c r="D80" s="942">
        <f t="shared" si="2"/>
        <v>1.6857916944368443</v>
      </c>
      <c r="E80" s="942">
        <f t="shared" si="0"/>
        <v>5.5341280387687783E-3</v>
      </c>
      <c r="F80" s="254">
        <f t="shared" si="3"/>
        <v>-22.56950797148901</v>
      </c>
      <c r="G80" s="250" t="s">
        <v>859</v>
      </c>
      <c r="H80" s="250"/>
      <c r="I80" s="253">
        <f>(S7*B80)/79.76</f>
        <v>0.70163063716895946</v>
      </c>
      <c r="J80" s="88"/>
      <c r="K80" s="89"/>
      <c r="L80" s="3"/>
      <c r="M80" s="3"/>
      <c r="N80" s="3"/>
      <c r="O80" s="3"/>
      <c r="P80" s="3"/>
      <c r="Q80" s="558"/>
      <c r="R80" s="912"/>
      <c r="S80" s="912"/>
      <c r="T80" s="912"/>
      <c r="U80" s="918"/>
    </row>
    <row r="81" spans="1:21" ht="13">
      <c r="A81" s="942"/>
      <c r="B81" s="942">
        <v>600</v>
      </c>
      <c r="C81" s="942">
        <f t="shared" si="5"/>
        <v>2.0833333333333334E-6</v>
      </c>
      <c r="D81" s="942">
        <f t="shared" si="2"/>
        <v>2.0833333333333335</v>
      </c>
      <c r="E81" s="942">
        <f t="shared" si="0"/>
        <v>6.8391803401031378E-3</v>
      </c>
      <c r="F81" s="254">
        <f t="shared" si="3"/>
        <v>-21.64995944347239</v>
      </c>
      <c r="G81" s="250" t="s">
        <v>859</v>
      </c>
      <c r="H81" s="250"/>
      <c r="I81" s="253">
        <f>(S7*B81)/79.76</f>
        <v>0.71352268186673851</v>
      </c>
      <c r="J81" s="88"/>
      <c r="K81" s="89"/>
      <c r="L81" s="3"/>
      <c r="M81" s="3"/>
      <c r="N81" s="3"/>
      <c r="O81" s="3"/>
      <c r="P81" s="3"/>
      <c r="Q81" s="558"/>
      <c r="R81" s="912"/>
      <c r="S81" s="912"/>
      <c r="T81" s="912"/>
      <c r="U81" s="918"/>
    </row>
    <row r="82" spans="1:21" ht="13">
      <c r="A82" s="942"/>
      <c r="B82" s="942">
        <v>610</v>
      </c>
      <c r="C82" s="942">
        <f t="shared" si="5"/>
        <v>2.3730777252337787E-6</v>
      </c>
      <c r="D82" s="942">
        <f t="shared" si="2"/>
        <v>2.3730777252337787</v>
      </c>
      <c r="E82" s="942">
        <f t="shared" ref="E82:E104" si="6">D82/304.6174</f>
        <v>7.7903551314986563E-3</v>
      </c>
      <c r="F82" s="254">
        <f t="shared" si="3"/>
        <v>-21.084427441073128</v>
      </c>
      <c r="G82" s="250" t="s">
        <v>859</v>
      </c>
      <c r="H82" s="250"/>
      <c r="I82" s="253">
        <f>(S7*B82)/79.76</f>
        <v>0.72541472656451755</v>
      </c>
      <c r="J82" s="88"/>
      <c r="K82" s="89"/>
      <c r="L82" s="3"/>
      <c r="M82" s="3"/>
      <c r="N82" s="3"/>
      <c r="O82" s="3"/>
      <c r="P82" s="3"/>
      <c r="Q82" s="558"/>
      <c r="R82" s="912"/>
      <c r="S82" s="913"/>
      <c r="T82" s="912"/>
      <c r="U82" s="918"/>
    </row>
    <row r="83" spans="1:21" ht="13">
      <c r="A83" s="942"/>
      <c r="B83" s="942">
        <v>620</v>
      </c>
      <c r="C83" s="942">
        <f t="shared" si="5"/>
        <v>2.5230132944665821E-6</v>
      </c>
      <c r="D83" s="942">
        <f t="shared" si="2"/>
        <v>2.523013294466582</v>
      </c>
      <c r="E83" s="942">
        <f t="shared" si="6"/>
        <v>8.2825646022406541E-3</v>
      </c>
      <c r="F83" s="257">
        <f t="shared" si="3"/>
        <v>-20.818351680282881</v>
      </c>
      <c r="G83" s="250" t="s">
        <v>859</v>
      </c>
      <c r="H83" s="250"/>
      <c r="I83" s="258">
        <f>(S7*B83)/79.76</f>
        <v>0.73730677126229638</v>
      </c>
      <c r="J83" s="259" t="s">
        <v>49</v>
      </c>
      <c r="K83" s="260"/>
      <c r="L83" s="3"/>
      <c r="M83" s="3"/>
      <c r="N83" s="3"/>
      <c r="O83" s="3"/>
      <c r="P83" s="3"/>
      <c r="Q83" s="558"/>
      <c r="R83" s="912"/>
      <c r="S83" s="912"/>
      <c r="T83" s="912"/>
      <c r="U83" s="918"/>
    </row>
    <row r="84" spans="1:21" ht="13">
      <c r="A84" s="942"/>
      <c r="B84" s="942">
        <v>630</v>
      </c>
      <c r="C84" s="942">
        <f t="shared" si="5"/>
        <v>2.5195263290501387E-6</v>
      </c>
      <c r="D84" s="942">
        <f t="shared" ref="D84:D104" si="7">C84*1000000</f>
        <v>2.5195263290501386</v>
      </c>
      <c r="E84" s="942">
        <f t="shared" si="6"/>
        <v>8.2711175692857294E-3</v>
      </c>
      <c r="F84" s="254">
        <f t="shared" si="3"/>
        <v>-20.82435805878815</v>
      </c>
      <c r="G84" s="250" t="s">
        <v>859</v>
      </c>
      <c r="H84" s="250"/>
      <c r="I84" s="253">
        <f>(S7*B84)/79.76</f>
        <v>0.74919881596007543</v>
      </c>
      <c r="J84" s="88"/>
      <c r="K84" s="89"/>
      <c r="L84" s="3"/>
      <c r="M84" s="3"/>
      <c r="N84" s="3"/>
      <c r="O84" s="3"/>
      <c r="P84" s="3"/>
      <c r="Q84" s="558"/>
      <c r="R84" s="912"/>
      <c r="S84" s="912"/>
      <c r="T84" s="912"/>
      <c r="U84" s="918"/>
    </row>
    <row r="85" spans="1:21" ht="13">
      <c r="A85" s="942"/>
      <c r="B85" s="942">
        <v>640</v>
      </c>
      <c r="C85" s="942">
        <f t="shared" si="5"/>
        <v>2.3677888437327986E-6</v>
      </c>
      <c r="D85" s="942">
        <f t="shared" si="7"/>
        <v>2.3677888437327987</v>
      </c>
      <c r="E85" s="942">
        <f t="shared" si="6"/>
        <v>7.7729927565949909E-3</v>
      </c>
      <c r="F85" s="254">
        <f t="shared" ref="F85:F104" si="8">10*LOG10(E85)</f>
        <v>-21.094117369995548</v>
      </c>
      <c r="G85" s="250" t="s">
        <v>859</v>
      </c>
      <c r="H85" s="250"/>
      <c r="I85" s="253">
        <f>(S7*B85)/79.76</f>
        <v>0.76109086065785436</v>
      </c>
      <c r="J85" s="88"/>
      <c r="K85" s="89"/>
      <c r="L85" s="3"/>
      <c r="M85" s="3"/>
      <c r="N85" s="3"/>
      <c r="O85" s="3"/>
      <c r="P85" s="3"/>
      <c r="Q85" s="558"/>
      <c r="R85" s="912"/>
      <c r="S85" s="912"/>
      <c r="T85" s="912"/>
      <c r="U85" s="918"/>
    </row>
    <row r="86" spans="1:21" ht="13">
      <c r="A86" s="942"/>
      <c r="B86" s="942">
        <v>650</v>
      </c>
      <c r="C86" s="942">
        <f t="shared" si="5"/>
        <v>2.0899934238094428E-6</v>
      </c>
      <c r="D86" s="942">
        <f t="shared" si="7"/>
        <v>2.0899934238094429</v>
      </c>
      <c r="E86" s="942">
        <f t="shared" si="6"/>
        <v>6.8610441288299451E-3</v>
      </c>
      <c r="F86" s="254">
        <f t="shared" si="8"/>
        <v>-21.636097873714895</v>
      </c>
      <c r="G86" s="250" t="s">
        <v>859</v>
      </c>
      <c r="H86" s="250"/>
      <c r="I86" s="253">
        <f>(S7*B86)/79.76</f>
        <v>0.77298290535563341</v>
      </c>
      <c r="J86" s="88"/>
      <c r="K86" s="89"/>
      <c r="L86" s="3"/>
      <c r="M86" s="3"/>
      <c r="N86" s="3"/>
      <c r="O86" s="3"/>
      <c r="P86" s="3"/>
      <c r="Q86" s="558"/>
      <c r="R86" s="912"/>
      <c r="S86" s="912"/>
      <c r="T86" s="912"/>
      <c r="U86" s="918"/>
    </row>
    <row r="87" spans="1:21" ht="13">
      <c r="A87" s="942"/>
      <c r="B87" s="942">
        <v>670</v>
      </c>
      <c r="C87" s="942">
        <f t="shared" si="5"/>
        <v>1.3072490283659268E-6</v>
      </c>
      <c r="D87" s="942">
        <f t="shared" si="7"/>
        <v>1.3072490283659268</v>
      </c>
      <c r="E87" s="942">
        <f t="shared" si="6"/>
        <v>4.2914456901212046E-3</v>
      </c>
      <c r="F87" s="254">
        <f t="shared" si="8"/>
        <v>-23.673963792662658</v>
      </c>
      <c r="G87" s="250" t="s">
        <v>859</v>
      </c>
      <c r="H87" s="250"/>
      <c r="I87" s="253">
        <f>(S7*B87)/79.76</f>
        <v>0.79676699475119128</v>
      </c>
      <c r="J87" s="88"/>
      <c r="K87" s="89"/>
      <c r="L87" s="3"/>
      <c r="M87" s="3"/>
      <c r="N87" s="3"/>
      <c r="O87" s="3"/>
      <c r="P87" s="3"/>
      <c r="Q87" s="558"/>
      <c r="R87" s="912"/>
      <c r="S87" s="912"/>
      <c r="T87" s="912"/>
      <c r="U87" s="918"/>
    </row>
    <row r="88" spans="1:21" ht="13">
      <c r="A88" s="942"/>
      <c r="B88" s="942">
        <v>680</v>
      </c>
      <c r="C88" s="942">
        <f t="shared" si="5"/>
        <v>8.9354652068887208E-7</v>
      </c>
      <c r="D88" s="942">
        <f t="shared" si="7"/>
        <v>0.89354652068887208</v>
      </c>
      <c r="E88" s="942">
        <f t="shared" si="6"/>
        <v>2.93334038268619E-3</v>
      </c>
      <c r="F88" s="254">
        <f t="shared" si="8"/>
        <v>-25.326375388792549</v>
      </c>
      <c r="G88" s="250" t="s">
        <v>859</v>
      </c>
      <c r="H88" s="250"/>
      <c r="I88" s="253">
        <f>(S7*B88)/79.76</f>
        <v>0.80865903944897033</v>
      </c>
      <c r="J88" s="88"/>
      <c r="K88" s="89"/>
      <c r="L88" s="3"/>
      <c r="M88" s="3"/>
      <c r="N88" s="3"/>
      <c r="O88" s="3"/>
      <c r="P88" s="3"/>
      <c r="Q88" s="558"/>
      <c r="R88" s="912"/>
      <c r="S88" s="912"/>
      <c r="T88" s="912"/>
      <c r="U88" s="918"/>
    </row>
    <row r="89" spans="1:21" ht="13">
      <c r="A89" s="942"/>
      <c r="B89" s="942">
        <v>690</v>
      </c>
      <c r="C89" s="942">
        <f t="shared" ref="C89:C104" si="9">((SIN(RADIANS(B89)))^2)/B89^2</f>
        <v>5.2509976895610143E-7</v>
      </c>
      <c r="D89" s="942">
        <f t="shared" si="7"/>
        <v>0.52509976895610144</v>
      </c>
      <c r="E89" s="942">
        <f t="shared" si="6"/>
        <v>1.7238009678898891E-3</v>
      </c>
      <c r="F89" s="254">
        <f t="shared" si="8"/>
        <v>-27.635128797741245</v>
      </c>
      <c r="G89" s="250" t="s">
        <v>859</v>
      </c>
      <c r="H89" s="250"/>
      <c r="I89" s="253">
        <f>(S7*B89)/79.76</f>
        <v>0.82055108414674915</v>
      </c>
      <c r="J89" s="88"/>
      <c r="K89" s="89"/>
      <c r="L89" s="3"/>
      <c r="M89" s="3"/>
      <c r="N89" s="3"/>
      <c r="O89" s="3"/>
      <c r="P89" s="3"/>
      <c r="Q89" s="558"/>
      <c r="R89" s="912"/>
      <c r="S89" s="912"/>
      <c r="T89" s="912"/>
      <c r="U89" s="918"/>
    </row>
    <row r="90" spans="1:21" ht="13">
      <c r="A90" s="942"/>
      <c r="B90" s="942">
        <v>700</v>
      </c>
      <c r="C90" s="942">
        <f t="shared" si="9"/>
        <v>2.3873016008267562E-7</v>
      </c>
      <c r="D90" s="942">
        <f t="shared" si="7"/>
        <v>0.23873016008267561</v>
      </c>
      <c r="E90" s="942">
        <f t="shared" si="6"/>
        <v>7.8370493636501274E-4</v>
      </c>
      <c r="F90" s="254">
        <f t="shared" si="8"/>
        <v>-31.058474177091306</v>
      </c>
      <c r="G90" s="250" t="s">
        <v>859</v>
      </c>
      <c r="H90" s="250"/>
      <c r="I90" s="253">
        <f>(S7*B90)/79.76</f>
        <v>0.83244312884452831</v>
      </c>
      <c r="J90" s="88"/>
      <c r="K90" s="89"/>
      <c r="L90" s="3"/>
      <c r="M90" s="3"/>
      <c r="N90" s="3"/>
      <c r="O90" s="3"/>
      <c r="P90" s="3"/>
      <c r="Q90" s="558"/>
      <c r="R90" s="912"/>
      <c r="S90" s="912"/>
      <c r="T90" s="912"/>
      <c r="U90" s="918"/>
    </row>
    <row r="91" spans="1:21" ht="13">
      <c r="A91" s="942"/>
      <c r="B91" s="942">
        <v>710</v>
      </c>
      <c r="C91" s="942">
        <f t="shared" si="9"/>
        <v>5.981688079160069E-8</v>
      </c>
      <c r="D91" s="942">
        <f t="shared" si="7"/>
        <v>5.9816880791600691E-2</v>
      </c>
      <c r="E91" s="942">
        <f t="shared" si="6"/>
        <v>1.9636724885578006E-4</v>
      </c>
      <c r="F91" s="254">
        <f t="shared" si="8"/>
        <v>-37.069309443865997</v>
      </c>
      <c r="G91" s="250" t="s">
        <v>859</v>
      </c>
      <c r="H91" s="250"/>
      <c r="I91" s="253">
        <f>(S7*B91)/79.76</f>
        <v>0.84433517354230725</v>
      </c>
      <c r="J91" s="88"/>
      <c r="K91" s="89"/>
      <c r="L91" s="3"/>
      <c r="M91" s="3"/>
      <c r="N91" s="3"/>
      <c r="O91" s="3"/>
      <c r="P91" s="3"/>
      <c r="Q91" s="558"/>
      <c r="R91" s="912"/>
      <c r="S91" s="913"/>
      <c r="T91" s="912"/>
      <c r="U91" s="918"/>
    </row>
    <row r="92" spans="1:21" ht="13">
      <c r="A92" s="942"/>
      <c r="B92" s="942">
        <v>720</v>
      </c>
      <c r="C92" s="942">
        <f t="shared" si="9"/>
        <v>4.6326812856943794E-37</v>
      </c>
      <c r="D92" s="942">
        <f t="shared" si="7"/>
        <v>4.6326812856943792E-31</v>
      </c>
      <c r="E92" s="942">
        <f t="shared" si="6"/>
        <v>1.5208196530120668E-33</v>
      </c>
      <c r="F92" s="255">
        <f t="shared" si="8"/>
        <v>-328.17922283873054</v>
      </c>
      <c r="G92" s="250" t="s">
        <v>859</v>
      </c>
      <c r="H92" s="250"/>
      <c r="I92" s="256">
        <f>(S7*B92)/79.76</f>
        <v>0.8562272182400863</v>
      </c>
      <c r="J92" s="259" t="s">
        <v>50</v>
      </c>
      <c r="K92" s="89"/>
      <c r="L92" s="3"/>
      <c r="M92" s="3"/>
      <c r="N92" s="3"/>
      <c r="O92" s="3"/>
      <c r="P92" s="3"/>
      <c r="Q92" s="558"/>
      <c r="R92" s="912"/>
      <c r="S92" s="912"/>
      <c r="T92" s="912"/>
      <c r="U92" s="918"/>
    </row>
    <row r="93" spans="1:21" ht="13">
      <c r="A93" s="942"/>
      <c r="B93" s="942">
        <v>730</v>
      </c>
      <c r="C93" s="942">
        <f t="shared" si="9"/>
        <v>5.6584142629096589E-8</v>
      </c>
      <c r="D93" s="942">
        <f t="shared" si="7"/>
        <v>5.6584142629096591E-2</v>
      </c>
      <c r="E93" s="942">
        <f t="shared" si="6"/>
        <v>1.8575479479864446E-4</v>
      </c>
      <c r="F93" s="254">
        <f t="shared" si="8"/>
        <v>-37.310599671893655</v>
      </c>
      <c r="G93" s="250" t="s">
        <v>859</v>
      </c>
      <c r="H93" s="250"/>
      <c r="I93" s="253">
        <f>(S7*B93)/79.76</f>
        <v>0.86811926293786523</v>
      </c>
      <c r="J93" s="88"/>
      <c r="K93" s="89"/>
      <c r="L93" s="3"/>
      <c r="M93" s="3"/>
      <c r="N93" s="3"/>
      <c r="O93" s="3"/>
      <c r="P93" s="3"/>
      <c r="Q93" s="558"/>
      <c r="R93" s="912"/>
      <c r="S93" s="912"/>
      <c r="T93" s="912"/>
      <c r="U93" s="918"/>
    </row>
    <row r="94" spans="1:21" ht="13">
      <c r="A94" s="942"/>
      <c r="B94" s="942">
        <v>740</v>
      </c>
      <c r="C94" s="942">
        <f t="shared" si="9"/>
        <v>2.1361902564008473E-7</v>
      </c>
      <c r="D94" s="942">
        <f t="shared" si="7"/>
        <v>0.21361902564008473</v>
      </c>
      <c r="E94" s="942">
        <f t="shared" si="6"/>
        <v>7.0126993940623468E-4</v>
      </c>
      <c r="F94" s="254">
        <f t="shared" si="8"/>
        <v>-31.541147771425713</v>
      </c>
      <c r="G94" s="250" t="s">
        <v>859</v>
      </c>
      <c r="H94" s="250"/>
      <c r="I94" s="253">
        <f>(S7*B94)/79.76</f>
        <v>0.88001130763564406</v>
      </c>
      <c r="J94" s="88"/>
      <c r="K94" s="89"/>
      <c r="L94" s="3"/>
      <c r="M94" s="3"/>
      <c r="N94" s="3"/>
      <c r="O94" s="3"/>
      <c r="P94" s="3"/>
      <c r="Q94" s="558"/>
      <c r="R94" s="912"/>
      <c r="S94" s="912"/>
      <c r="T94" s="912"/>
      <c r="U94" s="918"/>
    </row>
    <row r="95" spans="1:21" ht="13">
      <c r="A95" s="942"/>
      <c r="B95" s="942">
        <v>750</v>
      </c>
      <c r="C95" s="942">
        <f t="shared" si="9"/>
        <v>4.4444444444444274E-7</v>
      </c>
      <c r="D95" s="942">
        <f t="shared" si="7"/>
        <v>0.44444444444444275</v>
      </c>
      <c r="E95" s="942">
        <f t="shared" si="6"/>
        <v>1.4590251392219971E-3</v>
      </c>
      <c r="F95" s="254">
        <f t="shared" si="8"/>
        <v>-28.359372250830155</v>
      </c>
      <c r="G95" s="250" t="s">
        <v>859</v>
      </c>
      <c r="H95" s="250"/>
      <c r="I95" s="253">
        <f>(S7*B95)/79.76</f>
        <v>0.89190335233342322</v>
      </c>
      <c r="J95" s="88"/>
      <c r="K95" s="89"/>
      <c r="L95" s="3"/>
      <c r="M95" s="3"/>
      <c r="N95" s="3"/>
      <c r="O95" s="3"/>
      <c r="P95" s="3"/>
      <c r="Q95" s="558"/>
      <c r="R95" s="912"/>
      <c r="S95" s="912"/>
      <c r="T95" s="912"/>
      <c r="U95" s="918"/>
    </row>
    <row r="96" spans="1:21" ht="13">
      <c r="A96" s="942"/>
      <c r="B96" s="942">
        <v>760</v>
      </c>
      <c r="C96" s="942">
        <f t="shared" si="9"/>
        <v>7.1533225617474943E-7</v>
      </c>
      <c r="D96" s="942">
        <f t="shared" si="7"/>
        <v>0.71533225617474938</v>
      </c>
      <c r="E96" s="942">
        <f t="shared" si="6"/>
        <v>2.3482974254745441E-3</v>
      </c>
      <c r="F96" s="254">
        <f t="shared" si="8"/>
        <v>-26.292468980283637</v>
      </c>
      <c r="G96" s="250" t="s">
        <v>859</v>
      </c>
      <c r="H96" s="250"/>
      <c r="I96" s="253">
        <f>(S7*B96)/79.76</f>
        <v>0.90379539703120204</v>
      </c>
      <c r="J96" s="88"/>
      <c r="K96" s="89"/>
      <c r="L96" s="3"/>
      <c r="M96" s="3"/>
      <c r="N96" s="3"/>
      <c r="O96" s="3"/>
      <c r="P96" s="3"/>
      <c r="Q96" s="558"/>
      <c r="R96" s="912"/>
      <c r="S96" s="912"/>
      <c r="T96" s="912"/>
      <c r="U96" s="918"/>
    </row>
    <row r="97" spans="1:21" ht="13">
      <c r="A97" s="942"/>
      <c r="B97" s="942">
        <v>770</v>
      </c>
      <c r="C97" s="942">
        <f t="shared" si="9"/>
        <v>9.8975221594445192E-7</v>
      </c>
      <c r="D97" s="942">
        <f t="shared" si="7"/>
        <v>0.98975221594445195</v>
      </c>
      <c r="E97" s="942">
        <f t="shared" si="6"/>
        <v>3.2491650704931894E-3</v>
      </c>
      <c r="F97" s="254">
        <f t="shared" si="8"/>
        <v>-24.882282242095762</v>
      </c>
      <c r="G97" s="250" t="s">
        <v>859</v>
      </c>
      <c r="H97" s="250"/>
      <c r="I97" s="253">
        <f>(S7*B97)/79.76</f>
        <v>0.91568744172898098</v>
      </c>
      <c r="J97" s="88"/>
      <c r="K97" s="89"/>
      <c r="L97" s="3"/>
      <c r="M97" s="3"/>
      <c r="N97" s="3"/>
      <c r="O97" s="3"/>
      <c r="P97" s="3"/>
      <c r="Q97" s="558"/>
      <c r="R97" s="912"/>
      <c r="S97" s="912"/>
      <c r="T97" s="912"/>
      <c r="U97" s="918"/>
    </row>
    <row r="98" spans="1:21" ht="13">
      <c r="A98" s="942"/>
      <c r="B98" s="942">
        <v>780</v>
      </c>
      <c r="C98" s="942">
        <f t="shared" si="9"/>
        <v>1.2327416173570021E-6</v>
      </c>
      <c r="D98" s="942">
        <f t="shared" si="7"/>
        <v>1.2327416173570021</v>
      </c>
      <c r="E98" s="942">
        <f t="shared" si="6"/>
        <v>4.0468522722503777E-3</v>
      </c>
      <c r="F98" s="254">
        <f t="shared" si="8"/>
        <v>-23.928826489609122</v>
      </c>
      <c r="G98" s="250" t="s">
        <v>859</v>
      </c>
      <c r="H98" s="250"/>
      <c r="I98" s="253">
        <f>(S7*B98)/79.76</f>
        <v>0.92757948642676014</v>
      </c>
      <c r="J98" s="88"/>
      <c r="K98" s="89"/>
      <c r="L98" s="3"/>
      <c r="M98" s="3"/>
      <c r="N98" s="3"/>
      <c r="O98" s="3"/>
      <c r="P98" s="3"/>
      <c r="Q98" s="558"/>
      <c r="R98" s="912"/>
      <c r="S98" s="912"/>
      <c r="T98" s="912"/>
      <c r="U98" s="918"/>
    </row>
    <row r="99" spans="1:21" ht="13">
      <c r="A99" s="942"/>
      <c r="B99" s="942">
        <v>790</v>
      </c>
      <c r="C99" s="942">
        <f t="shared" si="9"/>
        <v>1.4148729715742491E-6</v>
      </c>
      <c r="D99" s="942">
        <f t="shared" si="7"/>
        <v>1.414872971574249</v>
      </c>
      <c r="E99" s="942">
        <f t="shared" si="6"/>
        <v>4.6447542772482765E-3</v>
      </c>
      <c r="F99" s="254">
        <f t="shared" si="8"/>
        <v>-23.330372566666618</v>
      </c>
      <c r="G99" s="250" t="s">
        <v>859</v>
      </c>
      <c r="H99" s="250"/>
      <c r="I99" s="253">
        <f>(S7*B99)/79.76</f>
        <v>0.93947153112453896</v>
      </c>
      <c r="J99" s="88"/>
      <c r="K99" s="89"/>
      <c r="L99" s="3"/>
      <c r="M99" s="3"/>
      <c r="N99" s="3"/>
      <c r="O99" s="3"/>
      <c r="P99" s="3"/>
      <c r="Q99" s="558"/>
      <c r="R99" s="912"/>
      <c r="S99" s="912"/>
      <c r="T99" s="912"/>
      <c r="U99" s="918"/>
    </row>
    <row r="100" spans="1:21" ht="13">
      <c r="A100" s="942"/>
      <c r="B100" s="942">
        <v>800</v>
      </c>
      <c r="C100" s="942">
        <f t="shared" si="9"/>
        <v>1.5153848599889908E-6</v>
      </c>
      <c r="D100" s="942">
        <f t="shared" si="7"/>
        <v>1.5153848599889908</v>
      </c>
      <c r="E100" s="942">
        <f t="shared" si="6"/>
        <v>4.9747153642207926E-3</v>
      </c>
      <c r="F100" s="254">
        <f t="shared" si="8"/>
        <v>-23.032317630156676</v>
      </c>
      <c r="G100" s="250" t="s">
        <v>859</v>
      </c>
      <c r="H100" s="250"/>
      <c r="I100" s="253">
        <f>(S7*B100)/79.76</f>
        <v>0.95136357582231812</v>
      </c>
      <c r="J100" s="88"/>
      <c r="K100" s="89"/>
      <c r="L100" s="3"/>
      <c r="M100" s="3"/>
      <c r="N100" s="3"/>
      <c r="O100" s="3"/>
      <c r="P100" s="3"/>
      <c r="Q100" s="558"/>
      <c r="R100" s="912"/>
      <c r="S100" s="913"/>
      <c r="T100" s="912"/>
      <c r="U100" s="918"/>
    </row>
    <row r="101" spans="1:21" ht="13">
      <c r="A101" s="942"/>
      <c r="B101" s="942">
        <v>810</v>
      </c>
      <c r="C101" s="942">
        <f t="shared" si="9"/>
        <v>1.5241579027587259E-6</v>
      </c>
      <c r="D101" s="942">
        <f t="shared" si="7"/>
        <v>1.5241579027587258</v>
      </c>
      <c r="E101" s="942">
        <f t="shared" si="6"/>
        <v>5.003515566604947E-3</v>
      </c>
      <c r="F101" s="257">
        <f t="shared" si="8"/>
        <v>-23.007247447289512</v>
      </c>
      <c r="G101" s="250" t="s">
        <v>859</v>
      </c>
      <c r="H101" s="250"/>
      <c r="I101" s="258">
        <f>(S7*B101)/79.76</f>
        <v>0.96325562052009694</v>
      </c>
      <c r="J101" s="259" t="s">
        <v>51</v>
      </c>
      <c r="K101" s="260"/>
      <c r="L101" s="3"/>
      <c r="M101" s="3"/>
      <c r="N101" s="3"/>
      <c r="O101" s="3"/>
      <c r="P101" s="3"/>
      <c r="Q101" s="558"/>
      <c r="R101" s="912"/>
      <c r="S101" s="912"/>
      <c r="T101" s="912"/>
      <c r="U101" s="918"/>
    </row>
    <row r="102" spans="1:21" ht="13">
      <c r="A102" s="942"/>
      <c r="B102" s="942">
        <v>820</v>
      </c>
      <c r="C102" s="942">
        <f t="shared" si="9"/>
        <v>1.4423651255100455E-6</v>
      </c>
      <c r="D102" s="942">
        <f t="shared" si="7"/>
        <v>1.4423651255100456</v>
      </c>
      <c r="E102" s="942">
        <f t="shared" si="6"/>
        <v>4.7350057006265754E-3</v>
      </c>
      <c r="F102" s="254">
        <f t="shared" si="8"/>
        <v>-23.246794937992135</v>
      </c>
      <c r="G102" s="250" t="s">
        <v>859</v>
      </c>
      <c r="H102" s="250"/>
      <c r="I102" s="253">
        <f>(S7*B102)/79.76</f>
        <v>0.97514766521787588</v>
      </c>
      <c r="J102" s="88"/>
      <c r="K102" s="89"/>
      <c r="L102" s="3"/>
      <c r="M102" s="3"/>
      <c r="N102" s="3"/>
      <c r="O102" s="3"/>
      <c r="P102" s="3"/>
      <c r="Q102" s="558"/>
      <c r="R102" s="912"/>
      <c r="S102" s="912"/>
      <c r="T102" s="912"/>
      <c r="U102" s="918"/>
    </row>
    <row r="103" spans="1:21" ht="13">
      <c r="A103" s="942"/>
      <c r="B103" s="942">
        <v>830</v>
      </c>
      <c r="C103" s="942">
        <f t="shared" si="9"/>
        <v>1.281785776686732E-6</v>
      </c>
      <c r="D103" s="942">
        <f t="shared" si="7"/>
        <v>1.281785776686732</v>
      </c>
      <c r="E103" s="942">
        <f t="shared" si="6"/>
        <v>4.2078547603870697E-3</v>
      </c>
      <c r="F103" s="254">
        <f t="shared" si="8"/>
        <v>-23.75939258837926</v>
      </c>
      <c r="G103" s="250" t="s">
        <v>859</v>
      </c>
      <c r="H103" s="250"/>
      <c r="I103" s="253">
        <f>(S7*B103)/79.76</f>
        <v>0.98703970991565493</v>
      </c>
      <c r="J103" s="88"/>
      <c r="K103" s="89"/>
      <c r="L103" s="3"/>
      <c r="M103" s="3"/>
      <c r="N103" s="3"/>
      <c r="O103" s="3"/>
      <c r="P103" s="3"/>
      <c r="Q103" s="558"/>
      <c r="R103" s="912"/>
      <c r="S103" s="912"/>
      <c r="T103" s="912"/>
      <c r="U103" s="918"/>
    </row>
    <row r="104" spans="1:21" ht="13">
      <c r="A104" s="942"/>
      <c r="B104" s="942">
        <v>840</v>
      </c>
      <c r="C104" s="942">
        <f t="shared" si="9"/>
        <v>1.0629251700680265E-6</v>
      </c>
      <c r="D104" s="942">
        <f t="shared" si="7"/>
        <v>1.0629251700680264</v>
      </c>
      <c r="E104" s="942">
        <f t="shared" si="6"/>
        <v>3.4893777245424145E-3</v>
      </c>
      <c r="F104" s="254">
        <f t="shared" si="8"/>
        <v>-24.572520157037154</v>
      </c>
      <c r="G104" s="250" t="s">
        <v>859</v>
      </c>
      <c r="H104" s="250"/>
      <c r="I104" s="253">
        <f>(S7*B104)/79.76</f>
        <v>0.99893175461343386</v>
      </c>
      <c r="J104" s="88"/>
      <c r="K104" s="89"/>
      <c r="L104" s="3"/>
      <c r="M104" s="3"/>
      <c r="N104" s="3"/>
      <c r="O104" s="3"/>
      <c r="P104" s="3"/>
      <c r="Q104" s="558"/>
      <c r="R104" s="912"/>
      <c r="S104" s="912"/>
      <c r="T104" s="912"/>
      <c r="U104" s="918"/>
    </row>
    <row r="105" spans="1:21">
      <c r="A105" s="942"/>
      <c r="B105" s="942"/>
      <c r="C105" s="942"/>
      <c r="D105" s="942"/>
      <c r="E105" s="942"/>
      <c r="F105" s="87"/>
      <c r="G105" s="88"/>
      <c r="H105" s="88"/>
      <c r="I105" s="88"/>
      <c r="J105" s="88"/>
      <c r="K105" s="89"/>
      <c r="L105" s="3"/>
      <c r="M105" s="3"/>
      <c r="N105" s="3"/>
      <c r="O105" s="3"/>
      <c r="P105" s="3"/>
      <c r="Q105" s="3"/>
      <c r="R105" s="912"/>
      <c r="S105" s="912"/>
      <c r="T105" s="912"/>
      <c r="U105" s="912"/>
    </row>
    <row r="106" spans="1:21">
      <c r="A106" s="942"/>
      <c r="B106" s="942"/>
      <c r="C106" s="942"/>
      <c r="D106" s="942"/>
      <c r="E106" s="942"/>
      <c r="F106" s="90"/>
      <c r="G106" s="91"/>
      <c r="H106" s="91"/>
      <c r="I106" s="91"/>
      <c r="J106" s="91"/>
      <c r="K106" s="92"/>
      <c r="L106" s="3"/>
      <c r="M106" s="3"/>
      <c r="N106" s="3"/>
      <c r="O106" s="3"/>
      <c r="P106" s="3"/>
      <c r="Q106" s="3"/>
      <c r="R106" s="912"/>
      <c r="S106" s="912"/>
      <c r="T106" s="912"/>
      <c r="U106" s="912"/>
    </row>
    <row r="107" spans="1:21">
      <c r="A107" s="535"/>
      <c r="B107" s="535"/>
      <c r="C107" s="535"/>
      <c r="D107" s="535"/>
      <c r="E107" s="535"/>
      <c r="F107" s="3"/>
      <c r="G107" s="3"/>
      <c r="H107" s="3"/>
      <c r="I107" s="3"/>
      <c r="J107" s="3"/>
      <c r="K107" s="3"/>
      <c r="L107" s="3"/>
      <c r="M107" s="3"/>
      <c r="N107" s="3"/>
      <c r="O107" s="3"/>
      <c r="P107" s="3"/>
      <c r="Q107" s="3"/>
      <c r="R107" s="912"/>
      <c r="S107" s="912"/>
      <c r="T107" s="912"/>
      <c r="U107" s="912"/>
    </row>
    <row r="108" spans="1:21">
      <c r="A108" s="535"/>
      <c r="B108" s="535"/>
      <c r="C108" s="535"/>
      <c r="D108" s="535"/>
      <c r="E108" s="535"/>
      <c r="F108" s="3"/>
      <c r="G108" s="3"/>
      <c r="H108" s="3"/>
      <c r="I108" s="3"/>
      <c r="J108" s="3"/>
      <c r="K108" s="3"/>
      <c r="L108" s="3"/>
      <c r="M108" s="3"/>
      <c r="N108" s="3"/>
      <c r="O108" s="3"/>
      <c r="P108" s="3"/>
      <c r="Q108" s="3"/>
      <c r="R108" s="912"/>
      <c r="S108" s="912"/>
      <c r="T108" s="912"/>
      <c r="U108" s="912"/>
    </row>
    <row r="109" spans="1:21">
      <c r="A109" s="535"/>
      <c r="B109" s="535"/>
      <c r="C109" s="535"/>
      <c r="D109" s="535"/>
      <c r="E109" s="535"/>
      <c r="F109" s="3"/>
      <c r="G109" s="3"/>
      <c r="H109" s="3"/>
      <c r="I109" s="3"/>
      <c r="J109" s="3"/>
      <c r="K109" s="3"/>
      <c r="L109" s="3"/>
      <c r="M109" s="3"/>
      <c r="N109" s="3"/>
      <c r="O109" s="3"/>
      <c r="P109" s="3"/>
      <c r="Q109" s="3"/>
      <c r="R109" s="912"/>
      <c r="S109" s="912"/>
      <c r="T109" s="912"/>
      <c r="U109" s="912"/>
    </row>
    <row r="110" spans="1:21">
      <c r="A110" s="535"/>
      <c r="B110" s="535"/>
      <c r="C110" s="535"/>
      <c r="D110" s="535"/>
      <c r="E110" s="535"/>
      <c r="F110" s="3"/>
      <c r="G110" s="3"/>
      <c r="H110" s="3"/>
      <c r="I110" s="3"/>
      <c r="J110" s="3"/>
      <c r="K110" s="3"/>
      <c r="L110" s="3"/>
      <c r="M110" s="3"/>
      <c r="N110" s="3"/>
      <c r="O110" s="3"/>
      <c r="P110" s="3"/>
      <c r="Q110" s="3"/>
      <c r="R110" s="912"/>
      <c r="S110" s="912"/>
      <c r="T110" s="912"/>
      <c r="U110" s="912"/>
    </row>
    <row r="111" spans="1:21">
      <c r="A111" s="535"/>
      <c r="B111" s="535"/>
      <c r="C111" s="535"/>
      <c r="D111" s="535"/>
      <c r="E111" s="535"/>
      <c r="F111" s="3"/>
      <c r="G111" s="3"/>
      <c r="H111" s="3"/>
      <c r="I111" s="3"/>
      <c r="J111" s="3"/>
      <c r="K111" s="3"/>
      <c r="L111" s="3"/>
      <c r="M111" s="3"/>
      <c r="N111" s="3"/>
      <c r="O111" s="3"/>
      <c r="P111" s="3"/>
      <c r="Q111" s="3"/>
      <c r="R111" s="912"/>
      <c r="S111" s="912"/>
      <c r="T111" s="912"/>
      <c r="U111" s="912"/>
    </row>
    <row r="112" spans="1:21">
      <c r="A112" s="3"/>
      <c r="B112" s="3"/>
      <c r="C112" s="3"/>
      <c r="D112" s="3"/>
      <c r="E112" s="3"/>
      <c r="F112" s="3"/>
      <c r="G112" s="3"/>
      <c r="H112" s="3"/>
      <c r="I112" s="3"/>
      <c r="J112" s="3"/>
      <c r="K112" s="3"/>
      <c r="L112" s="3"/>
      <c r="M112" s="3"/>
      <c r="N112" s="3"/>
      <c r="O112" s="3"/>
      <c r="P112" s="3"/>
      <c r="Q112" s="3"/>
      <c r="R112" s="912"/>
      <c r="S112" s="912"/>
      <c r="T112" s="912"/>
      <c r="U112" s="912"/>
    </row>
    <row r="113" spans="1:21">
      <c r="A113" s="3"/>
      <c r="B113" s="3"/>
      <c r="C113" s="3"/>
      <c r="D113" s="3"/>
      <c r="E113" s="3"/>
      <c r="F113" s="3"/>
      <c r="G113" s="3"/>
      <c r="H113" s="3"/>
      <c r="I113" s="3"/>
      <c r="J113" s="3"/>
      <c r="K113" s="3"/>
      <c r="L113" s="3"/>
      <c r="M113" s="3"/>
      <c r="N113" s="3"/>
      <c r="O113" s="3"/>
      <c r="P113" s="3"/>
      <c r="Q113" s="3"/>
      <c r="R113" s="912"/>
      <c r="S113" s="912"/>
      <c r="T113" s="912"/>
      <c r="U113" s="912"/>
    </row>
    <row r="114" spans="1:21">
      <c r="A114" s="3"/>
      <c r="B114" s="3"/>
      <c r="C114" s="3"/>
      <c r="D114" s="3"/>
      <c r="E114" s="3"/>
      <c r="F114" s="3"/>
      <c r="G114" s="3"/>
      <c r="H114" s="3"/>
      <c r="I114" s="3"/>
      <c r="J114" s="3"/>
      <c r="K114" s="3"/>
      <c r="L114" s="3"/>
      <c r="M114" s="3"/>
      <c r="N114" s="3"/>
      <c r="O114" s="3"/>
      <c r="P114" s="3"/>
      <c r="Q114" s="3"/>
      <c r="R114" s="912"/>
      <c r="S114" s="912"/>
      <c r="T114" s="912"/>
      <c r="U114" s="912"/>
    </row>
    <row r="115" spans="1:21">
      <c r="A115" s="3"/>
      <c r="B115" s="3"/>
      <c r="C115" s="3"/>
      <c r="D115" s="3"/>
      <c r="E115" s="3"/>
      <c r="F115" s="3"/>
      <c r="G115" s="3"/>
      <c r="H115" s="3"/>
      <c r="I115" s="3"/>
      <c r="J115" s="3"/>
      <c r="K115" s="3"/>
      <c r="L115" s="3"/>
      <c r="M115" s="3"/>
      <c r="N115" s="3"/>
      <c r="O115" s="3"/>
      <c r="P115" s="3"/>
      <c r="Q115" s="3"/>
      <c r="R115" s="912"/>
      <c r="S115" s="912"/>
      <c r="T115" s="912"/>
      <c r="U115" s="912"/>
    </row>
    <row r="116" spans="1:21">
      <c r="A116" s="3"/>
      <c r="B116" s="3"/>
      <c r="C116" s="3"/>
      <c r="D116" s="3"/>
      <c r="E116" s="3"/>
      <c r="F116" s="3"/>
      <c r="G116" s="3"/>
      <c r="H116" s="3"/>
      <c r="I116" s="3"/>
      <c r="J116" s="3"/>
      <c r="K116" s="3"/>
      <c r="L116" s="3"/>
      <c r="M116" s="3"/>
      <c r="N116" s="3"/>
      <c r="O116" s="3"/>
      <c r="P116" s="3"/>
      <c r="Q116" s="3"/>
      <c r="R116" s="912"/>
      <c r="S116" s="912"/>
      <c r="T116" s="912"/>
      <c r="U116" s="912"/>
    </row>
    <row r="117" spans="1:21">
      <c r="A117" s="3"/>
      <c r="B117" s="3"/>
      <c r="C117" s="3"/>
      <c r="D117" s="3"/>
      <c r="E117" s="3"/>
      <c r="F117" s="3"/>
      <c r="G117" s="3"/>
      <c r="H117" s="3"/>
      <c r="I117" s="3"/>
      <c r="J117" s="3"/>
      <c r="K117" s="3"/>
      <c r="L117" s="3"/>
      <c r="M117" s="3"/>
      <c r="N117" s="3"/>
      <c r="O117" s="3"/>
      <c r="P117" s="3"/>
      <c r="Q117" s="3"/>
      <c r="R117" s="912"/>
      <c r="S117" s="912"/>
      <c r="T117" s="912"/>
      <c r="U117" s="912"/>
    </row>
    <row r="118" spans="1:21">
      <c r="A118" s="3"/>
      <c r="B118" s="3"/>
      <c r="C118" s="3"/>
      <c r="D118" s="3"/>
      <c r="E118" s="3"/>
      <c r="F118" s="3"/>
      <c r="G118" s="3"/>
      <c r="H118" s="3"/>
      <c r="I118" s="3"/>
      <c r="J118" s="3"/>
      <c r="K118" s="3"/>
      <c r="L118" s="3"/>
      <c r="M118" s="3"/>
      <c r="N118" s="3"/>
      <c r="O118" s="3"/>
      <c r="P118" s="3"/>
      <c r="Q118" s="3"/>
      <c r="R118" s="912"/>
      <c r="S118" s="912"/>
      <c r="T118" s="912"/>
      <c r="U118" s="912"/>
    </row>
    <row r="119" spans="1:21">
      <c r="A119" s="3"/>
      <c r="B119" s="3"/>
      <c r="C119" s="3"/>
      <c r="D119" s="3"/>
      <c r="E119" s="3"/>
      <c r="F119" s="3"/>
      <c r="G119" s="3"/>
      <c r="H119" s="3"/>
      <c r="I119" s="3"/>
      <c r="J119" s="3"/>
      <c r="K119" s="3"/>
      <c r="L119" s="3"/>
      <c r="M119" s="3"/>
      <c r="N119" s="3"/>
      <c r="O119" s="3"/>
      <c r="P119" s="3"/>
      <c r="Q119" s="3"/>
      <c r="R119" s="912"/>
      <c r="S119" s="912"/>
      <c r="T119" s="912"/>
      <c r="U119" s="912"/>
    </row>
    <row r="120" spans="1:21">
      <c r="A120" s="3"/>
      <c r="B120" s="3"/>
      <c r="C120" s="3"/>
      <c r="D120" s="3"/>
      <c r="E120" s="3"/>
      <c r="F120" s="3"/>
      <c r="G120" s="3"/>
      <c r="H120" s="3"/>
      <c r="I120" s="3"/>
      <c r="J120" s="3"/>
      <c r="K120" s="3"/>
      <c r="L120" s="3"/>
      <c r="M120" s="3"/>
      <c r="N120" s="3"/>
      <c r="O120" s="3"/>
      <c r="P120" s="3"/>
      <c r="Q120" s="3"/>
      <c r="R120" s="912"/>
      <c r="S120" s="912"/>
      <c r="T120" s="912"/>
      <c r="U120" s="912"/>
    </row>
    <row r="121" spans="1:21">
      <c r="A121" s="3"/>
      <c r="B121" s="3"/>
      <c r="C121" s="3"/>
      <c r="D121" s="3"/>
      <c r="E121" s="3"/>
      <c r="F121" s="3"/>
      <c r="G121" s="3"/>
      <c r="H121" s="3"/>
      <c r="I121" s="3"/>
      <c r="J121" s="3"/>
      <c r="K121" s="3"/>
      <c r="L121" s="3"/>
      <c r="M121" s="3"/>
      <c r="N121" s="3"/>
      <c r="O121" s="3"/>
      <c r="P121" s="3"/>
      <c r="Q121" s="3"/>
      <c r="R121" s="912"/>
      <c r="S121" s="912"/>
      <c r="T121" s="912"/>
      <c r="U121" s="912"/>
    </row>
    <row r="122" spans="1:21">
      <c r="A122" s="3"/>
      <c r="B122" s="3"/>
      <c r="C122" s="3"/>
      <c r="D122" s="3"/>
      <c r="E122" s="3"/>
      <c r="F122" s="3"/>
      <c r="G122" s="3"/>
      <c r="H122" s="3"/>
      <c r="I122" s="3"/>
      <c r="J122" s="3"/>
      <c r="K122" s="3"/>
      <c r="L122" s="3"/>
      <c r="M122" s="3"/>
      <c r="N122" s="3"/>
      <c r="O122" s="3"/>
      <c r="P122" s="3"/>
      <c r="Q122" s="3"/>
      <c r="R122" s="912"/>
      <c r="S122" s="912"/>
      <c r="T122" s="912"/>
      <c r="U122" s="912"/>
    </row>
    <row r="123" spans="1:21">
      <c r="A123" s="3"/>
      <c r="B123" s="3"/>
      <c r="C123" s="3"/>
      <c r="D123" s="3"/>
      <c r="E123" s="3"/>
      <c r="F123" s="3"/>
      <c r="G123" s="3"/>
      <c r="H123" s="3"/>
      <c r="I123" s="3"/>
      <c r="J123" s="3"/>
      <c r="K123" s="3"/>
      <c r="L123" s="3"/>
      <c r="M123" s="3"/>
      <c r="N123" s="3"/>
      <c r="O123" s="3"/>
      <c r="P123" s="3"/>
      <c r="Q123" s="3"/>
      <c r="R123" s="912"/>
      <c r="S123" s="912"/>
      <c r="T123" s="912"/>
      <c r="U123" s="912"/>
    </row>
    <row r="124" spans="1:21">
      <c r="A124" s="3"/>
      <c r="B124" s="3"/>
      <c r="C124" s="3"/>
      <c r="D124" s="3"/>
      <c r="E124" s="3"/>
      <c r="F124" s="3"/>
      <c r="G124" s="3"/>
      <c r="H124" s="3"/>
      <c r="I124" s="3"/>
      <c r="J124" s="3"/>
      <c r="K124" s="3"/>
      <c r="L124" s="3"/>
      <c r="M124" s="3"/>
      <c r="N124" s="3"/>
      <c r="O124" s="3"/>
      <c r="P124" s="3"/>
      <c r="Q124" s="3"/>
      <c r="R124" s="912"/>
      <c r="S124" s="912"/>
      <c r="T124" s="912"/>
      <c r="U124" s="912"/>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200" zoomScaleNormal="20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88" zoomScaleNormal="100" workbookViewId="0">
      <selection activeCell="H104" sqref="H104"/>
    </sheetView>
  </sheetViews>
  <sheetFormatPr defaultColWidth="8.81640625" defaultRowHeight="12.5"/>
  <cols>
    <col min="3" max="3" width="9.6328125" customWidth="1"/>
    <col min="11" max="11" width="12.81640625" customWidth="1"/>
    <col min="12" max="12" width="10.453125" customWidth="1"/>
    <col min="13" max="13" width="13.453125" customWidth="1"/>
  </cols>
  <sheetData>
    <row r="1" spans="1:19" ht="18.5" thickBot="1">
      <c r="A1" s="127" t="s">
        <v>661</v>
      </c>
      <c r="B1" s="129"/>
      <c r="C1" s="129"/>
      <c r="D1" s="129"/>
      <c r="E1" s="129"/>
      <c r="F1" s="129"/>
      <c r="G1" s="129"/>
      <c r="H1" s="129"/>
      <c r="I1" s="129"/>
      <c r="J1" s="129"/>
      <c r="K1" s="129"/>
      <c r="L1" s="129"/>
      <c r="M1" s="129"/>
      <c r="N1" s="129"/>
      <c r="O1" s="129"/>
      <c r="P1" s="129"/>
      <c r="Q1" s="129"/>
      <c r="R1" s="129"/>
      <c r="S1" s="129"/>
    </row>
    <row r="2" spans="1:19">
      <c r="A2" s="3"/>
      <c r="B2" s="103"/>
      <c r="C2" s="103"/>
      <c r="D2" s="103"/>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278</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6" t="s">
        <v>541</v>
      </c>
      <c r="C7" s="187"/>
      <c r="D7" s="188"/>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542</v>
      </c>
      <c r="D10" s="3"/>
      <c r="E10" s="3"/>
      <c r="F10" s="3"/>
      <c r="G10" s="591" t="s">
        <v>545</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544</v>
      </c>
      <c r="D13" s="3"/>
      <c r="E13" s="3"/>
      <c r="F13" s="3"/>
      <c r="G13" s="591" t="s">
        <v>543</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546</v>
      </c>
      <c r="D16" s="3"/>
      <c r="E16" s="3"/>
      <c r="F16" s="3"/>
      <c r="G16" s="3"/>
      <c r="H16" s="3"/>
      <c r="I16" s="3"/>
      <c r="J16" s="3"/>
      <c r="K16" s="3"/>
      <c r="L16" s="3"/>
      <c r="M16" s="3"/>
      <c r="N16" s="3"/>
      <c r="O16" s="3"/>
      <c r="P16" s="3"/>
      <c r="Q16" s="3"/>
      <c r="R16" s="3"/>
      <c r="S16" s="3"/>
    </row>
    <row r="17" spans="1:19">
      <c r="A17" s="3"/>
      <c r="B17" s="3"/>
      <c r="C17" s="3"/>
      <c r="D17" s="3"/>
      <c r="E17" s="3"/>
      <c r="F17" s="3"/>
      <c r="G17" s="591" t="s">
        <v>547</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91" t="s">
        <v>548</v>
      </c>
      <c r="H19" s="3"/>
      <c r="I19" s="3"/>
      <c r="J19" s="3"/>
      <c r="K19" s="3"/>
      <c r="L19" s="3"/>
      <c r="M19" s="3"/>
      <c r="N19" s="3"/>
      <c r="O19" s="3"/>
      <c r="P19" s="3"/>
      <c r="Q19" s="3"/>
      <c r="R19" s="3"/>
      <c r="S19" s="3"/>
    </row>
    <row r="20" spans="1:19">
      <c r="A20" s="3"/>
      <c r="B20" s="3"/>
      <c r="C20" s="3"/>
      <c r="D20" s="3"/>
      <c r="E20" s="3"/>
      <c r="F20" s="3"/>
      <c r="G20" s="591"/>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549</v>
      </c>
      <c r="D22" s="3"/>
      <c r="E22" s="3"/>
      <c r="F22" s="3"/>
      <c r="G22" s="591" t="s">
        <v>660</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658</v>
      </c>
      <c r="D24" s="3"/>
      <c r="E24" s="3"/>
      <c r="F24" s="3"/>
      <c r="G24" s="591" t="s">
        <v>659</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6" t="s">
        <v>550</v>
      </c>
      <c r="C28" s="247"/>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90" t="s">
        <v>572</v>
      </c>
      <c r="C31" s="567"/>
      <c r="D31" s="567"/>
      <c r="E31" s="567"/>
      <c r="F31" s="567"/>
      <c r="G31" s="567"/>
      <c r="H31" s="567"/>
      <c r="I31" s="567"/>
      <c r="J31" s="567"/>
      <c r="K31" s="567"/>
      <c r="L31" s="567"/>
      <c r="M31" s="568"/>
      <c r="N31" s="3"/>
      <c r="O31" s="3"/>
      <c r="P31" s="3"/>
      <c r="Q31" s="3"/>
      <c r="R31" s="3"/>
      <c r="S31" s="3"/>
    </row>
    <row r="32" spans="1:19">
      <c r="A32" s="3"/>
      <c r="B32" s="569"/>
      <c r="C32" s="143" t="s">
        <v>217</v>
      </c>
      <c r="D32" s="143"/>
      <c r="E32" s="143"/>
      <c r="F32" s="143"/>
      <c r="G32" s="143"/>
      <c r="H32" s="143"/>
      <c r="I32" s="143"/>
      <c r="J32" s="143"/>
      <c r="K32" s="143"/>
      <c r="L32" s="143"/>
      <c r="M32" s="145"/>
      <c r="N32" s="3"/>
      <c r="O32" s="3"/>
      <c r="P32" s="3"/>
      <c r="Q32" s="3"/>
      <c r="R32" s="3"/>
      <c r="S32" s="3"/>
    </row>
    <row r="33" spans="1:19">
      <c r="A33" s="3"/>
      <c r="B33" s="569"/>
      <c r="C33" s="143" t="s">
        <v>560</v>
      </c>
      <c r="D33" s="143"/>
      <c r="E33" s="143"/>
      <c r="F33" s="143"/>
      <c r="G33" s="143"/>
      <c r="H33" s="143"/>
      <c r="I33" s="143"/>
      <c r="J33" s="143"/>
      <c r="K33" s="143"/>
      <c r="L33" s="143"/>
      <c r="M33" s="145"/>
      <c r="N33" s="3"/>
      <c r="O33" s="3"/>
      <c r="P33" s="3"/>
      <c r="Q33" s="3"/>
      <c r="R33" s="3"/>
      <c r="S33" s="3"/>
    </row>
    <row r="34" spans="1:19" ht="13" thickBot="1">
      <c r="A34" s="3"/>
      <c r="B34" s="570"/>
      <c r="C34" s="147" t="s">
        <v>631</v>
      </c>
      <c r="D34" s="147"/>
      <c r="E34" s="147"/>
      <c r="F34" s="147"/>
      <c r="G34" s="147"/>
      <c r="H34" s="147"/>
      <c r="I34" s="147"/>
      <c r="J34" s="147"/>
      <c r="K34" s="147"/>
      <c r="L34" s="147"/>
      <c r="M34" s="148"/>
      <c r="N34" s="3"/>
      <c r="O34" s="3"/>
      <c r="P34" s="3"/>
      <c r="Q34" s="3"/>
      <c r="R34" s="3"/>
      <c r="S34" s="3"/>
    </row>
    <row r="35" spans="1:19" ht="13">
      <c r="A35" s="3"/>
      <c r="B35" s="585" t="s">
        <v>557</v>
      </c>
      <c r="C35" s="586" t="s">
        <v>556</v>
      </c>
      <c r="D35" s="587"/>
      <c r="E35" s="588" t="s">
        <v>551</v>
      </c>
      <c r="F35" s="587"/>
      <c r="G35" s="587"/>
      <c r="H35" s="586" t="s">
        <v>552</v>
      </c>
      <c r="I35" s="589"/>
      <c r="J35" s="307"/>
      <c r="K35" s="295"/>
      <c r="L35" s="295"/>
      <c r="M35" s="309"/>
      <c r="N35" s="3"/>
      <c r="O35" s="3"/>
      <c r="P35" s="3"/>
      <c r="Q35" s="3"/>
      <c r="R35" s="3"/>
      <c r="S35" s="3"/>
    </row>
    <row r="36" spans="1:19">
      <c r="A36" s="3"/>
      <c r="B36" s="579">
        <v>1</v>
      </c>
      <c r="C36" s="571">
        <v>10</v>
      </c>
      <c r="D36" s="571" t="s">
        <v>856</v>
      </c>
      <c r="E36" s="573">
        <v>12</v>
      </c>
      <c r="F36" s="571" t="s">
        <v>553</v>
      </c>
      <c r="G36" s="571"/>
      <c r="H36" s="574">
        <f>E36/100</f>
        <v>0.12</v>
      </c>
      <c r="I36" s="572" t="s">
        <v>555</v>
      </c>
      <c r="J36" s="307"/>
      <c r="K36" s="295" t="s">
        <v>817</v>
      </c>
      <c r="L36" s="295"/>
      <c r="M36" s="309"/>
      <c r="N36" s="3"/>
      <c r="O36" s="3"/>
      <c r="P36" s="3"/>
      <c r="Q36" s="3"/>
      <c r="R36" s="3"/>
      <c r="S36" s="3"/>
    </row>
    <row r="37" spans="1:19">
      <c r="A37" s="3"/>
      <c r="B37" s="579">
        <v>2</v>
      </c>
      <c r="C37" s="581">
        <v>30</v>
      </c>
      <c r="D37" s="581" t="s">
        <v>856</v>
      </c>
      <c r="E37" s="573">
        <v>17</v>
      </c>
      <c r="F37" s="571" t="s">
        <v>553</v>
      </c>
      <c r="G37" s="571" t="s">
        <v>817</v>
      </c>
      <c r="H37" s="574">
        <f t="shared" ref="H37:H47" si="0">E37/100</f>
        <v>0.17</v>
      </c>
      <c r="I37" s="572" t="s">
        <v>555</v>
      </c>
      <c r="J37" s="307"/>
      <c r="K37" s="295" t="s">
        <v>557</v>
      </c>
      <c r="L37" s="263">
        <v>8</v>
      </c>
      <c r="M37" s="309"/>
      <c r="N37" s="3"/>
      <c r="O37" s="3"/>
      <c r="P37" s="3"/>
      <c r="Q37" s="3"/>
      <c r="R37" s="3"/>
      <c r="S37" s="3"/>
    </row>
    <row r="38" spans="1:19">
      <c r="A38" s="3"/>
      <c r="B38" s="579">
        <v>3</v>
      </c>
      <c r="C38" s="571">
        <v>50</v>
      </c>
      <c r="D38" s="571" t="s">
        <v>856</v>
      </c>
      <c r="E38" s="573" t="s">
        <v>554</v>
      </c>
      <c r="F38" s="571" t="s">
        <v>553</v>
      </c>
      <c r="G38" s="571"/>
      <c r="H38" s="574" t="s">
        <v>554</v>
      </c>
      <c r="I38" s="572" t="s">
        <v>555</v>
      </c>
      <c r="J38" s="307"/>
      <c r="K38" s="295"/>
      <c r="L38" s="295"/>
      <c r="M38" s="309"/>
      <c r="N38" s="3"/>
      <c r="O38" s="3"/>
      <c r="P38" s="3"/>
      <c r="Q38" s="3"/>
      <c r="R38" s="3"/>
      <c r="S38" s="3"/>
    </row>
    <row r="39" spans="1:19">
      <c r="A39" s="3"/>
      <c r="B39" s="579">
        <v>4</v>
      </c>
      <c r="C39" s="571">
        <v>100</v>
      </c>
      <c r="D39" s="571" t="s">
        <v>856</v>
      </c>
      <c r="E39" s="573">
        <v>28</v>
      </c>
      <c r="F39" s="571" t="s">
        <v>553</v>
      </c>
      <c r="G39" s="571"/>
      <c r="H39" s="574">
        <f t="shared" si="0"/>
        <v>0.28000000000000003</v>
      </c>
      <c r="I39" s="572" t="s">
        <v>555</v>
      </c>
      <c r="J39" s="307"/>
      <c r="K39" s="295" t="s">
        <v>855</v>
      </c>
      <c r="L39" s="582">
        <f>INDEX(C36:C48,L37,1)</f>
        <v>435</v>
      </c>
      <c r="M39" s="309"/>
      <c r="N39" s="3"/>
      <c r="O39" s="3"/>
      <c r="P39" s="3"/>
      <c r="Q39" s="3"/>
      <c r="R39" s="3"/>
      <c r="S39" s="3"/>
    </row>
    <row r="40" spans="1:19">
      <c r="A40" s="3"/>
      <c r="B40" s="579">
        <v>5</v>
      </c>
      <c r="C40" s="581">
        <v>145</v>
      </c>
      <c r="D40" s="581" t="s">
        <v>856</v>
      </c>
      <c r="E40" s="573">
        <v>32</v>
      </c>
      <c r="F40" s="571" t="s">
        <v>553</v>
      </c>
      <c r="G40" s="571"/>
      <c r="H40" s="574">
        <f t="shared" si="0"/>
        <v>0.32</v>
      </c>
      <c r="I40" s="572" t="s">
        <v>555</v>
      </c>
      <c r="J40" s="307"/>
      <c r="K40" s="295"/>
      <c r="L40" s="295"/>
      <c r="M40" s="309"/>
      <c r="N40" s="3"/>
      <c r="O40" s="3"/>
      <c r="P40" s="3"/>
      <c r="Q40" s="3"/>
      <c r="R40" s="3"/>
      <c r="S40" s="3"/>
    </row>
    <row r="41" spans="1:19">
      <c r="A41" s="3"/>
      <c r="B41" s="579">
        <v>6</v>
      </c>
      <c r="C41" s="571">
        <v>200</v>
      </c>
      <c r="D41" s="571" t="s">
        <v>856</v>
      </c>
      <c r="E41" s="573">
        <v>40</v>
      </c>
      <c r="F41" s="571" t="s">
        <v>553</v>
      </c>
      <c r="G41" s="571" t="s">
        <v>817</v>
      </c>
      <c r="H41" s="574">
        <f t="shared" si="0"/>
        <v>0.4</v>
      </c>
      <c r="I41" s="572" t="s">
        <v>555</v>
      </c>
      <c r="J41" s="307"/>
      <c r="K41" s="295" t="s">
        <v>558</v>
      </c>
      <c r="L41" s="583">
        <v>0.25</v>
      </c>
      <c r="M41" s="309"/>
      <c r="N41" s="3"/>
      <c r="O41" s="3"/>
      <c r="P41" s="3"/>
      <c r="Q41" s="3"/>
      <c r="R41" s="3"/>
      <c r="S41" s="3"/>
    </row>
    <row r="42" spans="1:19">
      <c r="A42" s="3"/>
      <c r="B42" s="579">
        <v>7</v>
      </c>
      <c r="C42" s="571">
        <v>400</v>
      </c>
      <c r="D42" s="571" t="s">
        <v>856</v>
      </c>
      <c r="E42" s="573" t="s">
        <v>554</v>
      </c>
      <c r="F42" s="571" t="s">
        <v>553</v>
      </c>
      <c r="G42" s="571"/>
      <c r="H42" s="574" t="s">
        <v>554</v>
      </c>
      <c r="I42" s="572" t="s">
        <v>555</v>
      </c>
      <c r="J42" s="307"/>
      <c r="K42" s="295"/>
      <c r="L42" s="295"/>
      <c r="M42" s="309"/>
      <c r="N42" s="3"/>
      <c r="O42" s="3"/>
      <c r="P42" s="3"/>
      <c r="Q42" s="3"/>
      <c r="R42" s="3"/>
      <c r="S42" s="3"/>
    </row>
    <row r="43" spans="1:19">
      <c r="A43" s="3"/>
      <c r="B43" s="579">
        <v>8</v>
      </c>
      <c r="C43" s="581">
        <v>435</v>
      </c>
      <c r="D43" s="581" t="s">
        <v>856</v>
      </c>
      <c r="E43" s="573">
        <v>58</v>
      </c>
      <c r="F43" s="571" t="s">
        <v>553</v>
      </c>
      <c r="G43" s="571"/>
      <c r="H43" s="574">
        <f t="shared" si="0"/>
        <v>0.57999999999999996</v>
      </c>
      <c r="I43" s="572" t="s">
        <v>555</v>
      </c>
      <c r="J43" s="307"/>
      <c r="K43" s="295" t="s">
        <v>559</v>
      </c>
      <c r="L43" s="584">
        <f>(INDEX(H36:H48,L37,1))*L41</f>
        <v>0.14499999999999999</v>
      </c>
      <c r="M43" s="309"/>
      <c r="N43" s="3"/>
      <c r="O43" s="3"/>
      <c r="P43" s="3"/>
      <c r="Q43" s="3"/>
      <c r="R43" s="3"/>
      <c r="S43" s="3"/>
    </row>
    <row r="44" spans="1:19">
      <c r="A44" s="3"/>
      <c r="B44" s="579">
        <v>9</v>
      </c>
      <c r="C44" s="571">
        <v>500</v>
      </c>
      <c r="D44" s="571" t="s">
        <v>856</v>
      </c>
      <c r="E44" s="573">
        <v>68</v>
      </c>
      <c r="F44" s="571" t="s">
        <v>553</v>
      </c>
      <c r="G44" s="571"/>
      <c r="H44" s="574">
        <f t="shared" si="0"/>
        <v>0.68</v>
      </c>
      <c r="I44" s="572" t="s">
        <v>555</v>
      </c>
      <c r="J44" s="307"/>
      <c r="K44" s="295"/>
      <c r="L44" s="295"/>
      <c r="M44" s="309"/>
      <c r="N44" s="3"/>
      <c r="O44" s="3"/>
      <c r="P44" s="3"/>
      <c r="Q44" s="3"/>
      <c r="R44" s="3"/>
      <c r="S44" s="3"/>
    </row>
    <row r="45" spans="1:19">
      <c r="A45" s="3"/>
      <c r="B45" s="579">
        <v>10</v>
      </c>
      <c r="C45" s="581">
        <v>1270</v>
      </c>
      <c r="D45" s="581" t="s">
        <v>856</v>
      </c>
      <c r="E45" s="573">
        <v>113</v>
      </c>
      <c r="F45" s="571" t="s">
        <v>553</v>
      </c>
      <c r="G45" s="571"/>
      <c r="H45" s="574">
        <f t="shared" si="0"/>
        <v>1.1299999999999999</v>
      </c>
      <c r="I45" s="572" t="s">
        <v>555</v>
      </c>
      <c r="J45" s="307"/>
      <c r="K45" s="295"/>
      <c r="L45" s="295"/>
      <c r="M45" s="309"/>
      <c r="N45" s="3"/>
      <c r="O45" s="3"/>
      <c r="P45" s="3"/>
      <c r="Q45" s="3"/>
      <c r="R45" s="3"/>
      <c r="S45" s="3"/>
    </row>
    <row r="46" spans="1:19">
      <c r="A46" s="3"/>
      <c r="B46" s="579">
        <v>11</v>
      </c>
      <c r="C46" s="581">
        <v>2400</v>
      </c>
      <c r="D46" s="581" t="s">
        <v>856</v>
      </c>
      <c r="E46" s="573">
        <v>165</v>
      </c>
      <c r="F46" s="571" t="s">
        <v>553</v>
      </c>
      <c r="G46" s="571"/>
      <c r="H46" s="574">
        <f t="shared" si="0"/>
        <v>1.65</v>
      </c>
      <c r="I46" s="572" t="s">
        <v>555</v>
      </c>
      <c r="J46" s="307"/>
      <c r="K46" s="295"/>
      <c r="L46" s="345" t="s">
        <v>140</v>
      </c>
      <c r="M46" s="309"/>
      <c r="N46" s="3"/>
      <c r="O46" s="3"/>
      <c r="P46" s="3"/>
      <c r="Q46" s="3"/>
      <c r="R46" s="3"/>
      <c r="S46" s="3"/>
    </row>
    <row r="47" spans="1:19">
      <c r="A47" s="3"/>
      <c r="B47" s="579">
        <v>12</v>
      </c>
      <c r="C47" s="571">
        <v>3300</v>
      </c>
      <c r="D47" s="571" t="s">
        <v>856</v>
      </c>
      <c r="E47" s="573">
        <v>268</v>
      </c>
      <c r="F47" s="571" t="s">
        <v>553</v>
      </c>
      <c r="G47" s="571"/>
      <c r="H47" s="574">
        <f t="shared" si="0"/>
        <v>2.68</v>
      </c>
      <c r="I47" s="572" t="s">
        <v>555</v>
      </c>
      <c r="J47" s="307"/>
      <c r="K47" s="295"/>
      <c r="L47" s="295"/>
      <c r="M47" s="309"/>
      <c r="N47" s="3"/>
      <c r="O47" s="3"/>
      <c r="P47" s="3"/>
      <c r="Q47" s="3"/>
      <c r="R47" s="3"/>
      <c r="S47" s="3"/>
    </row>
    <row r="48" spans="1:19" ht="13" thickBot="1">
      <c r="A48" s="3"/>
      <c r="B48" s="580">
        <v>13</v>
      </c>
      <c r="C48" s="575">
        <v>5000</v>
      </c>
      <c r="D48" s="575" t="s">
        <v>856</v>
      </c>
      <c r="E48" s="576" t="s">
        <v>554</v>
      </c>
      <c r="F48" s="575" t="s">
        <v>553</v>
      </c>
      <c r="G48" s="575"/>
      <c r="H48" s="577" t="s">
        <v>554</v>
      </c>
      <c r="I48" s="578" t="s">
        <v>555</v>
      </c>
      <c r="J48" s="310" t="s">
        <v>634</v>
      </c>
      <c r="K48" s="311"/>
      <c r="L48" s="311"/>
      <c r="M48" s="312"/>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817</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90" t="s">
        <v>635</v>
      </c>
      <c r="C52" s="567"/>
      <c r="D52" s="567"/>
      <c r="E52" s="567"/>
      <c r="F52" s="567"/>
      <c r="G52" s="567"/>
      <c r="H52" s="567"/>
      <c r="I52" s="567"/>
      <c r="J52" s="567"/>
      <c r="K52" s="567"/>
      <c r="L52" s="567"/>
      <c r="M52" s="568"/>
      <c r="N52" s="3"/>
      <c r="O52" s="3"/>
      <c r="P52" s="3"/>
      <c r="Q52" s="3"/>
      <c r="R52" s="3"/>
      <c r="S52" s="3"/>
    </row>
    <row r="53" spans="1:19">
      <c r="A53" s="3"/>
      <c r="B53" s="569"/>
      <c r="C53" s="143" t="s">
        <v>575</v>
      </c>
      <c r="D53" s="143"/>
      <c r="E53" s="143"/>
      <c r="F53" s="143"/>
      <c r="G53" s="143"/>
      <c r="H53" s="143"/>
      <c r="I53" s="143"/>
      <c r="J53" s="143"/>
      <c r="K53" s="143"/>
      <c r="L53" s="143"/>
      <c r="M53" s="145"/>
      <c r="N53" s="3"/>
      <c r="O53" s="3"/>
      <c r="P53" s="3"/>
      <c r="Q53" s="3"/>
      <c r="R53" s="3"/>
      <c r="S53" s="3"/>
    </row>
    <row r="54" spans="1:19">
      <c r="A54" s="3"/>
      <c r="B54" s="569"/>
      <c r="C54" s="143" t="s">
        <v>629</v>
      </c>
      <c r="D54" s="143"/>
      <c r="E54" s="143"/>
      <c r="F54" s="143"/>
      <c r="G54" s="143"/>
      <c r="H54" s="143"/>
      <c r="I54" s="143"/>
      <c r="J54" s="143"/>
      <c r="K54" s="143"/>
      <c r="L54" s="143"/>
      <c r="M54" s="145"/>
      <c r="N54" s="3"/>
      <c r="O54" s="3"/>
      <c r="P54" s="3"/>
      <c r="Q54" s="3"/>
      <c r="R54" s="3"/>
      <c r="S54" s="3"/>
    </row>
    <row r="55" spans="1:19" ht="13" thickBot="1">
      <c r="A55" s="3"/>
      <c r="B55" s="570"/>
      <c r="C55" s="147" t="s">
        <v>632</v>
      </c>
      <c r="D55" s="147"/>
      <c r="E55" s="147"/>
      <c r="F55" s="147"/>
      <c r="G55" s="147"/>
      <c r="H55" s="147"/>
      <c r="I55" s="147"/>
      <c r="J55" s="147"/>
      <c r="K55" s="147"/>
      <c r="L55" s="147"/>
      <c r="M55" s="148"/>
      <c r="N55" s="3"/>
      <c r="O55" s="3"/>
      <c r="P55" s="3"/>
      <c r="Q55" s="3"/>
      <c r="R55" s="3"/>
      <c r="S55" s="3"/>
    </row>
    <row r="56" spans="1:19" ht="13">
      <c r="A56" s="3"/>
      <c r="B56" s="585" t="s">
        <v>557</v>
      </c>
      <c r="C56" s="586" t="s">
        <v>556</v>
      </c>
      <c r="D56" s="587"/>
      <c r="E56" s="588" t="s">
        <v>551</v>
      </c>
      <c r="F56" s="587"/>
      <c r="G56" s="587"/>
      <c r="H56" s="586" t="s">
        <v>552</v>
      </c>
      <c r="I56" s="589"/>
      <c r="J56" s="307"/>
      <c r="K56" s="295"/>
      <c r="L56" s="295"/>
      <c r="M56" s="309"/>
      <c r="N56" s="3"/>
      <c r="O56" s="3"/>
      <c r="P56" s="3"/>
      <c r="Q56" s="3"/>
      <c r="R56" s="3"/>
      <c r="S56" s="3"/>
    </row>
    <row r="57" spans="1:19">
      <c r="A57" s="3"/>
      <c r="B57" s="579">
        <v>1</v>
      </c>
      <c r="C57" s="571">
        <v>10</v>
      </c>
      <c r="D57" s="571" t="s">
        <v>856</v>
      </c>
      <c r="E57" s="573">
        <v>7</v>
      </c>
      <c r="F57" s="571" t="s">
        <v>553</v>
      </c>
      <c r="G57" s="571"/>
      <c r="H57" s="574">
        <f>E57/100</f>
        <v>7.0000000000000007E-2</v>
      </c>
      <c r="I57" s="572" t="s">
        <v>555</v>
      </c>
      <c r="J57" s="307"/>
      <c r="K57" s="295" t="s">
        <v>817</v>
      </c>
      <c r="L57" s="295"/>
      <c r="M57" s="309"/>
      <c r="N57" s="3"/>
      <c r="O57" s="3"/>
      <c r="P57" s="3"/>
      <c r="Q57" s="3"/>
      <c r="R57" s="3"/>
      <c r="S57" s="3"/>
    </row>
    <row r="58" spans="1:19">
      <c r="A58" s="3"/>
      <c r="B58" s="579">
        <v>2</v>
      </c>
      <c r="C58" s="581">
        <v>30</v>
      </c>
      <c r="D58" s="581" t="s">
        <v>856</v>
      </c>
      <c r="E58" s="573">
        <v>9</v>
      </c>
      <c r="F58" s="571" t="s">
        <v>553</v>
      </c>
      <c r="G58" s="571" t="s">
        <v>817</v>
      </c>
      <c r="H58" s="574">
        <f>E58/100</f>
        <v>0.09</v>
      </c>
      <c r="I58" s="572" t="s">
        <v>555</v>
      </c>
      <c r="J58" s="307"/>
      <c r="K58" s="295" t="s">
        <v>557</v>
      </c>
      <c r="L58" s="263">
        <v>5</v>
      </c>
      <c r="M58" s="309"/>
      <c r="N58" s="3"/>
      <c r="O58" s="3"/>
      <c r="P58" s="3"/>
      <c r="Q58" s="3"/>
      <c r="R58" s="3"/>
      <c r="S58" s="3"/>
    </row>
    <row r="59" spans="1:19">
      <c r="A59" s="3"/>
      <c r="B59" s="579">
        <v>3</v>
      </c>
      <c r="C59" s="571">
        <v>50</v>
      </c>
      <c r="D59" s="571" t="s">
        <v>856</v>
      </c>
      <c r="E59" s="573" t="s">
        <v>554</v>
      </c>
      <c r="F59" s="571" t="s">
        <v>553</v>
      </c>
      <c r="G59" s="571"/>
      <c r="H59" s="574" t="s">
        <v>554</v>
      </c>
      <c r="I59" s="572" t="s">
        <v>555</v>
      </c>
      <c r="J59" s="307"/>
      <c r="K59" s="295"/>
      <c r="L59" s="295"/>
      <c r="M59" s="309"/>
      <c r="N59" s="3"/>
      <c r="O59" s="3"/>
      <c r="P59" s="3"/>
      <c r="Q59" s="3"/>
      <c r="R59" s="3"/>
      <c r="S59" s="3"/>
    </row>
    <row r="60" spans="1:19">
      <c r="A60" s="3"/>
      <c r="B60" s="579">
        <v>4</v>
      </c>
      <c r="C60" s="571">
        <v>100</v>
      </c>
      <c r="D60" s="571" t="s">
        <v>856</v>
      </c>
      <c r="E60" s="573">
        <v>14</v>
      </c>
      <c r="F60" s="571" t="s">
        <v>553</v>
      </c>
      <c r="G60" s="571"/>
      <c r="H60" s="574">
        <f t="shared" ref="H60:H69" si="1">E60/100</f>
        <v>0.14000000000000001</v>
      </c>
      <c r="I60" s="572" t="s">
        <v>555</v>
      </c>
      <c r="J60" s="307"/>
      <c r="K60" s="295" t="s">
        <v>855</v>
      </c>
      <c r="L60" s="582">
        <f>INDEX(C57:C69,L58,1)</f>
        <v>145</v>
      </c>
      <c r="M60" s="309"/>
      <c r="N60" s="3"/>
      <c r="O60" s="3"/>
      <c r="P60" s="3"/>
      <c r="Q60" s="3"/>
      <c r="R60" s="3"/>
      <c r="S60" s="3"/>
    </row>
    <row r="61" spans="1:19">
      <c r="A61" s="3"/>
      <c r="B61" s="579">
        <v>5</v>
      </c>
      <c r="C61" s="581">
        <v>145</v>
      </c>
      <c r="D61" s="581" t="s">
        <v>856</v>
      </c>
      <c r="E61" s="573">
        <v>15</v>
      </c>
      <c r="F61" s="571" t="s">
        <v>553</v>
      </c>
      <c r="G61" s="571"/>
      <c r="H61" s="574">
        <f t="shared" si="1"/>
        <v>0.15</v>
      </c>
      <c r="I61" s="572" t="s">
        <v>555</v>
      </c>
      <c r="J61" s="307"/>
      <c r="K61" s="295"/>
      <c r="L61" s="295"/>
      <c r="M61" s="309"/>
      <c r="N61" s="3"/>
      <c r="O61" s="3"/>
      <c r="P61" s="3"/>
      <c r="Q61" s="3"/>
      <c r="R61" s="3"/>
      <c r="S61" s="3"/>
    </row>
    <row r="62" spans="1:19">
      <c r="A62" s="3"/>
      <c r="B62" s="579">
        <v>6</v>
      </c>
      <c r="C62" s="571">
        <v>200</v>
      </c>
      <c r="D62" s="571" t="s">
        <v>856</v>
      </c>
      <c r="E62" s="573">
        <v>20</v>
      </c>
      <c r="F62" s="571" t="s">
        <v>553</v>
      </c>
      <c r="G62" s="571" t="s">
        <v>817</v>
      </c>
      <c r="H62" s="574">
        <f t="shared" si="1"/>
        <v>0.2</v>
      </c>
      <c r="I62" s="572" t="s">
        <v>555</v>
      </c>
      <c r="J62" s="307"/>
      <c r="K62" s="295" t="s">
        <v>558</v>
      </c>
      <c r="L62" s="583">
        <v>0.75</v>
      </c>
      <c r="M62" s="309"/>
      <c r="N62" s="3"/>
      <c r="O62" s="3"/>
      <c r="P62" s="3"/>
      <c r="Q62" s="3"/>
      <c r="R62" s="3"/>
      <c r="S62" s="3"/>
    </row>
    <row r="63" spans="1:19">
      <c r="A63" s="3"/>
      <c r="B63" s="579">
        <v>7</v>
      </c>
      <c r="C63" s="571">
        <v>400</v>
      </c>
      <c r="D63" s="571" t="s">
        <v>856</v>
      </c>
      <c r="E63" s="573">
        <v>28</v>
      </c>
      <c r="F63" s="571" t="s">
        <v>553</v>
      </c>
      <c r="G63" s="571"/>
      <c r="H63" s="574">
        <f t="shared" si="1"/>
        <v>0.28000000000000003</v>
      </c>
      <c r="I63" s="572" t="s">
        <v>555</v>
      </c>
      <c r="J63" s="307"/>
      <c r="K63" s="295"/>
      <c r="L63" s="295"/>
      <c r="M63" s="309"/>
      <c r="N63" s="3"/>
      <c r="O63" s="3"/>
      <c r="P63" s="3"/>
      <c r="Q63" s="3"/>
      <c r="R63" s="3"/>
      <c r="S63" s="3"/>
    </row>
    <row r="64" spans="1:19">
      <c r="A64" s="3"/>
      <c r="B64" s="579">
        <v>8</v>
      </c>
      <c r="C64" s="581">
        <v>435</v>
      </c>
      <c r="D64" s="581" t="s">
        <v>856</v>
      </c>
      <c r="E64" s="573">
        <v>30</v>
      </c>
      <c r="F64" s="571" t="s">
        <v>553</v>
      </c>
      <c r="G64" s="571"/>
      <c r="H64" s="574">
        <f t="shared" si="1"/>
        <v>0.3</v>
      </c>
      <c r="I64" s="572" t="s">
        <v>555</v>
      </c>
      <c r="J64" s="307"/>
      <c r="K64" s="295" t="s">
        <v>559</v>
      </c>
      <c r="L64" s="584">
        <f>(INDEX(H57:H69,L58,1))*L62</f>
        <v>0.11249999999999999</v>
      </c>
      <c r="M64" s="309"/>
      <c r="N64" s="3"/>
      <c r="O64" s="3"/>
      <c r="P64" s="3"/>
      <c r="Q64" s="3"/>
      <c r="R64" s="3"/>
      <c r="S64" s="3"/>
    </row>
    <row r="65" spans="1:19">
      <c r="A65" s="3"/>
      <c r="B65" s="579">
        <v>9</v>
      </c>
      <c r="C65" s="571">
        <v>500</v>
      </c>
      <c r="D65" s="571" t="s">
        <v>856</v>
      </c>
      <c r="E65" s="573">
        <v>35</v>
      </c>
      <c r="F65" s="571" t="s">
        <v>553</v>
      </c>
      <c r="G65" s="571"/>
      <c r="H65" s="574">
        <f t="shared" si="1"/>
        <v>0.35</v>
      </c>
      <c r="I65" s="572" t="s">
        <v>555</v>
      </c>
      <c r="J65" s="307"/>
      <c r="K65" s="295"/>
      <c r="L65" s="295"/>
      <c r="M65" s="309"/>
      <c r="N65" s="3"/>
      <c r="O65" s="3"/>
      <c r="P65" s="3"/>
      <c r="Q65" s="3"/>
      <c r="R65" s="3"/>
      <c r="S65" s="3"/>
    </row>
    <row r="66" spans="1:19">
      <c r="A66" s="3"/>
      <c r="B66" s="579">
        <v>10</v>
      </c>
      <c r="C66" s="581">
        <v>1270</v>
      </c>
      <c r="D66" s="581" t="s">
        <v>856</v>
      </c>
      <c r="E66" s="573">
        <v>49</v>
      </c>
      <c r="F66" s="571" t="s">
        <v>553</v>
      </c>
      <c r="G66" s="571"/>
      <c r="H66" s="574">
        <f t="shared" si="1"/>
        <v>0.49</v>
      </c>
      <c r="I66" s="572" t="s">
        <v>555</v>
      </c>
      <c r="J66" s="307"/>
      <c r="K66" s="295"/>
      <c r="L66" s="295"/>
      <c r="M66" s="309"/>
      <c r="N66" s="3"/>
      <c r="O66" s="3"/>
      <c r="P66" s="3"/>
      <c r="Q66" s="3"/>
      <c r="R66" s="3"/>
      <c r="S66" s="3"/>
    </row>
    <row r="67" spans="1:19">
      <c r="A67" s="3"/>
      <c r="B67" s="579">
        <v>11</v>
      </c>
      <c r="C67" s="581">
        <v>2400</v>
      </c>
      <c r="D67" s="581" t="s">
        <v>856</v>
      </c>
      <c r="E67" s="573">
        <v>72</v>
      </c>
      <c r="F67" s="571" t="s">
        <v>553</v>
      </c>
      <c r="G67" s="571"/>
      <c r="H67" s="574">
        <f t="shared" si="1"/>
        <v>0.72</v>
      </c>
      <c r="I67" s="572" t="s">
        <v>555</v>
      </c>
      <c r="J67" s="307"/>
      <c r="K67" s="295"/>
      <c r="L67" s="345" t="s">
        <v>140</v>
      </c>
      <c r="M67" s="309"/>
      <c r="N67" s="3"/>
      <c r="O67" s="3"/>
      <c r="P67" s="3"/>
      <c r="Q67" s="3"/>
      <c r="R67" s="3"/>
      <c r="S67" s="3"/>
    </row>
    <row r="68" spans="1:19">
      <c r="A68" s="3"/>
      <c r="B68" s="579">
        <v>12</v>
      </c>
      <c r="C68" s="571">
        <v>3300</v>
      </c>
      <c r="D68" s="571" t="s">
        <v>856</v>
      </c>
      <c r="E68" s="573">
        <v>95</v>
      </c>
      <c r="F68" s="571" t="s">
        <v>553</v>
      </c>
      <c r="G68" s="571"/>
      <c r="H68" s="574">
        <f t="shared" si="1"/>
        <v>0.95</v>
      </c>
      <c r="I68" s="572" t="s">
        <v>555</v>
      </c>
      <c r="J68" s="307"/>
      <c r="K68" s="295"/>
      <c r="L68" s="295"/>
      <c r="M68" s="309"/>
      <c r="N68" s="3"/>
      <c r="O68" s="3"/>
      <c r="P68" s="3"/>
      <c r="Q68" s="3"/>
      <c r="R68" s="3"/>
      <c r="S68" s="3"/>
    </row>
    <row r="69" spans="1:19" ht="13" thickBot="1">
      <c r="A69" s="3"/>
      <c r="B69" s="580">
        <v>13</v>
      </c>
      <c r="C69" s="575">
        <v>5000</v>
      </c>
      <c r="D69" s="575" t="s">
        <v>856</v>
      </c>
      <c r="E69" s="576">
        <v>128</v>
      </c>
      <c r="F69" s="575" t="s">
        <v>553</v>
      </c>
      <c r="G69" s="575"/>
      <c r="H69" s="577">
        <f t="shared" si="1"/>
        <v>1.28</v>
      </c>
      <c r="I69" s="578" t="s">
        <v>555</v>
      </c>
      <c r="J69" s="310" t="s">
        <v>633</v>
      </c>
      <c r="K69" s="311"/>
      <c r="L69" s="311"/>
      <c r="M69" s="312"/>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817</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90" t="s">
        <v>638</v>
      </c>
      <c r="C73" s="567"/>
      <c r="D73" s="567"/>
      <c r="E73" s="567"/>
      <c r="F73" s="567"/>
      <c r="G73" s="567"/>
      <c r="H73" s="567"/>
      <c r="I73" s="567"/>
      <c r="J73" s="567"/>
      <c r="K73" s="567"/>
      <c r="L73" s="567"/>
      <c r="M73" s="568"/>
      <c r="N73" s="3"/>
      <c r="O73" s="3"/>
      <c r="P73" s="3"/>
      <c r="Q73" s="3"/>
      <c r="R73" s="3"/>
      <c r="S73" s="3"/>
    </row>
    <row r="74" spans="1:19">
      <c r="A74" s="3"/>
      <c r="B74" s="569"/>
      <c r="C74" s="143" t="s">
        <v>630</v>
      </c>
      <c r="D74" s="143"/>
      <c r="E74" s="143"/>
      <c r="F74" s="143"/>
      <c r="G74" s="143"/>
      <c r="H74" s="143"/>
      <c r="I74" s="143"/>
      <c r="J74" s="143"/>
      <c r="K74" s="143"/>
      <c r="L74" s="143"/>
      <c r="M74" s="145"/>
      <c r="N74" s="3"/>
      <c r="O74" s="3"/>
      <c r="P74" s="3"/>
      <c r="Q74" s="3"/>
      <c r="R74" s="3"/>
      <c r="S74" s="3"/>
    </row>
    <row r="75" spans="1:19">
      <c r="A75" s="3"/>
      <c r="B75" s="569"/>
      <c r="C75" s="143" t="s">
        <v>216</v>
      </c>
      <c r="D75" s="143"/>
      <c r="E75" s="143"/>
      <c r="F75" s="143"/>
      <c r="G75" s="143"/>
      <c r="H75" s="143"/>
      <c r="I75" s="143"/>
      <c r="J75" s="143"/>
      <c r="K75" s="143"/>
      <c r="L75" s="143"/>
      <c r="M75" s="145"/>
      <c r="N75" s="3"/>
      <c r="O75" s="3"/>
      <c r="P75" s="3"/>
      <c r="Q75" s="3"/>
      <c r="R75" s="3"/>
      <c r="S75" s="3"/>
    </row>
    <row r="76" spans="1:19" ht="13" thickBot="1">
      <c r="A76" s="3"/>
      <c r="B76" s="570"/>
      <c r="C76" s="147" t="s">
        <v>519</v>
      </c>
      <c r="D76" s="147"/>
      <c r="E76" s="147"/>
      <c r="F76" s="147"/>
      <c r="G76" s="147"/>
      <c r="H76" s="147"/>
      <c r="I76" s="147"/>
      <c r="J76" s="147"/>
      <c r="K76" s="147"/>
      <c r="L76" s="147"/>
      <c r="M76" s="148"/>
      <c r="N76" s="3"/>
      <c r="O76" s="3"/>
      <c r="P76" s="3"/>
      <c r="Q76" s="3"/>
      <c r="R76" s="3"/>
      <c r="S76" s="3"/>
    </row>
    <row r="77" spans="1:19" ht="13">
      <c r="A77" s="3"/>
      <c r="B77" s="585" t="s">
        <v>557</v>
      </c>
      <c r="C77" s="586" t="s">
        <v>556</v>
      </c>
      <c r="D77" s="587"/>
      <c r="E77" s="588" t="s">
        <v>551</v>
      </c>
      <c r="F77" s="587"/>
      <c r="G77" s="587"/>
      <c r="H77" s="586" t="s">
        <v>552</v>
      </c>
      <c r="I77" s="589"/>
      <c r="J77" s="307"/>
      <c r="K77" s="295"/>
      <c r="L77" s="295"/>
      <c r="M77" s="309"/>
      <c r="N77" s="3"/>
      <c r="O77" s="3"/>
      <c r="P77" s="3"/>
      <c r="Q77" s="3"/>
      <c r="R77" s="3"/>
      <c r="S77" s="3"/>
    </row>
    <row r="78" spans="1:19">
      <c r="A78" s="3"/>
      <c r="B78" s="579">
        <v>1</v>
      </c>
      <c r="C78" s="571">
        <v>10</v>
      </c>
      <c r="D78" s="571" t="s">
        <v>856</v>
      </c>
      <c r="E78" s="573">
        <v>9.31</v>
      </c>
      <c r="F78" s="571" t="s">
        <v>553</v>
      </c>
      <c r="G78" s="571"/>
      <c r="H78" s="574">
        <f>E78/100</f>
        <v>9.3100000000000002E-2</v>
      </c>
      <c r="I78" s="572" t="s">
        <v>555</v>
      </c>
      <c r="J78" s="307"/>
      <c r="K78" s="295" t="s">
        <v>817</v>
      </c>
      <c r="L78" s="295"/>
      <c r="M78" s="309"/>
      <c r="N78" s="3"/>
      <c r="O78" s="3"/>
      <c r="P78" s="3"/>
      <c r="Q78" s="3"/>
      <c r="R78" s="3"/>
      <c r="S78" s="3"/>
    </row>
    <row r="79" spans="1:19">
      <c r="A79" s="3"/>
      <c r="B79" s="579">
        <v>2</v>
      </c>
      <c r="C79" s="581">
        <v>30</v>
      </c>
      <c r="D79" s="581" t="s">
        <v>856</v>
      </c>
      <c r="E79" s="573">
        <v>12</v>
      </c>
      <c r="F79" s="571" t="s">
        <v>553</v>
      </c>
      <c r="G79" s="571" t="s">
        <v>817</v>
      </c>
      <c r="H79" s="574">
        <f>E79/100</f>
        <v>0.12</v>
      </c>
      <c r="I79" s="572" t="s">
        <v>555</v>
      </c>
      <c r="J79" s="307"/>
      <c r="K79" s="295" t="s">
        <v>557</v>
      </c>
      <c r="L79" s="263">
        <v>11</v>
      </c>
      <c r="M79" s="309"/>
      <c r="N79" s="3"/>
      <c r="O79" s="3"/>
      <c r="P79" s="3"/>
      <c r="Q79" s="3"/>
      <c r="R79" s="3"/>
      <c r="S79" s="3"/>
    </row>
    <row r="80" spans="1:19">
      <c r="A80" s="3"/>
      <c r="B80" s="579">
        <v>3</v>
      </c>
      <c r="C80" s="571">
        <v>50</v>
      </c>
      <c r="D80" s="571" t="s">
        <v>856</v>
      </c>
      <c r="E80" s="573" t="s">
        <v>554</v>
      </c>
      <c r="F80" s="571" t="s">
        <v>553</v>
      </c>
      <c r="G80" s="571"/>
      <c r="H80" s="574" t="s">
        <v>554</v>
      </c>
      <c r="I80" s="572" t="s">
        <v>555</v>
      </c>
      <c r="J80" s="307"/>
      <c r="K80" s="295"/>
      <c r="L80" s="295"/>
      <c r="M80" s="309"/>
      <c r="N80" s="3"/>
      <c r="O80" s="3"/>
      <c r="P80" s="3"/>
      <c r="Q80" s="3"/>
      <c r="R80" s="3"/>
      <c r="S80" s="3"/>
    </row>
    <row r="81" spans="1:19">
      <c r="A81" s="3"/>
      <c r="B81" s="579">
        <v>4</v>
      </c>
      <c r="C81" s="571">
        <v>100</v>
      </c>
      <c r="D81" s="571" t="s">
        <v>856</v>
      </c>
      <c r="E81" s="573">
        <v>18.600000000000001</v>
      </c>
      <c r="F81" s="571" t="s">
        <v>553</v>
      </c>
      <c r="G81" s="571"/>
      <c r="H81" s="574">
        <f t="shared" ref="H81:H90" si="2">E81/100</f>
        <v>0.18600000000000003</v>
      </c>
      <c r="I81" s="572" t="s">
        <v>555</v>
      </c>
      <c r="J81" s="307"/>
      <c r="K81" s="295" t="s">
        <v>855</v>
      </c>
      <c r="L81" s="582">
        <f>INDEX(C78:C90,L79,1)</f>
        <v>2400</v>
      </c>
      <c r="M81" s="309"/>
      <c r="N81" s="3"/>
      <c r="O81" s="3"/>
      <c r="P81" s="3"/>
      <c r="Q81" s="3"/>
      <c r="R81" s="3"/>
      <c r="S81" s="3"/>
    </row>
    <row r="82" spans="1:19">
      <c r="A82" s="3"/>
      <c r="B82" s="579">
        <v>5</v>
      </c>
      <c r="C82" s="581">
        <v>145</v>
      </c>
      <c r="D82" s="581" t="s">
        <v>856</v>
      </c>
      <c r="E82" s="573">
        <v>19.95</v>
      </c>
      <c r="F82" s="571" t="s">
        <v>553</v>
      </c>
      <c r="G82" s="571"/>
      <c r="H82" s="574">
        <f t="shared" si="2"/>
        <v>0.19949999999999998</v>
      </c>
      <c r="I82" s="572" t="s">
        <v>555</v>
      </c>
      <c r="J82" s="307"/>
      <c r="K82" s="295"/>
      <c r="L82" s="295"/>
      <c r="M82" s="309"/>
      <c r="N82" s="3"/>
      <c r="O82" s="3"/>
      <c r="P82" s="3"/>
      <c r="Q82" s="3"/>
      <c r="R82" s="3"/>
      <c r="S82" s="3"/>
    </row>
    <row r="83" spans="1:19">
      <c r="A83" s="3"/>
      <c r="B83" s="579">
        <v>6</v>
      </c>
      <c r="C83" s="571">
        <v>200</v>
      </c>
      <c r="D83" s="571" t="s">
        <v>856</v>
      </c>
      <c r="E83" s="573">
        <v>26.6</v>
      </c>
      <c r="F83" s="571" t="s">
        <v>553</v>
      </c>
      <c r="G83" s="571" t="s">
        <v>817</v>
      </c>
      <c r="H83" s="574">
        <f t="shared" si="2"/>
        <v>0.26600000000000001</v>
      </c>
      <c r="I83" s="572" t="s">
        <v>555</v>
      </c>
      <c r="J83" s="307"/>
      <c r="K83" s="295" t="s">
        <v>558</v>
      </c>
      <c r="L83" s="583">
        <v>0.5</v>
      </c>
      <c r="M83" s="309"/>
      <c r="N83" s="3"/>
      <c r="O83" s="3"/>
      <c r="P83" s="3"/>
      <c r="Q83" s="3"/>
      <c r="R83" s="3"/>
      <c r="S83" s="3"/>
    </row>
    <row r="84" spans="1:19">
      <c r="A84" s="3"/>
      <c r="B84" s="579">
        <v>7</v>
      </c>
      <c r="C84" s="571">
        <v>400</v>
      </c>
      <c r="D84" s="571" t="s">
        <v>856</v>
      </c>
      <c r="E84" s="573">
        <v>37.24</v>
      </c>
      <c r="F84" s="571" t="s">
        <v>553</v>
      </c>
      <c r="G84" s="571"/>
      <c r="H84" s="574">
        <f>E84/100</f>
        <v>0.37240000000000001</v>
      </c>
      <c r="I84" s="572" t="s">
        <v>555</v>
      </c>
      <c r="J84" s="307"/>
      <c r="K84" s="295"/>
      <c r="L84" s="295"/>
      <c r="M84" s="309"/>
      <c r="N84" s="3"/>
      <c r="O84" s="3"/>
      <c r="P84" s="3"/>
      <c r="Q84" s="3"/>
      <c r="R84" s="3"/>
      <c r="S84" s="3"/>
    </row>
    <row r="85" spans="1:19">
      <c r="A85" s="3"/>
      <c r="B85" s="579">
        <v>8</v>
      </c>
      <c r="C85" s="581">
        <v>435</v>
      </c>
      <c r="D85" s="581" t="s">
        <v>856</v>
      </c>
      <c r="E85" s="573">
        <v>40</v>
      </c>
      <c r="F85" s="571" t="s">
        <v>553</v>
      </c>
      <c r="G85" s="571"/>
      <c r="H85" s="574">
        <f t="shared" si="2"/>
        <v>0.4</v>
      </c>
      <c r="I85" s="572" t="s">
        <v>555</v>
      </c>
      <c r="J85" s="307"/>
      <c r="K85" s="295" t="s">
        <v>559</v>
      </c>
      <c r="L85" s="584">
        <f>(INDEX(H78:H90,L79,1))*L83</f>
        <v>0.47875000000000001</v>
      </c>
      <c r="M85" s="309"/>
      <c r="N85" s="3"/>
      <c r="O85" s="3"/>
      <c r="P85" s="3"/>
      <c r="Q85" s="3"/>
      <c r="R85" s="3"/>
      <c r="S85" s="3"/>
    </row>
    <row r="86" spans="1:19">
      <c r="A86" s="3"/>
      <c r="B86" s="579">
        <v>9</v>
      </c>
      <c r="C86" s="571">
        <v>500</v>
      </c>
      <c r="D86" s="571" t="s">
        <v>856</v>
      </c>
      <c r="E86" s="573">
        <v>46.55</v>
      </c>
      <c r="F86" s="571" t="s">
        <v>553</v>
      </c>
      <c r="G86" s="571"/>
      <c r="H86" s="574">
        <f t="shared" si="2"/>
        <v>0.46549999999999997</v>
      </c>
      <c r="I86" s="572" t="s">
        <v>555</v>
      </c>
      <c r="J86" s="307"/>
      <c r="K86" s="295"/>
      <c r="L86" s="295"/>
      <c r="M86" s="309"/>
      <c r="N86" s="3"/>
      <c r="O86" s="3"/>
      <c r="P86" s="3"/>
      <c r="Q86" s="3"/>
      <c r="R86" s="3"/>
      <c r="S86" s="3"/>
    </row>
    <row r="87" spans="1:19">
      <c r="A87" s="3"/>
      <c r="B87" s="579">
        <v>10</v>
      </c>
      <c r="C87" s="581">
        <v>1270</v>
      </c>
      <c r="D87" s="581" t="s">
        <v>856</v>
      </c>
      <c r="E87" s="573">
        <v>65.2</v>
      </c>
      <c r="F87" s="571" t="s">
        <v>553</v>
      </c>
      <c r="G87" s="571"/>
      <c r="H87" s="574">
        <f t="shared" si="2"/>
        <v>0.65200000000000002</v>
      </c>
      <c r="I87" s="572" t="s">
        <v>555</v>
      </c>
      <c r="J87" s="307"/>
      <c r="K87" s="295"/>
      <c r="L87" s="295"/>
      <c r="M87" s="309"/>
      <c r="N87" s="3"/>
      <c r="O87" s="3"/>
      <c r="P87" s="3"/>
      <c r="Q87" s="3"/>
      <c r="R87" s="3"/>
      <c r="S87" s="3"/>
    </row>
    <row r="88" spans="1:19">
      <c r="A88" s="3"/>
      <c r="B88" s="579">
        <v>11</v>
      </c>
      <c r="C88" s="581">
        <v>2400</v>
      </c>
      <c r="D88" s="581" t="s">
        <v>856</v>
      </c>
      <c r="E88" s="573">
        <v>95.75</v>
      </c>
      <c r="F88" s="571" t="s">
        <v>553</v>
      </c>
      <c r="G88" s="571"/>
      <c r="H88" s="574">
        <f t="shared" si="2"/>
        <v>0.95750000000000002</v>
      </c>
      <c r="I88" s="572" t="s">
        <v>555</v>
      </c>
      <c r="J88" s="307"/>
      <c r="K88" s="295"/>
      <c r="L88" s="345" t="s">
        <v>140</v>
      </c>
      <c r="M88" s="309"/>
      <c r="N88" s="3"/>
      <c r="O88" s="3"/>
      <c r="P88" s="3"/>
      <c r="Q88" s="3"/>
      <c r="R88" s="3"/>
      <c r="S88" s="3"/>
    </row>
    <row r="89" spans="1:19">
      <c r="A89" s="3"/>
      <c r="B89" s="579">
        <v>12</v>
      </c>
      <c r="C89" s="571">
        <v>3300</v>
      </c>
      <c r="D89" s="571" t="s">
        <v>856</v>
      </c>
      <c r="E89" s="573">
        <v>126.4</v>
      </c>
      <c r="F89" s="571" t="s">
        <v>553</v>
      </c>
      <c r="G89" s="571"/>
      <c r="H89" s="574">
        <f t="shared" si="2"/>
        <v>1.264</v>
      </c>
      <c r="I89" s="572" t="s">
        <v>555</v>
      </c>
      <c r="J89" s="307"/>
      <c r="K89" s="295"/>
      <c r="L89" s="295"/>
      <c r="M89" s="309"/>
      <c r="N89" s="3"/>
      <c r="O89" s="3"/>
      <c r="P89" s="3"/>
      <c r="Q89" s="3"/>
      <c r="R89" s="3"/>
      <c r="S89" s="3"/>
    </row>
    <row r="90" spans="1:19" ht="13" thickBot="1">
      <c r="A90" s="3"/>
      <c r="B90" s="580">
        <v>13</v>
      </c>
      <c r="C90" s="575">
        <v>5000</v>
      </c>
      <c r="D90" s="575" t="s">
        <v>856</v>
      </c>
      <c r="E90" s="576">
        <v>170.2</v>
      </c>
      <c r="F90" s="575" t="s">
        <v>553</v>
      </c>
      <c r="G90" s="575"/>
      <c r="H90" s="577">
        <f t="shared" si="2"/>
        <v>1.702</v>
      </c>
      <c r="I90" s="578" t="s">
        <v>555</v>
      </c>
      <c r="J90" s="310" t="s">
        <v>636</v>
      </c>
      <c r="K90" s="311"/>
      <c r="L90" s="311"/>
      <c r="M90" s="312"/>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817</v>
      </c>
      <c r="O93" s="3"/>
      <c r="P93" s="3"/>
      <c r="Q93" s="3"/>
      <c r="R93" s="3"/>
      <c r="S93" s="3"/>
    </row>
    <row r="94" spans="1:19" ht="13">
      <c r="A94" s="3"/>
      <c r="B94" s="590" t="s">
        <v>639</v>
      </c>
      <c r="C94" s="567"/>
      <c r="D94" s="567"/>
      <c r="E94" s="567"/>
      <c r="F94" s="567"/>
      <c r="G94" s="567"/>
      <c r="H94" s="567"/>
      <c r="I94" s="567"/>
      <c r="J94" s="567"/>
      <c r="K94" s="567"/>
      <c r="L94" s="567"/>
      <c r="M94" s="568"/>
      <c r="N94" s="3"/>
      <c r="O94" s="3"/>
      <c r="P94" s="3"/>
      <c r="Q94" s="3"/>
      <c r="R94" s="3"/>
      <c r="S94" s="3"/>
    </row>
    <row r="95" spans="1:19">
      <c r="A95" s="3"/>
      <c r="B95" s="569"/>
      <c r="C95" s="143" t="s">
        <v>910</v>
      </c>
      <c r="D95" s="143"/>
      <c r="E95" s="143"/>
      <c r="F95" s="143"/>
      <c r="G95" s="143"/>
      <c r="H95" s="143"/>
      <c r="I95" s="143"/>
      <c r="J95" s="143"/>
      <c r="K95" s="143"/>
      <c r="L95" s="143"/>
      <c r="M95" s="145"/>
      <c r="N95" s="3"/>
      <c r="O95" s="3"/>
      <c r="P95" s="3"/>
      <c r="Q95" s="3"/>
      <c r="R95" s="3"/>
      <c r="S95" s="3"/>
    </row>
    <row r="96" spans="1:19">
      <c r="A96" s="3"/>
      <c r="B96" s="569"/>
      <c r="C96" s="143" t="s">
        <v>643</v>
      </c>
      <c r="D96" s="143"/>
      <c r="E96" s="143"/>
      <c r="F96" s="143"/>
      <c r="G96" s="143"/>
      <c r="H96" s="143"/>
      <c r="I96" s="143"/>
      <c r="J96" s="143"/>
      <c r="K96" s="143"/>
      <c r="L96" s="143"/>
      <c r="M96" s="145"/>
      <c r="N96" s="3"/>
      <c r="O96" s="3"/>
      <c r="P96" s="3"/>
      <c r="Q96" s="3"/>
      <c r="R96" s="3"/>
      <c r="S96" s="3"/>
    </row>
    <row r="97" spans="1:19" ht="13" thickBot="1">
      <c r="A97" s="3"/>
      <c r="B97" s="570"/>
      <c r="C97" s="147" t="s">
        <v>644</v>
      </c>
      <c r="D97" s="147"/>
      <c r="E97" s="147"/>
      <c r="F97" s="147"/>
      <c r="G97" s="147"/>
      <c r="H97" s="147"/>
      <c r="I97" s="147"/>
      <c r="J97" s="147"/>
      <c r="K97" s="147"/>
      <c r="L97" s="147"/>
      <c r="M97" s="148"/>
      <c r="N97" s="3"/>
      <c r="O97" s="3"/>
      <c r="P97" s="3"/>
      <c r="Q97" s="3"/>
      <c r="R97" s="3"/>
      <c r="S97" s="3"/>
    </row>
    <row r="98" spans="1:19" ht="13">
      <c r="A98" s="3"/>
      <c r="B98" s="585" t="s">
        <v>557</v>
      </c>
      <c r="C98" s="586" t="s">
        <v>556</v>
      </c>
      <c r="D98" s="587"/>
      <c r="E98" s="588" t="s">
        <v>551</v>
      </c>
      <c r="F98" s="587"/>
      <c r="G98" s="587"/>
      <c r="H98" s="586" t="s">
        <v>552</v>
      </c>
      <c r="I98" s="587"/>
      <c r="J98" s="596"/>
      <c r="K98" s="305"/>
      <c r="L98" s="305"/>
      <c r="M98" s="306"/>
      <c r="N98" s="3"/>
      <c r="O98" s="3"/>
      <c r="P98" s="3"/>
      <c r="Q98" s="3"/>
      <c r="R98" s="3"/>
      <c r="S98" s="3"/>
    </row>
    <row r="99" spans="1:19">
      <c r="A99" s="3"/>
      <c r="B99" s="579">
        <v>1</v>
      </c>
      <c r="C99" s="581">
        <v>30</v>
      </c>
      <c r="D99" s="581" t="s">
        <v>856</v>
      </c>
      <c r="E99" s="573">
        <v>13</v>
      </c>
      <c r="F99" s="571" t="s">
        <v>553</v>
      </c>
      <c r="G99" s="571" t="s">
        <v>817</v>
      </c>
      <c r="H99" s="574">
        <v>0.13</v>
      </c>
      <c r="I99" s="571" t="s">
        <v>555</v>
      </c>
      <c r="J99" s="307"/>
      <c r="K99" s="295" t="s">
        <v>817</v>
      </c>
      <c r="L99" s="295"/>
      <c r="M99" s="309"/>
      <c r="N99" s="3"/>
      <c r="O99" s="3"/>
      <c r="P99" s="3"/>
      <c r="Q99" s="3"/>
      <c r="R99" s="3"/>
      <c r="S99" s="3"/>
    </row>
    <row r="100" spans="1:19">
      <c r="A100" s="3"/>
      <c r="B100" s="579">
        <v>2</v>
      </c>
      <c r="C100" s="581">
        <v>145</v>
      </c>
      <c r="D100" s="581" t="s">
        <v>856</v>
      </c>
      <c r="E100" s="573">
        <v>25</v>
      </c>
      <c r="F100" s="571" t="s">
        <v>553</v>
      </c>
      <c r="G100" s="571"/>
      <c r="H100" s="574">
        <v>0.25</v>
      </c>
      <c r="I100" s="571" t="s">
        <v>555</v>
      </c>
      <c r="J100" s="307"/>
      <c r="K100" s="295" t="s">
        <v>557</v>
      </c>
      <c r="L100" s="263">
        <v>3</v>
      </c>
      <c r="M100" s="309"/>
      <c r="N100" s="3"/>
      <c r="O100" s="3"/>
      <c r="P100" s="3"/>
      <c r="Q100" s="3"/>
      <c r="R100" s="3"/>
      <c r="S100" s="3"/>
    </row>
    <row r="101" spans="1:19">
      <c r="A101" s="3"/>
      <c r="B101" s="579">
        <v>3</v>
      </c>
      <c r="C101" s="581">
        <v>435</v>
      </c>
      <c r="D101" s="581" t="s">
        <v>856</v>
      </c>
      <c r="E101" s="573">
        <v>33</v>
      </c>
      <c r="F101" s="571" t="s">
        <v>553</v>
      </c>
      <c r="G101" s="571"/>
      <c r="H101" s="574">
        <v>0.33</v>
      </c>
      <c r="I101" s="571" t="s">
        <v>555</v>
      </c>
      <c r="J101" s="307"/>
      <c r="K101" s="295"/>
      <c r="L101" s="295"/>
      <c r="M101" s="309"/>
      <c r="N101" s="3"/>
      <c r="O101" s="3"/>
      <c r="P101" s="3"/>
      <c r="Q101" s="3"/>
      <c r="R101" s="3"/>
      <c r="S101" s="3"/>
    </row>
    <row r="102" spans="1:19">
      <c r="A102" s="3"/>
      <c r="B102" s="579">
        <v>4</v>
      </c>
      <c r="C102" s="581">
        <v>1270</v>
      </c>
      <c r="D102" s="581" t="s">
        <v>856</v>
      </c>
      <c r="E102" s="573">
        <v>53</v>
      </c>
      <c r="F102" s="571" t="s">
        <v>553</v>
      </c>
      <c r="G102" s="571"/>
      <c r="H102" s="574">
        <v>0.53</v>
      </c>
      <c r="I102" s="571" t="s">
        <v>555</v>
      </c>
      <c r="J102" s="307"/>
      <c r="K102" s="295" t="s">
        <v>855</v>
      </c>
      <c r="L102" s="604">
        <f>INDEX(C99:C112,L100,1)</f>
        <v>435</v>
      </c>
      <c r="M102" s="309"/>
      <c r="N102" s="3"/>
      <c r="O102" s="3"/>
      <c r="P102" s="3"/>
      <c r="Q102" s="3"/>
      <c r="R102" s="3"/>
      <c r="S102" s="3"/>
    </row>
    <row r="103" spans="1:19" ht="13">
      <c r="A103" s="3"/>
      <c r="B103" s="579">
        <v>5</v>
      </c>
      <c r="C103" s="571">
        <v>2000</v>
      </c>
      <c r="D103" s="571" t="s">
        <v>856</v>
      </c>
      <c r="E103" s="595">
        <v>88.6</v>
      </c>
      <c r="F103" s="571" t="s">
        <v>553</v>
      </c>
      <c r="G103" s="571"/>
      <c r="H103" s="594">
        <v>0.88600000000000001</v>
      </c>
      <c r="I103" s="571" t="s">
        <v>555</v>
      </c>
      <c r="J103" s="307"/>
      <c r="K103" s="295"/>
      <c r="L103" s="295"/>
      <c r="M103" s="309"/>
      <c r="N103" s="3"/>
      <c r="O103" s="3"/>
      <c r="P103" s="3"/>
      <c r="Q103" s="3"/>
      <c r="R103" s="3"/>
      <c r="S103" s="3"/>
    </row>
    <row r="104" spans="1:19">
      <c r="A104" s="3"/>
      <c r="B104" s="579">
        <v>6</v>
      </c>
      <c r="C104" s="581">
        <v>2400</v>
      </c>
      <c r="D104" s="581" t="s">
        <v>856</v>
      </c>
      <c r="E104" s="573">
        <v>96</v>
      </c>
      <c r="F104" s="571" t="s">
        <v>553</v>
      </c>
      <c r="G104" s="571"/>
      <c r="H104" s="574">
        <v>0.96</v>
      </c>
      <c r="I104" s="571" t="s">
        <v>555</v>
      </c>
      <c r="J104" s="307"/>
      <c r="K104" s="295" t="s">
        <v>558</v>
      </c>
      <c r="L104" s="583">
        <v>0.5</v>
      </c>
      <c r="M104" s="309"/>
      <c r="N104" s="3"/>
      <c r="O104" s="3"/>
      <c r="P104" s="3"/>
      <c r="Q104" s="3"/>
      <c r="R104" s="3"/>
      <c r="S104" s="3"/>
    </row>
    <row r="105" spans="1:19" ht="13">
      <c r="A105" s="3"/>
      <c r="B105" s="579">
        <v>7</v>
      </c>
      <c r="C105" s="603">
        <v>10000</v>
      </c>
      <c r="D105" s="571" t="s">
        <v>856</v>
      </c>
      <c r="E105" s="595">
        <v>200.1</v>
      </c>
      <c r="F105" s="571" t="s">
        <v>553</v>
      </c>
      <c r="G105" s="571"/>
      <c r="H105" s="594">
        <v>2.0009999999999999</v>
      </c>
      <c r="I105" s="571" t="s">
        <v>555</v>
      </c>
      <c r="J105" s="307"/>
      <c r="K105" s="295"/>
      <c r="L105" s="295"/>
      <c r="M105" s="309"/>
      <c r="N105" s="3"/>
      <c r="O105" s="3"/>
      <c r="P105" s="3"/>
      <c r="Q105" s="3"/>
      <c r="R105" s="3"/>
      <c r="S105" s="3"/>
    </row>
    <row r="106" spans="1:19" ht="13">
      <c r="A106" s="3"/>
      <c r="B106" s="579">
        <v>8</v>
      </c>
      <c r="C106" s="603">
        <v>18000</v>
      </c>
      <c r="D106" s="571" t="s">
        <v>856</v>
      </c>
      <c r="E106" s="595">
        <v>275.5</v>
      </c>
      <c r="F106" s="571" t="s">
        <v>553</v>
      </c>
      <c r="G106" s="571"/>
      <c r="H106" s="594">
        <v>2.7549999999999999</v>
      </c>
      <c r="I106" s="571" t="s">
        <v>555</v>
      </c>
      <c r="J106" s="307"/>
      <c r="K106" s="295" t="s">
        <v>559</v>
      </c>
      <c r="L106" s="584">
        <f>(INDEX(H99:H112,L100,1))*L104</f>
        <v>0.16500000000000001</v>
      </c>
      <c r="M106" s="309"/>
      <c r="N106" s="3"/>
      <c r="O106" s="3"/>
      <c r="P106" s="3"/>
      <c r="Q106" s="3"/>
      <c r="R106" s="3"/>
      <c r="S106" s="3"/>
    </row>
    <row r="107" spans="1:19">
      <c r="A107" s="3"/>
      <c r="B107" s="579"/>
      <c r="C107" s="592"/>
      <c r="D107" s="571"/>
      <c r="E107" s="573"/>
      <c r="F107" s="571"/>
      <c r="G107" s="571"/>
      <c r="H107" s="574"/>
      <c r="I107" s="571"/>
      <c r="J107" s="307"/>
      <c r="K107" s="295"/>
      <c r="L107" s="295"/>
      <c r="M107" s="309"/>
      <c r="N107" s="3"/>
      <c r="O107" s="3"/>
      <c r="P107" s="3"/>
      <c r="Q107" s="3"/>
      <c r="R107" s="3"/>
      <c r="S107" s="3"/>
    </row>
    <row r="108" spans="1:19">
      <c r="A108" s="3"/>
      <c r="B108" s="579"/>
      <c r="C108" s="592"/>
      <c r="D108" s="571"/>
      <c r="E108" s="573"/>
      <c r="F108" s="571" t="s">
        <v>817</v>
      </c>
      <c r="G108" s="571"/>
      <c r="H108" s="574"/>
      <c r="I108" s="571"/>
      <c r="J108" s="307"/>
      <c r="K108" s="295"/>
      <c r="L108" s="295"/>
      <c r="M108" s="309"/>
      <c r="N108" s="3" t="s">
        <v>817</v>
      </c>
      <c r="O108" s="3"/>
      <c r="P108" s="3"/>
      <c r="Q108" s="3"/>
      <c r="R108" s="3"/>
      <c r="S108" s="3"/>
    </row>
    <row r="109" spans="1:19">
      <c r="A109" s="3"/>
      <c r="B109" s="579"/>
      <c r="C109" s="592"/>
      <c r="D109" s="571"/>
      <c r="E109" s="573"/>
      <c r="F109" s="571"/>
      <c r="G109" s="571"/>
      <c r="H109" s="574"/>
      <c r="I109" s="571"/>
      <c r="J109" s="307"/>
      <c r="K109" s="295"/>
      <c r="L109" s="295"/>
      <c r="M109" s="309"/>
      <c r="N109" s="3"/>
      <c r="O109" s="3"/>
      <c r="P109" s="3"/>
      <c r="Q109" s="3"/>
      <c r="R109" s="3"/>
      <c r="S109" s="3"/>
    </row>
    <row r="110" spans="1:19">
      <c r="A110" s="3"/>
      <c r="B110" s="579"/>
      <c r="C110" s="592"/>
      <c r="D110" s="571"/>
      <c r="E110" s="573"/>
      <c r="F110" s="571"/>
      <c r="G110" s="571"/>
      <c r="H110" s="574"/>
      <c r="I110" s="571"/>
      <c r="J110" s="307"/>
      <c r="K110" s="295"/>
      <c r="L110" s="345" t="s">
        <v>140</v>
      </c>
      <c r="M110" s="309"/>
      <c r="N110" s="3"/>
      <c r="O110" s="3"/>
      <c r="P110" s="3"/>
      <c r="Q110" s="3"/>
      <c r="R110" s="3"/>
      <c r="S110" s="3"/>
    </row>
    <row r="111" spans="1:19" ht="13">
      <c r="A111" s="3"/>
      <c r="B111" s="579"/>
      <c r="C111" s="592"/>
      <c r="D111" s="571"/>
      <c r="E111" s="573"/>
      <c r="F111" s="571"/>
      <c r="G111" s="571"/>
      <c r="H111" s="574"/>
      <c r="I111" s="571"/>
      <c r="J111" s="307" t="s">
        <v>648</v>
      </c>
      <c r="K111" s="295"/>
      <c r="L111" s="295"/>
      <c r="M111" s="309"/>
      <c r="N111" s="3"/>
      <c r="O111" s="3"/>
      <c r="P111" s="3"/>
      <c r="Q111" s="3"/>
      <c r="R111" s="3"/>
      <c r="S111" s="3"/>
    </row>
    <row r="112" spans="1:19" ht="13" thickBot="1">
      <c r="A112" s="3"/>
      <c r="B112" s="580" t="s">
        <v>817</v>
      </c>
      <c r="C112" s="575" t="s">
        <v>817</v>
      </c>
      <c r="D112" s="575" t="s">
        <v>817</v>
      </c>
      <c r="E112" s="576"/>
      <c r="F112" s="575"/>
      <c r="G112" s="575"/>
      <c r="H112" s="577"/>
      <c r="I112" s="575"/>
      <c r="J112" s="310" t="s">
        <v>645</v>
      </c>
      <c r="K112" s="311"/>
      <c r="L112" s="311"/>
      <c r="M112" s="312"/>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817</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90" t="s">
        <v>646</v>
      </c>
      <c r="C116" s="567"/>
      <c r="D116" s="567"/>
      <c r="E116" s="567"/>
      <c r="F116" s="567"/>
      <c r="G116" s="567"/>
      <c r="H116" s="567"/>
      <c r="I116" s="567"/>
      <c r="J116" s="567"/>
      <c r="K116" s="567"/>
      <c r="L116" s="567"/>
      <c r="M116" s="568"/>
      <c r="N116" s="3"/>
      <c r="O116" s="3"/>
      <c r="P116" s="3"/>
      <c r="Q116" s="3"/>
      <c r="R116" s="3"/>
      <c r="S116" s="3"/>
    </row>
    <row r="117" spans="1:19">
      <c r="A117" s="3"/>
      <c r="B117" s="569"/>
      <c r="C117" s="143" t="s">
        <v>911</v>
      </c>
      <c r="D117" s="143"/>
      <c r="E117" s="143"/>
      <c r="F117" s="143"/>
      <c r="G117" s="143"/>
      <c r="H117" s="143"/>
      <c r="I117" s="143"/>
      <c r="J117" s="143"/>
      <c r="K117" s="143"/>
      <c r="L117" s="143"/>
      <c r="M117" s="145"/>
      <c r="N117" s="3"/>
      <c r="O117" s="3"/>
      <c r="P117" s="3"/>
      <c r="Q117" s="3"/>
      <c r="R117" s="3"/>
      <c r="S117" s="3"/>
    </row>
    <row r="118" spans="1:19">
      <c r="A118" s="3"/>
      <c r="B118" s="569"/>
      <c r="C118" s="143" t="s">
        <v>647</v>
      </c>
      <c r="D118" s="143"/>
      <c r="E118" s="143"/>
      <c r="F118" s="143"/>
      <c r="G118" s="143"/>
      <c r="H118" s="143"/>
      <c r="I118" s="143"/>
      <c r="J118" s="143"/>
      <c r="K118" s="143"/>
      <c r="L118" s="143"/>
      <c r="M118" s="145"/>
      <c r="N118" s="3"/>
      <c r="O118" s="3"/>
      <c r="P118" s="3"/>
      <c r="Q118" s="3"/>
      <c r="R118" s="3"/>
      <c r="S118" s="3"/>
    </row>
    <row r="119" spans="1:19" ht="13" thickBot="1">
      <c r="A119" s="3"/>
      <c r="B119" s="570"/>
      <c r="C119" s="147" t="s">
        <v>644</v>
      </c>
      <c r="D119" s="147"/>
      <c r="E119" s="147"/>
      <c r="F119" s="147"/>
      <c r="G119" s="147"/>
      <c r="H119" s="147"/>
      <c r="I119" s="147"/>
      <c r="J119" s="147"/>
      <c r="K119" s="147"/>
      <c r="L119" s="147"/>
      <c r="M119" s="148"/>
      <c r="N119" s="3"/>
      <c r="O119" s="3"/>
      <c r="P119" s="3"/>
      <c r="Q119" s="3"/>
      <c r="R119" s="3"/>
      <c r="S119" s="3"/>
    </row>
    <row r="120" spans="1:19" ht="13">
      <c r="A120" s="3"/>
      <c r="B120" s="585" t="s">
        <v>557</v>
      </c>
      <c r="C120" s="586" t="s">
        <v>556</v>
      </c>
      <c r="D120" s="587"/>
      <c r="E120" s="588" t="s">
        <v>551</v>
      </c>
      <c r="F120" s="587"/>
      <c r="G120" s="587"/>
      <c r="H120" s="586" t="s">
        <v>552</v>
      </c>
      <c r="I120" s="587"/>
      <c r="J120" s="596"/>
      <c r="K120" s="305"/>
      <c r="L120" s="305"/>
      <c r="M120" s="306"/>
      <c r="N120" s="3"/>
      <c r="O120" s="3"/>
      <c r="P120" s="3"/>
      <c r="Q120" s="3"/>
      <c r="R120" s="3"/>
      <c r="S120" s="3"/>
    </row>
    <row r="121" spans="1:19">
      <c r="A121" s="3"/>
      <c r="B121" s="579">
        <v>1</v>
      </c>
      <c r="C121" s="581">
        <v>30</v>
      </c>
      <c r="D121" s="581" t="s">
        <v>856</v>
      </c>
      <c r="E121" s="573">
        <v>8</v>
      </c>
      <c r="F121" s="571" t="s">
        <v>553</v>
      </c>
      <c r="G121" s="571" t="s">
        <v>817</v>
      </c>
      <c r="H121" s="574">
        <v>0.08</v>
      </c>
      <c r="I121" s="571" t="s">
        <v>555</v>
      </c>
      <c r="J121" s="307"/>
      <c r="K121" s="295" t="s">
        <v>817</v>
      </c>
      <c r="L121" s="295"/>
      <c r="M121" s="309"/>
      <c r="N121" s="3"/>
      <c r="O121" s="3"/>
      <c r="P121" s="3"/>
      <c r="Q121" s="3"/>
      <c r="R121" s="3"/>
      <c r="S121" s="3"/>
    </row>
    <row r="122" spans="1:19">
      <c r="A122" s="3"/>
      <c r="B122" s="579">
        <v>2</v>
      </c>
      <c r="C122" s="581">
        <v>145</v>
      </c>
      <c r="D122" s="581" t="s">
        <v>856</v>
      </c>
      <c r="E122" s="573">
        <v>15</v>
      </c>
      <c r="F122" s="571" t="s">
        <v>553</v>
      </c>
      <c r="G122" s="571"/>
      <c r="H122" s="574">
        <v>0.15</v>
      </c>
      <c r="I122" s="571" t="s">
        <v>555</v>
      </c>
      <c r="J122" s="307"/>
      <c r="K122" s="295" t="s">
        <v>557</v>
      </c>
      <c r="L122" s="263">
        <v>7</v>
      </c>
      <c r="M122" s="309"/>
      <c r="N122" s="3"/>
      <c r="O122" s="3"/>
      <c r="P122" s="3"/>
      <c r="Q122" s="3"/>
      <c r="R122" s="3"/>
      <c r="S122" s="3"/>
    </row>
    <row r="123" spans="1:19">
      <c r="A123" s="3"/>
      <c r="B123" s="579">
        <v>3</v>
      </c>
      <c r="C123" s="581">
        <v>435</v>
      </c>
      <c r="D123" s="581" t="s">
        <v>856</v>
      </c>
      <c r="E123" s="573">
        <v>24</v>
      </c>
      <c r="F123" s="571" t="s">
        <v>553</v>
      </c>
      <c r="G123" s="571"/>
      <c r="H123" s="574">
        <v>0.24</v>
      </c>
      <c r="I123" s="571" t="s">
        <v>555</v>
      </c>
      <c r="J123" s="307"/>
      <c r="K123" s="295"/>
      <c r="L123" s="295"/>
      <c r="M123" s="309"/>
      <c r="N123" s="3"/>
      <c r="O123" s="3"/>
      <c r="P123" s="3"/>
      <c r="Q123" s="3"/>
      <c r="R123" s="3"/>
      <c r="S123" s="3"/>
    </row>
    <row r="124" spans="1:19">
      <c r="A124" s="3"/>
      <c r="B124" s="579">
        <v>4</v>
      </c>
      <c r="C124" s="581">
        <v>1270</v>
      </c>
      <c r="D124" s="581" t="s">
        <v>856</v>
      </c>
      <c r="E124" s="573">
        <v>57.5</v>
      </c>
      <c r="F124" s="571" t="s">
        <v>553</v>
      </c>
      <c r="G124" s="571"/>
      <c r="H124" s="593">
        <v>0.57499999999999996</v>
      </c>
      <c r="I124" s="571" t="s">
        <v>555</v>
      </c>
      <c r="J124" s="307"/>
      <c r="K124" s="295" t="s">
        <v>855</v>
      </c>
      <c r="L124" s="582">
        <f>INDEX(C121:C134,L122,1)</f>
        <v>10000</v>
      </c>
      <c r="M124" s="309"/>
      <c r="N124" s="3"/>
      <c r="O124" s="3"/>
      <c r="P124" s="3"/>
      <c r="Q124" s="3"/>
      <c r="R124" s="3"/>
      <c r="S124" s="3"/>
    </row>
    <row r="125" spans="1:19" ht="13">
      <c r="A125" s="3"/>
      <c r="B125" s="579">
        <v>5</v>
      </c>
      <c r="C125" s="571">
        <v>2000</v>
      </c>
      <c r="D125" s="571" t="s">
        <v>856</v>
      </c>
      <c r="E125" s="595">
        <v>65.599999999999994</v>
      </c>
      <c r="F125" s="571" t="s">
        <v>553</v>
      </c>
      <c r="G125" s="571"/>
      <c r="H125" s="594">
        <v>0.65600000000000003</v>
      </c>
      <c r="I125" s="571" t="s">
        <v>555</v>
      </c>
      <c r="J125" s="307"/>
      <c r="K125" s="295"/>
      <c r="L125" s="295"/>
      <c r="M125" s="309"/>
      <c r="N125" s="3"/>
      <c r="O125" s="3"/>
      <c r="P125" s="3"/>
      <c r="Q125" s="3"/>
      <c r="R125" s="3"/>
      <c r="S125" s="3"/>
    </row>
    <row r="126" spans="1:19">
      <c r="A126" s="3"/>
      <c r="B126" s="579">
        <v>6</v>
      </c>
      <c r="C126" s="581">
        <v>2400</v>
      </c>
      <c r="D126" s="581" t="s">
        <v>856</v>
      </c>
      <c r="E126" s="573">
        <v>68.5</v>
      </c>
      <c r="F126" s="571" t="s">
        <v>553</v>
      </c>
      <c r="G126" s="571"/>
      <c r="H126" s="593">
        <v>0.68500000000000005</v>
      </c>
      <c r="I126" s="571" t="s">
        <v>555</v>
      </c>
      <c r="J126" s="307"/>
      <c r="K126" s="295" t="s">
        <v>558</v>
      </c>
      <c r="L126" s="583">
        <v>0.5</v>
      </c>
      <c r="M126" s="309"/>
      <c r="N126" s="3"/>
      <c r="O126" s="3"/>
      <c r="P126" s="3"/>
      <c r="Q126" s="3"/>
      <c r="R126" s="3"/>
      <c r="S126" s="3"/>
    </row>
    <row r="127" spans="1:19" ht="13">
      <c r="A127" s="3"/>
      <c r="B127" s="579">
        <v>7</v>
      </c>
      <c r="C127" s="603">
        <v>10000</v>
      </c>
      <c r="D127" s="571" t="s">
        <v>856</v>
      </c>
      <c r="E127" s="595">
        <v>91.8</v>
      </c>
      <c r="F127" s="571" t="s">
        <v>553</v>
      </c>
      <c r="G127" s="571"/>
      <c r="H127" s="594">
        <v>0.91800000000000004</v>
      </c>
      <c r="I127" s="571" t="s">
        <v>555</v>
      </c>
      <c r="J127" s="307"/>
      <c r="K127" s="295"/>
      <c r="L127" s="295"/>
      <c r="M127" s="309"/>
      <c r="N127" s="3"/>
      <c r="O127" s="3"/>
      <c r="P127" s="3"/>
      <c r="Q127" s="3"/>
      <c r="R127" s="3"/>
      <c r="S127" s="3"/>
    </row>
    <row r="128" spans="1:19" ht="13">
      <c r="A128" s="3"/>
      <c r="B128" s="579">
        <v>8</v>
      </c>
      <c r="C128" s="603">
        <v>18000</v>
      </c>
      <c r="D128" s="571" t="s">
        <v>856</v>
      </c>
      <c r="E128" s="595">
        <v>124.6</v>
      </c>
      <c r="F128" s="571" t="s">
        <v>553</v>
      </c>
      <c r="G128" s="571"/>
      <c r="H128" s="594">
        <v>1.246</v>
      </c>
      <c r="I128" s="571" t="s">
        <v>555</v>
      </c>
      <c r="J128" s="307"/>
      <c r="K128" s="295" t="s">
        <v>559</v>
      </c>
      <c r="L128" s="584">
        <f>(INDEX(H121:H134,L122,1))*L126</f>
        <v>0.45900000000000002</v>
      </c>
      <c r="M128" s="309"/>
      <c r="N128" s="3"/>
      <c r="O128" s="3"/>
      <c r="P128" s="3"/>
      <c r="Q128" s="3"/>
      <c r="R128" s="3"/>
      <c r="S128" s="3"/>
    </row>
    <row r="129" spans="1:19">
      <c r="A129" s="3"/>
      <c r="B129" s="579"/>
      <c r="C129" s="592"/>
      <c r="D129" s="571"/>
      <c r="E129" s="573"/>
      <c r="F129" s="571"/>
      <c r="G129" s="571"/>
      <c r="H129" s="574"/>
      <c r="I129" s="571"/>
      <c r="J129" s="307"/>
      <c r="K129" s="295"/>
      <c r="L129" s="295"/>
      <c r="M129" s="309"/>
      <c r="N129" s="3"/>
      <c r="O129" s="3"/>
      <c r="P129" s="3"/>
      <c r="Q129" s="3"/>
      <c r="R129" s="3"/>
      <c r="S129" s="3"/>
    </row>
    <row r="130" spans="1:19">
      <c r="A130" s="3"/>
      <c r="B130" s="579"/>
      <c r="C130" s="592"/>
      <c r="D130" s="571"/>
      <c r="E130" s="573"/>
      <c r="F130" s="571" t="s">
        <v>817</v>
      </c>
      <c r="G130" s="571"/>
      <c r="H130" s="574"/>
      <c r="I130" s="571"/>
      <c r="J130" s="307"/>
      <c r="K130" s="295"/>
      <c r="L130" s="295"/>
      <c r="M130" s="309"/>
      <c r="N130" s="3"/>
      <c r="O130" s="3"/>
      <c r="P130" s="3"/>
      <c r="Q130" s="3"/>
      <c r="R130" s="3"/>
      <c r="S130" s="3"/>
    </row>
    <row r="131" spans="1:19">
      <c r="A131" s="3"/>
      <c r="B131" s="579"/>
      <c r="C131" s="592"/>
      <c r="D131" s="571"/>
      <c r="E131" s="573"/>
      <c r="F131" s="571"/>
      <c r="G131" s="571"/>
      <c r="H131" s="574"/>
      <c r="I131" s="571"/>
      <c r="J131" s="307"/>
      <c r="K131" s="295"/>
      <c r="L131" s="295"/>
      <c r="M131" s="309"/>
      <c r="N131" s="3"/>
      <c r="O131" s="3"/>
      <c r="P131" s="3"/>
      <c r="Q131" s="3"/>
      <c r="R131" s="3"/>
      <c r="S131" s="3"/>
    </row>
    <row r="132" spans="1:19">
      <c r="A132" s="3"/>
      <c r="B132" s="579"/>
      <c r="C132" s="592"/>
      <c r="D132" s="571"/>
      <c r="E132" s="573"/>
      <c r="F132" s="571"/>
      <c r="G132" s="571"/>
      <c r="H132" s="574"/>
      <c r="I132" s="571"/>
      <c r="J132" s="307"/>
      <c r="K132" s="295"/>
      <c r="L132" s="345" t="s">
        <v>140</v>
      </c>
      <c r="M132" s="309"/>
      <c r="N132" s="3"/>
      <c r="O132" s="3"/>
      <c r="P132" s="3"/>
      <c r="Q132" s="3"/>
      <c r="R132" s="3"/>
      <c r="S132" s="3"/>
    </row>
    <row r="133" spans="1:19" ht="13">
      <c r="A133" s="3"/>
      <c r="B133" s="579"/>
      <c r="C133" s="592"/>
      <c r="D133" s="571"/>
      <c r="E133" s="573"/>
      <c r="F133" s="571"/>
      <c r="G133" s="571"/>
      <c r="H133" s="574"/>
      <c r="I133" s="571"/>
      <c r="J133" s="307" t="s">
        <v>649</v>
      </c>
      <c r="K133" s="295"/>
      <c r="L133" s="295"/>
      <c r="M133" s="309"/>
      <c r="N133" s="3"/>
      <c r="O133" s="3"/>
      <c r="P133" s="3"/>
      <c r="Q133" s="3"/>
      <c r="R133" s="3"/>
      <c r="S133" s="3"/>
    </row>
    <row r="134" spans="1:19" ht="13" thickBot="1">
      <c r="A134" s="3"/>
      <c r="B134" s="580" t="s">
        <v>817</v>
      </c>
      <c r="C134" s="575" t="s">
        <v>817</v>
      </c>
      <c r="D134" s="575" t="s">
        <v>817</v>
      </c>
      <c r="E134" s="576"/>
      <c r="F134" s="575"/>
      <c r="G134" s="575"/>
      <c r="H134" s="577"/>
      <c r="I134" s="575"/>
      <c r="J134" s="310" t="s">
        <v>645</v>
      </c>
      <c r="K134" s="311"/>
      <c r="L134" s="311"/>
      <c r="M134" s="312"/>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O25" sqref="O25"/>
    </sheetView>
  </sheetViews>
  <sheetFormatPr defaultColWidth="8.81640625" defaultRowHeight="12.5"/>
  <cols>
    <col min="11" max="11" width="10.453125" bestFit="1" customWidth="1"/>
    <col min="16" max="16" width="1.6328125" customWidth="1"/>
    <col min="17" max="17" width="10.81640625" customWidth="1"/>
  </cols>
  <sheetData>
    <row r="1" spans="1:24" ht="18.5" thickBot="1">
      <c r="A1" s="127" t="s">
        <v>705</v>
      </c>
      <c r="B1" s="129"/>
      <c r="C1" s="129"/>
      <c r="D1" s="129"/>
      <c r="E1" s="129"/>
      <c r="F1" s="129"/>
      <c r="G1" s="129"/>
      <c r="H1" s="129"/>
      <c r="I1" s="129"/>
      <c r="J1" s="129"/>
      <c r="K1" s="129"/>
      <c r="L1" s="129"/>
      <c r="M1" s="129"/>
      <c r="N1" s="129"/>
      <c r="O1" s="129"/>
      <c r="P1" s="129"/>
      <c r="Q1" s="129"/>
      <c r="R1" s="129"/>
      <c r="S1" s="129"/>
      <c r="T1" s="129"/>
      <c r="U1" s="129"/>
      <c r="V1" s="129"/>
      <c r="W1" s="129"/>
      <c r="X1" s="129"/>
    </row>
    <row r="2" spans="1:24">
      <c r="A2" s="3"/>
      <c r="B2" s="3"/>
      <c r="C2" s="3"/>
      <c r="D2" s="3"/>
      <c r="E2" s="3"/>
      <c r="F2" s="3"/>
      <c r="G2" s="3"/>
      <c r="H2" s="534"/>
      <c r="I2" s="534"/>
      <c r="J2" s="534"/>
      <c r="K2" s="534"/>
      <c r="L2" s="534"/>
      <c r="M2" s="534"/>
      <c r="N2" s="534"/>
      <c r="O2" s="534"/>
      <c r="P2" s="534"/>
      <c r="Q2" s="534"/>
      <c r="R2" s="534"/>
      <c r="S2" s="534"/>
      <c r="T2" s="3"/>
      <c r="U2" s="3"/>
      <c r="V2" s="3"/>
      <c r="W2" s="3"/>
      <c r="X2" s="3"/>
    </row>
    <row r="3" spans="1:24">
      <c r="A3" s="3"/>
      <c r="B3" s="345" t="s">
        <v>140</v>
      </c>
      <c r="C3" s="3"/>
      <c r="D3" s="3"/>
      <c r="E3" s="3"/>
      <c r="F3" s="3"/>
      <c r="G3" s="3"/>
      <c r="H3" s="534"/>
      <c r="I3" s="534"/>
      <c r="J3" s="534"/>
      <c r="K3" s="534"/>
      <c r="L3" s="534"/>
      <c r="M3" s="534"/>
      <c r="N3" s="534"/>
      <c r="O3" s="534"/>
      <c r="P3" s="534"/>
      <c r="Q3" s="534"/>
      <c r="R3" s="534"/>
      <c r="S3" s="534"/>
      <c r="T3" s="3"/>
      <c r="U3" s="3"/>
      <c r="V3" s="3"/>
      <c r="W3" s="3"/>
      <c r="X3" s="3"/>
    </row>
    <row r="4" spans="1:24">
      <c r="A4" s="3"/>
      <c r="B4" s="532"/>
      <c r="C4" s="3"/>
      <c r="D4" s="3"/>
      <c r="E4" s="3"/>
      <c r="F4" s="3"/>
      <c r="G4" s="3"/>
      <c r="H4" s="534"/>
      <c r="I4" s="534"/>
      <c r="J4" s="534"/>
      <c r="K4" s="534"/>
      <c r="L4" s="534"/>
      <c r="M4" s="534"/>
      <c r="N4" s="534"/>
      <c r="O4" s="534"/>
      <c r="P4" s="534"/>
      <c r="Q4" s="534"/>
      <c r="R4" s="534"/>
      <c r="S4" s="534"/>
      <c r="T4" s="3"/>
      <c r="U4" s="3"/>
      <c r="V4" s="3"/>
      <c r="W4" s="3"/>
      <c r="X4" s="3"/>
    </row>
    <row r="5" spans="1:24">
      <c r="A5" s="3"/>
      <c r="B5" s="532"/>
      <c r="C5" s="3"/>
      <c r="D5" s="3"/>
      <c r="E5" s="3"/>
      <c r="F5" s="3"/>
      <c r="G5" s="3"/>
      <c r="H5" s="534"/>
      <c r="I5" s="534"/>
      <c r="J5" s="534"/>
      <c r="K5" s="534"/>
      <c r="L5" s="534"/>
      <c r="M5" s="534"/>
      <c r="N5" s="534"/>
      <c r="O5" s="534"/>
      <c r="P5" s="534"/>
      <c r="Q5" s="534"/>
      <c r="R5" s="534"/>
      <c r="S5" s="534"/>
      <c r="T5" s="3"/>
      <c r="U5" s="3"/>
      <c r="V5" s="3"/>
      <c r="W5" s="3"/>
      <c r="X5" s="3"/>
    </row>
    <row r="6" spans="1:24">
      <c r="A6" s="3"/>
      <c r="B6" s="3"/>
      <c r="C6" s="3"/>
      <c r="D6" s="3" t="s">
        <v>531</v>
      </c>
      <c r="E6" s="3"/>
      <c r="F6" s="3"/>
      <c r="G6" s="3" t="s">
        <v>817</v>
      </c>
      <c r="H6" s="536">
        <v>2</v>
      </c>
      <c r="I6" s="286" t="s">
        <v>883</v>
      </c>
      <c r="J6" s="535"/>
      <c r="K6" s="535"/>
      <c r="L6" s="535"/>
      <c r="M6" s="535"/>
      <c r="N6" s="535"/>
      <c r="O6" s="535"/>
      <c r="P6" s="535"/>
      <c r="Q6" s="535"/>
      <c r="R6" s="535"/>
      <c r="S6" s="535"/>
      <c r="T6" s="3"/>
      <c r="U6" s="3"/>
      <c r="V6" s="3"/>
      <c r="W6" s="3"/>
      <c r="X6" s="3"/>
    </row>
    <row r="7" spans="1:24">
      <c r="A7" s="3"/>
      <c r="B7" s="3"/>
      <c r="C7" s="3"/>
      <c r="D7" s="3"/>
      <c r="E7" s="3"/>
      <c r="F7" s="3"/>
      <c r="G7" s="3"/>
      <c r="H7" s="3"/>
      <c r="I7" s="3"/>
      <c r="J7" s="3"/>
      <c r="K7" s="3" t="s">
        <v>655</v>
      </c>
      <c r="L7" s="3"/>
      <c r="M7" s="3"/>
      <c r="N7" s="3"/>
      <c r="O7" s="3"/>
      <c r="P7" s="3"/>
      <c r="Q7" s="3"/>
      <c r="R7" s="3"/>
      <c r="S7" s="3"/>
      <c r="T7" s="3"/>
      <c r="U7" s="3"/>
      <c r="V7" s="3"/>
      <c r="W7" s="3"/>
      <c r="X7" s="3"/>
    </row>
    <row r="8" spans="1:24" ht="13">
      <c r="A8" s="3"/>
      <c r="B8" s="3"/>
      <c r="C8" s="3"/>
      <c r="D8" s="3" t="s">
        <v>530</v>
      </c>
      <c r="E8" s="3"/>
      <c r="F8" s="3"/>
      <c r="G8" s="533" t="s">
        <v>817</v>
      </c>
      <c r="H8" s="537">
        <v>1.6</v>
      </c>
      <c r="I8" s="527" t="s">
        <v>534</v>
      </c>
      <c r="J8" s="3"/>
      <c r="K8" s="34"/>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532</v>
      </c>
      <c r="E10" s="3"/>
      <c r="F10" s="3"/>
      <c r="G10" s="3"/>
      <c r="H10" s="528">
        <f>(H6*((H8-1)^2))/((H8+1)^2)</f>
        <v>0.10650887573964499</v>
      </c>
      <c r="I10" s="183" t="s">
        <v>883</v>
      </c>
      <c r="J10" s="3"/>
      <c r="K10" s="530">
        <f>H10/H6</f>
        <v>5.3254437869822494E-2</v>
      </c>
      <c r="L10" s="3" t="s">
        <v>654</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533</v>
      </c>
      <c r="E12" s="3"/>
      <c r="F12" s="3"/>
      <c r="G12" s="3"/>
      <c r="H12" s="528">
        <f>H6-H10</f>
        <v>1.8934911242603549</v>
      </c>
      <c r="I12" s="183" t="s">
        <v>883</v>
      </c>
      <c r="J12" s="3"/>
      <c r="K12" s="529">
        <f>1-K10</f>
        <v>0.94674556213017746</v>
      </c>
      <c r="L12" s="3" t="s">
        <v>654</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537</v>
      </c>
      <c r="E14" s="3"/>
      <c r="F14" s="3"/>
      <c r="G14" s="3"/>
      <c r="H14" s="531">
        <f>-10*LOG10(H12/H6)</f>
        <v>0.23766721957748782</v>
      </c>
      <c r="I14" s="183" t="s">
        <v>859</v>
      </c>
      <c r="J14" s="3"/>
      <c r="K14" s="3" t="s">
        <v>535</v>
      </c>
      <c r="L14" s="3"/>
      <c r="M14" s="3"/>
      <c r="N14" s="3"/>
      <c r="O14" s="3"/>
      <c r="P14" s="3"/>
      <c r="Q14" s="3"/>
      <c r="R14" s="3"/>
      <c r="S14" s="3"/>
      <c r="T14" s="3"/>
      <c r="U14" s="3"/>
      <c r="V14" s="3"/>
      <c r="W14" s="3"/>
      <c r="X14" s="3"/>
    </row>
    <row r="15" spans="1:24">
      <c r="A15" s="3"/>
      <c r="B15" s="3"/>
      <c r="C15" s="3"/>
      <c r="D15" s="3"/>
      <c r="E15" s="3"/>
      <c r="F15" s="3"/>
      <c r="G15" s="3"/>
      <c r="H15" s="535"/>
      <c r="I15" s="535"/>
      <c r="J15" s="535"/>
      <c r="K15" s="534" t="s">
        <v>536</v>
      </c>
      <c r="L15" s="535"/>
      <c r="M15" s="535"/>
      <c r="N15" s="535"/>
      <c r="O15" s="535"/>
      <c r="P15" s="535"/>
      <c r="Q15" s="535"/>
      <c r="R15" s="535"/>
      <c r="S15" s="535"/>
      <c r="T15" s="3"/>
      <c r="U15" s="3"/>
      <c r="V15" s="3"/>
      <c r="W15" s="3"/>
      <c r="X15" s="3"/>
    </row>
    <row r="16" spans="1:24">
      <c r="A16" s="3"/>
      <c r="B16" s="3"/>
      <c r="C16" s="3"/>
      <c r="D16" s="3"/>
      <c r="E16" s="3"/>
      <c r="F16" s="3"/>
      <c r="G16" s="3"/>
      <c r="H16" s="535"/>
      <c r="I16" s="535"/>
      <c r="J16" s="535"/>
      <c r="K16" s="535"/>
      <c r="L16" s="535"/>
      <c r="M16" s="535"/>
      <c r="N16" s="535"/>
      <c r="O16" s="535"/>
      <c r="P16" s="535"/>
      <c r="Q16" s="535"/>
      <c r="R16" s="535"/>
      <c r="S16" s="535"/>
      <c r="T16" s="3"/>
      <c r="U16" s="3"/>
      <c r="V16" s="3"/>
      <c r="W16" s="3"/>
      <c r="X16" s="3"/>
    </row>
    <row r="17" spans="1:24">
      <c r="A17" s="3"/>
      <c r="B17" s="3"/>
      <c r="C17" s="3"/>
      <c r="D17" s="3"/>
      <c r="E17" s="3"/>
      <c r="F17" s="3"/>
      <c r="G17" s="3"/>
      <c r="H17" s="535"/>
      <c r="I17" s="535"/>
      <c r="J17" s="535"/>
      <c r="K17" s="535"/>
      <c r="L17" s="535"/>
      <c r="M17" s="535"/>
      <c r="N17" s="535"/>
      <c r="O17" s="535"/>
      <c r="P17" s="535"/>
      <c r="Q17" s="535"/>
      <c r="R17" s="535"/>
      <c r="S17" s="535"/>
      <c r="T17" s="3"/>
      <c r="U17" s="39" t="s">
        <v>650</v>
      </c>
      <c r="V17" s="39"/>
      <c r="W17" s="39"/>
      <c r="X17" s="3"/>
    </row>
    <row r="18" spans="1:24">
      <c r="A18" s="3"/>
      <c r="B18" s="3"/>
      <c r="C18" s="3"/>
      <c r="D18" s="3"/>
      <c r="E18" s="3"/>
      <c r="F18" s="3"/>
      <c r="G18" s="3"/>
      <c r="H18" s="535"/>
      <c r="I18" s="535"/>
      <c r="J18" s="535"/>
      <c r="K18" s="535"/>
      <c r="L18" s="535"/>
      <c r="M18" s="535"/>
      <c r="N18" s="535"/>
      <c r="O18" s="535"/>
      <c r="P18" s="535"/>
      <c r="Q18" s="535"/>
      <c r="R18" s="535"/>
      <c r="S18" s="535"/>
      <c r="T18" s="3"/>
      <c r="U18" s="3" t="s">
        <v>656</v>
      </c>
      <c r="V18" s="35">
        <f>SQRT(O19^2+Q19^2)</f>
        <v>50</v>
      </c>
      <c r="W18" s="602" t="s">
        <v>651</v>
      </c>
      <c r="X18" s="3"/>
    </row>
    <row r="19" spans="1:24" ht="13">
      <c r="A19" s="3"/>
      <c r="B19" s="3"/>
      <c r="C19" s="3"/>
      <c r="D19" s="3"/>
      <c r="E19" s="3"/>
      <c r="F19" s="3"/>
      <c r="G19" s="3"/>
      <c r="H19" s="535"/>
      <c r="I19" s="535"/>
      <c r="J19" s="535"/>
      <c r="K19" s="535"/>
      <c r="L19" s="535"/>
      <c r="M19" s="96" t="s">
        <v>573</v>
      </c>
      <c r="N19" s="535"/>
      <c r="O19" s="263">
        <v>50</v>
      </c>
      <c r="P19" s="599" t="s">
        <v>912</v>
      </c>
      <c r="Q19" s="600">
        <v>0</v>
      </c>
      <c r="R19" s="535"/>
      <c r="S19" s="535"/>
      <c r="T19" s="3"/>
      <c r="U19" s="3"/>
      <c r="V19" s="35"/>
      <c r="W19" s="3"/>
      <c r="X19" s="3"/>
    </row>
    <row r="20" spans="1:24">
      <c r="A20" s="3"/>
      <c r="B20" s="3"/>
      <c r="C20" s="3"/>
      <c r="D20" s="3"/>
      <c r="E20" s="3"/>
      <c r="F20" s="3"/>
      <c r="G20" s="3"/>
      <c r="H20" s="535"/>
      <c r="I20" s="535"/>
      <c r="J20" s="535"/>
      <c r="K20" s="535"/>
      <c r="L20" s="535"/>
      <c r="M20" s="535"/>
      <c r="N20" s="535"/>
      <c r="O20" s="535"/>
      <c r="P20" s="535"/>
      <c r="Q20" s="534"/>
      <c r="R20" s="535"/>
      <c r="S20" s="535"/>
      <c r="T20" s="3"/>
      <c r="U20" s="3" t="s">
        <v>657</v>
      </c>
      <c r="V20" s="35">
        <f>SQRT(O21^2+Q21^2)</f>
        <v>79.05694150420949</v>
      </c>
      <c r="W20" s="602" t="s">
        <v>651</v>
      </c>
      <c r="X20" s="3"/>
    </row>
    <row r="21" spans="1:24" ht="13">
      <c r="A21" s="3"/>
      <c r="B21" s="3"/>
      <c r="C21" s="3"/>
      <c r="D21" s="3"/>
      <c r="E21" s="3"/>
      <c r="F21" s="3"/>
      <c r="G21" s="3"/>
      <c r="H21" s="535"/>
      <c r="I21" s="535"/>
      <c r="J21" s="535"/>
      <c r="K21" s="535"/>
      <c r="L21" s="535"/>
      <c r="M21" s="96" t="s">
        <v>574</v>
      </c>
      <c r="N21" s="535"/>
      <c r="O21" s="263">
        <v>75</v>
      </c>
      <c r="P21" s="599" t="s">
        <v>912</v>
      </c>
      <c r="Q21" s="600">
        <v>-25</v>
      </c>
      <c r="R21" s="535"/>
      <c r="S21" s="535"/>
      <c r="T21" s="3"/>
      <c r="U21" s="3"/>
      <c r="V21" s="3"/>
      <c r="W21" s="3"/>
      <c r="X21" s="3"/>
    </row>
    <row r="22" spans="1:24">
      <c r="A22" s="3"/>
      <c r="B22" s="3"/>
      <c r="C22" s="3"/>
      <c r="D22" s="3"/>
      <c r="E22" s="3"/>
      <c r="F22" s="3"/>
      <c r="G22" s="3"/>
      <c r="H22" s="535"/>
      <c r="I22" s="535"/>
      <c r="J22" s="535"/>
      <c r="K22" s="535"/>
      <c r="L22" s="535"/>
      <c r="M22" s="535"/>
      <c r="N22" s="535"/>
      <c r="O22" s="535"/>
      <c r="P22" s="535"/>
      <c r="Q22" s="535"/>
      <c r="R22" s="535"/>
      <c r="S22" s="535"/>
      <c r="T22" s="3"/>
      <c r="U22" s="3"/>
      <c r="V22" s="345" t="s">
        <v>140</v>
      </c>
      <c r="W22" s="3"/>
      <c r="X22" s="3"/>
    </row>
    <row r="23" spans="1:24">
      <c r="A23" s="3"/>
      <c r="B23" s="3"/>
      <c r="C23" s="3"/>
      <c r="D23" s="3"/>
      <c r="E23" s="3"/>
      <c r="F23" s="3"/>
      <c r="G23" s="3"/>
      <c r="H23" s="535"/>
      <c r="I23" s="535"/>
      <c r="J23" s="535"/>
      <c r="K23" s="535"/>
      <c r="L23" s="535"/>
      <c r="M23" s="96" t="s">
        <v>540</v>
      </c>
      <c r="N23" s="535"/>
      <c r="O23" s="710">
        <f>IF(V18&gt;V20, V18/V20, V20/V18)</f>
        <v>1.5811388300841898</v>
      </c>
      <c r="P23" s="504"/>
      <c r="Q23" s="535"/>
      <c r="R23" s="535"/>
      <c r="S23" s="535"/>
      <c r="T23" s="3"/>
      <c r="U23" s="3"/>
      <c r="V23" s="3"/>
      <c r="W23" s="3"/>
      <c r="X23" s="3"/>
    </row>
    <row r="24" spans="1:24">
      <c r="A24" s="3"/>
      <c r="B24" s="3"/>
      <c r="C24" s="3"/>
      <c r="D24" s="3"/>
      <c r="E24" s="3"/>
      <c r="F24" s="3"/>
      <c r="G24" s="3"/>
      <c r="H24" s="535"/>
      <c r="I24" s="535"/>
      <c r="J24" s="535"/>
      <c r="K24" s="535"/>
      <c r="L24" s="535"/>
      <c r="M24" s="535"/>
      <c r="N24" s="535"/>
      <c r="O24" s="535"/>
      <c r="P24" s="535"/>
      <c r="Q24" s="96" t="s">
        <v>652</v>
      </c>
      <c r="R24" s="535"/>
      <c r="S24" s="535"/>
      <c r="T24" s="3"/>
      <c r="U24" s="3"/>
      <c r="V24" s="3"/>
      <c r="W24" s="3"/>
      <c r="X24" s="3"/>
    </row>
    <row r="25" spans="1:24">
      <c r="A25" s="3"/>
      <c r="B25" s="3"/>
      <c r="C25" s="3"/>
      <c r="D25" s="3"/>
      <c r="E25" s="3"/>
      <c r="F25" s="3"/>
      <c r="G25" s="3"/>
      <c r="H25" s="535"/>
      <c r="I25" s="535"/>
      <c r="J25" s="535"/>
      <c r="K25" s="535"/>
      <c r="L25" s="535"/>
      <c r="M25" s="535"/>
      <c r="N25" s="535"/>
      <c r="O25" s="535"/>
      <c r="P25" s="535"/>
      <c r="Q25" s="535"/>
      <c r="R25" s="535"/>
      <c r="S25" s="535"/>
      <c r="T25" s="3"/>
      <c r="U25" s="3"/>
      <c r="V25" s="3"/>
      <c r="W25" s="3"/>
      <c r="X25" s="3"/>
    </row>
    <row r="26" spans="1:24">
      <c r="A26" s="3"/>
      <c r="B26" s="3"/>
      <c r="C26" s="3"/>
      <c r="D26" s="3"/>
      <c r="E26" s="3"/>
      <c r="F26" s="3"/>
      <c r="G26" s="3"/>
      <c r="H26" s="535"/>
      <c r="I26" s="535"/>
      <c r="J26" s="535"/>
      <c r="K26" s="535"/>
      <c r="L26" s="535"/>
      <c r="M26" s="535"/>
      <c r="N26" s="535"/>
      <c r="O26" s="535"/>
      <c r="P26" s="535"/>
      <c r="Q26" s="535"/>
      <c r="R26" s="535"/>
      <c r="S26" s="535"/>
      <c r="T26" s="3"/>
      <c r="U26" s="3"/>
      <c r="V26" s="3"/>
      <c r="W26" s="3"/>
      <c r="X26" s="3"/>
    </row>
    <row r="27" spans="1:24">
      <c r="A27" s="3"/>
      <c r="B27" s="3"/>
      <c r="C27" s="3"/>
      <c r="D27" s="3"/>
      <c r="E27" s="3"/>
      <c r="F27" s="3"/>
      <c r="G27" s="3"/>
      <c r="H27" s="535"/>
      <c r="I27" s="535"/>
      <c r="J27" s="535"/>
      <c r="K27" s="535"/>
      <c r="L27" s="535"/>
      <c r="M27" s="535"/>
      <c r="N27" s="535"/>
      <c r="O27" s="535"/>
      <c r="P27" s="535"/>
      <c r="Q27" s="535"/>
      <c r="R27" s="534" t="s">
        <v>255</v>
      </c>
      <c r="S27" s="535"/>
      <c r="T27" s="3"/>
      <c r="U27" s="3"/>
      <c r="V27" s="3"/>
      <c r="W27" s="3"/>
      <c r="X27" s="3"/>
    </row>
    <row r="28" spans="1:24">
      <c r="A28" s="3"/>
      <c r="B28" s="3"/>
      <c r="C28" s="3"/>
      <c r="D28" s="3"/>
      <c r="E28" s="3"/>
      <c r="F28" s="3"/>
      <c r="G28" s="3"/>
      <c r="H28" s="535"/>
      <c r="I28" s="535"/>
      <c r="J28" s="535"/>
      <c r="K28" s="535"/>
      <c r="L28" s="535"/>
      <c r="M28" s="535"/>
      <c r="N28" s="535"/>
      <c r="O28" s="535"/>
      <c r="P28" s="535"/>
      <c r="Q28" s="535"/>
      <c r="R28" s="534" t="s">
        <v>817</v>
      </c>
      <c r="S28" s="535"/>
      <c r="T28" s="3"/>
      <c r="U28" s="3"/>
      <c r="V28" s="3"/>
      <c r="W28" s="3"/>
      <c r="X28" s="3"/>
    </row>
    <row r="29" spans="1:24">
      <c r="A29" s="3"/>
      <c r="B29" s="3"/>
      <c r="C29" s="3"/>
      <c r="D29" s="3"/>
      <c r="E29" s="3"/>
      <c r="F29" s="3"/>
      <c r="G29" s="3"/>
      <c r="H29" s="535"/>
      <c r="I29" s="535"/>
      <c r="J29" s="535"/>
      <c r="K29" s="535"/>
      <c r="L29" s="535"/>
      <c r="M29" s="535"/>
      <c r="N29" s="535"/>
      <c r="O29" s="535"/>
      <c r="P29" s="535"/>
      <c r="Q29" s="535"/>
      <c r="R29" s="535"/>
      <c r="S29" s="535"/>
      <c r="T29" s="3"/>
      <c r="U29" s="3"/>
      <c r="V29" s="3"/>
      <c r="W29" s="3"/>
      <c r="X29" s="3"/>
    </row>
    <row r="30" spans="1:24">
      <c r="A30" s="3"/>
      <c r="B30" s="3"/>
      <c r="C30" s="3"/>
      <c r="D30" s="3"/>
      <c r="E30" s="3"/>
      <c r="F30" s="3"/>
      <c r="G30" s="3"/>
      <c r="H30" s="535"/>
      <c r="I30" s="535"/>
      <c r="J30" s="535"/>
      <c r="K30" s="535"/>
      <c r="L30" s="535"/>
      <c r="M30" s="535"/>
      <c r="N30" s="535"/>
      <c r="O30" s="535"/>
      <c r="P30" s="535"/>
      <c r="Q30" s="534" t="s">
        <v>653</v>
      </c>
      <c r="R30" s="535"/>
      <c r="S30" s="535"/>
      <c r="T30" s="3"/>
      <c r="U30" s="3"/>
      <c r="V30" s="3"/>
      <c r="W30" s="3"/>
      <c r="X30" s="3"/>
    </row>
    <row r="31" spans="1:24">
      <c r="A31" s="3"/>
      <c r="B31" s="3"/>
      <c r="C31" s="3"/>
      <c r="D31" s="3"/>
      <c r="E31" s="3"/>
      <c r="F31" s="3"/>
      <c r="G31" s="3"/>
      <c r="H31" s="535"/>
      <c r="I31" s="535"/>
      <c r="J31" s="535"/>
      <c r="K31" s="535"/>
      <c r="L31" s="535"/>
      <c r="M31" s="535"/>
      <c r="N31" s="535"/>
      <c r="O31" s="535"/>
      <c r="P31" s="535"/>
      <c r="Q31" s="535"/>
      <c r="R31" s="535"/>
      <c r="S31" s="535"/>
      <c r="T31" s="3"/>
      <c r="U31" s="3"/>
      <c r="V31" s="3"/>
      <c r="W31" s="3"/>
      <c r="X31" s="3"/>
    </row>
    <row r="32" spans="1:24">
      <c r="A32" s="3"/>
      <c r="B32" s="3"/>
      <c r="C32" s="3"/>
      <c r="D32" s="3"/>
      <c r="E32" s="3"/>
      <c r="F32" s="3"/>
      <c r="G32" s="3"/>
      <c r="H32" s="535"/>
      <c r="I32" s="535"/>
      <c r="J32" s="535"/>
      <c r="K32" s="535"/>
      <c r="L32" s="535"/>
      <c r="M32" s="499" t="s">
        <v>538</v>
      </c>
      <c r="N32" s="534"/>
      <c r="O32" s="534"/>
      <c r="P32" s="534"/>
      <c r="Q32" s="538">
        <v>5</v>
      </c>
      <c r="R32" s="534"/>
      <c r="S32" s="535"/>
      <c r="T32" s="3"/>
      <c r="U32" s="3"/>
      <c r="V32" s="3"/>
      <c r="W32" s="3"/>
      <c r="X32" s="3"/>
    </row>
    <row r="33" spans="1:24">
      <c r="A33" s="3"/>
      <c r="B33" s="3"/>
      <c r="C33" s="3"/>
      <c r="D33" s="3"/>
      <c r="E33" s="3"/>
      <c r="F33" s="3"/>
      <c r="G33" s="3"/>
      <c r="H33" s="535"/>
      <c r="I33" s="535"/>
      <c r="J33" s="535"/>
      <c r="K33" s="535"/>
      <c r="L33" s="535"/>
      <c r="M33" s="534"/>
      <c r="N33" s="534"/>
      <c r="O33" s="534"/>
      <c r="P33" s="534"/>
      <c r="Q33" s="534"/>
      <c r="R33" s="534"/>
      <c r="S33" s="535"/>
      <c r="T33" s="3"/>
      <c r="U33" s="3"/>
      <c r="V33" s="3"/>
      <c r="W33" s="3"/>
      <c r="X33" s="3"/>
    </row>
    <row r="34" spans="1:24">
      <c r="A34" s="3"/>
      <c r="B34" s="3"/>
      <c r="C34" s="3"/>
      <c r="D34" s="3"/>
      <c r="E34" s="3"/>
      <c r="F34" s="3"/>
      <c r="G34" s="3"/>
      <c r="H34" s="535"/>
      <c r="I34" s="535"/>
      <c r="J34" s="535"/>
      <c r="K34" s="535"/>
      <c r="L34" s="535"/>
      <c r="M34" s="534" t="s">
        <v>539</v>
      </c>
      <c r="N34" s="534"/>
      <c r="O34" s="534"/>
      <c r="P34" s="534"/>
      <c r="Q34" s="751">
        <v>0.25</v>
      </c>
      <c r="R34" s="534"/>
      <c r="S34" s="535"/>
      <c r="T34" s="3"/>
      <c r="U34" s="3"/>
      <c r="V34" s="3"/>
      <c r="W34" s="3"/>
      <c r="X34" s="3"/>
    </row>
    <row r="35" spans="1:24">
      <c r="A35" s="3"/>
      <c r="B35" s="3"/>
      <c r="C35" s="3"/>
      <c r="D35" s="3"/>
      <c r="E35" s="3"/>
      <c r="F35" s="3"/>
      <c r="G35" s="3"/>
      <c r="H35" s="535"/>
      <c r="I35" s="535"/>
      <c r="J35" s="535"/>
      <c r="K35" s="535"/>
      <c r="L35" s="535"/>
      <c r="M35" s="534"/>
      <c r="N35" s="534"/>
      <c r="O35" s="534"/>
      <c r="P35" s="534"/>
      <c r="Q35" s="534"/>
      <c r="R35" s="534"/>
      <c r="S35" s="535"/>
      <c r="T35" s="3"/>
      <c r="U35" s="3"/>
      <c r="V35" s="3"/>
      <c r="W35" s="3"/>
      <c r="X35" s="3"/>
    </row>
    <row r="36" spans="1:24">
      <c r="A36" s="3"/>
      <c r="B36" s="3"/>
      <c r="C36" s="3"/>
      <c r="D36" s="3"/>
      <c r="E36" s="3"/>
      <c r="F36" s="3"/>
      <c r="G36" s="3"/>
      <c r="H36" s="535"/>
      <c r="I36" s="535"/>
      <c r="J36" s="535"/>
      <c r="K36" s="535"/>
      <c r="L36" s="535"/>
      <c r="M36" s="534" t="s">
        <v>540</v>
      </c>
      <c r="N36" s="534"/>
      <c r="O36" s="534"/>
      <c r="P36" s="534"/>
      <c r="Q36" s="710">
        <f>(SQRT(Q32)+SQRT(Q34))/(SQRT(Q32)-SQRT(Q34))</f>
        <v>1.5760143110525873</v>
      </c>
      <c r="R36" s="534"/>
      <c r="S36" s="535"/>
      <c r="T36" s="3"/>
      <c r="U36" s="3"/>
      <c r="V36" s="3"/>
      <c r="W36" s="3"/>
      <c r="X36" s="3"/>
    </row>
    <row r="37" spans="1:24">
      <c r="A37" s="3"/>
      <c r="B37" s="3"/>
      <c r="C37" s="3"/>
      <c r="D37" s="3"/>
      <c r="E37" s="3"/>
      <c r="F37" s="3"/>
      <c r="G37" s="3"/>
      <c r="H37" s="535"/>
      <c r="I37" s="535"/>
      <c r="J37" s="535"/>
      <c r="K37" s="535"/>
      <c r="L37" s="535"/>
      <c r="M37" s="534"/>
      <c r="N37" s="534"/>
      <c r="O37" s="534"/>
      <c r="P37" s="534"/>
      <c r="Q37" s="534"/>
      <c r="R37" s="534"/>
      <c r="S37" s="535"/>
      <c r="T37" s="3"/>
      <c r="U37" s="3"/>
      <c r="V37" s="3"/>
      <c r="W37" s="3"/>
      <c r="X37" s="3"/>
    </row>
    <row r="38" spans="1:24">
      <c r="A38" s="3"/>
      <c r="B38" s="3"/>
      <c r="C38" s="3"/>
      <c r="D38" s="3"/>
      <c r="E38" s="3"/>
      <c r="F38" s="3"/>
      <c r="G38" s="3"/>
      <c r="H38" s="535"/>
      <c r="I38" s="535"/>
      <c r="J38" s="535"/>
      <c r="K38" s="535"/>
      <c r="L38" s="535"/>
      <c r="M38" s="534"/>
      <c r="N38" s="534"/>
      <c r="O38" s="534"/>
      <c r="P38" s="534"/>
      <c r="Q38" s="534"/>
      <c r="R38" s="534"/>
      <c r="S38" s="535"/>
      <c r="T38" s="3"/>
      <c r="U38" s="3"/>
      <c r="V38" s="3"/>
      <c r="W38" s="3"/>
      <c r="X38" s="3"/>
    </row>
    <row r="39" spans="1:24">
      <c r="A39" s="3"/>
      <c r="B39" s="3"/>
      <c r="C39" s="3"/>
      <c r="D39" s="3"/>
      <c r="E39" s="3"/>
      <c r="F39" s="3"/>
      <c r="G39" s="3"/>
      <c r="H39" s="535"/>
      <c r="I39" s="535"/>
      <c r="J39" s="535"/>
      <c r="K39" s="535"/>
      <c r="L39" s="535"/>
      <c r="M39" s="534"/>
      <c r="N39" s="534"/>
      <c r="O39" s="534"/>
      <c r="P39" s="534"/>
      <c r="Q39" s="535"/>
      <c r="R39" s="535"/>
      <c r="S39" s="535"/>
      <c r="T39" s="3"/>
      <c r="U39" s="3"/>
      <c r="V39" s="3"/>
      <c r="W39" s="3"/>
      <c r="X39" s="3"/>
    </row>
    <row r="40" spans="1:24">
      <c r="A40" s="3"/>
      <c r="B40" s="3"/>
      <c r="C40" s="3"/>
      <c r="D40" s="3"/>
      <c r="E40" s="3"/>
      <c r="F40" s="3"/>
      <c r="G40" s="3"/>
      <c r="H40" s="535"/>
      <c r="I40" s="535"/>
      <c r="J40" s="535"/>
      <c r="K40" s="535"/>
      <c r="L40" s="535"/>
      <c r="M40" s="534"/>
      <c r="N40" s="534"/>
      <c r="O40" s="534"/>
      <c r="P40" s="534"/>
      <c r="Q40" s="535"/>
      <c r="R40" s="535"/>
      <c r="S40" s="535"/>
      <c r="T40" s="3"/>
      <c r="U40" s="3"/>
      <c r="V40" s="3"/>
      <c r="W40" s="3"/>
      <c r="X40" s="3"/>
    </row>
    <row r="41" spans="1:24">
      <c r="A41" s="3"/>
      <c r="B41" s="3"/>
      <c r="C41" s="3"/>
      <c r="D41" s="3"/>
      <c r="E41" s="3"/>
      <c r="F41" s="3"/>
      <c r="G41" s="3"/>
      <c r="H41" s="535"/>
      <c r="I41" s="535"/>
      <c r="J41" s="535"/>
      <c r="K41" s="535"/>
      <c r="L41" s="535"/>
      <c r="M41" s="535"/>
      <c r="N41" s="535"/>
      <c r="O41" s="535"/>
      <c r="P41" s="535"/>
      <c r="Q41" s="535"/>
      <c r="R41" s="535"/>
      <c r="S41" s="535"/>
      <c r="T41" s="3"/>
      <c r="U41" s="3"/>
      <c r="V41" s="3"/>
      <c r="W41" s="3"/>
      <c r="X41" s="3"/>
    </row>
    <row r="42" spans="1:24">
      <c r="A42" s="3"/>
      <c r="B42" s="3"/>
      <c r="C42" s="3"/>
      <c r="D42" s="3"/>
      <c r="E42" s="3"/>
      <c r="F42" s="3"/>
      <c r="G42" s="345" t="s">
        <v>140</v>
      </c>
      <c r="H42" s="535"/>
      <c r="I42" s="535"/>
      <c r="J42" s="535"/>
      <c r="K42" s="535"/>
      <c r="L42" s="535"/>
      <c r="M42" s="535"/>
      <c r="N42" s="535"/>
      <c r="O42" s="535"/>
      <c r="P42" s="535"/>
      <c r="Q42" s="535"/>
      <c r="R42" s="535"/>
      <c r="S42" s="535"/>
      <c r="T42" s="3"/>
      <c r="U42" s="3"/>
      <c r="V42" s="3"/>
      <c r="W42" s="3"/>
      <c r="X42" s="3"/>
    </row>
    <row r="43" spans="1:24">
      <c r="A43" s="3"/>
      <c r="B43" s="3"/>
      <c r="C43" s="3"/>
      <c r="D43" s="3"/>
      <c r="E43" s="3"/>
      <c r="F43" s="3"/>
      <c r="G43" s="3"/>
      <c r="H43" s="535"/>
      <c r="I43" s="535"/>
      <c r="J43" s="535"/>
      <c r="K43" s="535"/>
      <c r="L43" s="535"/>
      <c r="M43" s="535"/>
      <c r="N43" s="535"/>
      <c r="O43" s="535"/>
      <c r="P43" s="535"/>
      <c r="Q43" s="535"/>
      <c r="R43" s="535"/>
      <c r="S43" s="535"/>
      <c r="T43" s="3"/>
      <c r="U43" s="3"/>
      <c r="V43" s="3"/>
      <c r="W43" s="3"/>
      <c r="X43" s="3"/>
    </row>
    <row r="44" spans="1:24">
      <c r="A44" s="3"/>
      <c r="B44" s="3"/>
      <c r="C44" s="3"/>
      <c r="D44" s="3"/>
      <c r="E44" s="3"/>
      <c r="F44" s="3"/>
      <c r="G44" s="3"/>
      <c r="H44" s="535"/>
      <c r="I44" s="535"/>
      <c r="J44" s="535"/>
      <c r="K44" s="535"/>
      <c r="L44" s="535"/>
      <c r="M44" s="535"/>
      <c r="N44" s="535"/>
      <c r="O44" s="535"/>
      <c r="P44" s="535"/>
      <c r="Q44" s="535"/>
      <c r="R44" s="535"/>
      <c r="S44" s="535"/>
      <c r="T44" s="3"/>
      <c r="U44" s="3"/>
      <c r="V44" s="3"/>
      <c r="W44" s="3"/>
      <c r="X44" s="3"/>
    </row>
    <row r="45" spans="1:24">
      <c r="A45" s="3"/>
      <c r="B45" s="3"/>
      <c r="C45" s="3"/>
      <c r="D45" s="3"/>
      <c r="E45" s="3"/>
      <c r="F45" s="3"/>
      <c r="G45" s="3"/>
      <c r="H45" s="535"/>
      <c r="I45" s="535"/>
      <c r="J45" s="535"/>
      <c r="K45" s="535"/>
      <c r="L45" s="535"/>
      <c r="M45" s="535"/>
      <c r="N45" s="535"/>
      <c r="O45" s="535"/>
      <c r="P45" s="535"/>
      <c r="Q45" s="535"/>
      <c r="R45" s="535"/>
      <c r="S45" s="535"/>
      <c r="T45" s="3"/>
      <c r="U45" s="3"/>
      <c r="V45" s="3"/>
      <c r="W45" s="3"/>
      <c r="X45" s="3"/>
    </row>
    <row r="46" spans="1:24">
      <c r="A46" s="3"/>
      <c r="B46" s="3"/>
      <c r="C46" s="3"/>
      <c r="D46" s="3"/>
      <c r="E46" s="3"/>
      <c r="F46" s="3"/>
      <c r="G46" s="3"/>
      <c r="H46" s="535"/>
      <c r="I46" s="535"/>
      <c r="J46" s="535"/>
      <c r="K46" s="535"/>
      <c r="L46" s="535"/>
      <c r="M46" s="535"/>
      <c r="N46" s="535"/>
      <c r="O46" s="535"/>
      <c r="P46" s="535"/>
      <c r="Q46" s="535"/>
      <c r="R46" s="535"/>
      <c r="S46" s="535"/>
      <c r="T46" s="3"/>
      <c r="U46" s="3"/>
      <c r="V46" s="3"/>
      <c r="W46" s="3"/>
      <c r="X46" s="3"/>
    </row>
    <row r="47" spans="1:24">
      <c r="A47" s="3"/>
      <c r="B47" s="3"/>
      <c r="C47" s="3"/>
      <c r="D47" s="3"/>
      <c r="E47" s="3"/>
      <c r="F47" s="3"/>
      <c r="G47" s="3"/>
      <c r="H47" s="535"/>
      <c r="I47" s="535"/>
      <c r="J47" s="535"/>
      <c r="K47" s="535"/>
      <c r="L47" s="535"/>
      <c r="M47" s="535"/>
      <c r="N47" s="535"/>
      <c r="O47" s="535"/>
      <c r="P47" s="535"/>
      <c r="Q47" s="535"/>
      <c r="R47" s="535"/>
      <c r="S47" s="535"/>
      <c r="T47" s="3"/>
      <c r="U47" s="3"/>
      <c r="V47" s="3"/>
      <c r="W47" s="3"/>
      <c r="X47" s="3"/>
    </row>
    <row r="48" spans="1:24">
      <c r="A48" s="3"/>
      <c r="B48" s="3"/>
      <c r="C48" s="3"/>
      <c r="D48" s="3"/>
      <c r="E48" s="3"/>
      <c r="F48" s="3"/>
      <c r="G48" s="3"/>
      <c r="H48" s="535"/>
      <c r="I48" s="535"/>
      <c r="J48" s="535"/>
      <c r="K48" s="535"/>
      <c r="L48" s="535"/>
      <c r="M48" s="535"/>
      <c r="N48" s="535"/>
      <c r="O48" s="535"/>
      <c r="P48" s="535"/>
      <c r="Q48" s="535"/>
      <c r="R48" s="535"/>
      <c r="S48" s="535"/>
      <c r="T48" s="3"/>
      <c r="U48" s="3"/>
      <c r="V48" s="3"/>
      <c r="W48" s="3"/>
      <c r="X48" s="3"/>
    </row>
    <row r="49" spans="1:24">
      <c r="A49" s="3"/>
      <c r="B49" s="3"/>
      <c r="C49" s="3"/>
      <c r="D49" s="3"/>
      <c r="E49" s="3"/>
      <c r="F49" s="3"/>
      <c r="G49" s="3"/>
      <c r="H49" s="535"/>
      <c r="I49" s="535"/>
      <c r="J49" s="535"/>
      <c r="K49" s="535"/>
      <c r="L49" s="535"/>
      <c r="M49" s="535"/>
      <c r="N49" s="535"/>
      <c r="O49" s="535"/>
      <c r="P49" s="535"/>
      <c r="Q49" s="535"/>
      <c r="R49" s="535"/>
      <c r="S49" s="535"/>
      <c r="T49" s="3"/>
      <c r="U49" s="3"/>
      <c r="V49" s="3"/>
      <c r="W49" s="3"/>
      <c r="X49" s="3"/>
    </row>
    <row r="50" spans="1:24">
      <c r="A50" s="3"/>
      <c r="B50" s="3"/>
      <c r="C50" s="3"/>
      <c r="D50" s="3"/>
      <c r="E50" s="3"/>
      <c r="F50" s="3"/>
      <c r="G50" s="3"/>
      <c r="H50" s="535"/>
      <c r="I50" s="535"/>
      <c r="J50" s="535"/>
      <c r="K50" s="535"/>
      <c r="L50" s="535"/>
      <c r="M50" s="535"/>
      <c r="N50" s="535"/>
      <c r="O50" s="535"/>
      <c r="P50" s="535"/>
      <c r="Q50" s="535"/>
      <c r="R50" s="535"/>
      <c r="S50" s="535"/>
      <c r="T50" s="3"/>
      <c r="U50" s="3"/>
      <c r="V50" s="3"/>
      <c r="W50" s="3"/>
      <c r="X50" s="3"/>
    </row>
    <row r="51" spans="1:24">
      <c r="A51" s="3"/>
      <c r="B51" s="3"/>
      <c r="C51" s="3"/>
      <c r="D51" s="3"/>
      <c r="E51" s="3"/>
      <c r="F51" s="3"/>
      <c r="G51" s="3"/>
      <c r="H51" s="535"/>
      <c r="I51" s="535"/>
      <c r="J51" s="535"/>
      <c r="K51" s="535"/>
      <c r="L51" s="535"/>
      <c r="M51" s="535"/>
      <c r="N51" s="535"/>
      <c r="O51" s="535"/>
      <c r="P51" s="535"/>
      <c r="Q51" s="535"/>
      <c r="R51" s="535"/>
      <c r="S51" s="535"/>
      <c r="T51" s="3"/>
      <c r="U51" s="3"/>
      <c r="V51" s="3"/>
      <c r="W51" s="3"/>
      <c r="X51" s="3"/>
    </row>
    <row r="52" spans="1:24">
      <c r="A52" s="3"/>
      <c r="B52" s="3"/>
      <c r="C52" s="3"/>
      <c r="D52" s="3"/>
      <c r="E52" s="3"/>
      <c r="F52" s="3"/>
      <c r="G52" s="3"/>
      <c r="H52" s="535"/>
      <c r="I52" s="535"/>
      <c r="J52" s="535"/>
      <c r="K52" s="535"/>
      <c r="L52" s="535"/>
      <c r="M52" s="535"/>
      <c r="N52" s="535"/>
      <c r="O52" s="535"/>
      <c r="P52" s="535"/>
      <c r="Q52" s="535"/>
      <c r="R52" s="535"/>
      <c r="S52" s="535"/>
      <c r="T52" s="3"/>
      <c r="U52" s="3"/>
      <c r="V52" s="3"/>
      <c r="W52" s="3"/>
      <c r="X52" s="3"/>
    </row>
    <row r="53" spans="1:24">
      <c r="A53" s="3"/>
      <c r="B53" s="3"/>
      <c r="C53" s="3"/>
      <c r="D53" s="3"/>
      <c r="E53" s="3"/>
      <c r="F53" s="3"/>
      <c r="G53" s="3"/>
      <c r="H53" s="535"/>
      <c r="I53" s="535"/>
      <c r="J53" s="535"/>
      <c r="K53" s="535"/>
      <c r="L53" s="535"/>
      <c r="M53" s="535"/>
      <c r="N53" s="535"/>
      <c r="O53" s="535"/>
      <c r="P53" s="535"/>
      <c r="Q53" s="535"/>
      <c r="R53" s="535"/>
      <c r="S53" s="535"/>
      <c r="T53" s="3"/>
      <c r="U53" s="3"/>
      <c r="V53" s="3"/>
      <c r="W53" s="3"/>
      <c r="X53" s="3"/>
    </row>
    <row r="54" spans="1:24">
      <c r="A54" s="3"/>
      <c r="B54" s="3"/>
      <c r="C54" s="3"/>
      <c r="D54" s="3"/>
      <c r="E54" s="3"/>
      <c r="F54" s="3"/>
      <c r="G54" s="3"/>
      <c r="H54" s="535"/>
      <c r="I54" s="535"/>
      <c r="J54" s="535"/>
      <c r="K54" s="535"/>
      <c r="L54" s="535"/>
      <c r="M54" s="535"/>
      <c r="N54" s="535"/>
      <c r="O54" s="535"/>
      <c r="P54" s="535"/>
      <c r="Q54" s="535"/>
      <c r="R54" s="535"/>
      <c r="S54" s="535"/>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50" zoomScaleNormal="150" workbookViewId="0">
      <selection activeCell="C15" sqref="C15"/>
    </sheetView>
  </sheetViews>
  <sheetFormatPr defaultColWidth="8.81640625" defaultRowHeight="12.5"/>
  <cols>
    <col min="2" max="2" width="10.1796875" bestFit="1" customWidth="1"/>
    <col min="3" max="3" width="11.36328125" customWidth="1"/>
    <col min="11" max="11" width="9.6328125" customWidth="1"/>
  </cols>
  <sheetData>
    <row r="1" spans="1:19" ht="18.5" thickBot="1">
      <c r="A1" s="127" t="s">
        <v>708</v>
      </c>
      <c r="B1" s="129"/>
      <c r="C1" s="129"/>
      <c r="D1" s="129"/>
      <c r="E1" s="129"/>
      <c r="F1" s="129"/>
      <c r="G1" s="129"/>
      <c r="H1" s="129"/>
      <c r="I1" s="129"/>
      <c r="J1" s="681" t="str">
        <f>'Title Page'!F3</f>
        <v>OreSat - CS0 (DxWiFi)</v>
      </c>
      <c r="K1" s="129"/>
      <c r="L1" s="129"/>
      <c r="M1" s="680" t="str">
        <f>'Title Page'!F23</f>
        <v>2019 February 1</v>
      </c>
      <c r="N1" s="129"/>
      <c r="O1" s="129"/>
      <c r="P1" s="129"/>
      <c r="Q1" s="129"/>
      <c r="R1" s="129"/>
      <c r="S1" s="129"/>
    </row>
    <row r="2" spans="1:19">
      <c r="A2" s="232"/>
      <c r="B2" s="668"/>
      <c r="C2" s="668"/>
      <c r="D2" s="668"/>
      <c r="E2" s="668"/>
      <c r="F2" s="668"/>
      <c r="G2" s="668"/>
      <c r="H2" s="668"/>
      <c r="I2" s="668"/>
      <c r="J2" s="668"/>
      <c r="K2" s="668"/>
      <c r="L2" s="668"/>
      <c r="M2" s="668"/>
      <c r="N2" s="668"/>
      <c r="O2" s="668"/>
      <c r="P2" s="668"/>
      <c r="Q2" s="668"/>
      <c r="R2" s="668"/>
      <c r="S2" s="232"/>
    </row>
    <row r="3" spans="1:19">
      <c r="A3" s="232"/>
      <c r="B3" s="694"/>
      <c r="C3" s="668"/>
      <c r="D3" s="668"/>
      <c r="E3" s="668"/>
      <c r="F3" s="668"/>
      <c r="G3" s="668"/>
      <c r="H3" s="668"/>
      <c r="I3" s="668"/>
      <c r="J3" s="668"/>
      <c r="K3" s="668"/>
      <c r="L3" s="668"/>
      <c r="M3" s="668"/>
      <c r="N3" s="668"/>
      <c r="O3" s="668"/>
      <c r="P3" s="668"/>
      <c r="Q3" s="668"/>
      <c r="R3" s="668"/>
      <c r="S3" s="232"/>
    </row>
    <row r="4" spans="1:19">
      <c r="A4" s="232"/>
      <c r="B4" s="668"/>
      <c r="C4" s="668"/>
      <c r="D4" s="668"/>
      <c r="E4" s="668"/>
      <c r="F4" s="668"/>
      <c r="G4" s="668"/>
      <c r="H4" s="668"/>
      <c r="I4" s="668"/>
      <c r="J4" s="668"/>
      <c r="K4" s="668"/>
      <c r="L4" s="668"/>
      <c r="M4" s="668"/>
      <c r="N4" s="668"/>
      <c r="O4" s="668"/>
      <c r="P4" s="668"/>
      <c r="Q4" s="668"/>
      <c r="R4" s="668"/>
      <c r="S4" s="232"/>
    </row>
    <row r="5" spans="1:19" ht="15.5">
      <c r="A5" s="232"/>
      <c r="B5" s="664" t="s">
        <v>709</v>
      </c>
      <c r="C5" s="665"/>
      <c r="D5" s="669"/>
      <c r="E5" s="669"/>
      <c r="F5" s="669"/>
      <c r="G5" s="669"/>
      <c r="H5" s="669"/>
      <c r="I5" s="669"/>
      <c r="J5" s="669"/>
      <c r="K5" s="669"/>
      <c r="L5" s="669"/>
      <c r="M5" s="669"/>
      <c r="N5" s="669"/>
      <c r="O5" s="669"/>
      <c r="P5" s="669"/>
      <c r="Q5" s="669"/>
      <c r="R5" s="669"/>
      <c r="S5" s="232"/>
    </row>
    <row r="6" spans="1:19">
      <c r="A6" s="232"/>
      <c r="B6" s="669"/>
      <c r="C6" s="669"/>
      <c r="D6" s="669"/>
      <c r="E6" s="669"/>
      <c r="F6" s="669"/>
      <c r="G6" s="669"/>
      <c r="H6" s="669"/>
      <c r="I6" s="669"/>
      <c r="J6" s="669"/>
      <c r="K6" s="669"/>
      <c r="L6" s="669"/>
      <c r="M6" s="669"/>
      <c r="N6" s="669"/>
      <c r="O6" s="669"/>
      <c r="P6" s="669"/>
      <c r="Q6" s="669"/>
      <c r="R6" s="669"/>
      <c r="S6" s="232"/>
    </row>
    <row r="7" spans="1:19">
      <c r="A7" s="232"/>
      <c r="B7" s="669" t="s">
        <v>710</v>
      </c>
      <c r="C7" s="669"/>
      <c r="D7" s="669"/>
      <c r="E7" s="669"/>
      <c r="F7" s="669"/>
      <c r="G7" s="669"/>
      <c r="H7" s="669"/>
      <c r="I7" s="669"/>
      <c r="J7" s="669"/>
      <c r="K7" s="669"/>
      <c r="L7" s="669"/>
      <c r="M7" s="669"/>
      <c r="N7" s="669"/>
      <c r="O7" s="669"/>
      <c r="P7" s="669"/>
      <c r="Q7" s="669"/>
      <c r="R7" s="669"/>
      <c r="S7" s="232"/>
    </row>
    <row r="8" spans="1:19">
      <c r="A8" s="232"/>
      <c r="B8" s="669" t="s">
        <v>772</v>
      </c>
      <c r="C8" s="669"/>
      <c r="D8" s="669"/>
      <c r="E8" s="669"/>
      <c r="F8" s="669"/>
      <c r="G8" s="669"/>
      <c r="H8" s="669"/>
      <c r="I8" s="669"/>
      <c r="J8" s="669"/>
      <c r="K8" s="669"/>
      <c r="L8" s="669"/>
      <c r="M8" s="669"/>
      <c r="N8" s="669"/>
      <c r="O8" s="669"/>
      <c r="P8" s="669"/>
      <c r="Q8" s="669"/>
      <c r="R8" s="669"/>
      <c r="S8" s="232"/>
    </row>
    <row r="9" spans="1:19">
      <c r="A9" s="232"/>
      <c r="B9" s="669" t="s">
        <v>795</v>
      </c>
      <c r="C9" s="669"/>
      <c r="D9" s="669"/>
      <c r="E9" s="669"/>
      <c r="F9" s="669"/>
      <c r="G9" s="669"/>
      <c r="H9" s="669"/>
      <c r="I9" s="669"/>
      <c r="J9" s="669"/>
      <c r="K9" s="669"/>
      <c r="L9" s="669"/>
      <c r="M9" s="669"/>
      <c r="N9" s="669"/>
      <c r="O9" s="669"/>
      <c r="P9" s="669"/>
      <c r="Q9" s="669"/>
      <c r="R9" s="669"/>
      <c r="S9" s="232"/>
    </row>
    <row r="10" spans="1:19">
      <c r="A10" s="232"/>
      <c r="B10" s="669" t="s">
        <v>796</v>
      </c>
      <c r="C10" s="669"/>
      <c r="D10" s="669"/>
      <c r="E10" s="669"/>
      <c r="F10" s="669"/>
      <c r="G10" s="669"/>
      <c r="H10" s="669"/>
      <c r="I10" s="669"/>
      <c r="J10" s="669"/>
      <c r="K10" s="669"/>
      <c r="L10" s="669"/>
      <c r="M10" s="669"/>
      <c r="N10" s="669"/>
      <c r="O10" s="669"/>
      <c r="P10" s="669"/>
      <c r="Q10" s="669"/>
      <c r="R10" s="669"/>
      <c r="S10" s="232"/>
    </row>
    <row r="11" spans="1:19">
      <c r="A11" s="232"/>
      <c r="B11" s="669" t="s">
        <v>736</v>
      </c>
      <c r="C11" s="669"/>
      <c r="D11" s="669"/>
      <c r="E11" s="669"/>
      <c r="F11" s="669"/>
      <c r="G11" s="669"/>
      <c r="H11" s="669"/>
      <c r="I11" s="669"/>
      <c r="J11" s="669"/>
      <c r="K11" s="669"/>
      <c r="L11" s="669"/>
      <c r="M11" s="669"/>
      <c r="N11" s="669"/>
      <c r="O11" s="669"/>
      <c r="P11" s="669"/>
      <c r="Q11" s="669"/>
      <c r="R11" s="669"/>
      <c r="S11" s="232"/>
    </row>
    <row r="12" spans="1:19">
      <c r="A12" s="232"/>
      <c r="B12" s="669"/>
      <c r="C12" s="669"/>
      <c r="D12" s="669"/>
      <c r="E12" s="669"/>
      <c r="F12" s="669"/>
      <c r="G12" s="669"/>
      <c r="H12" s="669"/>
      <c r="I12" s="669"/>
      <c r="J12" s="669"/>
      <c r="K12" s="669"/>
      <c r="L12" s="669"/>
      <c r="M12" s="669"/>
      <c r="N12" s="669"/>
      <c r="O12" s="669"/>
      <c r="P12" s="669"/>
      <c r="Q12" s="669"/>
      <c r="R12" s="669"/>
      <c r="S12" s="232"/>
    </row>
    <row r="13" spans="1:19" ht="15.5">
      <c r="A13" s="232"/>
      <c r="B13" s="664" t="s">
        <v>711</v>
      </c>
      <c r="C13" s="666"/>
      <c r="D13" s="665"/>
      <c r="E13" s="669"/>
      <c r="F13" s="669"/>
      <c r="G13" s="669"/>
      <c r="H13" s="669"/>
      <c r="I13" s="669"/>
      <c r="J13" s="669"/>
      <c r="K13" s="669"/>
      <c r="L13" s="669"/>
      <c r="M13" s="669"/>
      <c r="N13" s="669"/>
      <c r="O13" s="669"/>
      <c r="P13" s="669"/>
      <c r="Q13" s="669"/>
      <c r="R13" s="669"/>
      <c r="S13" s="232"/>
    </row>
    <row r="14" spans="1:19">
      <c r="A14" s="232"/>
      <c r="B14" s="669"/>
      <c r="C14" s="669"/>
      <c r="D14" s="669"/>
      <c r="E14" s="669"/>
      <c r="F14" s="669"/>
      <c r="G14" s="669"/>
      <c r="H14" s="669"/>
      <c r="I14" s="669"/>
      <c r="J14" s="669"/>
      <c r="K14" s="669"/>
      <c r="L14" s="669"/>
      <c r="M14" s="669"/>
      <c r="N14" s="669"/>
      <c r="O14" s="669"/>
      <c r="P14" s="669"/>
      <c r="Q14" s="669"/>
      <c r="R14" s="669"/>
      <c r="S14" s="232"/>
    </row>
    <row r="15" spans="1:19" ht="13">
      <c r="A15" s="232"/>
      <c r="B15" s="669"/>
      <c r="C15" s="667" t="s">
        <v>712</v>
      </c>
      <c r="D15" s="669" t="s">
        <v>762</v>
      </c>
      <c r="E15" s="669"/>
      <c r="F15" s="669"/>
      <c r="G15" s="669"/>
      <c r="H15" s="669"/>
      <c r="I15" s="669"/>
      <c r="J15" s="669"/>
      <c r="K15" s="669"/>
      <c r="L15" s="669"/>
      <c r="M15" s="669"/>
      <c r="N15" s="669"/>
      <c r="O15" s="669"/>
      <c r="P15" s="669"/>
      <c r="Q15" s="669"/>
      <c r="R15" s="669"/>
      <c r="S15" s="232"/>
    </row>
    <row r="16" spans="1:19">
      <c r="A16" s="232"/>
      <c r="B16" s="232"/>
      <c r="C16" s="232" t="s">
        <v>728</v>
      </c>
      <c r="D16" s="232"/>
      <c r="E16" s="232"/>
      <c r="F16" s="232"/>
      <c r="G16" s="232"/>
      <c r="H16" s="232"/>
      <c r="I16" s="232"/>
      <c r="J16" s="232"/>
      <c r="K16" s="232"/>
      <c r="L16" s="232"/>
      <c r="M16" s="232"/>
      <c r="N16" s="232"/>
      <c r="O16" s="232"/>
      <c r="P16" s="232"/>
      <c r="Q16" s="232"/>
      <c r="R16" s="232"/>
      <c r="S16" s="232"/>
    </row>
    <row r="17" spans="1:19">
      <c r="A17" s="232"/>
      <c r="B17" s="232"/>
      <c r="C17" s="232" t="s">
        <v>713</v>
      </c>
      <c r="D17" s="232"/>
      <c r="E17" s="232"/>
      <c r="F17" s="232"/>
      <c r="G17" s="232"/>
      <c r="H17" s="232"/>
      <c r="I17" s="232"/>
      <c r="J17" s="232"/>
      <c r="K17" s="232"/>
      <c r="L17" s="232"/>
      <c r="M17" s="232"/>
      <c r="N17" s="232"/>
      <c r="O17" s="232"/>
      <c r="P17" s="232"/>
      <c r="Q17" s="232"/>
      <c r="R17" s="232"/>
      <c r="S17" s="232"/>
    </row>
    <row r="18" spans="1:19">
      <c r="A18" s="232"/>
      <c r="B18" s="232"/>
      <c r="C18" s="232" t="s">
        <v>727</v>
      </c>
      <c r="D18" s="232"/>
      <c r="E18" s="232"/>
      <c r="F18" s="232"/>
      <c r="G18" s="232"/>
      <c r="H18" s="232"/>
      <c r="I18" s="232"/>
      <c r="J18" s="232"/>
      <c r="K18" s="232"/>
      <c r="L18" s="232"/>
      <c r="M18" s="232"/>
      <c r="N18" s="232"/>
      <c r="O18" s="232"/>
      <c r="P18" s="232"/>
      <c r="Q18" s="232"/>
      <c r="R18" s="232"/>
      <c r="S18" s="232"/>
    </row>
    <row r="19" spans="1:19">
      <c r="A19" s="232"/>
      <c r="B19" s="232"/>
      <c r="C19" s="232" t="s">
        <v>714</v>
      </c>
      <c r="D19" s="232"/>
      <c r="E19" s="232"/>
      <c r="F19" s="232"/>
      <c r="G19" s="232"/>
      <c r="H19" s="232"/>
      <c r="I19" s="232"/>
      <c r="J19" s="232"/>
      <c r="K19" s="232"/>
      <c r="L19" s="232"/>
      <c r="M19" s="232"/>
      <c r="N19" s="232"/>
      <c r="O19" s="232"/>
      <c r="P19" s="232"/>
      <c r="Q19" s="232"/>
      <c r="R19" s="232"/>
      <c r="S19" s="232"/>
    </row>
    <row r="20" spans="1:19">
      <c r="A20" s="232"/>
      <c r="B20" s="232"/>
      <c r="C20" t="s">
        <v>715</v>
      </c>
      <c r="H20" s="3"/>
      <c r="I20" t="s">
        <v>716</v>
      </c>
      <c r="J20" s="643"/>
      <c r="K20" t="s">
        <v>717</v>
      </c>
      <c r="L20" s="426"/>
      <c r="M20" s="232" t="s">
        <v>718</v>
      </c>
      <c r="N20" s="232"/>
      <c r="O20" s="232"/>
      <c r="P20" s="232"/>
      <c r="Q20" s="232"/>
      <c r="R20" s="232"/>
      <c r="S20" s="232"/>
    </row>
    <row r="21" spans="1:19">
      <c r="A21" s="232"/>
      <c r="B21" s="232"/>
      <c r="C21" s="232" t="s">
        <v>784</v>
      </c>
      <c r="D21" s="232"/>
      <c r="E21" s="232"/>
      <c r="F21" s="232"/>
      <c r="G21" s="232"/>
      <c r="H21" s="232"/>
      <c r="I21" s="232"/>
      <c r="J21" s="232"/>
      <c r="K21" s="232"/>
      <c r="L21" s="232"/>
      <c r="M21" s="232"/>
      <c r="N21" s="232"/>
      <c r="O21" s="232"/>
      <c r="P21" s="232"/>
      <c r="Q21" s="232"/>
      <c r="R21" s="232"/>
      <c r="S21" s="232"/>
    </row>
    <row r="22" spans="1:19">
      <c r="A22" s="232"/>
      <c r="B22" s="232"/>
      <c r="C22" s="232"/>
      <c r="D22" s="232"/>
      <c r="E22" s="232"/>
      <c r="F22" s="232"/>
      <c r="G22" s="232"/>
      <c r="H22" s="232"/>
      <c r="I22" s="232"/>
      <c r="J22" s="232"/>
      <c r="K22" s="232"/>
      <c r="L22" s="232"/>
      <c r="M22" s="232"/>
      <c r="N22" s="232"/>
      <c r="O22" s="232"/>
      <c r="P22" s="232"/>
      <c r="Q22" s="232"/>
      <c r="R22" s="232"/>
      <c r="S22" s="232"/>
    </row>
    <row r="23" spans="1:19">
      <c r="A23" s="232"/>
      <c r="B23" s="232"/>
      <c r="C23" s="232"/>
      <c r="D23" s="345" t="s">
        <v>140</v>
      </c>
      <c r="E23" s="232" t="s">
        <v>761</v>
      </c>
      <c r="F23" s="232"/>
      <c r="G23" s="232"/>
      <c r="H23" s="232"/>
      <c r="I23" s="232"/>
      <c r="J23" s="232"/>
      <c r="K23" s="232"/>
      <c r="L23" s="232"/>
      <c r="M23" s="232"/>
      <c r="N23" s="232"/>
      <c r="O23" s="232"/>
      <c r="P23" s="232"/>
      <c r="Q23" s="232"/>
      <c r="R23" s="232"/>
      <c r="S23" s="232"/>
    </row>
    <row r="24" spans="1:19">
      <c r="A24" s="232"/>
      <c r="B24" s="232"/>
      <c r="C24" s="232"/>
      <c r="D24" s="232" t="s">
        <v>719</v>
      </c>
      <c r="E24" s="232"/>
      <c r="F24" s="232"/>
      <c r="G24" s="232"/>
      <c r="H24" s="232"/>
      <c r="I24" s="232"/>
      <c r="J24" s="232"/>
      <c r="K24" s="232"/>
      <c r="L24" s="232"/>
      <c r="M24" s="232"/>
      <c r="N24" s="232"/>
      <c r="O24" s="232"/>
      <c r="P24" s="232"/>
      <c r="Q24" s="232"/>
      <c r="R24" s="232"/>
      <c r="S24" s="232"/>
    </row>
    <row r="25" spans="1:19">
      <c r="A25" s="232"/>
      <c r="B25" s="232"/>
      <c r="C25" s="232"/>
      <c r="D25" s="232" t="s">
        <v>720</v>
      </c>
      <c r="E25" s="232"/>
      <c r="F25" s="232"/>
      <c r="G25" s="232"/>
      <c r="H25" s="232"/>
      <c r="I25" s="232"/>
      <c r="J25" s="232"/>
      <c r="K25" s="232"/>
      <c r="L25" s="232"/>
      <c r="M25" s="232"/>
      <c r="N25" s="232"/>
      <c r="O25" s="232"/>
      <c r="P25" s="232"/>
      <c r="Q25" s="232"/>
      <c r="R25" s="232"/>
      <c r="S25" s="232"/>
    </row>
    <row r="26" spans="1:19">
      <c r="A26" s="232"/>
      <c r="B26" s="232"/>
      <c r="C26" s="232"/>
      <c r="D26" s="232" t="s">
        <v>722</v>
      </c>
      <c r="E26" s="232"/>
      <c r="F26" s="232"/>
      <c r="G26" s="232"/>
      <c r="H26" s="232"/>
      <c r="I26" s="232"/>
      <c r="J26" s="232"/>
      <c r="K26" s="232"/>
      <c r="L26" s="232"/>
      <c r="M26" s="232"/>
      <c r="N26" s="232"/>
      <c r="O26" s="232"/>
      <c r="P26" s="232"/>
      <c r="Q26" s="232"/>
      <c r="R26" s="232"/>
      <c r="S26" s="232"/>
    </row>
    <row r="27" spans="1:19">
      <c r="A27" s="232"/>
      <c r="B27" s="232"/>
      <c r="C27" s="232"/>
      <c r="D27" s="232" t="s">
        <v>721</v>
      </c>
      <c r="E27" s="232"/>
      <c r="F27" s="232"/>
      <c r="G27" s="232"/>
      <c r="H27" s="232"/>
      <c r="I27" s="232"/>
      <c r="J27" s="232"/>
      <c r="K27" s="232"/>
      <c r="L27" s="232"/>
      <c r="M27" s="232"/>
      <c r="N27" s="232"/>
      <c r="O27" s="232"/>
      <c r="P27" s="232"/>
      <c r="Q27" s="232"/>
      <c r="R27" s="232"/>
      <c r="S27" s="232"/>
    </row>
    <row r="28" spans="1:19">
      <c r="A28" s="232"/>
      <c r="B28" s="232"/>
      <c r="C28" s="232"/>
      <c r="D28" s="232" t="s">
        <v>377</v>
      </c>
      <c r="E28" s="232"/>
      <c r="F28" s="232"/>
      <c r="G28" s="232"/>
      <c r="H28" s="232"/>
      <c r="I28" s="232"/>
      <c r="J28" s="232"/>
      <c r="K28" s="232"/>
      <c r="L28" s="232"/>
      <c r="M28" s="232"/>
      <c r="N28" s="232"/>
      <c r="O28" s="232"/>
      <c r="P28" s="232"/>
      <c r="Q28" s="232"/>
      <c r="R28" s="232"/>
      <c r="S28" s="232"/>
    </row>
    <row r="29" spans="1:19">
      <c r="A29" s="232"/>
      <c r="B29" s="232"/>
      <c r="C29" s="232"/>
      <c r="D29" s="232" t="s">
        <v>561</v>
      </c>
      <c r="E29" s="232"/>
      <c r="F29" s="232"/>
      <c r="G29" s="232"/>
      <c r="H29" s="232"/>
      <c r="I29" s="232"/>
      <c r="J29" s="232"/>
      <c r="K29" s="232"/>
      <c r="L29" s="232"/>
      <c r="M29" s="232"/>
      <c r="N29" s="232"/>
      <c r="O29" s="232"/>
      <c r="P29" s="232"/>
      <c r="Q29" s="232"/>
      <c r="R29" s="232"/>
      <c r="S29" s="232"/>
    </row>
    <row r="30" spans="1:19">
      <c r="A30" s="232"/>
      <c r="B30" s="232"/>
      <c r="C30" s="232"/>
      <c r="D30" s="232" t="s">
        <v>723</v>
      </c>
      <c r="E30" s="232"/>
      <c r="F30" s="232"/>
      <c r="G30" s="232"/>
      <c r="H30" s="232"/>
      <c r="I30" s="232"/>
      <c r="J30" s="232"/>
      <c r="K30" s="232"/>
      <c r="L30" s="232"/>
      <c r="M30" s="232"/>
      <c r="N30" s="232"/>
      <c r="O30" s="232"/>
      <c r="P30" s="232"/>
      <c r="Q30" s="232"/>
      <c r="R30" s="232"/>
      <c r="S30" s="232"/>
    </row>
    <row r="31" spans="1:19">
      <c r="A31" s="232"/>
      <c r="B31" s="232"/>
      <c r="C31" s="232"/>
      <c r="D31" s="232" t="s">
        <v>363</v>
      </c>
      <c r="E31" s="232"/>
      <c r="F31" s="232"/>
      <c r="G31" s="232"/>
      <c r="H31" s="232"/>
      <c r="I31" s="232"/>
      <c r="J31" s="232"/>
      <c r="K31" s="232"/>
      <c r="L31" s="232"/>
      <c r="M31" s="232"/>
      <c r="N31" s="232"/>
      <c r="O31" s="232"/>
      <c r="P31" s="232"/>
      <c r="Q31" s="232"/>
      <c r="R31" s="232"/>
      <c r="S31" s="232"/>
    </row>
    <row r="32" spans="1:19">
      <c r="A32" s="232"/>
      <c r="B32" s="232"/>
      <c r="C32" s="232"/>
      <c r="D32" s="232" t="s">
        <v>364</v>
      </c>
      <c r="E32" s="232"/>
      <c r="F32" s="232"/>
      <c r="G32" s="232"/>
      <c r="H32" s="232"/>
      <c r="I32" s="232"/>
      <c r="J32" s="232"/>
      <c r="K32" s="232"/>
      <c r="L32" s="232"/>
      <c r="M32" s="232"/>
      <c r="N32" s="232"/>
      <c r="O32" s="232"/>
      <c r="P32" s="232"/>
      <c r="Q32" s="232"/>
      <c r="R32" s="232"/>
      <c r="S32" s="232"/>
    </row>
    <row r="33" spans="1:19">
      <c r="A33" s="232"/>
      <c r="B33" s="232"/>
      <c r="C33" s="232"/>
      <c r="D33" s="232" t="s">
        <v>365</v>
      </c>
      <c r="E33" s="232"/>
      <c r="F33" s="232"/>
      <c r="G33" s="232"/>
      <c r="H33" s="232"/>
      <c r="I33" s="232"/>
      <c r="J33" s="232"/>
      <c r="K33" s="232"/>
      <c r="L33" s="232"/>
      <c r="M33" s="232"/>
      <c r="N33" s="232"/>
      <c r="O33" s="232"/>
      <c r="P33" s="232"/>
      <c r="Q33" s="232"/>
      <c r="R33" s="232"/>
      <c r="S33" s="232"/>
    </row>
    <row r="34" spans="1:19">
      <c r="A34" s="232"/>
      <c r="B34" s="232"/>
      <c r="C34" s="232"/>
      <c r="D34" s="232" t="s">
        <v>366</v>
      </c>
      <c r="E34" s="232"/>
      <c r="F34" s="232"/>
      <c r="G34" s="232"/>
      <c r="H34" s="232"/>
      <c r="I34" s="232"/>
      <c r="J34" s="232"/>
      <c r="K34" s="232"/>
      <c r="L34" s="232"/>
      <c r="M34" s="232"/>
      <c r="N34" s="232"/>
      <c r="O34" s="232"/>
      <c r="P34" s="232"/>
      <c r="Q34" s="232"/>
      <c r="R34" s="232"/>
      <c r="S34" s="232"/>
    </row>
    <row r="35" spans="1:19">
      <c r="A35" s="232"/>
      <c r="B35" s="232"/>
      <c r="C35" s="232"/>
      <c r="D35" s="232" t="s">
        <v>367</v>
      </c>
      <c r="E35" s="232"/>
      <c r="F35" s="232"/>
      <c r="G35" s="232"/>
      <c r="H35" s="232"/>
      <c r="I35" s="232"/>
      <c r="J35" s="232"/>
      <c r="K35" s="232"/>
      <c r="L35" s="232"/>
      <c r="M35" s="232"/>
      <c r="N35" s="232"/>
      <c r="O35" s="232"/>
      <c r="P35" s="232"/>
      <c r="Q35" s="232"/>
      <c r="R35" s="232"/>
      <c r="S35" s="232"/>
    </row>
    <row r="36" spans="1:19">
      <c r="A36" s="232"/>
      <c r="B36" s="232"/>
      <c r="C36" s="232"/>
      <c r="D36" s="232" t="s">
        <v>368</v>
      </c>
      <c r="E36" s="232"/>
      <c r="F36" s="232"/>
      <c r="G36" s="232"/>
      <c r="H36" s="232"/>
      <c r="I36" s="232"/>
      <c r="J36" s="232"/>
      <c r="K36" s="232"/>
      <c r="L36" s="232"/>
      <c r="M36" s="232"/>
      <c r="N36" s="232"/>
      <c r="O36" s="232"/>
      <c r="P36" s="232"/>
      <c r="Q36" s="232"/>
      <c r="R36" s="232"/>
      <c r="S36" s="232"/>
    </row>
    <row r="37" spans="1:19">
      <c r="A37" s="232"/>
      <c r="B37" s="232"/>
      <c r="C37" s="232"/>
      <c r="D37" s="232"/>
      <c r="E37" s="232"/>
      <c r="F37" s="232"/>
      <c r="G37" s="232"/>
      <c r="H37" s="232"/>
      <c r="I37" s="232"/>
      <c r="J37" s="232"/>
      <c r="K37" s="232"/>
      <c r="L37" s="232"/>
      <c r="M37" s="232"/>
      <c r="N37" s="232"/>
      <c r="O37" s="232"/>
      <c r="P37" s="232"/>
      <c r="Q37" s="232"/>
      <c r="R37" s="232"/>
      <c r="S37" s="232"/>
    </row>
    <row r="38" spans="1:19">
      <c r="A38" s="232"/>
      <c r="B38" s="232"/>
      <c r="D38" s="263" t="s">
        <v>725</v>
      </c>
      <c r="E38" s="232" t="s">
        <v>747</v>
      </c>
      <c r="F38" s="232"/>
      <c r="G38" s="232"/>
      <c r="H38" s="232"/>
      <c r="I38" s="232"/>
      <c r="J38" s="232"/>
      <c r="K38" s="232"/>
      <c r="L38" s="232"/>
      <c r="M38" s="232"/>
      <c r="N38" s="232"/>
      <c r="O38" s="232"/>
      <c r="P38" s="232"/>
      <c r="Q38" s="232"/>
      <c r="R38" s="232"/>
      <c r="S38" s="232"/>
    </row>
    <row r="39" spans="1:19">
      <c r="A39" s="232"/>
      <c r="B39" s="232"/>
      <c r="C39" s="232"/>
      <c r="D39" s="232" t="s">
        <v>378</v>
      </c>
      <c r="E39" s="232"/>
      <c r="F39" s="232"/>
      <c r="G39" s="232"/>
      <c r="H39" s="232"/>
      <c r="I39" s="232"/>
      <c r="J39" s="232"/>
      <c r="K39" s="232"/>
      <c r="L39" s="232"/>
      <c r="M39" s="232"/>
      <c r="N39" s="232"/>
      <c r="O39" s="232"/>
      <c r="P39" s="232"/>
      <c r="Q39" s="232"/>
      <c r="R39" s="232"/>
      <c r="S39" s="232"/>
    </row>
    <row r="40" spans="1:19">
      <c r="A40" s="232"/>
      <c r="B40" s="232"/>
      <c r="C40" s="232"/>
      <c r="D40" s="232" t="s">
        <v>726</v>
      </c>
      <c r="E40" s="232"/>
      <c r="F40" s="232"/>
      <c r="G40" s="232"/>
      <c r="H40" s="232"/>
      <c r="I40" s="232"/>
      <c r="J40" s="232"/>
      <c r="K40" s="232"/>
      <c r="L40" s="232"/>
      <c r="M40" s="232"/>
      <c r="N40" s="232"/>
      <c r="O40" s="232"/>
      <c r="P40" s="232"/>
      <c r="Q40" s="232"/>
      <c r="R40" s="232"/>
      <c r="S40" s="232"/>
    </row>
    <row r="41" spans="1:19">
      <c r="A41" s="232"/>
      <c r="B41" s="232"/>
      <c r="C41" s="232"/>
      <c r="D41" s="232"/>
      <c r="E41" s="232"/>
      <c r="F41" s="232"/>
      <c r="G41" s="232"/>
      <c r="H41" s="232"/>
      <c r="I41" s="232"/>
      <c r="J41" s="232"/>
      <c r="K41" s="232"/>
      <c r="L41" s="232"/>
      <c r="M41" s="232"/>
      <c r="N41" s="232"/>
      <c r="O41" s="232"/>
      <c r="P41" s="232"/>
      <c r="Q41" s="232"/>
      <c r="R41" s="232"/>
      <c r="S41" s="232"/>
    </row>
    <row r="42" spans="1:19">
      <c r="A42" s="232"/>
      <c r="B42" s="690"/>
      <c r="C42" s="232"/>
      <c r="D42" s="644" t="s">
        <v>725</v>
      </c>
      <c r="E42" s="232" t="s">
        <v>379</v>
      </c>
      <c r="F42" s="232"/>
      <c r="G42" s="232"/>
      <c r="H42" s="232"/>
      <c r="I42" s="232"/>
      <c r="J42" s="232"/>
      <c r="K42" s="232"/>
      <c r="L42" s="232"/>
      <c r="M42" s="232"/>
      <c r="N42" s="232"/>
      <c r="O42" s="232"/>
      <c r="P42" s="232"/>
      <c r="Q42" s="232"/>
      <c r="R42" s="232"/>
      <c r="S42" s="232"/>
    </row>
    <row r="43" spans="1:19">
      <c r="A43" s="232"/>
      <c r="B43" s="232"/>
      <c r="C43" s="232"/>
      <c r="D43" s="691"/>
      <c r="E43" s="232" t="s">
        <v>380</v>
      </c>
      <c r="F43" s="232"/>
      <c r="G43" s="232"/>
      <c r="H43" s="232"/>
      <c r="I43" s="232"/>
      <c r="J43" s="232"/>
      <c r="K43" s="232"/>
      <c r="L43" s="232"/>
      <c r="M43" s="232"/>
      <c r="N43" s="232"/>
      <c r="O43" s="232"/>
      <c r="P43" s="232"/>
      <c r="Q43" s="232"/>
      <c r="R43" s="232"/>
      <c r="S43" s="232"/>
    </row>
    <row r="44" spans="1:19">
      <c r="A44" s="232"/>
      <c r="B44" s="232"/>
      <c r="C44" s="232"/>
      <c r="D44" s="689"/>
      <c r="E44" s="232"/>
      <c r="F44" s="232"/>
      <c r="G44" s="232"/>
      <c r="H44" s="232"/>
      <c r="I44" s="232"/>
      <c r="J44" s="232"/>
      <c r="K44" s="232"/>
      <c r="L44" s="232"/>
      <c r="M44" s="232"/>
      <c r="N44" s="232"/>
      <c r="O44" s="232"/>
      <c r="P44" s="232"/>
      <c r="Q44" s="232"/>
      <c r="R44" s="232"/>
      <c r="S44" s="232"/>
    </row>
    <row r="45" spans="1:19" ht="13">
      <c r="A45" s="232"/>
      <c r="B45" s="232"/>
      <c r="C45" s="232"/>
      <c r="D45" s="692" t="s">
        <v>725</v>
      </c>
      <c r="E45" s="232" t="s">
        <v>746</v>
      </c>
      <c r="F45" s="232"/>
      <c r="G45" s="232"/>
      <c r="H45" s="232"/>
      <c r="I45" s="232"/>
      <c r="J45" s="232"/>
      <c r="K45" s="232"/>
      <c r="L45" s="232"/>
      <c r="M45" s="232"/>
      <c r="N45" s="232"/>
      <c r="O45" s="232"/>
      <c r="P45" s="232"/>
      <c r="Q45" s="232"/>
      <c r="R45" s="232"/>
      <c r="S45" s="232"/>
    </row>
    <row r="46" spans="1:19">
      <c r="A46" s="232"/>
      <c r="B46" s="232"/>
      <c r="C46" s="232"/>
      <c r="D46" s="232" t="s">
        <v>729</v>
      </c>
      <c r="E46" s="232"/>
      <c r="F46" s="232"/>
      <c r="G46" s="232"/>
      <c r="H46" s="232"/>
      <c r="I46" s="232"/>
      <c r="J46" s="232"/>
      <c r="K46" s="232"/>
      <c r="L46" s="232"/>
      <c r="M46" s="232"/>
      <c r="N46" s="232"/>
      <c r="O46" s="232"/>
      <c r="P46" s="232"/>
      <c r="Q46" s="232"/>
      <c r="R46" s="232"/>
      <c r="S46" s="232"/>
    </row>
    <row r="47" spans="1:19">
      <c r="A47" s="232"/>
      <c r="B47" s="232"/>
      <c r="C47" s="232"/>
      <c r="D47" s="232"/>
      <c r="E47" s="232"/>
      <c r="F47" s="232"/>
      <c r="G47" s="232"/>
      <c r="H47" s="232"/>
      <c r="I47" s="232"/>
      <c r="J47" s="232"/>
      <c r="K47" s="232"/>
      <c r="L47" s="232"/>
      <c r="M47" s="232"/>
      <c r="N47" s="232"/>
      <c r="O47" s="232"/>
      <c r="P47" s="232"/>
      <c r="Q47" s="232"/>
      <c r="R47" s="232"/>
      <c r="S47" s="232"/>
    </row>
    <row r="48" spans="1:19">
      <c r="A48" s="232"/>
      <c r="B48" s="232"/>
      <c r="C48" s="232"/>
      <c r="D48" s="345" t="s">
        <v>725</v>
      </c>
      <c r="E48" s="244" t="s">
        <v>249</v>
      </c>
      <c r="F48" s="645" t="s">
        <v>725</v>
      </c>
      <c r="G48" s="232" t="s">
        <v>369</v>
      </c>
      <c r="H48" s="232"/>
      <c r="I48" s="232"/>
      <c r="J48" s="232"/>
      <c r="K48" s="232"/>
      <c r="L48" s="232"/>
      <c r="M48" s="232"/>
      <c r="N48" s="232"/>
      <c r="O48" s="232"/>
      <c r="P48" s="232"/>
      <c r="Q48" s="232"/>
      <c r="R48" s="232"/>
      <c r="S48" s="232"/>
    </row>
    <row r="49" spans="1:19">
      <c r="A49" s="232"/>
      <c r="B49" s="232"/>
      <c r="C49" s="232"/>
      <c r="D49" s="232" t="s">
        <v>372</v>
      </c>
      <c r="E49" s="232"/>
      <c r="F49" s="232"/>
      <c r="G49" s="232"/>
      <c r="H49" s="232"/>
      <c r="I49" s="232"/>
      <c r="J49" s="232"/>
      <c r="K49" s="232"/>
      <c r="L49" s="232"/>
      <c r="M49" s="232"/>
      <c r="N49" s="232"/>
      <c r="O49" s="232"/>
      <c r="P49" s="232"/>
      <c r="Q49" s="232"/>
      <c r="R49" s="232"/>
      <c r="S49" s="232"/>
    </row>
    <row r="50" spans="1:19" ht="13" thickBot="1">
      <c r="A50" s="232"/>
      <c r="B50" s="232"/>
      <c r="C50" s="232"/>
      <c r="D50" s="232"/>
      <c r="E50" s="232"/>
      <c r="F50" s="232"/>
      <c r="G50" s="232"/>
      <c r="H50" s="232"/>
      <c r="I50" s="232"/>
      <c r="J50" s="232"/>
      <c r="K50" s="232"/>
      <c r="L50" s="232"/>
      <c r="M50" s="232"/>
      <c r="N50" s="232"/>
      <c r="O50" s="232"/>
      <c r="P50" s="232"/>
      <c r="Q50" s="232"/>
      <c r="R50" s="232"/>
      <c r="S50" s="232"/>
    </row>
    <row r="51" spans="1:19" ht="13.5" thickBot="1">
      <c r="A51" s="232"/>
      <c r="B51" s="232"/>
      <c r="C51" s="232"/>
      <c r="D51" s="50" t="s">
        <v>725</v>
      </c>
      <c r="E51" s="232" t="s">
        <v>743</v>
      </c>
      <c r="F51" s="232"/>
      <c r="G51" s="232"/>
      <c r="H51" s="232"/>
      <c r="I51" s="232"/>
      <c r="J51" s="232"/>
      <c r="K51" s="232"/>
      <c r="L51" s="232"/>
      <c r="M51" s="232"/>
      <c r="N51" s="232"/>
      <c r="O51" s="232"/>
      <c r="P51" s="232"/>
      <c r="Q51" s="232"/>
      <c r="R51" s="232"/>
      <c r="S51" s="232"/>
    </row>
    <row r="52" spans="1:19">
      <c r="A52" s="232"/>
      <c r="B52" s="232"/>
      <c r="C52" s="232"/>
      <c r="E52" s="232"/>
      <c r="F52" s="232"/>
      <c r="G52" s="232"/>
      <c r="H52" s="232"/>
      <c r="I52" s="232"/>
      <c r="J52" s="232"/>
      <c r="K52" s="232"/>
      <c r="L52" s="232"/>
      <c r="M52" s="232"/>
      <c r="N52" s="232"/>
      <c r="O52" s="232"/>
      <c r="P52" s="232"/>
      <c r="Q52" s="232"/>
      <c r="R52" s="232"/>
      <c r="S52" s="232"/>
    </row>
    <row r="53" spans="1:19" ht="13">
      <c r="A53" s="232"/>
      <c r="B53" s="232"/>
      <c r="C53" s="232"/>
      <c r="D53" s="646" t="s">
        <v>835</v>
      </c>
      <c r="E53" s="244" t="s">
        <v>249</v>
      </c>
      <c r="F53" s="647" t="s">
        <v>835</v>
      </c>
      <c r="G53" s="20" t="s">
        <v>249</v>
      </c>
      <c r="H53" s="648" t="s">
        <v>835</v>
      </c>
      <c r="I53" t="s">
        <v>737</v>
      </c>
      <c r="Q53" s="88"/>
      <c r="R53" s="88"/>
      <c r="S53" s="232"/>
    </row>
    <row r="54" spans="1:19">
      <c r="A54" s="232"/>
      <c r="B54" s="232"/>
      <c r="C54" s="232"/>
      <c r="D54" s="232" t="s">
        <v>730</v>
      </c>
      <c r="E54" s="232"/>
      <c r="F54" s="232"/>
      <c r="G54" s="232"/>
      <c r="H54" s="232"/>
      <c r="I54" s="232"/>
      <c r="J54" s="232"/>
      <c r="K54" s="232"/>
      <c r="L54" s="232"/>
      <c r="M54" s="232"/>
      <c r="N54" s="232"/>
      <c r="O54" s="232"/>
      <c r="P54" s="232"/>
      <c r="Q54" s="232"/>
      <c r="R54" s="232"/>
      <c r="S54" s="232"/>
    </row>
    <row r="55" spans="1:19">
      <c r="A55" s="232"/>
      <c r="B55" s="232"/>
      <c r="C55" s="232"/>
      <c r="D55" s="232" t="s">
        <v>731</v>
      </c>
      <c r="E55" s="232"/>
      <c r="F55" s="232"/>
      <c r="G55" s="232"/>
      <c r="H55" s="232"/>
      <c r="I55" s="232"/>
      <c r="J55" s="232"/>
      <c r="K55" s="232"/>
      <c r="L55" s="232"/>
      <c r="M55" s="232"/>
      <c r="N55" s="232"/>
      <c r="O55" s="232"/>
      <c r="P55" s="232"/>
      <c r="Q55" s="232"/>
      <c r="R55" s="232"/>
      <c r="S55" s="232"/>
    </row>
    <row r="56" spans="1:19">
      <c r="A56" s="232"/>
      <c r="B56" s="232"/>
      <c r="C56" s="232"/>
      <c r="D56" s="232" t="s">
        <v>562</v>
      </c>
      <c r="E56" s="232"/>
      <c r="F56" s="232"/>
      <c r="G56" s="232"/>
      <c r="H56" s="232"/>
      <c r="I56" s="232"/>
      <c r="J56" s="232"/>
      <c r="K56" s="232"/>
      <c r="L56" s="232"/>
      <c r="M56" s="232"/>
      <c r="N56" s="232"/>
      <c r="O56" s="232"/>
      <c r="P56" s="232"/>
      <c r="Q56" s="232"/>
      <c r="R56" s="232"/>
      <c r="S56" s="232"/>
    </row>
    <row r="57" spans="1:19">
      <c r="A57" s="232"/>
      <c r="B57" s="232"/>
      <c r="C57" s="232"/>
      <c r="D57" s="232"/>
      <c r="E57" s="232"/>
      <c r="F57" s="232"/>
      <c r="G57" s="232"/>
      <c r="H57" s="232"/>
      <c r="I57" s="232"/>
      <c r="J57" s="232"/>
      <c r="K57" s="232"/>
      <c r="L57" s="232"/>
      <c r="M57" s="232"/>
      <c r="N57" s="232"/>
      <c r="O57" s="232"/>
      <c r="P57" s="232"/>
      <c r="Q57" s="232"/>
      <c r="R57" s="232"/>
      <c r="S57" s="232"/>
    </row>
    <row r="58" spans="1:19" ht="13">
      <c r="A58" s="232"/>
      <c r="B58" s="232"/>
      <c r="C58" s="232"/>
      <c r="D58" s="246" t="s">
        <v>732</v>
      </c>
      <c r="E58" s="247"/>
      <c r="F58" t="s">
        <v>740</v>
      </c>
      <c r="K58" s="88"/>
      <c r="L58" s="88"/>
      <c r="M58" s="88"/>
      <c r="N58" s="88"/>
      <c r="O58" s="88"/>
      <c r="P58" s="88"/>
      <c r="Q58" s="88"/>
      <c r="R58" s="88"/>
      <c r="S58" s="232"/>
    </row>
    <row r="59" spans="1:19">
      <c r="A59" s="232"/>
      <c r="B59" s="232"/>
      <c r="C59" s="232"/>
      <c r="E59" s="232"/>
      <c r="F59" s="232"/>
      <c r="G59" s="232"/>
      <c r="H59" s="232"/>
      <c r="I59" s="232"/>
      <c r="J59" s="232"/>
      <c r="K59" s="232"/>
      <c r="L59" s="232"/>
      <c r="M59" s="232"/>
      <c r="N59" s="232"/>
      <c r="O59" s="232"/>
      <c r="P59" s="232"/>
      <c r="Q59" s="232"/>
      <c r="R59" s="232"/>
      <c r="S59" s="232"/>
    </row>
    <row r="60" spans="1:19">
      <c r="A60" s="232"/>
      <c r="B60" s="232"/>
      <c r="C60" s="232"/>
      <c r="D60" s="693" t="s">
        <v>725</v>
      </c>
      <c r="E60" s="232" t="s">
        <v>739</v>
      </c>
      <c r="F60" s="232"/>
      <c r="G60" s="232"/>
      <c r="H60" s="232"/>
      <c r="I60" s="232"/>
      <c r="J60" s="232"/>
      <c r="K60" s="232"/>
      <c r="L60" s="232"/>
      <c r="M60" s="232"/>
      <c r="N60" s="232"/>
      <c r="O60" s="232"/>
      <c r="P60" s="232"/>
      <c r="Q60" s="232"/>
      <c r="R60" s="232"/>
      <c r="S60" s="232"/>
    </row>
    <row r="61" spans="1:19">
      <c r="A61" s="232"/>
      <c r="B61" s="232"/>
      <c r="C61" s="232"/>
      <c r="D61" s="232" t="s">
        <v>733</v>
      </c>
      <c r="E61" s="232"/>
      <c r="F61" s="232"/>
      <c r="G61" s="232"/>
      <c r="H61" s="232"/>
      <c r="I61" s="232"/>
      <c r="J61" s="232"/>
      <c r="K61" s="232"/>
      <c r="L61" s="232"/>
      <c r="M61" s="232"/>
      <c r="N61" s="232"/>
      <c r="O61" s="232"/>
      <c r="P61" s="232"/>
      <c r="Q61" s="232"/>
      <c r="R61" s="232"/>
      <c r="S61" s="232"/>
    </row>
    <row r="62" spans="1:19">
      <c r="A62" s="232"/>
      <c r="B62" s="232"/>
      <c r="C62" s="232"/>
      <c r="D62" s="232"/>
      <c r="E62" s="232"/>
      <c r="F62" s="232"/>
      <c r="G62" s="232"/>
      <c r="H62" s="232"/>
      <c r="I62" s="232"/>
      <c r="J62" s="232"/>
      <c r="K62" s="232"/>
      <c r="L62" s="232"/>
      <c r="M62" s="232"/>
      <c r="N62" s="232"/>
      <c r="O62" s="232"/>
      <c r="P62" s="232"/>
      <c r="Q62" s="232"/>
      <c r="R62" s="232"/>
      <c r="S62" s="232"/>
    </row>
    <row r="63" spans="1:19">
      <c r="A63" s="232"/>
      <c r="B63" s="232"/>
      <c r="C63" s="232"/>
      <c r="D63" s="662" t="s">
        <v>734</v>
      </c>
      <c r="E63" s="232" t="s">
        <v>381</v>
      </c>
      <c r="F63" s="232"/>
      <c r="G63" s="232"/>
      <c r="H63" s="232"/>
      <c r="I63" s="232"/>
      <c r="J63" s="232"/>
      <c r="K63" s="232"/>
      <c r="L63" s="232"/>
      <c r="M63" s="232"/>
      <c r="N63" s="232"/>
      <c r="O63" s="232"/>
      <c r="P63" s="232"/>
      <c r="Q63" s="232"/>
      <c r="R63" s="232"/>
      <c r="S63" s="232"/>
    </row>
    <row r="64" spans="1:19">
      <c r="A64" s="232"/>
      <c r="B64" s="232"/>
      <c r="C64" s="232"/>
      <c r="D64" s="232"/>
      <c r="E64" s="232"/>
      <c r="F64" s="232"/>
      <c r="G64" s="232"/>
      <c r="H64" s="232"/>
      <c r="I64" s="232"/>
      <c r="J64" s="232"/>
      <c r="K64" s="232"/>
      <c r="L64" s="232"/>
      <c r="M64" s="232"/>
      <c r="N64" s="232"/>
      <c r="O64" s="232"/>
      <c r="P64" s="232"/>
      <c r="Q64" s="232"/>
      <c r="R64" s="232"/>
      <c r="S64" s="232"/>
    </row>
    <row r="65" spans="1:19" ht="13">
      <c r="A65" s="232"/>
      <c r="B65" s="232"/>
      <c r="C65" s="232"/>
      <c r="D65" s="663" t="s">
        <v>735</v>
      </c>
      <c r="E65" s="479"/>
      <c r="F65" s="232" t="s">
        <v>724</v>
      </c>
      <c r="G65" s="232"/>
      <c r="H65" s="232"/>
      <c r="I65" s="232"/>
      <c r="J65" s="232"/>
      <c r="K65" s="232"/>
      <c r="L65" s="232"/>
      <c r="M65" s="232"/>
      <c r="N65" s="232"/>
      <c r="O65" s="232"/>
      <c r="P65" s="232"/>
      <c r="Q65" s="232"/>
      <c r="R65" s="232"/>
      <c r="S65" s="232"/>
    </row>
    <row r="66" spans="1:19">
      <c r="A66" s="232"/>
      <c r="B66" s="232"/>
      <c r="C66" s="232"/>
      <c r="D66" s="232"/>
      <c r="E66" s="232"/>
      <c r="F66" s="232"/>
      <c r="G66" s="232"/>
      <c r="H66" s="232"/>
      <c r="I66" s="232"/>
      <c r="J66" s="232"/>
      <c r="K66" s="232"/>
      <c r="L66" s="232"/>
      <c r="M66" s="232"/>
      <c r="N66" s="232"/>
      <c r="O66" s="232"/>
      <c r="P66" s="232"/>
      <c r="Q66" s="232"/>
      <c r="R66" s="232"/>
      <c r="S66" s="232"/>
    </row>
    <row r="67" spans="1:19">
      <c r="A67" s="232"/>
      <c r="B67" s="232"/>
      <c r="C67" s="232"/>
      <c r="D67" s="232"/>
      <c r="E67" s="232"/>
      <c r="F67" s="232"/>
      <c r="G67" s="232"/>
      <c r="H67" s="232"/>
      <c r="I67" s="232"/>
      <c r="J67" s="232"/>
      <c r="K67" s="232"/>
      <c r="L67" s="232"/>
      <c r="M67" s="232"/>
      <c r="N67" s="232"/>
      <c r="O67" s="232"/>
      <c r="P67" s="232"/>
      <c r="Q67" s="232"/>
      <c r="R67" s="232"/>
      <c r="S67" s="232"/>
    </row>
    <row r="68" spans="1:19">
      <c r="A68" s="232"/>
      <c r="B68" s="232"/>
      <c r="C68" s="232"/>
      <c r="D68" s="232"/>
      <c r="E68" s="232"/>
      <c r="F68" s="232"/>
      <c r="G68" s="232"/>
      <c r="H68" s="232"/>
      <c r="I68" s="232"/>
      <c r="J68" s="232"/>
      <c r="K68" s="232"/>
      <c r="L68" s="232"/>
      <c r="M68" s="232"/>
      <c r="N68" s="232"/>
      <c r="O68" s="232"/>
      <c r="P68" s="232"/>
      <c r="Q68" s="232"/>
      <c r="R68" s="232"/>
      <c r="S68" s="232"/>
    </row>
    <row r="69" spans="1:19">
      <c r="A69" s="232"/>
      <c r="B69" s="232"/>
      <c r="C69" s="232"/>
      <c r="D69" s="232"/>
      <c r="E69" s="232"/>
      <c r="F69" s="232"/>
      <c r="G69" s="232"/>
      <c r="H69" s="232"/>
      <c r="I69" s="232"/>
      <c r="J69" s="232"/>
      <c r="K69" s="232"/>
      <c r="L69" s="232"/>
      <c r="M69" s="232"/>
      <c r="N69" s="232"/>
      <c r="O69" s="232"/>
      <c r="P69" s="232"/>
      <c r="Q69" s="232"/>
      <c r="R69" s="232"/>
      <c r="S69" s="232"/>
    </row>
    <row r="70" spans="1:19" ht="13">
      <c r="A70" s="232"/>
      <c r="B70" s="232"/>
      <c r="C70" s="670" t="s">
        <v>777</v>
      </c>
      <c r="D70" s="672"/>
      <c r="E70" s="232" t="s">
        <v>165</v>
      </c>
      <c r="F70" s="232"/>
      <c r="G70" s="232"/>
      <c r="H70" s="232"/>
      <c r="I70" s="232"/>
      <c r="J70" s="232"/>
      <c r="K70" s="232"/>
      <c r="L70" s="232"/>
      <c r="M70" s="232"/>
      <c r="N70" s="232"/>
      <c r="O70" s="232"/>
      <c r="P70" s="232"/>
      <c r="Q70" s="232"/>
      <c r="R70" s="232"/>
    </row>
    <row r="71" spans="1:19">
      <c r="A71" s="232"/>
      <c r="B71" s="232"/>
      <c r="C71" s="232" t="s">
        <v>564</v>
      </c>
      <c r="D71" s="232"/>
      <c r="E71" s="232"/>
      <c r="F71" s="232"/>
      <c r="G71" s="232"/>
      <c r="H71" s="232"/>
      <c r="I71" s="232"/>
      <c r="J71" s="232"/>
      <c r="K71" s="232"/>
      <c r="L71" s="232"/>
      <c r="M71" s="232"/>
      <c r="N71" s="232"/>
      <c r="O71" s="232"/>
      <c r="P71" s="232"/>
      <c r="Q71" s="232"/>
      <c r="R71" s="232"/>
    </row>
    <row r="72" spans="1:19">
      <c r="A72" s="232"/>
      <c r="B72" s="232"/>
      <c r="C72" s="232" t="s">
        <v>738</v>
      </c>
      <c r="D72" s="232"/>
      <c r="E72" s="232"/>
      <c r="F72" s="232"/>
      <c r="G72" s="232"/>
      <c r="H72" s="232"/>
      <c r="I72" s="232"/>
      <c r="J72" s="232"/>
      <c r="K72" s="232"/>
      <c r="L72" s="232"/>
      <c r="M72" s="232"/>
      <c r="N72" s="232"/>
      <c r="O72" s="232"/>
      <c r="P72" s="232"/>
      <c r="Q72" s="232"/>
      <c r="R72" s="232"/>
    </row>
    <row r="73" spans="1:19">
      <c r="A73" s="232"/>
      <c r="B73" s="232"/>
      <c r="C73" s="232"/>
      <c r="D73" s="232"/>
      <c r="E73" s="232"/>
      <c r="F73" s="232"/>
      <c r="G73" s="232"/>
      <c r="H73" s="232"/>
      <c r="I73" s="232"/>
      <c r="J73" s="232"/>
      <c r="K73" s="232"/>
      <c r="L73" s="232"/>
      <c r="M73" s="232"/>
      <c r="N73" s="232"/>
      <c r="O73" s="232"/>
      <c r="P73" s="232"/>
      <c r="Q73" s="232"/>
      <c r="R73" s="232"/>
    </row>
    <row r="74" spans="1:19">
      <c r="A74" s="232"/>
      <c r="B74" s="232"/>
      <c r="C74" s="232" t="s">
        <v>775</v>
      </c>
      <c r="D74" s="232"/>
      <c r="E74" s="232"/>
      <c r="F74" s="232"/>
      <c r="G74" s="232"/>
      <c r="H74" s="232"/>
      <c r="I74" s="232"/>
      <c r="J74" s="232"/>
      <c r="K74" s="232"/>
      <c r="L74" s="232"/>
      <c r="M74" s="232"/>
      <c r="N74" s="232"/>
      <c r="O74" s="232"/>
      <c r="P74" s="232"/>
      <c r="Q74" s="232"/>
      <c r="R74" s="232"/>
    </row>
    <row r="75" spans="1:19" ht="13">
      <c r="A75" s="232"/>
      <c r="B75" s="232"/>
      <c r="C75" s="232" t="s">
        <v>386</v>
      </c>
      <c r="D75" s="232"/>
      <c r="E75" s="232"/>
      <c r="F75" s="232"/>
      <c r="G75" s="232"/>
      <c r="H75" s="232"/>
      <c r="I75" s="232"/>
      <c r="J75" s="232"/>
      <c r="K75" s="232"/>
      <c r="L75" s="232"/>
      <c r="M75" s="232"/>
      <c r="N75" s="232"/>
      <c r="O75" s="232"/>
      <c r="P75" s="232"/>
      <c r="Q75" s="232"/>
      <c r="R75" s="232"/>
    </row>
    <row r="76" spans="1:19">
      <c r="A76" s="232"/>
      <c r="B76" s="232"/>
      <c r="C76" s="232" t="s">
        <v>567</v>
      </c>
      <c r="D76" s="232"/>
      <c r="E76" s="232"/>
      <c r="F76" s="232"/>
      <c r="G76" s="232"/>
      <c r="H76" s="232"/>
      <c r="I76" s="232"/>
      <c r="J76" s="232"/>
      <c r="K76" s="232"/>
      <c r="L76" s="232"/>
      <c r="M76" s="232"/>
      <c r="N76" s="232"/>
      <c r="O76" s="232"/>
      <c r="P76" s="232"/>
      <c r="Q76" s="232"/>
      <c r="R76" s="232"/>
    </row>
    <row r="77" spans="1:19" ht="13">
      <c r="A77" s="232"/>
      <c r="B77" s="232"/>
      <c r="C77" s="232" t="s">
        <v>387</v>
      </c>
      <c r="D77" s="232"/>
      <c r="E77" s="232"/>
      <c r="F77" s="232"/>
      <c r="G77" s="232"/>
      <c r="H77" s="232"/>
      <c r="I77" s="232"/>
      <c r="J77" s="232"/>
      <c r="K77" s="232"/>
      <c r="L77" s="232"/>
      <c r="M77" s="232"/>
      <c r="N77" s="232"/>
      <c r="O77" s="232"/>
      <c r="P77" s="232"/>
      <c r="Q77" s="232"/>
      <c r="R77" s="232"/>
    </row>
    <row r="78" spans="1:19" ht="13">
      <c r="A78" s="232"/>
      <c r="B78" s="232"/>
      <c r="C78" s="232" t="s">
        <v>388</v>
      </c>
      <c r="D78" s="232"/>
      <c r="E78" s="232"/>
      <c r="F78" s="232"/>
      <c r="G78" s="232"/>
      <c r="H78" s="232"/>
      <c r="I78" s="232"/>
      <c r="J78" s="232"/>
      <c r="K78" s="232"/>
      <c r="L78" s="232"/>
      <c r="M78" s="232"/>
      <c r="N78" s="232"/>
      <c r="O78" s="232"/>
      <c r="P78" s="232"/>
      <c r="Q78" s="232"/>
      <c r="R78" s="232"/>
    </row>
    <row r="79" spans="1:19">
      <c r="A79" s="232"/>
      <c r="B79" s="232"/>
      <c r="C79" s="232" t="s">
        <v>389</v>
      </c>
      <c r="D79" s="232"/>
      <c r="E79" s="232"/>
      <c r="F79" s="232"/>
      <c r="G79" s="232"/>
      <c r="H79" s="232"/>
      <c r="I79" s="232"/>
      <c r="J79" s="232"/>
      <c r="K79" s="232"/>
      <c r="L79" s="232"/>
      <c r="M79" s="232"/>
      <c r="N79" s="232"/>
      <c r="O79" s="232"/>
      <c r="P79" s="232"/>
      <c r="Q79" s="232"/>
      <c r="R79" s="232"/>
    </row>
    <row r="80" spans="1:19">
      <c r="A80" s="232"/>
      <c r="B80" s="232"/>
      <c r="C80" s="232" t="s">
        <v>817</v>
      </c>
      <c r="D80" s="232"/>
      <c r="E80" s="232"/>
      <c r="F80" s="232"/>
      <c r="G80" s="232"/>
      <c r="H80" s="232"/>
      <c r="I80" s="232"/>
      <c r="J80" s="232"/>
      <c r="K80" s="232"/>
      <c r="L80" s="232"/>
      <c r="M80" s="232"/>
      <c r="N80" s="232"/>
      <c r="O80" s="232"/>
      <c r="P80" s="232"/>
      <c r="Q80" s="232"/>
      <c r="R80" s="232"/>
    </row>
    <row r="81" spans="1:18">
      <c r="A81" s="232"/>
      <c r="B81" s="232"/>
      <c r="C81" s="232"/>
      <c r="D81" s="232"/>
      <c r="E81" s="232"/>
      <c r="F81" s="232"/>
      <c r="G81" s="232"/>
      <c r="H81" s="232"/>
      <c r="I81" s="232"/>
      <c r="J81" s="232"/>
      <c r="K81" s="232"/>
      <c r="L81" s="232"/>
      <c r="M81" s="232"/>
      <c r="N81" s="232"/>
      <c r="O81" s="232"/>
      <c r="P81" s="232"/>
      <c r="Q81" s="232"/>
      <c r="R81" s="232"/>
    </row>
    <row r="82" spans="1:18">
      <c r="A82" s="232"/>
      <c r="B82" s="232"/>
      <c r="C82" s="232"/>
      <c r="D82" s="232"/>
      <c r="E82" s="232"/>
      <c r="F82" s="232"/>
      <c r="G82" s="232"/>
      <c r="H82" s="232"/>
      <c r="I82" s="232"/>
      <c r="J82" s="232"/>
      <c r="K82" s="232"/>
      <c r="L82" s="232"/>
      <c r="M82" s="232"/>
      <c r="N82" s="232"/>
      <c r="O82" s="232"/>
      <c r="P82" s="232"/>
      <c r="Q82" s="232"/>
      <c r="R82" s="232"/>
    </row>
    <row r="83" spans="1:18" ht="13">
      <c r="A83" s="232"/>
      <c r="B83" s="232"/>
      <c r="C83" s="670" t="s">
        <v>776</v>
      </c>
      <c r="D83" s="671"/>
      <c r="E83" s="672"/>
      <c r="F83" s="232" t="s">
        <v>774</v>
      </c>
      <c r="G83" s="232"/>
      <c r="H83" s="232"/>
      <c r="I83" s="232"/>
      <c r="J83" s="232"/>
      <c r="K83" s="232"/>
      <c r="L83" s="232"/>
      <c r="M83" s="232"/>
      <c r="N83" s="232"/>
      <c r="O83" s="232"/>
      <c r="P83" s="232"/>
      <c r="Q83" s="232"/>
      <c r="R83" s="232"/>
    </row>
    <row r="84" spans="1:18">
      <c r="A84" s="232"/>
      <c r="B84" s="232"/>
      <c r="C84" s="232" t="s">
        <v>568</v>
      </c>
      <c r="D84" s="232"/>
      <c r="E84" s="232"/>
      <c r="F84" s="232"/>
      <c r="G84" s="232"/>
      <c r="H84" s="232"/>
      <c r="I84" s="232"/>
      <c r="J84" s="232"/>
      <c r="K84" s="232"/>
      <c r="L84" s="232"/>
      <c r="M84" s="232"/>
      <c r="N84" s="232"/>
      <c r="O84" s="232"/>
      <c r="P84" s="232"/>
      <c r="Q84" s="232"/>
      <c r="R84" s="232"/>
    </row>
    <row r="85" spans="1:18" ht="13">
      <c r="A85" s="232"/>
      <c r="B85" s="232"/>
      <c r="C85" s="232" t="s">
        <v>773</v>
      </c>
      <c r="D85" s="232"/>
      <c r="E85" s="232"/>
      <c r="F85" s="232"/>
      <c r="G85" s="232"/>
      <c r="H85" s="232"/>
      <c r="I85" s="232"/>
      <c r="J85" s="232"/>
      <c r="K85" s="232"/>
      <c r="L85" s="232"/>
      <c r="M85" s="232"/>
      <c r="N85" s="232"/>
      <c r="O85" s="232"/>
      <c r="P85" s="232"/>
      <c r="Q85" s="232"/>
      <c r="R85" s="232"/>
    </row>
    <row r="86" spans="1:18">
      <c r="A86" s="232"/>
      <c r="B86" s="232"/>
      <c r="C86" s="232" t="s">
        <v>778</v>
      </c>
      <c r="D86" s="232"/>
      <c r="E86" s="232"/>
      <c r="F86" s="232"/>
      <c r="G86" s="232"/>
      <c r="H86" s="232"/>
      <c r="I86" s="232"/>
      <c r="J86" s="232"/>
      <c r="K86" s="232"/>
      <c r="L86" s="232"/>
      <c r="M86" s="232"/>
      <c r="N86" s="232"/>
      <c r="O86" s="232"/>
      <c r="P86" s="232"/>
      <c r="Q86" s="232"/>
      <c r="R86" s="232"/>
    </row>
    <row r="87" spans="1:18" ht="13">
      <c r="A87" s="232"/>
      <c r="B87" s="232"/>
      <c r="C87" s="232" t="s">
        <v>318</v>
      </c>
      <c r="D87" s="232"/>
      <c r="E87" s="232"/>
      <c r="F87" s="232"/>
      <c r="G87" s="232"/>
      <c r="H87" s="232"/>
      <c r="I87" s="232"/>
      <c r="J87" s="232"/>
      <c r="K87" s="232"/>
      <c r="L87" s="232"/>
      <c r="M87" s="232"/>
      <c r="N87" s="232"/>
      <c r="O87" s="232"/>
      <c r="P87" s="232"/>
      <c r="Q87" s="232"/>
      <c r="R87" s="232"/>
    </row>
    <row r="88" spans="1:18">
      <c r="A88" s="232"/>
      <c r="B88" s="232"/>
      <c r="C88" s="232" t="s">
        <v>391</v>
      </c>
      <c r="D88" s="232"/>
      <c r="E88" s="232"/>
      <c r="F88" s="232"/>
      <c r="G88" s="232"/>
      <c r="H88" s="232"/>
      <c r="I88" s="232"/>
      <c r="J88" s="232"/>
      <c r="K88" s="232"/>
      <c r="L88" s="232"/>
      <c r="M88" s="232"/>
      <c r="N88" s="232"/>
      <c r="O88" s="232"/>
      <c r="P88" s="232"/>
      <c r="Q88" s="232"/>
      <c r="R88" s="232"/>
    </row>
    <row r="89" spans="1:18">
      <c r="A89" s="232"/>
      <c r="B89" s="232"/>
      <c r="C89" s="232" t="s">
        <v>390</v>
      </c>
      <c r="D89" s="232"/>
      <c r="E89" s="232"/>
      <c r="F89" s="232"/>
      <c r="G89" s="232"/>
      <c r="H89" s="232"/>
      <c r="I89" s="232"/>
      <c r="J89" s="232"/>
      <c r="K89" s="232"/>
      <c r="L89" s="232"/>
      <c r="M89" s="232"/>
      <c r="N89" s="232"/>
      <c r="O89" s="232"/>
      <c r="P89" s="232"/>
      <c r="Q89" s="232"/>
      <c r="R89" s="232"/>
    </row>
    <row r="90" spans="1:18">
      <c r="A90" s="232"/>
      <c r="B90" s="232"/>
      <c r="C90" s="232"/>
      <c r="D90" s="232"/>
      <c r="E90" s="232"/>
      <c r="F90" s="232"/>
      <c r="G90" s="232"/>
      <c r="H90" s="232"/>
      <c r="I90" s="232"/>
      <c r="J90" s="232"/>
      <c r="K90" s="232"/>
      <c r="L90" s="232"/>
      <c r="M90" s="232"/>
      <c r="N90" s="232"/>
      <c r="O90" s="232"/>
      <c r="P90" s="232"/>
      <c r="Q90" s="232"/>
      <c r="R90" s="232"/>
    </row>
    <row r="91" spans="1:18">
      <c r="A91" s="232"/>
      <c r="B91" s="232"/>
      <c r="C91" s="232" t="s">
        <v>783</v>
      </c>
      <c r="D91" s="232"/>
      <c r="E91" s="232"/>
      <c r="F91" s="232"/>
      <c r="G91" s="232"/>
      <c r="H91" s="232"/>
      <c r="I91" s="232"/>
      <c r="J91" s="232"/>
      <c r="K91" s="232"/>
      <c r="L91" s="232"/>
      <c r="M91" s="232"/>
      <c r="N91" s="232"/>
      <c r="O91" s="232"/>
      <c r="P91" s="232"/>
      <c r="Q91" s="232"/>
      <c r="R91" s="232"/>
    </row>
    <row r="92" spans="1:18" ht="13">
      <c r="A92" s="232"/>
      <c r="B92" s="232"/>
      <c r="C92" s="232" t="s">
        <v>780</v>
      </c>
      <c r="D92" s="232"/>
      <c r="E92" s="232"/>
      <c r="F92" s="232"/>
      <c r="G92" s="232"/>
      <c r="H92" s="232"/>
      <c r="I92" s="232"/>
      <c r="J92" s="232"/>
      <c r="K92" s="232"/>
      <c r="L92" s="232"/>
      <c r="M92" s="232"/>
      <c r="N92" s="232"/>
      <c r="O92" s="232"/>
      <c r="P92" s="232"/>
      <c r="Q92" s="232"/>
      <c r="R92" s="232"/>
    </row>
    <row r="93" spans="1:18" ht="13">
      <c r="A93" s="232"/>
      <c r="B93" s="232"/>
      <c r="C93" s="232" t="s">
        <v>782</v>
      </c>
      <c r="D93" s="232"/>
      <c r="E93" s="232"/>
      <c r="F93" s="232"/>
      <c r="G93" s="232"/>
      <c r="H93" s="232"/>
      <c r="I93" s="232"/>
      <c r="J93" s="232"/>
      <c r="K93" s="232"/>
      <c r="L93" s="232"/>
      <c r="M93" s="232"/>
      <c r="N93" s="232"/>
      <c r="O93" s="232"/>
      <c r="P93" s="232"/>
      <c r="Q93" s="232"/>
      <c r="R93" s="232"/>
    </row>
    <row r="94" spans="1:18">
      <c r="A94" s="232"/>
      <c r="B94" s="232"/>
      <c r="C94" s="232"/>
      <c r="D94" s="232"/>
      <c r="E94" s="232"/>
      <c r="F94" s="232"/>
      <c r="G94" s="232"/>
      <c r="H94" s="232"/>
      <c r="I94" s="232"/>
      <c r="J94" s="232"/>
      <c r="K94" s="232"/>
      <c r="L94" s="232"/>
      <c r="M94" s="232"/>
      <c r="N94" s="232" t="s">
        <v>817</v>
      </c>
      <c r="O94" s="232"/>
      <c r="P94" s="232"/>
      <c r="Q94" s="232"/>
      <c r="R94" s="232"/>
    </row>
    <row r="95" spans="1:18">
      <c r="A95" s="232"/>
      <c r="B95" s="232"/>
      <c r="C95" s="232"/>
      <c r="D95" s="232"/>
      <c r="E95" s="232"/>
      <c r="F95" s="232"/>
      <c r="G95" s="232"/>
      <c r="H95" s="232"/>
      <c r="I95" s="232"/>
      <c r="J95" s="232"/>
      <c r="K95" s="232"/>
      <c r="L95" s="232"/>
      <c r="M95" s="232"/>
      <c r="N95" s="232"/>
      <c r="O95" s="232"/>
      <c r="P95" s="232"/>
      <c r="Q95" s="232"/>
      <c r="R95" s="232"/>
    </row>
    <row r="96" spans="1:18">
      <c r="A96" s="232"/>
      <c r="B96" s="232"/>
      <c r="C96" s="232"/>
      <c r="D96" s="232"/>
      <c r="E96" s="232"/>
      <c r="F96" s="232"/>
      <c r="G96" s="232"/>
      <c r="H96" s="232"/>
      <c r="I96" s="232"/>
      <c r="J96" s="232"/>
      <c r="K96" s="232"/>
      <c r="L96" s="232"/>
      <c r="M96" s="232"/>
      <c r="N96" s="232"/>
      <c r="O96" s="232"/>
      <c r="P96" s="232"/>
      <c r="Q96" s="232"/>
      <c r="R96" s="232"/>
    </row>
    <row r="97" spans="1:19">
      <c r="A97" s="232"/>
      <c r="B97" s="232"/>
      <c r="C97" s="232"/>
      <c r="D97" s="232"/>
      <c r="E97" s="232"/>
      <c r="F97" s="232"/>
      <c r="G97" s="232"/>
      <c r="H97" s="232"/>
      <c r="I97" s="232"/>
      <c r="J97" s="232"/>
      <c r="K97" s="232"/>
      <c r="L97" s="232"/>
      <c r="M97" s="232"/>
      <c r="N97" s="232"/>
      <c r="O97" s="232"/>
      <c r="P97" s="232"/>
      <c r="Q97" s="232"/>
      <c r="R97" s="232"/>
    </row>
    <row r="98" spans="1:19" ht="13">
      <c r="A98" s="232"/>
      <c r="B98" s="232"/>
      <c r="C98" s="670" t="s">
        <v>785</v>
      </c>
      <c r="D98" s="674"/>
      <c r="E98" s="674"/>
      <c r="F98" s="672"/>
      <c r="G98" s="232" t="s">
        <v>392</v>
      </c>
      <c r="H98" s="232"/>
      <c r="I98" s="232"/>
      <c r="J98" s="232"/>
      <c r="K98" s="232"/>
      <c r="L98" s="232"/>
      <c r="M98" s="232"/>
      <c r="N98" s="232"/>
      <c r="O98" s="232"/>
      <c r="P98" s="232"/>
      <c r="Q98" s="232"/>
      <c r="R98" s="232"/>
    </row>
    <row r="99" spans="1:19">
      <c r="A99" s="232"/>
      <c r="B99" s="232"/>
      <c r="C99" s="232" t="s">
        <v>393</v>
      </c>
      <c r="D99" s="232"/>
      <c r="E99" s="232"/>
      <c r="F99" s="232"/>
      <c r="G99" s="232"/>
      <c r="H99" s="232"/>
      <c r="I99" s="232"/>
      <c r="J99" s="232"/>
      <c r="K99" s="232"/>
      <c r="L99" s="232"/>
      <c r="M99" s="232"/>
      <c r="N99" s="232"/>
      <c r="O99" s="232"/>
      <c r="P99" s="232"/>
      <c r="Q99" s="232"/>
      <c r="R99" s="232"/>
    </row>
    <row r="100" spans="1:19">
      <c r="A100" s="232"/>
      <c r="B100" s="232"/>
      <c r="C100" s="232" t="s">
        <v>787</v>
      </c>
      <c r="D100" s="232"/>
      <c r="E100" s="232"/>
      <c r="F100" s="232"/>
      <c r="G100" s="232"/>
      <c r="H100" s="232"/>
      <c r="I100" s="232"/>
      <c r="J100" s="232"/>
      <c r="K100" s="232"/>
      <c r="L100" s="232"/>
      <c r="M100" s="232"/>
      <c r="N100" s="232"/>
      <c r="O100" s="232"/>
      <c r="P100" s="232"/>
      <c r="Q100" s="232"/>
      <c r="R100" s="232"/>
    </row>
    <row r="101" spans="1:19" ht="13">
      <c r="A101" s="232"/>
      <c r="B101" s="232"/>
      <c r="C101" s="232" t="s">
        <v>394</v>
      </c>
      <c r="D101" s="232"/>
      <c r="E101" s="232"/>
      <c r="F101" s="232"/>
      <c r="G101" s="232"/>
      <c r="H101" s="232"/>
      <c r="I101" s="232"/>
      <c r="J101" s="232"/>
      <c r="K101" s="232"/>
      <c r="L101" s="232"/>
      <c r="M101" s="232"/>
      <c r="N101" s="232"/>
      <c r="O101" s="232"/>
      <c r="P101" s="232"/>
      <c r="Q101" s="232"/>
      <c r="R101" s="232"/>
    </row>
    <row r="102" spans="1:19">
      <c r="A102" s="232"/>
      <c r="B102" s="232"/>
      <c r="C102" s="232" t="s">
        <v>786</v>
      </c>
      <c r="D102" s="232"/>
      <c r="E102" s="232"/>
      <c r="F102" s="232"/>
      <c r="G102" s="232"/>
      <c r="H102" s="232"/>
      <c r="I102" s="232"/>
      <c r="J102" s="232"/>
      <c r="K102" s="232"/>
      <c r="L102" s="232"/>
      <c r="M102" s="232"/>
      <c r="N102" s="232"/>
      <c r="O102" s="232"/>
      <c r="P102" s="232"/>
      <c r="Q102" s="232"/>
      <c r="R102" s="232"/>
    </row>
    <row r="103" spans="1:19">
      <c r="A103" s="232"/>
      <c r="B103" s="232"/>
      <c r="C103" s="232"/>
      <c r="D103" s="232"/>
      <c r="E103" s="232"/>
      <c r="F103" s="232"/>
      <c r="G103" s="232"/>
      <c r="H103" s="232"/>
      <c r="I103" s="232"/>
      <c r="J103" s="232"/>
      <c r="K103" s="232"/>
      <c r="L103" s="232"/>
      <c r="M103" s="232"/>
      <c r="N103" s="232"/>
      <c r="O103" s="232"/>
      <c r="P103" s="232"/>
      <c r="Q103" s="232"/>
      <c r="R103" s="232"/>
    </row>
    <row r="104" spans="1:19">
      <c r="A104" s="232"/>
      <c r="B104" s="232"/>
      <c r="C104" s="232"/>
      <c r="D104" s="232"/>
      <c r="E104" s="232"/>
      <c r="F104" s="232"/>
      <c r="G104" s="232"/>
      <c r="H104" s="232"/>
      <c r="I104" s="232"/>
      <c r="J104" s="232"/>
      <c r="K104" s="232"/>
      <c r="L104" s="232"/>
      <c r="M104" s="232"/>
      <c r="N104" s="232"/>
      <c r="O104" s="232"/>
      <c r="P104" s="232"/>
      <c r="Q104" s="232"/>
      <c r="R104" s="232"/>
    </row>
    <row r="105" spans="1:19">
      <c r="A105" s="232"/>
      <c r="B105" s="232"/>
      <c r="C105" s="232"/>
      <c r="D105" s="232"/>
      <c r="E105" s="232"/>
      <c r="F105" s="232"/>
      <c r="G105" s="232"/>
      <c r="H105" s="232"/>
      <c r="I105" s="232"/>
      <c r="J105" s="232"/>
      <c r="K105" s="232"/>
      <c r="L105" s="232"/>
      <c r="M105" s="232"/>
      <c r="N105" s="232"/>
      <c r="O105" s="232"/>
      <c r="P105" s="232"/>
      <c r="Q105" s="232"/>
      <c r="R105" s="232"/>
    </row>
    <row r="106" spans="1:19">
      <c r="A106" s="232"/>
      <c r="B106" s="232"/>
      <c r="C106" s="232"/>
      <c r="D106" s="232"/>
      <c r="E106" s="232"/>
      <c r="F106" s="232"/>
      <c r="G106" s="232"/>
      <c r="H106" s="232"/>
      <c r="I106" s="232"/>
      <c r="J106" s="232"/>
      <c r="K106" s="232"/>
      <c r="L106" s="232"/>
      <c r="M106" s="232"/>
      <c r="N106" s="232"/>
      <c r="O106" s="232"/>
      <c r="P106" s="232"/>
      <c r="Q106" s="232"/>
      <c r="R106" s="232"/>
    </row>
    <row r="107" spans="1:19" ht="15.5">
      <c r="A107" s="232"/>
      <c r="B107" s="271" t="s">
        <v>797</v>
      </c>
      <c r="C107" s="188"/>
      <c r="D107" s="232" t="s">
        <v>798</v>
      </c>
      <c r="E107" s="232"/>
      <c r="F107" s="232"/>
      <c r="G107" s="232"/>
      <c r="H107" s="232"/>
      <c r="I107" s="232"/>
      <c r="J107" s="232"/>
      <c r="K107" s="232"/>
      <c r="L107" s="232"/>
      <c r="M107" s="232"/>
      <c r="N107" s="232"/>
      <c r="O107" s="232"/>
      <c r="P107" s="232"/>
      <c r="Q107" s="232"/>
      <c r="R107" s="232"/>
      <c r="S107" s="232"/>
    </row>
    <row r="108" spans="1:19">
      <c r="A108" s="232"/>
      <c r="B108" s="232"/>
      <c r="C108" s="232"/>
      <c r="D108" s="232"/>
      <c r="E108" s="232"/>
      <c r="F108" s="232"/>
      <c r="G108" s="232"/>
      <c r="H108" s="232"/>
      <c r="I108" s="232"/>
      <c r="J108" s="232"/>
      <c r="K108" s="232"/>
      <c r="L108" s="232"/>
      <c r="M108" s="232"/>
      <c r="N108" s="232"/>
      <c r="O108" s="232"/>
      <c r="P108" s="232"/>
      <c r="Q108" s="232"/>
      <c r="R108" s="232"/>
      <c r="S108" s="232"/>
    </row>
    <row r="109" spans="1:19" ht="13">
      <c r="A109" s="232"/>
      <c r="B109" s="675">
        <v>1</v>
      </c>
      <c r="C109" s="232" t="s">
        <v>799</v>
      </c>
      <c r="D109" s="232"/>
      <c r="E109" s="232"/>
      <c r="F109" s="232"/>
      <c r="G109" s="232"/>
      <c r="H109" s="232"/>
      <c r="I109" s="232"/>
      <c r="J109" s="232"/>
      <c r="K109" s="232"/>
      <c r="L109" s="232"/>
      <c r="M109" s="232"/>
      <c r="N109" s="232"/>
      <c r="O109" s="232"/>
      <c r="P109" s="232"/>
      <c r="Q109" s="232"/>
      <c r="R109" s="232"/>
      <c r="S109" s="232"/>
    </row>
    <row r="110" spans="1:19">
      <c r="A110" s="232"/>
      <c r="B110" s="244"/>
      <c r="C110" s="232"/>
      <c r="D110" s="232"/>
      <c r="E110" s="232"/>
      <c r="F110" s="232"/>
      <c r="G110" s="232"/>
      <c r="H110" s="232"/>
      <c r="I110" s="232"/>
      <c r="J110" s="232"/>
      <c r="K110" s="232"/>
      <c r="L110" s="232"/>
      <c r="M110" s="232"/>
      <c r="N110" s="232"/>
      <c r="O110" s="232"/>
      <c r="P110" s="232"/>
      <c r="Q110" s="232"/>
      <c r="R110" s="232"/>
      <c r="S110" s="232"/>
    </row>
    <row r="111" spans="1:19" ht="13">
      <c r="A111" s="232"/>
      <c r="B111" s="244">
        <v>2</v>
      </c>
      <c r="C111" s="232" t="s">
        <v>909</v>
      </c>
      <c r="D111" s="232"/>
      <c r="E111" s="232"/>
      <c r="F111" s="232"/>
      <c r="G111" s="232"/>
      <c r="H111" s="232"/>
      <c r="I111" s="232"/>
      <c r="J111" s="232"/>
      <c r="K111" s="232"/>
      <c r="L111" s="232"/>
      <c r="M111" s="232"/>
      <c r="N111" s="232"/>
      <c r="O111" s="232"/>
      <c r="P111" s="232"/>
      <c r="Q111" s="232"/>
      <c r="R111" s="232"/>
      <c r="S111" s="232"/>
    </row>
    <row r="112" spans="1:19">
      <c r="A112" s="232"/>
      <c r="B112" s="244"/>
      <c r="C112" s="232"/>
      <c r="D112" s="232"/>
      <c r="E112" s="232"/>
      <c r="F112" s="232"/>
      <c r="G112" s="232"/>
      <c r="H112" s="232"/>
      <c r="I112" s="232"/>
      <c r="J112" s="232"/>
      <c r="K112" s="232"/>
      <c r="L112" s="232"/>
      <c r="M112" s="232"/>
      <c r="N112" s="232"/>
      <c r="O112" s="232"/>
      <c r="P112" s="232"/>
      <c r="Q112" s="232"/>
      <c r="R112" s="232"/>
      <c r="S112" s="232"/>
    </row>
    <row r="113" spans="1:19" ht="13">
      <c r="A113" s="232"/>
      <c r="B113" s="244">
        <v>3</v>
      </c>
      <c r="C113" s="232" t="s">
        <v>800</v>
      </c>
      <c r="D113" s="232"/>
      <c r="E113" s="232"/>
      <c r="F113" s="232"/>
      <c r="G113" s="232"/>
      <c r="H113" s="232"/>
      <c r="I113" s="232"/>
      <c r="J113" s="232"/>
      <c r="K113" s="232"/>
      <c r="L113" s="232"/>
      <c r="M113" s="232"/>
      <c r="N113" s="232"/>
      <c r="O113" s="232"/>
      <c r="P113" s="232"/>
      <c r="Q113" s="232"/>
      <c r="R113" s="232"/>
      <c r="S113" s="232"/>
    </row>
    <row r="114" spans="1:19">
      <c r="A114" s="232"/>
      <c r="B114" s="244"/>
      <c r="C114" s="232"/>
      <c r="D114" s="232"/>
      <c r="E114" s="232"/>
      <c r="F114" s="232"/>
      <c r="G114" s="232"/>
      <c r="H114" s="232"/>
      <c r="I114" s="232"/>
      <c r="J114" s="232"/>
      <c r="K114" s="232"/>
      <c r="L114" s="232"/>
      <c r="M114" s="232"/>
      <c r="N114" s="232"/>
      <c r="O114" s="232"/>
      <c r="P114" s="232"/>
      <c r="Q114" s="232"/>
      <c r="R114" s="232"/>
      <c r="S114" s="232"/>
    </row>
    <row r="115" spans="1:19" ht="13">
      <c r="A115" s="232"/>
      <c r="B115" s="244">
        <v>4</v>
      </c>
      <c r="C115" s="232" t="s">
        <v>801</v>
      </c>
      <c r="D115" s="232"/>
      <c r="E115" s="232"/>
      <c r="F115" s="232"/>
      <c r="G115" s="232"/>
      <c r="H115" s="232"/>
      <c r="I115" s="232"/>
      <c r="J115" s="232"/>
      <c r="K115" s="232"/>
      <c r="L115" s="232"/>
      <c r="M115" s="232"/>
      <c r="N115" s="232"/>
      <c r="O115" s="232"/>
      <c r="P115" s="232"/>
      <c r="Q115" s="232"/>
      <c r="R115" s="232"/>
      <c r="S115" s="232"/>
    </row>
    <row r="116" spans="1:19">
      <c r="A116" s="232"/>
      <c r="B116" s="244"/>
      <c r="C116" s="232"/>
      <c r="D116" s="232"/>
      <c r="E116" s="232"/>
      <c r="F116" s="232"/>
      <c r="G116" s="232"/>
      <c r="H116" s="232"/>
      <c r="I116" s="232"/>
      <c r="J116" s="232"/>
      <c r="K116" s="232"/>
      <c r="L116" s="232"/>
      <c r="M116" s="232"/>
      <c r="N116" s="232"/>
      <c r="O116" s="232"/>
      <c r="P116" s="232"/>
      <c r="Q116" s="232"/>
      <c r="R116" s="232"/>
      <c r="S116" s="232"/>
    </row>
    <row r="117" spans="1:19" ht="13">
      <c r="A117" s="232"/>
      <c r="B117" s="244">
        <v>5</v>
      </c>
      <c r="C117" s="232" t="s">
        <v>802</v>
      </c>
      <c r="D117" s="232"/>
      <c r="E117" s="232"/>
      <c r="F117" s="232"/>
      <c r="G117" s="232"/>
      <c r="H117" s="232"/>
      <c r="I117" s="232"/>
      <c r="J117" s="232"/>
      <c r="K117" s="232"/>
      <c r="L117" s="232"/>
      <c r="M117" s="232"/>
      <c r="N117" s="232"/>
      <c r="O117" s="232"/>
      <c r="P117" s="232"/>
      <c r="Q117" s="232"/>
      <c r="R117" s="232"/>
      <c r="S117" s="232"/>
    </row>
    <row r="118" spans="1:19">
      <c r="A118" s="232"/>
      <c r="B118" s="244"/>
      <c r="C118" s="232" t="s">
        <v>803</v>
      </c>
      <c r="D118" s="232"/>
      <c r="E118" s="232"/>
      <c r="F118" s="232"/>
      <c r="G118" s="232"/>
      <c r="H118" s="232"/>
      <c r="I118" s="232"/>
      <c r="J118" s="232"/>
      <c r="K118" s="232"/>
      <c r="L118" s="232"/>
      <c r="M118" s="232"/>
      <c r="N118" s="232"/>
      <c r="O118" s="232"/>
      <c r="P118" s="232"/>
      <c r="Q118" s="232"/>
      <c r="R118" s="232"/>
      <c r="S118" s="232"/>
    </row>
    <row r="119" spans="1:19">
      <c r="A119" s="232"/>
      <c r="B119" s="244"/>
      <c r="C119" s="232"/>
      <c r="D119" s="232"/>
      <c r="E119" s="232"/>
      <c r="F119" s="232"/>
      <c r="G119" s="232"/>
      <c r="H119" s="232"/>
      <c r="I119" s="232"/>
      <c r="J119" s="232"/>
      <c r="K119" s="232"/>
      <c r="L119" s="232"/>
      <c r="M119" s="232"/>
      <c r="N119" s="232"/>
      <c r="O119" s="232"/>
      <c r="P119" s="232"/>
      <c r="Q119" s="232"/>
      <c r="R119" s="232"/>
      <c r="S119" s="232"/>
    </row>
    <row r="120" spans="1:19" ht="13">
      <c r="A120" s="232"/>
      <c r="B120" s="244">
        <v>6</v>
      </c>
      <c r="C120" s="232" t="s">
        <v>804</v>
      </c>
      <c r="D120" s="232"/>
      <c r="E120" s="232"/>
      <c r="F120" s="232"/>
      <c r="G120" s="232"/>
      <c r="H120" s="232"/>
      <c r="I120" s="232"/>
      <c r="J120" s="232"/>
      <c r="K120" s="232"/>
      <c r="L120" s="232"/>
      <c r="M120" s="232"/>
      <c r="N120" s="232"/>
      <c r="O120" s="232"/>
      <c r="P120" s="232"/>
      <c r="Q120" s="232"/>
      <c r="R120" s="232"/>
      <c r="S120" s="232"/>
    </row>
    <row r="121" spans="1:19">
      <c r="A121" s="232"/>
      <c r="B121" s="244"/>
      <c r="C121" s="232"/>
      <c r="D121" s="232"/>
      <c r="E121" s="232"/>
      <c r="F121" s="232"/>
      <c r="G121" s="232"/>
      <c r="H121" s="232"/>
      <c r="I121" s="232"/>
      <c r="J121" s="232"/>
      <c r="K121" s="232"/>
      <c r="L121" s="232"/>
      <c r="M121" s="232"/>
      <c r="N121" s="232"/>
      <c r="O121" s="232"/>
      <c r="P121" s="232"/>
      <c r="Q121" s="232"/>
      <c r="R121" s="232"/>
      <c r="S121" s="232"/>
    </row>
    <row r="122" spans="1:19" ht="13">
      <c r="A122" s="232"/>
      <c r="B122" s="244">
        <v>7</v>
      </c>
      <c r="C122" s="232" t="s">
        <v>805</v>
      </c>
      <c r="D122" s="232"/>
      <c r="E122" s="232"/>
      <c r="F122" s="232"/>
      <c r="G122" s="232"/>
      <c r="H122" s="232"/>
      <c r="I122" s="232"/>
      <c r="J122" s="232"/>
      <c r="K122" s="232"/>
      <c r="L122" s="232"/>
      <c r="M122" s="232"/>
      <c r="N122" s="232"/>
      <c r="O122" s="232"/>
      <c r="P122" s="232"/>
      <c r="Q122" s="232"/>
      <c r="R122" s="232"/>
      <c r="S122" s="232"/>
    </row>
    <row r="123" spans="1:19">
      <c r="A123" s="232"/>
      <c r="B123" s="676"/>
      <c r="C123" s="232"/>
      <c r="D123" s="232"/>
      <c r="E123" s="232"/>
      <c r="F123" s="232"/>
      <c r="G123" s="232"/>
      <c r="H123" s="232"/>
      <c r="I123" s="232"/>
      <c r="J123" s="232"/>
      <c r="K123" s="232"/>
      <c r="L123" s="232"/>
      <c r="M123" s="232"/>
      <c r="N123" s="232"/>
      <c r="O123" s="232"/>
      <c r="P123" s="232"/>
      <c r="Q123" s="232"/>
      <c r="R123" s="232"/>
      <c r="S123" s="232"/>
    </row>
    <row r="124" spans="1:19" ht="13">
      <c r="A124" s="232"/>
      <c r="B124" s="244">
        <v>8</v>
      </c>
      <c r="C124" s="232" t="s">
        <v>806</v>
      </c>
      <c r="D124" s="232"/>
      <c r="E124" s="232"/>
      <c r="F124" s="232"/>
      <c r="G124" s="232"/>
      <c r="H124" s="232"/>
      <c r="I124" s="232"/>
      <c r="J124" s="232"/>
      <c r="K124" s="232"/>
      <c r="L124" s="232"/>
      <c r="M124" s="232"/>
      <c r="N124" s="232"/>
      <c r="O124" s="232"/>
      <c r="P124" s="232"/>
      <c r="Q124" s="232"/>
      <c r="R124" s="232"/>
      <c r="S124" s="232"/>
    </row>
    <row r="125" spans="1:19">
      <c r="A125" s="232"/>
      <c r="B125" s="676"/>
      <c r="C125" s="232"/>
      <c r="D125" s="232"/>
      <c r="E125" s="232"/>
      <c r="F125" s="232"/>
      <c r="G125" s="232"/>
      <c r="H125" s="232"/>
      <c r="I125" s="232"/>
      <c r="J125" s="232"/>
      <c r="K125" s="232"/>
      <c r="L125" s="232"/>
      <c r="M125" s="232"/>
      <c r="N125" s="232"/>
      <c r="O125" s="232"/>
      <c r="P125" s="232"/>
      <c r="Q125" s="232"/>
      <c r="R125" s="232"/>
      <c r="S125" s="232"/>
    </row>
    <row r="126" spans="1:19" ht="13">
      <c r="A126" s="232"/>
      <c r="B126" s="244">
        <v>9</v>
      </c>
      <c r="C126" s="232" t="s">
        <v>395</v>
      </c>
      <c r="D126" s="232"/>
      <c r="E126" s="232"/>
      <c r="F126" s="232"/>
      <c r="G126" s="232"/>
      <c r="H126" s="232"/>
      <c r="I126" s="232"/>
      <c r="J126" s="232"/>
      <c r="K126" s="232"/>
      <c r="L126" s="232"/>
      <c r="M126" s="232"/>
      <c r="N126" s="232"/>
      <c r="O126" s="232"/>
      <c r="P126" s="232"/>
      <c r="Q126" s="232"/>
      <c r="R126" s="232"/>
      <c r="S126" s="232"/>
    </row>
    <row r="127" spans="1:19">
      <c r="A127" s="232"/>
      <c r="B127" s="232"/>
      <c r="C127" s="232"/>
      <c r="D127" s="232"/>
      <c r="E127" s="232"/>
      <c r="F127" s="232"/>
      <c r="G127" s="232"/>
      <c r="H127" s="232"/>
      <c r="I127" s="232"/>
      <c r="J127" s="232"/>
      <c r="K127" s="232"/>
      <c r="L127" s="232"/>
      <c r="M127" s="232"/>
      <c r="N127" s="232"/>
      <c r="O127" s="232"/>
      <c r="P127" s="232"/>
      <c r="Q127" s="232"/>
      <c r="R127" s="232"/>
      <c r="S127" s="232"/>
    </row>
    <row r="128" spans="1:19">
      <c r="B128" s="232"/>
      <c r="C128" s="232"/>
      <c r="D128" s="232"/>
      <c r="E128" s="232"/>
      <c r="F128" s="232"/>
      <c r="G128" s="232"/>
      <c r="H128" s="232"/>
      <c r="I128" s="232"/>
      <c r="J128" s="232"/>
      <c r="K128" s="232"/>
      <c r="L128" s="232"/>
      <c r="M128" s="232"/>
      <c r="N128" s="232"/>
      <c r="O128" s="232"/>
      <c r="P128" s="232"/>
      <c r="Q128" s="232"/>
      <c r="R128" s="232"/>
      <c r="S128" s="232"/>
    </row>
    <row r="129" spans="1:19" ht="15.5">
      <c r="A129" s="232"/>
      <c r="B129" s="271" t="s">
        <v>807</v>
      </c>
      <c r="C129" s="188"/>
      <c r="D129" s="232" t="s">
        <v>808</v>
      </c>
      <c r="E129" s="232"/>
      <c r="F129" s="232"/>
      <c r="G129" s="232"/>
      <c r="H129" s="232"/>
      <c r="I129" s="232"/>
      <c r="J129" s="232"/>
      <c r="K129" s="232"/>
      <c r="L129" s="232"/>
      <c r="M129" s="232"/>
      <c r="N129" s="232"/>
      <c r="O129" s="232"/>
      <c r="P129" s="232"/>
      <c r="Q129" s="232"/>
      <c r="R129" s="232"/>
      <c r="S129" s="232"/>
    </row>
    <row r="130" spans="1:19">
      <c r="A130" s="232"/>
      <c r="B130" s="232"/>
      <c r="C130" s="232"/>
      <c r="D130" s="232"/>
      <c r="E130" s="232"/>
      <c r="F130" s="232"/>
      <c r="G130" s="232"/>
      <c r="H130" s="232"/>
      <c r="I130" s="232"/>
      <c r="J130" s="232"/>
      <c r="K130" s="232"/>
      <c r="L130" s="232"/>
      <c r="M130" s="232"/>
      <c r="N130" s="232"/>
      <c r="O130" s="232"/>
      <c r="P130" s="232"/>
      <c r="Q130" s="232"/>
      <c r="R130" s="232"/>
      <c r="S130" s="232"/>
    </row>
    <row r="131" spans="1:19" ht="13">
      <c r="A131" s="244"/>
      <c r="B131" s="879" t="s">
        <v>809</v>
      </c>
      <c r="C131" s="879" t="s">
        <v>810</v>
      </c>
      <c r="D131" s="881" t="s">
        <v>211</v>
      </c>
      <c r="E131" s="880"/>
      <c r="F131" s="656"/>
      <c r="G131" s="656"/>
      <c r="H131" s="656"/>
      <c r="I131" s="656"/>
      <c r="J131" s="656"/>
      <c r="K131" s="656"/>
      <c r="L131" s="656"/>
      <c r="M131" s="656"/>
      <c r="N131" s="656"/>
      <c r="O131" s="673"/>
      <c r="P131" s="232"/>
      <c r="Q131" s="232"/>
      <c r="R131" s="232"/>
      <c r="S131" s="232"/>
    </row>
    <row r="132" spans="1:19">
      <c r="A132" s="232"/>
      <c r="B132" s="678">
        <v>2</v>
      </c>
      <c r="C132" s="711">
        <v>38382</v>
      </c>
      <c r="D132" s="679" t="s">
        <v>811</v>
      </c>
      <c r="E132" s="656"/>
      <c r="F132" s="656"/>
      <c r="G132" s="656"/>
      <c r="H132" s="656"/>
      <c r="I132" s="656"/>
      <c r="J132" s="656"/>
      <c r="K132" s="656"/>
      <c r="L132" s="656"/>
      <c r="M132" s="656"/>
      <c r="N132" s="656"/>
      <c r="O132" s="673"/>
      <c r="P132" s="232"/>
      <c r="Q132" s="232"/>
      <c r="R132" s="232"/>
      <c r="S132" s="232"/>
    </row>
    <row r="133" spans="1:19">
      <c r="A133" s="232"/>
      <c r="B133" s="712">
        <v>2.1</v>
      </c>
      <c r="C133" s="711">
        <v>38390</v>
      </c>
      <c r="D133" s="677" t="s">
        <v>571</v>
      </c>
      <c r="E133" s="656"/>
      <c r="F133" s="656"/>
      <c r="G133" s="656"/>
      <c r="H133" s="656"/>
      <c r="I133" s="656"/>
      <c r="J133" s="656"/>
      <c r="K133" s="656"/>
      <c r="L133" s="656"/>
      <c r="M133" s="656"/>
      <c r="N133" s="656"/>
      <c r="O133" s="673"/>
      <c r="P133" s="232"/>
      <c r="Q133" s="232"/>
      <c r="R133" s="232"/>
      <c r="S133" s="232"/>
    </row>
    <row r="134" spans="1:19">
      <c r="A134" s="232"/>
      <c r="B134" s="712" t="s">
        <v>741</v>
      </c>
      <c r="C134" s="711">
        <v>38395</v>
      </c>
      <c r="D134" s="677" t="s">
        <v>742</v>
      </c>
      <c r="E134" s="656"/>
      <c r="F134" s="656"/>
      <c r="G134" s="656"/>
      <c r="H134" s="656"/>
      <c r="I134" s="656"/>
      <c r="J134" s="656"/>
      <c r="K134" s="656"/>
      <c r="L134" s="656"/>
      <c r="M134" s="656"/>
      <c r="N134" s="656"/>
      <c r="O134" s="673"/>
      <c r="P134" s="232"/>
      <c r="Q134" s="232"/>
      <c r="R134" s="232"/>
      <c r="S134" s="232"/>
    </row>
    <row r="135" spans="1:19">
      <c r="A135" s="232"/>
      <c r="B135" s="712" t="s">
        <v>146</v>
      </c>
      <c r="C135" s="711">
        <v>38404</v>
      </c>
      <c r="D135" s="677" t="s">
        <v>147</v>
      </c>
      <c r="E135" s="656"/>
      <c r="F135" s="656"/>
      <c r="G135" s="656"/>
      <c r="H135" s="656"/>
      <c r="I135" s="656"/>
      <c r="J135" s="656"/>
      <c r="K135" s="656"/>
      <c r="L135" s="656"/>
      <c r="M135" s="656"/>
      <c r="N135" s="656"/>
      <c r="O135" s="673"/>
      <c r="P135" s="232"/>
      <c r="Q135" s="232"/>
      <c r="R135" s="232"/>
      <c r="S135" s="232"/>
    </row>
    <row r="136" spans="1:19">
      <c r="A136" s="232"/>
      <c r="B136" s="712" t="s">
        <v>763</v>
      </c>
      <c r="C136" s="711">
        <v>38409</v>
      </c>
      <c r="D136" s="677" t="s">
        <v>764</v>
      </c>
      <c r="E136" s="656"/>
      <c r="F136" s="656"/>
      <c r="G136" s="656"/>
      <c r="H136" s="656"/>
      <c r="I136" s="656"/>
      <c r="J136" s="656"/>
      <c r="K136" s="656"/>
      <c r="L136" s="656"/>
      <c r="M136" s="656"/>
      <c r="N136" s="656"/>
      <c r="O136" s="673"/>
      <c r="P136" s="232"/>
      <c r="Q136" s="232"/>
      <c r="R136" s="232"/>
      <c r="S136" s="232"/>
    </row>
    <row r="137" spans="1:19">
      <c r="A137" s="232"/>
      <c r="B137" s="712" t="s">
        <v>641</v>
      </c>
      <c r="C137" s="711">
        <v>38410</v>
      </c>
      <c r="D137" s="677" t="s">
        <v>642</v>
      </c>
      <c r="E137" s="656"/>
      <c r="F137" s="656"/>
      <c r="G137" s="656"/>
      <c r="H137" s="656"/>
      <c r="I137" s="656"/>
      <c r="J137" s="656"/>
      <c r="K137" s="656"/>
      <c r="L137" s="656"/>
      <c r="M137" s="656"/>
      <c r="N137" s="656"/>
      <c r="O137" s="673"/>
      <c r="P137" s="232"/>
      <c r="Q137" s="232"/>
      <c r="R137" s="232"/>
      <c r="S137" s="232"/>
    </row>
    <row r="138" spans="1:19">
      <c r="A138" s="232"/>
      <c r="B138" s="712">
        <v>2.2000000000000002</v>
      </c>
      <c r="C138" s="711">
        <v>38410</v>
      </c>
      <c r="D138" s="677" t="s">
        <v>78</v>
      </c>
      <c r="E138" s="656"/>
      <c r="F138" s="656"/>
      <c r="G138" s="656"/>
      <c r="H138" s="656"/>
      <c r="I138" s="656"/>
      <c r="J138" s="656"/>
      <c r="K138" s="656"/>
      <c r="L138" s="656"/>
      <c r="M138" s="656"/>
      <c r="N138" s="656"/>
      <c r="O138" s="673"/>
      <c r="P138" s="232"/>
      <c r="Q138" s="232"/>
      <c r="R138" s="232"/>
      <c r="S138" s="232"/>
    </row>
    <row r="139" spans="1:19">
      <c r="A139" s="232"/>
      <c r="B139" s="712" t="s">
        <v>166</v>
      </c>
      <c r="C139" s="711">
        <v>38487</v>
      </c>
      <c r="D139" s="677" t="s">
        <v>167</v>
      </c>
      <c r="E139" s="656"/>
      <c r="F139" s="656"/>
      <c r="G139" s="656"/>
      <c r="H139" s="656"/>
      <c r="I139" s="656"/>
      <c r="J139" s="656"/>
      <c r="K139" s="656"/>
      <c r="L139" s="656"/>
      <c r="M139" s="656"/>
      <c r="N139" s="656"/>
      <c r="O139" s="673"/>
      <c r="P139" s="232"/>
      <c r="Q139" s="232"/>
      <c r="R139" s="232"/>
      <c r="S139" s="232"/>
    </row>
    <row r="140" spans="1:19">
      <c r="A140" s="232"/>
      <c r="B140" s="712" t="s">
        <v>744</v>
      </c>
      <c r="C140" s="711">
        <v>38526</v>
      </c>
      <c r="D140" s="677" t="s">
        <v>745</v>
      </c>
      <c r="E140" s="656"/>
      <c r="F140" s="656"/>
      <c r="G140" s="656"/>
      <c r="H140" s="656"/>
      <c r="I140" s="656"/>
      <c r="J140" s="656"/>
      <c r="K140" s="656"/>
      <c r="L140" s="656"/>
      <c r="M140" s="656"/>
      <c r="N140" s="656"/>
      <c r="O140" s="673"/>
      <c r="P140" s="232"/>
      <c r="Q140" s="232"/>
      <c r="R140" s="232"/>
      <c r="S140" s="232"/>
    </row>
    <row r="141" spans="1:19">
      <c r="A141" s="232"/>
      <c r="B141" s="712">
        <v>2.2999999999999998</v>
      </c>
      <c r="C141" s="711">
        <v>38549</v>
      </c>
      <c r="D141" s="677" t="s">
        <v>760</v>
      </c>
      <c r="E141" s="656"/>
      <c r="F141" s="656"/>
      <c r="G141" s="656"/>
      <c r="H141" s="656"/>
      <c r="I141" s="656"/>
      <c r="J141" s="656"/>
      <c r="K141" s="656"/>
      <c r="L141" s="656"/>
      <c r="M141" s="656"/>
      <c r="N141" s="656"/>
      <c r="O141" s="673"/>
      <c r="P141" s="232"/>
      <c r="Q141" s="232"/>
      <c r="R141" s="232"/>
      <c r="S141" s="232"/>
    </row>
    <row r="142" spans="1:19" ht="13">
      <c r="A142" s="232"/>
      <c r="B142" s="712" t="s">
        <v>319</v>
      </c>
      <c r="C142" s="711">
        <v>38623</v>
      </c>
      <c r="D142" s="677" t="s">
        <v>320</v>
      </c>
      <c r="E142" s="656"/>
      <c r="F142" s="656"/>
      <c r="G142" s="656"/>
      <c r="H142" s="656"/>
      <c r="I142" s="656"/>
      <c r="J142" s="656"/>
      <c r="K142" s="656"/>
      <c r="L142" s="656"/>
      <c r="M142" s="656"/>
      <c r="N142" s="656"/>
      <c r="O142" s="673"/>
      <c r="P142" s="232"/>
      <c r="Q142" s="232"/>
      <c r="R142" s="232"/>
      <c r="S142" s="232"/>
    </row>
    <row r="143" spans="1:19">
      <c r="A143" s="232"/>
      <c r="B143" s="712" t="s">
        <v>850</v>
      </c>
      <c r="C143" s="711">
        <v>38629</v>
      </c>
      <c r="D143" s="677" t="s">
        <v>851</v>
      </c>
      <c r="E143" s="656"/>
      <c r="F143" s="656"/>
      <c r="G143" s="656"/>
      <c r="H143" s="656"/>
      <c r="I143" s="656"/>
      <c r="J143" s="656"/>
      <c r="K143" s="656"/>
      <c r="L143" s="656"/>
      <c r="M143" s="656"/>
      <c r="N143" s="656"/>
      <c r="O143" s="673"/>
      <c r="P143" s="232"/>
      <c r="Q143" s="232"/>
      <c r="R143" s="232"/>
      <c r="S143" s="232"/>
    </row>
    <row r="144" spans="1:19">
      <c r="A144" s="232"/>
      <c r="B144" s="712">
        <v>2.4</v>
      </c>
      <c r="C144" s="711">
        <v>39012</v>
      </c>
      <c r="D144" s="677" t="s">
        <v>15</v>
      </c>
      <c r="E144" s="656"/>
      <c r="F144" s="656"/>
      <c r="G144" s="656"/>
      <c r="H144" s="656"/>
      <c r="I144" s="656"/>
      <c r="J144" s="656"/>
      <c r="K144" s="656"/>
      <c r="L144" s="656"/>
      <c r="M144" s="656"/>
      <c r="N144" s="656"/>
      <c r="O144" s="673"/>
      <c r="P144" s="232"/>
      <c r="Q144" s="232"/>
      <c r="R144" s="232"/>
      <c r="S144" s="232"/>
    </row>
    <row r="145" spans="1:19">
      <c r="A145" s="232"/>
      <c r="B145" s="712">
        <v>2.5</v>
      </c>
      <c r="C145" s="882" t="s">
        <v>227</v>
      </c>
      <c r="D145" s="677" t="s">
        <v>226</v>
      </c>
      <c r="E145" s="656"/>
      <c r="F145" s="656"/>
      <c r="G145" s="656"/>
      <c r="H145" s="656"/>
      <c r="I145" s="656"/>
      <c r="J145" s="656"/>
      <c r="K145" s="656"/>
      <c r="L145" s="656"/>
      <c r="M145" s="656"/>
      <c r="N145" s="656"/>
      <c r="O145" s="673"/>
      <c r="P145" s="232"/>
      <c r="Q145" s="232"/>
      <c r="R145" s="232"/>
      <c r="S145" s="232"/>
    </row>
    <row r="146" spans="1:19">
      <c r="A146" s="232"/>
      <c r="B146" s="900" t="s">
        <v>1024</v>
      </c>
      <c r="C146" s="711">
        <v>39513</v>
      </c>
      <c r="D146" s="901" t="s">
        <v>1026</v>
      </c>
      <c r="E146" s="656"/>
      <c r="F146" s="656"/>
      <c r="G146" s="656"/>
      <c r="H146" s="656"/>
      <c r="I146" s="656"/>
      <c r="J146" s="656"/>
      <c r="K146" s="656"/>
      <c r="L146" s="656"/>
      <c r="M146" s="656"/>
      <c r="N146" s="656"/>
      <c r="O146" s="673"/>
      <c r="P146" s="232"/>
      <c r="Q146" s="232"/>
      <c r="R146" s="232"/>
      <c r="S146" s="232"/>
    </row>
    <row r="147" spans="1:19">
      <c r="A147" s="232"/>
      <c r="B147" s="712" t="s">
        <v>1025</v>
      </c>
      <c r="C147" s="711">
        <v>39525</v>
      </c>
      <c r="D147" s="677" t="s">
        <v>1027</v>
      </c>
      <c r="E147" s="656"/>
      <c r="F147" s="656"/>
      <c r="G147" s="656"/>
      <c r="H147" s="656"/>
      <c r="I147" s="656"/>
      <c r="J147" s="656"/>
      <c r="K147" s="656"/>
      <c r="L147" s="656"/>
      <c r="M147" s="656"/>
      <c r="N147" s="656"/>
      <c r="O147" s="673"/>
      <c r="P147" s="232"/>
      <c r="Q147" s="232"/>
      <c r="R147" s="232"/>
      <c r="S147" s="232"/>
    </row>
    <row r="148" spans="1:19">
      <c r="A148" s="232"/>
      <c r="B148" s="900" t="s">
        <v>1028</v>
      </c>
      <c r="C148" s="711">
        <v>39799</v>
      </c>
      <c r="D148" s="901" t="s">
        <v>1029</v>
      </c>
      <c r="E148" s="656"/>
      <c r="F148" s="656"/>
      <c r="G148" s="656"/>
      <c r="H148" s="656"/>
      <c r="I148" s="656"/>
      <c r="J148" s="656"/>
      <c r="K148" s="656"/>
      <c r="L148" s="656"/>
      <c r="M148" s="656"/>
      <c r="N148" s="656"/>
      <c r="O148" s="673"/>
      <c r="P148" s="232"/>
      <c r="Q148" s="232"/>
      <c r="R148" s="232"/>
      <c r="S148" s="232"/>
    </row>
    <row r="149" spans="1:19">
      <c r="A149" s="232"/>
      <c r="B149" s="712" t="s">
        <v>1031</v>
      </c>
      <c r="C149" s="711">
        <v>41709</v>
      </c>
      <c r="D149" s="677" t="s">
        <v>1048</v>
      </c>
      <c r="E149" s="656"/>
      <c r="F149" s="656"/>
      <c r="G149" s="656"/>
      <c r="H149" s="656"/>
      <c r="I149" s="656"/>
      <c r="J149" s="656"/>
      <c r="K149" s="656"/>
      <c r="L149" s="656"/>
      <c r="M149" s="656"/>
      <c r="N149" s="656"/>
      <c r="O149" s="673"/>
      <c r="P149" s="232"/>
      <c r="Q149" s="232"/>
      <c r="R149" s="232"/>
      <c r="S149" s="232"/>
    </row>
    <row r="150" spans="1:19">
      <c r="A150" s="232"/>
      <c r="B150" s="961" t="s">
        <v>1051</v>
      </c>
      <c r="C150" s="960">
        <v>42663</v>
      </c>
      <c r="D150" s="677" t="s">
        <v>1053</v>
      </c>
      <c r="E150" s="656"/>
      <c r="F150" s="656"/>
      <c r="G150" s="656"/>
      <c r="H150" s="656"/>
      <c r="I150" s="656"/>
      <c r="J150" s="656"/>
      <c r="K150" s="656"/>
      <c r="L150" s="656"/>
      <c r="M150" s="656"/>
      <c r="N150" s="656"/>
      <c r="O150" s="673"/>
      <c r="P150" s="232"/>
      <c r="Q150" s="232"/>
      <c r="R150" s="232"/>
      <c r="S150" s="232"/>
    </row>
    <row r="151" spans="1:19">
      <c r="A151" s="232"/>
      <c r="B151" s="232"/>
      <c r="C151" s="232"/>
      <c r="D151" s="232"/>
      <c r="E151" s="232"/>
      <c r="F151" s="232"/>
      <c r="G151" s="232"/>
      <c r="H151" s="232"/>
      <c r="I151" s="232"/>
      <c r="J151" s="232"/>
      <c r="K151" s="232"/>
      <c r="L151" s="232"/>
      <c r="M151" s="232"/>
      <c r="N151" s="232"/>
      <c r="O151" s="232"/>
      <c r="P151" s="232"/>
      <c r="Q151" s="232"/>
      <c r="R151" s="232"/>
      <c r="S151" s="232"/>
    </row>
    <row r="152" spans="1:19">
      <c r="A152" s="232"/>
      <c r="B152" s="232"/>
      <c r="C152" s="232"/>
      <c r="D152" s="232"/>
      <c r="E152" s="232"/>
      <c r="F152" s="232"/>
      <c r="G152" s="232"/>
      <c r="H152" s="232"/>
      <c r="I152" s="232"/>
      <c r="J152" s="232"/>
      <c r="K152" s="232"/>
      <c r="L152" s="232"/>
      <c r="M152" s="232"/>
      <c r="N152" s="232"/>
      <c r="O152" s="232"/>
      <c r="P152" s="232"/>
      <c r="Q152" s="232"/>
      <c r="R152" s="232"/>
      <c r="S152" s="232"/>
    </row>
    <row r="153" spans="1:19">
      <c r="A153" s="232"/>
      <c r="B153" s="232"/>
      <c r="C153" s="232"/>
      <c r="D153" s="232"/>
      <c r="E153" s="232"/>
      <c r="F153" s="232"/>
      <c r="G153" s="232"/>
      <c r="H153" s="232"/>
      <c r="I153" s="232"/>
      <c r="J153" s="232"/>
      <c r="K153" s="232"/>
      <c r="L153" s="232"/>
      <c r="M153" s="232"/>
      <c r="N153" s="232"/>
      <c r="O153" s="232"/>
      <c r="P153" s="232"/>
      <c r="Q153" s="232"/>
      <c r="R153" s="232"/>
      <c r="S153" s="232"/>
    </row>
    <row r="154" spans="1:19">
      <c r="A154" s="232"/>
      <c r="B154" s="232"/>
      <c r="C154" s="232"/>
      <c r="D154" s="232"/>
      <c r="E154" s="232"/>
      <c r="F154" s="232"/>
      <c r="G154" s="232"/>
      <c r="H154" s="232"/>
      <c r="I154" s="232"/>
      <c r="J154" s="232"/>
      <c r="K154" s="232"/>
      <c r="L154" s="232"/>
      <c r="M154" s="232"/>
      <c r="N154" s="232"/>
      <c r="O154" s="232"/>
      <c r="P154" s="232"/>
      <c r="Q154" s="232"/>
      <c r="R154" s="232"/>
      <c r="S154" s="232"/>
    </row>
    <row r="155" spans="1:19">
      <c r="A155" s="232"/>
      <c r="B155" s="232"/>
      <c r="C155" s="232"/>
      <c r="D155" s="232"/>
      <c r="E155" s="232"/>
      <c r="F155" s="232"/>
      <c r="G155" s="232"/>
      <c r="H155" s="232"/>
      <c r="I155" s="232"/>
      <c r="J155" s="232"/>
      <c r="K155" s="232"/>
      <c r="L155" s="232"/>
      <c r="M155" s="232"/>
      <c r="N155" s="232"/>
      <c r="O155" s="232"/>
      <c r="P155" s="232"/>
      <c r="Q155" s="232"/>
      <c r="R155" s="232"/>
      <c r="S155" s="232"/>
    </row>
    <row r="156" spans="1:19">
      <c r="A156" s="232"/>
      <c r="B156" s="232"/>
      <c r="C156" s="232"/>
      <c r="D156" s="232"/>
      <c r="E156" s="232"/>
      <c r="F156" s="232"/>
      <c r="G156" s="232"/>
      <c r="H156" s="232"/>
      <c r="I156" s="232"/>
      <c r="J156" s="232"/>
      <c r="K156" s="232"/>
      <c r="L156" s="232"/>
      <c r="M156" s="232"/>
      <c r="N156" s="232"/>
      <c r="O156" s="232"/>
      <c r="P156" s="232"/>
      <c r="Q156" s="232"/>
      <c r="R156" s="232"/>
      <c r="S156" s="232"/>
    </row>
    <row r="157" spans="1:19">
      <c r="A157" s="232"/>
      <c r="B157" s="232"/>
      <c r="C157" s="232"/>
      <c r="D157" s="232"/>
      <c r="E157" s="232"/>
      <c r="F157" s="232"/>
      <c r="G157" s="232"/>
      <c r="H157" s="232"/>
      <c r="I157" s="232"/>
      <c r="J157" s="232"/>
      <c r="K157" s="232"/>
      <c r="L157" s="232"/>
      <c r="M157" s="232"/>
      <c r="N157" s="232"/>
      <c r="O157" s="232"/>
      <c r="P157" s="232"/>
      <c r="Q157" s="232"/>
      <c r="R157" s="232"/>
      <c r="S157" s="232"/>
    </row>
    <row r="158" spans="1:19">
      <c r="A158" s="232"/>
      <c r="B158" s="232"/>
      <c r="C158" s="232"/>
      <c r="D158" s="232"/>
      <c r="E158" s="232"/>
      <c r="F158" s="232"/>
      <c r="G158" s="232"/>
      <c r="H158" s="232"/>
      <c r="I158" s="232"/>
      <c r="J158" s="232"/>
      <c r="K158" s="232"/>
      <c r="L158" s="232"/>
      <c r="M158" s="232"/>
      <c r="N158" s="232"/>
      <c r="O158" s="232"/>
      <c r="P158" s="232"/>
      <c r="Q158" s="232"/>
      <c r="R158" s="232"/>
      <c r="S158" s="232"/>
    </row>
    <row r="159" spans="1:19">
      <c r="A159" s="232"/>
      <c r="B159" s="232"/>
      <c r="C159" s="232"/>
      <c r="D159" s="232"/>
      <c r="E159" s="232"/>
      <c r="F159" s="232"/>
      <c r="G159" s="232"/>
      <c r="H159" s="232"/>
      <c r="I159" s="232"/>
      <c r="J159" s="232"/>
      <c r="K159" s="232"/>
      <c r="L159" s="232"/>
      <c r="M159" s="232"/>
      <c r="N159" s="232"/>
      <c r="O159" s="232"/>
      <c r="P159" s="232"/>
      <c r="Q159" s="232"/>
      <c r="R159" s="232"/>
      <c r="S159" s="232"/>
    </row>
    <row r="160" spans="1:19">
      <c r="A160" s="232"/>
      <c r="B160" s="232"/>
      <c r="C160" s="232"/>
      <c r="D160" s="232"/>
      <c r="E160" s="232"/>
      <c r="F160" s="232"/>
      <c r="G160" s="232"/>
      <c r="H160" s="232"/>
      <c r="I160" s="232"/>
      <c r="J160" s="232"/>
      <c r="K160" s="232"/>
      <c r="L160" s="232"/>
      <c r="M160" s="232"/>
      <c r="N160" s="232"/>
      <c r="O160" s="232"/>
      <c r="P160" s="232"/>
      <c r="Q160" s="232"/>
      <c r="R160" s="232"/>
      <c r="S160" s="232"/>
    </row>
    <row r="161" spans="1:19">
      <c r="A161" s="232"/>
      <c r="B161" s="232"/>
      <c r="C161" s="232"/>
      <c r="D161" s="232"/>
      <c r="E161" s="232"/>
      <c r="F161" s="232"/>
      <c r="G161" s="232"/>
      <c r="H161" s="232"/>
      <c r="I161" s="232"/>
      <c r="J161" s="232"/>
      <c r="K161" s="232"/>
      <c r="L161" s="232"/>
      <c r="M161" s="232"/>
      <c r="N161" s="232"/>
      <c r="O161" s="232"/>
      <c r="P161" s="232"/>
      <c r="Q161" s="232"/>
      <c r="R161" s="232"/>
      <c r="S161" s="232"/>
    </row>
    <row r="162" spans="1:19">
      <c r="A162" s="232"/>
      <c r="B162" s="232"/>
      <c r="C162" s="232"/>
      <c r="D162" s="232"/>
      <c r="E162" s="232"/>
      <c r="F162" s="232"/>
      <c r="G162" s="232"/>
      <c r="H162" s="232"/>
      <c r="I162" s="232"/>
      <c r="J162" s="232"/>
      <c r="K162" s="232"/>
      <c r="L162" s="232"/>
      <c r="M162" s="232"/>
      <c r="N162" s="232"/>
      <c r="O162" s="232"/>
      <c r="P162" s="232"/>
      <c r="Q162" s="232"/>
      <c r="R162" s="232"/>
      <c r="S162" s="232"/>
    </row>
    <row r="163" spans="1:19">
      <c r="A163" s="232"/>
      <c r="B163" s="232"/>
      <c r="C163" s="232"/>
      <c r="D163" s="232"/>
      <c r="E163" s="232"/>
      <c r="F163" s="232"/>
      <c r="G163" s="232"/>
      <c r="H163" s="232"/>
      <c r="I163" s="232"/>
      <c r="J163" s="232"/>
      <c r="K163" s="232"/>
      <c r="L163" s="232"/>
      <c r="M163" s="232"/>
      <c r="N163" s="232"/>
      <c r="O163" s="232"/>
      <c r="P163" s="232"/>
      <c r="Q163" s="232"/>
      <c r="R163" s="232"/>
      <c r="S163" s="232"/>
    </row>
    <row r="164" spans="1:19">
      <c r="A164" s="232"/>
      <c r="B164" s="232"/>
      <c r="C164" s="232"/>
      <c r="D164" s="232"/>
      <c r="E164" s="232"/>
      <c r="F164" s="232"/>
      <c r="G164" s="232"/>
      <c r="H164" s="232"/>
      <c r="I164" s="232"/>
      <c r="J164" s="232"/>
      <c r="K164" s="232"/>
      <c r="L164" s="232"/>
      <c r="M164" s="232"/>
      <c r="N164" s="232"/>
      <c r="O164" s="232"/>
      <c r="P164" s="232"/>
      <c r="Q164" s="232"/>
      <c r="R164" s="232"/>
      <c r="S164" s="232"/>
    </row>
    <row r="165" spans="1:19">
      <c r="A165" s="232"/>
      <c r="B165" s="232"/>
      <c r="C165" s="232"/>
      <c r="D165" s="232"/>
      <c r="E165" s="232"/>
      <c r="F165" s="232"/>
      <c r="G165" s="232"/>
      <c r="H165" s="232"/>
      <c r="I165" s="232"/>
      <c r="J165" s="232"/>
      <c r="K165" s="232"/>
      <c r="L165" s="232"/>
      <c r="M165" s="232"/>
      <c r="N165" s="232"/>
      <c r="O165" s="232"/>
      <c r="P165" s="232"/>
      <c r="Q165" s="232"/>
      <c r="R165" s="232"/>
      <c r="S165" s="232"/>
    </row>
    <row r="166" spans="1:19">
      <c r="A166" s="232"/>
      <c r="B166" s="232"/>
      <c r="C166" s="232"/>
      <c r="D166" s="232"/>
      <c r="E166" s="232"/>
      <c r="F166" s="232"/>
      <c r="G166" s="232"/>
      <c r="H166" s="232"/>
      <c r="I166" s="232"/>
      <c r="J166" s="232"/>
      <c r="K166" s="232"/>
      <c r="L166" s="232"/>
      <c r="M166" s="232"/>
      <c r="N166" s="232"/>
      <c r="O166" s="232"/>
      <c r="P166" s="232"/>
      <c r="Q166" s="232"/>
      <c r="R166" s="232"/>
      <c r="S166" s="232"/>
    </row>
    <row r="167" spans="1:19">
      <c r="A167" s="232"/>
      <c r="B167" s="232"/>
      <c r="C167" s="232"/>
      <c r="D167" s="232"/>
      <c r="E167" s="232"/>
      <c r="F167" s="232"/>
      <c r="G167" s="232"/>
      <c r="H167" s="232"/>
      <c r="I167" s="232"/>
      <c r="J167" s="232"/>
      <c r="K167" s="232"/>
      <c r="L167" s="232"/>
      <c r="M167" s="232"/>
      <c r="N167" s="232"/>
      <c r="O167" s="232"/>
      <c r="P167" s="232"/>
      <c r="Q167" s="232"/>
      <c r="R167" s="232"/>
      <c r="S167" s="232"/>
    </row>
    <row r="168" spans="1:19">
      <c r="A168" s="232"/>
      <c r="B168" s="232"/>
      <c r="C168" s="232"/>
      <c r="D168" s="232"/>
      <c r="E168" s="232"/>
      <c r="F168" s="232"/>
      <c r="G168" s="232"/>
      <c r="H168" s="232"/>
      <c r="I168" s="232"/>
      <c r="J168" s="232"/>
      <c r="K168" s="232"/>
      <c r="L168" s="232"/>
      <c r="M168" s="232"/>
      <c r="N168" s="232"/>
      <c r="O168" s="232"/>
      <c r="P168" s="232"/>
      <c r="Q168" s="232"/>
      <c r="R168" s="232"/>
      <c r="S168" s="232"/>
    </row>
    <row r="169" spans="1:19">
      <c r="A169" s="232"/>
      <c r="B169" s="232"/>
      <c r="C169" s="232"/>
      <c r="D169" s="232"/>
      <c r="E169" s="232"/>
      <c r="F169" s="232"/>
      <c r="G169" s="232"/>
      <c r="H169" s="232"/>
      <c r="I169" s="232"/>
      <c r="J169" s="232"/>
      <c r="K169" s="232"/>
      <c r="L169" s="232"/>
      <c r="M169" s="232"/>
      <c r="N169" s="232"/>
      <c r="O169" s="232"/>
      <c r="P169" s="232"/>
      <c r="Q169" s="232"/>
      <c r="R169" s="232"/>
      <c r="S169" s="232"/>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25" zoomScaleNormal="125" workbookViewId="0">
      <selection activeCell="K1" sqref="K1"/>
    </sheetView>
  </sheetViews>
  <sheetFormatPr defaultColWidth="8.81640625" defaultRowHeight="12.5"/>
  <cols>
    <col min="2" max="2" width="15.81640625" customWidth="1"/>
  </cols>
  <sheetData>
    <row r="1" spans="1:21" ht="18">
      <c r="A1" s="866" t="s">
        <v>29</v>
      </c>
      <c r="B1" s="389"/>
      <c r="C1" s="389"/>
      <c r="D1" s="389"/>
      <c r="E1" s="389"/>
      <c r="F1" s="389"/>
      <c r="G1" s="389"/>
      <c r="H1" s="389"/>
      <c r="I1" s="389"/>
      <c r="J1" s="389"/>
      <c r="K1" s="389"/>
      <c r="L1" s="389"/>
      <c r="M1" s="389"/>
      <c r="N1" s="389"/>
      <c r="O1" s="389"/>
      <c r="P1" s="389"/>
      <c r="Q1" s="389"/>
      <c r="R1" s="389"/>
      <c r="S1" s="389"/>
      <c r="T1" s="389"/>
      <c r="U1" s="39"/>
    </row>
    <row r="2" spans="1:21" ht="13" thickBot="1">
      <c r="A2" s="129"/>
      <c r="B2" s="129"/>
      <c r="C2" s="129"/>
      <c r="D2" s="129"/>
      <c r="E2" s="129"/>
      <c r="F2" s="129"/>
      <c r="G2" s="129"/>
      <c r="H2" s="129"/>
      <c r="I2" s="129"/>
      <c r="J2" s="129"/>
      <c r="K2" s="129"/>
      <c r="L2" s="129"/>
      <c r="M2" s="129"/>
      <c r="N2" s="129"/>
      <c r="O2" s="129"/>
      <c r="P2" s="129"/>
      <c r="Q2" s="129"/>
      <c r="R2" s="129"/>
      <c r="S2" s="129"/>
      <c r="T2" s="129"/>
      <c r="U2" s="129"/>
    </row>
    <row r="3" spans="1:21" ht="13">
      <c r="A3" s="25"/>
      <c r="B3" s="867" t="s">
        <v>599</v>
      </c>
      <c r="C3" s="103"/>
      <c r="D3" s="103"/>
      <c r="E3" s="103"/>
      <c r="F3" s="103"/>
      <c r="G3" s="103"/>
      <c r="H3" s="103"/>
      <c r="I3" s="103"/>
      <c r="J3" s="107"/>
      <c r="K3" s="25"/>
      <c r="L3" s="25"/>
      <c r="M3" s="25"/>
      <c r="N3" s="25"/>
      <c r="O3" s="25"/>
      <c r="P3" s="25"/>
      <c r="Q3" s="25"/>
      <c r="R3" s="25"/>
      <c r="S3" s="25"/>
      <c r="T3" s="25"/>
      <c r="U3" s="25"/>
    </row>
    <row r="4" spans="1:21">
      <c r="A4" s="25"/>
      <c r="B4" s="102" t="s">
        <v>332</v>
      </c>
      <c r="C4" s="103"/>
      <c r="D4" s="103"/>
      <c r="E4" s="103"/>
      <c r="F4" s="103"/>
      <c r="G4" s="103"/>
      <c r="H4" s="103"/>
      <c r="I4" s="103"/>
      <c r="J4" s="107"/>
      <c r="K4" s="25"/>
      <c r="L4" s="25"/>
      <c r="M4" s="25"/>
      <c r="N4" s="25"/>
      <c r="O4" s="25"/>
      <c r="P4" s="25"/>
      <c r="Q4" s="25"/>
      <c r="R4" s="25"/>
      <c r="S4" s="25"/>
      <c r="T4" s="25"/>
      <c r="U4" s="25"/>
    </row>
    <row r="5" spans="1:21" ht="13">
      <c r="A5" s="25"/>
      <c r="B5" s="861" t="s">
        <v>341</v>
      </c>
      <c r="C5" s="858">
        <f>Orbit!B98</f>
        <v>19.062200000000001</v>
      </c>
      <c r="D5" s="103" t="s">
        <v>4</v>
      </c>
      <c r="E5" s="103"/>
      <c r="F5" s="103"/>
      <c r="G5" s="103"/>
      <c r="H5" s="103"/>
      <c r="I5" s="103"/>
      <c r="J5" s="107"/>
      <c r="K5" s="25"/>
      <c r="L5" s="25"/>
      <c r="M5" s="25"/>
      <c r="N5" s="25"/>
      <c r="O5" s="25"/>
      <c r="P5" s="25"/>
      <c r="Q5" s="25"/>
      <c r="R5" s="25"/>
      <c r="S5" s="25"/>
      <c r="T5" s="25"/>
      <c r="U5" s="25"/>
    </row>
    <row r="6" spans="1:21">
      <c r="A6" s="25"/>
      <c r="B6" s="102" t="s">
        <v>342</v>
      </c>
      <c r="C6" s="33">
        <f>IF(C5&gt;0,1,0)</f>
        <v>1</v>
      </c>
      <c r="D6" s="103"/>
      <c r="E6" s="103" t="s">
        <v>817</v>
      </c>
      <c r="F6" s="103"/>
      <c r="G6" s="103" t="s">
        <v>343</v>
      </c>
      <c r="H6" s="103"/>
      <c r="I6" s="103"/>
      <c r="J6" s="107"/>
      <c r="K6" s="25"/>
      <c r="L6" s="25"/>
      <c r="M6" s="25"/>
      <c r="N6" s="25"/>
      <c r="O6" s="25"/>
      <c r="P6" s="25"/>
      <c r="Q6" s="25"/>
      <c r="R6" s="25"/>
      <c r="S6" s="25"/>
      <c r="T6" s="25"/>
      <c r="U6" s="25"/>
    </row>
    <row r="7" spans="1:21">
      <c r="A7" s="25"/>
      <c r="B7" s="102"/>
      <c r="C7" s="33">
        <f>N(NOT(C6))</f>
        <v>0</v>
      </c>
      <c r="D7" s="103"/>
      <c r="E7" s="103"/>
      <c r="F7" s="103"/>
      <c r="G7" s="103" t="s">
        <v>344</v>
      </c>
      <c r="H7" s="103"/>
      <c r="I7" s="103"/>
      <c r="J7" s="107"/>
      <c r="K7" s="25"/>
      <c r="L7" s="25"/>
      <c r="M7" s="25"/>
      <c r="N7" s="25"/>
      <c r="O7" s="25"/>
      <c r="P7" s="25"/>
      <c r="Q7" s="25"/>
      <c r="R7" s="25"/>
      <c r="S7" s="25"/>
      <c r="T7" s="25"/>
      <c r="U7" s="25"/>
    </row>
    <row r="8" spans="1:21" ht="13">
      <c r="A8" s="25"/>
      <c r="B8" s="862" t="s">
        <v>348</v>
      </c>
      <c r="C8" s="858">
        <f>Orbit!B101</f>
        <v>-16.625799999999998</v>
      </c>
      <c r="D8" s="103" t="s">
        <v>4</v>
      </c>
      <c r="E8" s="103" t="s">
        <v>817</v>
      </c>
      <c r="F8" s="103"/>
      <c r="G8" s="103" t="s">
        <v>817</v>
      </c>
      <c r="H8" s="103"/>
      <c r="I8" s="103"/>
      <c r="J8" s="107"/>
      <c r="K8" s="25"/>
      <c r="L8" s="25"/>
      <c r="M8" s="25"/>
      <c r="N8" s="25"/>
      <c r="O8" s="25"/>
      <c r="P8" s="25"/>
      <c r="Q8" s="25"/>
      <c r="R8" s="25"/>
      <c r="S8" s="25"/>
      <c r="T8" s="25"/>
      <c r="U8" s="25"/>
    </row>
    <row r="9" spans="1:21">
      <c r="A9" s="25"/>
      <c r="B9" s="102" t="s">
        <v>333</v>
      </c>
      <c r="C9" s="33">
        <f>IF(C8&gt;0,1,0)</f>
        <v>0</v>
      </c>
      <c r="D9" s="103"/>
      <c r="E9" s="103"/>
      <c r="F9" s="103"/>
      <c r="G9" s="103" t="s">
        <v>345</v>
      </c>
      <c r="H9" s="103"/>
      <c r="I9" s="103"/>
      <c r="J9" s="107"/>
      <c r="K9" s="25"/>
      <c r="L9" s="25"/>
      <c r="M9" s="25"/>
      <c r="N9" s="25"/>
      <c r="O9" s="25"/>
      <c r="P9" s="25"/>
      <c r="Q9" s="25"/>
      <c r="R9" s="25"/>
      <c r="S9" s="25"/>
      <c r="T9" s="25"/>
      <c r="U9" s="25"/>
    </row>
    <row r="10" spans="1:21">
      <c r="A10" s="25"/>
      <c r="B10" s="102"/>
      <c r="C10" s="33">
        <f>N(NOT(C9))</f>
        <v>1</v>
      </c>
      <c r="D10" s="103"/>
      <c r="E10" s="103"/>
      <c r="F10" s="103"/>
      <c r="G10" s="103" t="s">
        <v>346</v>
      </c>
      <c r="H10" s="103"/>
      <c r="I10" s="103"/>
      <c r="J10" s="107"/>
      <c r="K10" s="25"/>
      <c r="L10" s="25"/>
      <c r="M10" s="25"/>
      <c r="N10" s="25"/>
      <c r="O10" s="25"/>
      <c r="P10" s="25"/>
      <c r="Q10" s="25"/>
      <c r="R10" s="25"/>
      <c r="S10" s="25"/>
      <c r="T10" s="25"/>
      <c r="U10" s="25"/>
    </row>
    <row r="11" spans="1:21">
      <c r="A11" s="25"/>
      <c r="B11" s="102"/>
      <c r="C11" s="865" t="s">
        <v>356</v>
      </c>
      <c r="D11" s="103"/>
      <c r="E11" s="865" t="s">
        <v>354</v>
      </c>
      <c r="F11" s="103"/>
      <c r="G11" s="865" t="s">
        <v>225</v>
      </c>
      <c r="H11" s="103"/>
      <c r="I11" s="103"/>
      <c r="J11" s="107"/>
      <c r="K11" s="25"/>
      <c r="L11" s="25"/>
      <c r="M11" s="25"/>
      <c r="N11" s="25"/>
      <c r="O11" s="25"/>
      <c r="P11" s="25"/>
      <c r="Q11" s="25"/>
      <c r="R11" s="25"/>
      <c r="S11" s="25"/>
      <c r="T11" s="25"/>
      <c r="U11" s="25"/>
    </row>
    <row r="12" spans="1:21">
      <c r="A12" s="25"/>
      <c r="B12" s="863" t="s">
        <v>334</v>
      </c>
      <c r="C12" s="33">
        <f>N(AND(C7,C10))</f>
        <v>0</v>
      </c>
      <c r="D12" s="103"/>
      <c r="E12" s="864">
        <f>C12*(-C17)</f>
        <v>0</v>
      </c>
      <c r="F12" s="103" t="s">
        <v>4</v>
      </c>
      <c r="G12" s="103" t="s">
        <v>338</v>
      </c>
      <c r="H12" s="103"/>
      <c r="I12" s="103"/>
      <c r="J12" s="107"/>
      <c r="K12" s="25"/>
      <c r="L12" s="25"/>
      <c r="M12" s="25"/>
      <c r="N12" s="25"/>
      <c r="O12" s="25"/>
      <c r="P12" s="25"/>
      <c r="Q12" s="25"/>
      <c r="R12" s="25"/>
      <c r="S12" s="25"/>
      <c r="T12" s="25"/>
      <c r="U12" s="25"/>
    </row>
    <row r="13" spans="1:21">
      <c r="A13" s="25"/>
      <c r="B13" s="102" t="s">
        <v>336</v>
      </c>
      <c r="C13" s="33">
        <f>N(AND(C6,C10))</f>
        <v>1</v>
      </c>
      <c r="D13" s="103"/>
      <c r="E13" s="864">
        <f>C13*(180-C17)</f>
        <v>137.56350986344964</v>
      </c>
      <c r="F13" s="103" t="s">
        <v>4</v>
      </c>
      <c r="G13" s="103" t="s">
        <v>340</v>
      </c>
      <c r="H13" s="103"/>
      <c r="I13" s="103"/>
      <c r="J13" s="107"/>
      <c r="K13" s="25"/>
      <c r="L13" s="25"/>
      <c r="M13" s="25"/>
      <c r="N13" s="25"/>
      <c r="O13" s="25"/>
      <c r="P13" s="25"/>
      <c r="Q13" s="25"/>
      <c r="R13" s="25"/>
      <c r="S13" s="25"/>
      <c r="T13" s="25"/>
      <c r="U13" s="25"/>
    </row>
    <row r="14" spans="1:21">
      <c r="A14" s="25"/>
      <c r="B14" s="863" t="s">
        <v>337</v>
      </c>
      <c r="C14" s="33">
        <f>N(AND(C6,C9))</f>
        <v>0</v>
      </c>
      <c r="D14" s="103"/>
      <c r="E14" s="864">
        <f>C14*(180-C17)</f>
        <v>0</v>
      </c>
      <c r="F14" s="103" t="s">
        <v>4</v>
      </c>
      <c r="G14" s="103" t="s">
        <v>347</v>
      </c>
      <c r="H14" s="103"/>
      <c r="I14" s="103"/>
      <c r="J14" s="107"/>
      <c r="K14" s="25"/>
      <c r="L14" s="25"/>
      <c r="M14" s="25"/>
      <c r="N14" s="25"/>
      <c r="O14" s="25"/>
      <c r="P14" s="25"/>
      <c r="Q14" s="25"/>
      <c r="R14" s="25"/>
      <c r="S14" s="25"/>
      <c r="T14" s="25"/>
      <c r="U14" s="25"/>
    </row>
    <row r="15" spans="1:21">
      <c r="A15" s="25"/>
      <c r="B15" s="863" t="s">
        <v>335</v>
      </c>
      <c r="C15" s="33">
        <f>N(AND(C7,C9))</f>
        <v>0</v>
      </c>
      <c r="D15" s="103"/>
      <c r="E15" s="864">
        <f>C15*(360-C17)</f>
        <v>0</v>
      </c>
      <c r="F15" s="103" t="s">
        <v>4</v>
      </c>
      <c r="G15" s="103" t="s">
        <v>339</v>
      </c>
      <c r="H15" s="103"/>
      <c r="I15" s="103"/>
      <c r="J15" s="107"/>
      <c r="K15" s="25"/>
      <c r="L15" s="25"/>
      <c r="M15" s="25"/>
      <c r="N15" s="25"/>
      <c r="O15" s="25"/>
      <c r="P15" s="25"/>
      <c r="Q15" s="25"/>
      <c r="R15" s="25"/>
      <c r="S15" s="25"/>
      <c r="T15" s="25"/>
      <c r="U15" s="25"/>
    </row>
    <row r="16" spans="1:21">
      <c r="A16" s="25"/>
      <c r="B16" s="102"/>
      <c r="C16" s="103"/>
      <c r="D16" s="103"/>
      <c r="E16" s="103"/>
      <c r="F16" s="103"/>
      <c r="G16" s="103"/>
      <c r="H16" s="103"/>
      <c r="I16" s="103"/>
      <c r="J16" s="107"/>
      <c r="K16" s="25"/>
      <c r="L16" s="25"/>
      <c r="M16" s="25"/>
      <c r="N16" s="25"/>
      <c r="O16" s="25"/>
      <c r="P16" s="25"/>
      <c r="Q16" s="25"/>
      <c r="R16" s="25"/>
      <c r="S16" s="25"/>
      <c r="T16" s="25"/>
      <c r="U16" s="25"/>
    </row>
    <row r="17" spans="1:21" ht="13">
      <c r="A17" s="25"/>
      <c r="B17" s="861" t="s">
        <v>349</v>
      </c>
      <c r="C17" s="857">
        <f>Orbit!B107</f>
        <v>42.436490136550354</v>
      </c>
      <c r="D17" s="103" t="s">
        <v>4</v>
      </c>
      <c r="E17" s="103"/>
      <c r="F17" s="103"/>
      <c r="G17" s="103"/>
      <c r="H17" s="103"/>
      <c r="I17" s="103"/>
      <c r="J17" s="107"/>
      <c r="K17" s="25"/>
      <c r="L17" s="25"/>
      <c r="M17" s="25"/>
      <c r="N17" s="25"/>
      <c r="O17" s="25"/>
      <c r="P17" s="25"/>
      <c r="Q17" s="25"/>
      <c r="R17" s="25"/>
      <c r="S17" s="25"/>
      <c r="T17" s="25"/>
      <c r="U17" s="25"/>
    </row>
    <row r="18" spans="1:21">
      <c r="A18" s="25"/>
      <c r="B18" s="102"/>
      <c r="C18" s="103"/>
      <c r="D18" s="103"/>
      <c r="E18" s="103"/>
      <c r="F18" s="103"/>
      <c r="G18" s="103"/>
      <c r="H18" s="103"/>
      <c r="I18" s="103"/>
      <c r="J18" s="107"/>
      <c r="K18" s="25"/>
      <c r="L18" s="25"/>
      <c r="M18" s="25"/>
      <c r="N18" s="25"/>
      <c r="O18" s="25"/>
      <c r="P18" s="25"/>
      <c r="Q18" s="25"/>
      <c r="R18" s="25"/>
      <c r="S18" s="25"/>
      <c r="T18" s="25"/>
      <c r="U18" s="25"/>
    </row>
    <row r="19" spans="1:21" ht="13">
      <c r="A19" s="25"/>
      <c r="B19" s="861" t="s">
        <v>350</v>
      </c>
      <c r="C19" s="103"/>
      <c r="D19" s="103"/>
      <c r="E19" s="859">
        <f>SUM(E12:E15)</f>
        <v>137.56350986344964</v>
      </c>
      <c r="F19" s="417" t="s">
        <v>4</v>
      </c>
      <c r="G19" s="103"/>
      <c r="H19" s="103"/>
      <c r="I19" s="103"/>
      <c r="J19" s="107"/>
      <c r="K19" s="25"/>
      <c r="L19" s="25"/>
      <c r="M19" s="25"/>
      <c r="N19" s="25"/>
      <c r="O19" s="25"/>
      <c r="P19" s="25"/>
      <c r="Q19" s="25"/>
      <c r="R19" s="25"/>
      <c r="S19" s="25"/>
      <c r="T19" s="25"/>
      <c r="U19" s="25"/>
    </row>
    <row r="20" spans="1:21">
      <c r="A20" s="25"/>
      <c r="B20" s="102"/>
      <c r="C20" s="103"/>
      <c r="D20" s="103"/>
      <c r="E20" s="103"/>
      <c r="F20" s="103"/>
      <c r="G20" s="103"/>
      <c r="H20" s="103"/>
      <c r="I20" s="103"/>
      <c r="J20" s="107"/>
      <c r="K20" s="25"/>
      <c r="L20" s="25"/>
      <c r="M20" s="25"/>
      <c r="N20" s="25"/>
      <c r="O20" s="25"/>
      <c r="P20" s="25"/>
      <c r="Q20" s="25"/>
      <c r="R20" s="25"/>
      <c r="S20" s="25"/>
      <c r="T20" s="25"/>
      <c r="U20" s="25"/>
    </row>
    <row r="21" spans="1:21" ht="13" thickBot="1">
      <c r="A21" s="25"/>
      <c r="B21" s="113"/>
      <c r="C21" s="114"/>
      <c r="D21" s="114"/>
      <c r="E21" s="114"/>
      <c r="F21" s="114"/>
      <c r="G21" s="114"/>
      <c r="H21" s="114"/>
      <c r="I21" s="114"/>
      <c r="J21" s="115"/>
      <c r="K21" s="25"/>
      <c r="L21" s="25"/>
      <c r="M21" s="25"/>
      <c r="N21" s="25"/>
      <c r="O21" s="25"/>
      <c r="P21" s="25"/>
      <c r="Q21" s="25"/>
      <c r="R21" s="25"/>
      <c r="S21" s="25"/>
      <c r="T21" s="25"/>
      <c r="U21" s="25"/>
    </row>
    <row r="22" spans="1:21">
      <c r="A22" s="25"/>
      <c r="B22" s="25"/>
      <c r="C22" s="25"/>
      <c r="D22" s="25"/>
      <c r="E22" s="25"/>
      <c r="F22" s="25"/>
      <c r="G22" s="25"/>
      <c r="H22" s="25"/>
      <c r="I22" s="25"/>
      <c r="J22" s="25"/>
      <c r="K22" s="25"/>
      <c r="L22" s="25"/>
      <c r="M22" s="25"/>
      <c r="N22" s="25"/>
      <c r="O22" s="25"/>
      <c r="P22" s="25"/>
      <c r="Q22" s="25"/>
      <c r="R22" s="25"/>
      <c r="S22" s="25"/>
      <c r="T22" s="25"/>
      <c r="U22" s="25"/>
    </row>
    <row r="23" spans="1:21" ht="13" thickBot="1">
      <c r="A23" s="25"/>
      <c r="B23" s="869"/>
      <c r="C23" s="869"/>
      <c r="D23" s="869"/>
      <c r="E23" s="869"/>
      <c r="F23" s="869"/>
      <c r="G23" s="869"/>
      <c r="H23" s="869"/>
      <c r="I23" s="869"/>
      <c r="J23" s="869"/>
      <c r="K23" s="25"/>
      <c r="L23" s="25"/>
      <c r="M23" s="25"/>
      <c r="N23" s="25"/>
      <c r="O23" s="25"/>
      <c r="P23" s="25"/>
      <c r="Q23" s="25"/>
      <c r="R23" s="25"/>
      <c r="S23" s="25"/>
      <c r="T23" s="25"/>
      <c r="U23" s="25"/>
    </row>
    <row r="24" spans="1:21" ht="13">
      <c r="A24" s="25"/>
      <c r="B24" s="867" t="s">
        <v>28</v>
      </c>
      <c r="C24" s="103"/>
      <c r="D24" s="103"/>
      <c r="E24" s="103"/>
      <c r="F24" s="103"/>
      <c r="G24" s="103"/>
      <c r="H24" s="103"/>
      <c r="I24" s="103"/>
      <c r="J24" s="107"/>
      <c r="K24" s="25"/>
      <c r="L24" s="25"/>
      <c r="M24" s="25"/>
      <c r="N24" s="25"/>
      <c r="O24" s="25"/>
      <c r="P24" s="25"/>
      <c r="Q24" s="25"/>
      <c r="R24" s="25"/>
      <c r="S24" s="25"/>
      <c r="T24" s="25"/>
      <c r="U24" s="25"/>
    </row>
    <row r="25" spans="1:21">
      <c r="A25" s="25"/>
      <c r="B25" s="102" t="s">
        <v>332</v>
      </c>
      <c r="C25" s="103"/>
      <c r="D25" s="103"/>
      <c r="E25" s="103"/>
      <c r="F25" s="103"/>
      <c r="G25" s="103"/>
      <c r="H25" s="103"/>
      <c r="I25" s="103"/>
      <c r="J25" s="107"/>
      <c r="K25" s="25"/>
      <c r="L25" s="25"/>
      <c r="M25" s="25"/>
      <c r="N25" s="25"/>
      <c r="O25" s="25"/>
      <c r="P25" s="25"/>
      <c r="Q25" s="25"/>
      <c r="R25" s="25"/>
      <c r="S25" s="25"/>
      <c r="T25" s="25"/>
      <c r="U25" s="25"/>
    </row>
    <row r="26" spans="1:21" ht="13">
      <c r="A26" s="25"/>
      <c r="B26" s="861" t="s">
        <v>341</v>
      </c>
      <c r="C26" s="858">
        <f>Orbit!O98</f>
        <v>17.429200000000002</v>
      </c>
      <c r="D26" s="103" t="s">
        <v>4</v>
      </c>
      <c r="E26" s="103"/>
      <c r="F26" s="103"/>
      <c r="G26" s="103"/>
      <c r="H26" s="103"/>
      <c r="I26" s="103"/>
      <c r="J26" s="107"/>
      <c r="K26" s="25"/>
      <c r="L26" s="25"/>
      <c r="M26" s="25"/>
      <c r="N26" s="25"/>
      <c r="O26" s="25"/>
      <c r="P26" s="25"/>
      <c r="Q26" s="25"/>
      <c r="R26" s="25"/>
      <c r="S26" s="25"/>
      <c r="T26" s="25"/>
      <c r="U26" s="25"/>
    </row>
    <row r="27" spans="1:21">
      <c r="A27" s="25"/>
      <c r="B27" s="102" t="s">
        <v>342</v>
      </c>
      <c r="C27" s="33">
        <f>IF(C26&gt;0,1,0)</f>
        <v>1</v>
      </c>
      <c r="D27" s="103"/>
      <c r="E27" s="103" t="s">
        <v>817</v>
      </c>
      <c r="F27" s="103"/>
      <c r="G27" s="103" t="s">
        <v>343</v>
      </c>
      <c r="H27" s="103"/>
      <c r="I27" s="103"/>
      <c r="J27" s="107"/>
      <c r="K27" s="25"/>
      <c r="L27" s="25"/>
      <c r="M27" s="25"/>
      <c r="N27" s="25"/>
      <c r="O27" s="25"/>
      <c r="P27" s="25"/>
      <c r="Q27" s="25"/>
      <c r="R27" s="25"/>
      <c r="S27" s="25"/>
      <c r="T27" s="25"/>
      <c r="U27" s="25"/>
    </row>
    <row r="28" spans="1:21">
      <c r="A28" s="25"/>
      <c r="B28" s="102"/>
      <c r="C28" s="33">
        <f>N(NOT(C27))</f>
        <v>0</v>
      </c>
      <c r="D28" s="103"/>
      <c r="E28" s="103"/>
      <c r="F28" s="103"/>
      <c r="G28" s="103" t="s">
        <v>344</v>
      </c>
      <c r="H28" s="103"/>
      <c r="I28" s="103"/>
      <c r="J28" s="107"/>
      <c r="K28" s="25"/>
      <c r="L28" s="25"/>
      <c r="M28" s="25"/>
      <c r="N28" s="25"/>
      <c r="O28" s="25"/>
      <c r="P28" s="25"/>
      <c r="Q28" s="25"/>
      <c r="R28" s="25"/>
      <c r="S28" s="25"/>
      <c r="T28" s="25"/>
      <c r="U28" s="25"/>
    </row>
    <row r="29" spans="1:21" ht="13">
      <c r="A29" s="25"/>
      <c r="B29" s="862" t="s">
        <v>348</v>
      </c>
      <c r="C29" s="858">
        <f>Orbit!O101</f>
        <v>-11.034199999999998</v>
      </c>
      <c r="D29" s="103" t="s">
        <v>4</v>
      </c>
      <c r="E29" s="103" t="s">
        <v>817</v>
      </c>
      <c r="F29" s="103"/>
      <c r="G29" s="103" t="s">
        <v>817</v>
      </c>
      <c r="H29" s="103"/>
      <c r="I29" s="103"/>
      <c r="J29" s="107"/>
      <c r="K29" s="25"/>
      <c r="L29" s="25"/>
      <c r="M29" s="25"/>
      <c r="N29" s="25" t="s">
        <v>817</v>
      </c>
      <c r="O29" s="25"/>
      <c r="P29" s="25"/>
      <c r="Q29" s="25"/>
      <c r="R29" s="25"/>
      <c r="S29" s="25"/>
      <c r="T29" s="25"/>
      <c r="U29" s="25"/>
    </row>
    <row r="30" spans="1:21">
      <c r="A30" s="25"/>
      <c r="B30" s="102" t="s">
        <v>333</v>
      </c>
      <c r="C30" s="33">
        <f>IF(C29&gt;0,1,0)</f>
        <v>0</v>
      </c>
      <c r="D30" s="103"/>
      <c r="E30" s="103"/>
      <c r="F30" s="103"/>
      <c r="G30" s="103" t="s">
        <v>345</v>
      </c>
      <c r="H30" s="103"/>
      <c r="I30" s="103"/>
      <c r="J30" s="107"/>
      <c r="K30" s="25"/>
      <c r="L30" s="25"/>
      <c r="M30" s="25"/>
      <c r="N30" s="25"/>
      <c r="O30" s="25"/>
      <c r="P30" s="25"/>
      <c r="Q30" s="25"/>
      <c r="R30" s="25"/>
      <c r="S30" s="25"/>
      <c r="T30" s="25"/>
      <c r="U30" s="25"/>
    </row>
    <row r="31" spans="1:21">
      <c r="A31" s="25"/>
      <c r="B31" s="102"/>
      <c r="C31" s="33">
        <f>N(NOT(C30))</f>
        <v>1</v>
      </c>
      <c r="D31" s="103"/>
      <c r="E31" s="103"/>
      <c r="F31" s="103"/>
      <c r="G31" s="103" t="s">
        <v>346</v>
      </c>
      <c r="H31" s="103"/>
      <c r="I31" s="103"/>
      <c r="J31" s="107"/>
      <c r="K31" s="25"/>
      <c r="L31" s="25"/>
      <c r="M31" s="25"/>
      <c r="N31" s="25"/>
      <c r="O31" s="25"/>
      <c r="P31" s="25"/>
      <c r="Q31" s="25"/>
      <c r="R31" s="25"/>
      <c r="S31" s="25"/>
      <c r="T31" s="25"/>
      <c r="U31" s="25"/>
    </row>
    <row r="32" spans="1:21">
      <c r="A32" s="25"/>
      <c r="B32" s="102"/>
      <c r="C32" s="865" t="s">
        <v>356</v>
      </c>
      <c r="D32" s="103"/>
      <c r="E32" s="865" t="s">
        <v>354</v>
      </c>
      <c r="F32" s="103"/>
      <c r="G32" s="865" t="s">
        <v>355</v>
      </c>
      <c r="H32" s="103"/>
      <c r="I32" s="103"/>
      <c r="J32" s="107"/>
      <c r="K32" s="25"/>
      <c r="L32" s="25"/>
      <c r="M32" s="25"/>
      <c r="N32" s="25"/>
      <c r="O32" s="25"/>
      <c r="P32" s="25"/>
      <c r="Q32" s="25"/>
      <c r="R32" s="25"/>
      <c r="S32" s="25"/>
      <c r="T32" s="25"/>
      <c r="U32" s="25"/>
    </row>
    <row r="33" spans="1:21">
      <c r="A33" s="25"/>
      <c r="B33" s="863" t="s">
        <v>334</v>
      </c>
      <c r="C33" s="33">
        <f>N(AND(C28,C31))</f>
        <v>0</v>
      </c>
      <c r="D33" s="103"/>
      <c r="E33" s="864">
        <f>C33*(-C38)</f>
        <v>0</v>
      </c>
      <c r="F33" s="103" t="s">
        <v>4</v>
      </c>
      <c r="G33" s="103" t="s">
        <v>338</v>
      </c>
      <c r="H33" s="103"/>
      <c r="I33" s="103"/>
      <c r="J33" s="107"/>
      <c r="K33" s="25"/>
      <c r="L33" s="25"/>
      <c r="M33" s="25"/>
      <c r="N33" s="25"/>
      <c r="O33" s="25"/>
      <c r="P33" s="25"/>
      <c r="Q33" s="25"/>
      <c r="R33" s="25"/>
      <c r="S33" s="25"/>
      <c r="T33" s="25"/>
      <c r="U33" s="25"/>
    </row>
    <row r="34" spans="1:21">
      <c r="A34" s="25"/>
      <c r="B34" s="102" t="s">
        <v>336</v>
      </c>
      <c r="C34" s="33">
        <f>N(AND(C27,C31))</f>
        <v>1</v>
      </c>
      <c r="D34" s="103"/>
      <c r="E34" s="864">
        <f>C34*(180-C38)</f>
        <v>146.93483583660557</v>
      </c>
      <c r="F34" s="103" t="s">
        <v>4</v>
      </c>
      <c r="G34" s="103" t="s">
        <v>340</v>
      </c>
      <c r="H34" s="103"/>
      <c r="I34" s="103"/>
      <c r="J34" s="107"/>
      <c r="K34" s="25"/>
      <c r="L34" s="25"/>
      <c r="M34" s="25"/>
      <c r="N34" s="25"/>
      <c r="O34" s="25"/>
      <c r="P34" s="25"/>
      <c r="Q34" s="25"/>
      <c r="R34" s="25"/>
      <c r="S34" s="25"/>
      <c r="T34" s="25"/>
      <c r="U34" s="25"/>
    </row>
    <row r="35" spans="1:21">
      <c r="A35" s="25"/>
      <c r="B35" s="863" t="s">
        <v>337</v>
      </c>
      <c r="C35" s="33">
        <f>N(AND(C27,C30))</f>
        <v>0</v>
      </c>
      <c r="D35" s="103"/>
      <c r="E35" s="864">
        <f>C35*(180-C38)</f>
        <v>0</v>
      </c>
      <c r="F35" s="103" t="s">
        <v>4</v>
      </c>
      <c r="G35" s="103" t="s">
        <v>347</v>
      </c>
      <c r="H35" s="103"/>
      <c r="I35" s="103"/>
      <c r="J35" s="107"/>
      <c r="K35" s="25"/>
      <c r="L35" s="25"/>
      <c r="M35" s="25"/>
      <c r="N35" s="25"/>
      <c r="O35" s="25"/>
      <c r="P35" s="25"/>
      <c r="Q35" s="25"/>
      <c r="R35" s="25"/>
      <c r="S35" s="25"/>
      <c r="T35" s="25"/>
      <c r="U35" s="25"/>
    </row>
    <row r="36" spans="1:21">
      <c r="A36" s="25"/>
      <c r="B36" s="863" t="s">
        <v>335</v>
      </c>
      <c r="C36" s="33">
        <f>N(AND(C28,C30))</f>
        <v>0</v>
      </c>
      <c r="D36" s="103"/>
      <c r="E36" s="864">
        <f>C36*(360-C38)</f>
        <v>0</v>
      </c>
      <c r="F36" s="103" t="s">
        <v>4</v>
      </c>
      <c r="G36" s="103" t="s">
        <v>339</v>
      </c>
      <c r="H36" s="103"/>
      <c r="I36" s="103"/>
      <c r="J36" s="107"/>
      <c r="K36" s="25"/>
      <c r="L36" s="25"/>
      <c r="M36" s="25"/>
      <c r="N36" s="25"/>
      <c r="O36" s="25"/>
      <c r="P36" s="25"/>
      <c r="Q36" s="25"/>
      <c r="R36" s="25"/>
      <c r="S36" s="25"/>
      <c r="T36" s="25"/>
      <c r="U36" s="25"/>
    </row>
    <row r="37" spans="1:21">
      <c r="A37" s="25"/>
      <c r="B37" s="102"/>
      <c r="C37" s="103"/>
      <c r="D37" s="103"/>
      <c r="E37" s="103"/>
      <c r="F37" s="103"/>
      <c r="G37" s="103"/>
      <c r="H37" s="103"/>
      <c r="I37" s="103"/>
      <c r="J37" s="107"/>
      <c r="K37" s="25"/>
      <c r="L37" s="25"/>
      <c r="M37" s="25"/>
      <c r="N37" s="25"/>
      <c r="O37" s="25"/>
      <c r="P37" s="25"/>
      <c r="Q37" s="25"/>
      <c r="R37" s="25"/>
      <c r="S37" s="25"/>
      <c r="T37" s="25"/>
      <c r="U37" s="25"/>
    </row>
    <row r="38" spans="1:21" ht="13">
      <c r="A38" s="25"/>
      <c r="B38" s="861" t="s">
        <v>349</v>
      </c>
      <c r="C38" s="857">
        <f>Orbit!O107</f>
        <v>33.065164163394428</v>
      </c>
      <c r="D38" s="103" t="s">
        <v>4</v>
      </c>
      <c r="E38" s="103"/>
      <c r="F38" s="103"/>
      <c r="G38" s="103"/>
      <c r="H38" s="103"/>
      <c r="I38" s="103"/>
      <c r="J38" s="107"/>
      <c r="K38" s="25"/>
      <c r="L38" s="25"/>
      <c r="M38" s="25"/>
      <c r="N38" s="25"/>
      <c r="O38" s="25"/>
      <c r="P38" s="25"/>
      <c r="Q38" s="25"/>
      <c r="R38" s="25"/>
      <c r="S38" s="25"/>
      <c r="T38" s="25"/>
      <c r="U38" s="25"/>
    </row>
    <row r="39" spans="1:21">
      <c r="A39" s="25"/>
      <c r="B39" s="102"/>
      <c r="C39" s="103"/>
      <c r="D39" s="103"/>
      <c r="E39" s="103"/>
      <c r="F39" s="103"/>
      <c r="G39" s="103"/>
      <c r="H39" s="103"/>
      <c r="I39" s="103"/>
      <c r="J39" s="107"/>
      <c r="K39" s="25"/>
      <c r="L39" s="25"/>
      <c r="M39" s="25"/>
      <c r="N39" s="25"/>
      <c r="O39" s="25"/>
      <c r="P39" s="25"/>
      <c r="Q39" s="25"/>
      <c r="R39" s="25"/>
      <c r="S39" s="25"/>
      <c r="T39" s="25"/>
      <c r="U39" s="25"/>
    </row>
    <row r="40" spans="1:21" ht="13">
      <c r="A40" s="25"/>
      <c r="B40" s="861" t="s">
        <v>350</v>
      </c>
      <c r="C40" s="103"/>
      <c r="D40" s="103"/>
      <c r="E40" s="859">
        <f>SUM(E33:E36)</f>
        <v>146.93483583660557</v>
      </c>
      <c r="F40" s="417" t="s">
        <v>4</v>
      </c>
      <c r="G40" s="103"/>
      <c r="H40" s="103"/>
      <c r="I40" s="103"/>
      <c r="J40" s="107"/>
      <c r="K40" s="25"/>
      <c r="L40" s="25"/>
      <c r="M40" s="25"/>
      <c r="N40" s="25"/>
      <c r="O40" s="25"/>
      <c r="P40" s="25"/>
      <c r="Q40" s="25"/>
      <c r="R40" s="25"/>
      <c r="S40" s="25"/>
      <c r="T40" s="25"/>
      <c r="U40" s="25"/>
    </row>
    <row r="41" spans="1:21">
      <c r="A41" s="25"/>
      <c r="B41" s="102"/>
      <c r="C41" s="103"/>
      <c r="D41" s="103"/>
      <c r="E41" s="103"/>
      <c r="F41" s="103"/>
      <c r="G41" s="103"/>
      <c r="H41" s="103"/>
      <c r="I41" s="103"/>
      <c r="J41" s="107"/>
      <c r="K41" s="25"/>
      <c r="L41" s="25"/>
      <c r="M41" s="25"/>
      <c r="N41" s="25"/>
      <c r="O41" s="25"/>
      <c r="P41" s="25"/>
      <c r="Q41" s="25"/>
      <c r="R41" s="25"/>
      <c r="S41" s="25"/>
      <c r="T41" s="25"/>
      <c r="U41" s="25"/>
    </row>
    <row r="42" spans="1:21" ht="13" thickBot="1">
      <c r="A42" s="25"/>
      <c r="B42" s="113"/>
      <c r="C42" s="114"/>
      <c r="D42" s="114"/>
      <c r="E42" s="114"/>
      <c r="F42" s="114"/>
      <c r="G42" s="114"/>
      <c r="H42" s="114"/>
      <c r="I42" s="114"/>
      <c r="J42" s="115"/>
      <c r="K42" s="25"/>
      <c r="L42" s="25"/>
      <c r="M42" s="25"/>
      <c r="N42" s="25"/>
      <c r="O42" s="25"/>
      <c r="P42" s="25"/>
      <c r="Q42" s="25"/>
      <c r="R42" s="25"/>
      <c r="S42" s="25"/>
      <c r="T42" s="25"/>
      <c r="U42" s="25"/>
    </row>
    <row r="43" spans="1:21">
      <c r="A43" s="25"/>
      <c r="B43" s="25"/>
      <c r="C43" s="25"/>
      <c r="D43" s="25"/>
      <c r="E43" s="25"/>
      <c r="F43" s="25"/>
      <c r="G43" s="25"/>
      <c r="H43" s="25"/>
      <c r="I43" s="25"/>
      <c r="J43" s="25"/>
      <c r="K43" s="25"/>
      <c r="L43" s="25"/>
      <c r="M43" s="25"/>
      <c r="N43" s="25"/>
      <c r="O43" s="25"/>
      <c r="P43" s="25"/>
      <c r="Q43" s="25"/>
      <c r="R43" s="25"/>
      <c r="S43" s="25"/>
      <c r="T43" s="25"/>
      <c r="U43" s="25"/>
    </row>
    <row r="44" spans="1:21">
      <c r="A44" s="25"/>
      <c r="B44" s="25"/>
      <c r="C44" s="25"/>
      <c r="D44" s="25"/>
      <c r="E44" s="25"/>
      <c r="F44" s="25"/>
      <c r="G44" s="25"/>
      <c r="H44" s="25"/>
      <c r="I44" s="25"/>
      <c r="J44" s="25"/>
      <c r="K44" s="25"/>
      <c r="L44" s="25"/>
      <c r="M44" s="25"/>
      <c r="N44" s="25"/>
      <c r="O44" s="25"/>
      <c r="P44" s="25"/>
      <c r="Q44" s="25"/>
      <c r="R44" s="25"/>
      <c r="S44" s="25"/>
      <c r="T44" s="25"/>
      <c r="U44" s="25"/>
    </row>
    <row r="45" spans="1:21">
      <c r="A45" s="25"/>
      <c r="B45" s="25"/>
      <c r="C45" s="25"/>
      <c r="D45" s="25"/>
      <c r="E45" s="25"/>
      <c r="F45" s="25"/>
      <c r="G45" s="25"/>
      <c r="H45" s="25"/>
      <c r="I45" s="25"/>
      <c r="J45" s="25"/>
      <c r="K45" s="25"/>
      <c r="L45" s="25"/>
      <c r="M45" s="25"/>
      <c r="N45" s="25"/>
      <c r="O45" s="25"/>
      <c r="P45" s="25"/>
      <c r="Q45" s="25"/>
      <c r="R45" s="25"/>
      <c r="S45" s="25"/>
      <c r="T45" s="25"/>
      <c r="U45" s="25"/>
    </row>
    <row r="46" spans="1:21">
      <c r="A46" s="25"/>
      <c r="B46" s="25"/>
      <c r="C46" s="25"/>
      <c r="D46" s="25"/>
      <c r="E46" s="25"/>
      <c r="F46" s="25"/>
      <c r="G46" s="25"/>
      <c r="H46" s="25"/>
      <c r="I46" s="25"/>
      <c r="J46" s="25"/>
      <c r="K46" s="25"/>
      <c r="L46" s="25"/>
      <c r="M46" s="25"/>
      <c r="N46" s="25"/>
      <c r="O46" s="25"/>
      <c r="P46" s="25"/>
      <c r="Q46" s="25"/>
      <c r="R46" s="25"/>
      <c r="S46" s="25"/>
      <c r="T46" s="25"/>
      <c r="U46" s="25"/>
    </row>
    <row r="47" spans="1:21">
      <c r="A47" s="25"/>
      <c r="B47" s="25"/>
      <c r="C47" s="25"/>
      <c r="D47" s="25"/>
      <c r="E47" s="25"/>
      <c r="F47" s="25"/>
      <c r="G47" s="25"/>
      <c r="H47" s="25"/>
      <c r="I47" s="25"/>
      <c r="J47" s="25"/>
      <c r="K47" s="25"/>
      <c r="L47" s="25"/>
      <c r="M47" s="25"/>
      <c r="N47" s="25"/>
      <c r="O47" s="25"/>
      <c r="P47" s="25"/>
      <c r="Q47" s="25"/>
      <c r="R47" s="25"/>
      <c r="S47" s="25"/>
      <c r="T47" s="25"/>
      <c r="U47" s="25"/>
    </row>
    <row r="48" spans="1:21">
      <c r="A48" s="25"/>
      <c r="B48" s="25"/>
      <c r="C48" s="25"/>
      <c r="D48" s="25"/>
      <c r="E48" s="25"/>
      <c r="F48" s="25"/>
      <c r="G48" s="25"/>
      <c r="H48" s="25"/>
      <c r="I48" s="25"/>
      <c r="J48" s="25"/>
      <c r="K48" s="25"/>
      <c r="L48" s="25"/>
      <c r="M48" s="25"/>
      <c r="N48" s="25"/>
      <c r="O48" s="25"/>
      <c r="P48" s="25"/>
      <c r="Q48" s="25"/>
      <c r="R48" s="25"/>
      <c r="S48" s="25"/>
      <c r="T48" s="25"/>
      <c r="U48" s="25"/>
    </row>
    <row r="49" spans="1:21">
      <c r="A49" s="25"/>
      <c r="B49" s="25"/>
      <c r="C49" s="25"/>
      <c r="D49" s="25"/>
      <c r="E49" s="25"/>
      <c r="F49" s="25"/>
      <c r="G49" s="25"/>
      <c r="H49" s="25"/>
      <c r="I49" s="25"/>
      <c r="J49" s="25"/>
      <c r="K49" s="25"/>
      <c r="L49" s="25"/>
      <c r="M49" s="25"/>
      <c r="N49" s="25"/>
      <c r="O49" s="25"/>
      <c r="P49" s="25"/>
      <c r="Q49" s="25"/>
      <c r="R49" s="25"/>
      <c r="S49" s="25"/>
      <c r="T49" s="25"/>
      <c r="U49" s="25"/>
    </row>
    <row r="50" spans="1:21">
      <c r="A50" s="25"/>
      <c r="B50" s="25"/>
      <c r="C50" s="25"/>
      <c r="D50" s="25"/>
      <c r="E50" s="25"/>
      <c r="F50" s="25"/>
      <c r="G50" s="25"/>
      <c r="H50" s="25"/>
      <c r="I50" s="25"/>
      <c r="J50" s="25"/>
      <c r="K50" s="25"/>
      <c r="L50" s="25"/>
      <c r="M50" s="25"/>
      <c r="N50" s="25"/>
      <c r="O50" s="25"/>
      <c r="P50" s="25"/>
      <c r="Q50" s="25"/>
      <c r="R50" s="25"/>
      <c r="S50" s="25"/>
      <c r="T50" s="25"/>
      <c r="U50" s="25"/>
    </row>
    <row r="51" spans="1:21">
      <c r="A51" s="25"/>
      <c r="B51" s="25"/>
      <c r="C51" s="25"/>
      <c r="D51" s="25"/>
      <c r="E51" s="25"/>
      <c r="F51" s="25"/>
      <c r="G51" s="25"/>
      <c r="H51" s="25"/>
      <c r="I51" s="25"/>
      <c r="J51" s="25"/>
      <c r="K51" s="25"/>
      <c r="L51" s="25"/>
      <c r="M51" s="25"/>
      <c r="N51" s="25"/>
      <c r="O51" s="25"/>
      <c r="P51" s="25"/>
      <c r="Q51" s="25"/>
      <c r="R51" s="25"/>
      <c r="S51" s="25"/>
      <c r="T51" s="25"/>
      <c r="U51" s="25"/>
    </row>
    <row r="52" spans="1:21">
      <c r="A52" s="25"/>
      <c r="B52" s="25"/>
      <c r="C52" s="25"/>
      <c r="D52" s="25"/>
      <c r="E52" s="25"/>
      <c r="F52" s="25"/>
      <c r="G52" s="25"/>
      <c r="H52" s="25"/>
      <c r="I52" s="25"/>
      <c r="J52" s="25"/>
      <c r="K52" s="25"/>
      <c r="L52" s="25"/>
      <c r="M52" s="25"/>
      <c r="N52" s="25"/>
      <c r="O52" s="25"/>
      <c r="P52" s="25"/>
      <c r="Q52" s="25"/>
      <c r="R52" s="25"/>
      <c r="S52" s="25"/>
      <c r="T52" s="25"/>
      <c r="U52" s="25"/>
    </row>
    <row r="53" spans="1:21">
      <c r="A53" s="25"/>
      <c r="B53" s="25"/>
      <c r="C53" s="25"/>
      <c r="D53" s="25"/>
      <c r="E53" s="25"/>
      <c r="F53" s="25"/>
      <c r="G53" s="25"/>
      <c r="H53" s="25"/>
      <c r="I53" s="25"/>
      <c r="J53" s="25"/>
      <c r="K53" s="25"/>
      <c r="L53" s="25"/>
      <c r="M53" s="25"/>
      <c r="N53" s="25"/>
      <c r="O53" s="25"/>
      <c r="P53" s="25"/>
      <c r="Q53" s="25"/>
      <c r="R53" s="25"/>
      <c r="S53" s="25"/>
      <c r="T53" s="25"/>
      <c r="U53" s="25"/>
    </row>
    <row r="54" spans="1:21">
      <c r="A54" s="25"/>
      <c r="B54" s="25"/>
      <c r="C54" s="25"/>
      <c r="D54" s="25"/>
      <c r="E54" s="25"/>
      <c r="F54" s="25"/>
      <c r="G54" s="25"/>
      <c r="H54" s="25"/>
      <c r="I54" s="25"/>
      <c r="J54" s="25"/>
      <c r="K54" s="25"/>
      <c r="L54" s="25"/>
      <c r="M54" s="25"/>
      <c r="N54" s="25"/>
      <c r="O54" s="25"/>
      <c r="P54" s="25"/>
      <c r="Q54" s="25"/>
      <c r="R54" s="25"/>
      <c r="S54" s="25"/>
      <c r="T54" s="25"/>
      <c r="U54" s="25"/>
    </row>
    <row r="55" spans="1:21">
      <c r="A55" s="25"/>
      <c r="B55" s="25"/>
      <c r="C55" s="25"/>
      <c r="D55" s="25"/>
      <c r="E55" s="25"/>
      <c r="F55" s="25"/>
      <c r="G55" s="25"/>
      <c r="H55" s="25"/>
      <c r="I55" s="25"/>
      <c r="J55" s="25"/>
      <c r="K55" s="25"/>
      <c r="L55" s="25"/>
      <c r="M55" s="25"/>
      <c r="N55" s="25"/>
      <c r="O55" s="25"/>
      <c r="P55" s="25"/>
      <c r="Q55" s="25"/>
      <c r="R55" s="25"/>
      <c r="S55" s="25"/>
      <c r="T55" s="25"/>
      <c r="U55" s="25"/>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A2" sqref="A2"/>
    </sheetView>
  </sheetViews>
  <sheetFormatPr defaultColWidth="8.81640625" defaultRowHeight="12.5"/>
  <sheetData>
    <row r="1" spans="1:9" ht="13">
      <c r="A1" t="s">
        <v>304</v>
      </c>
      <c r="B1" s="20"/>
      <c r="C1" s="20"/>
      <c r="D1" s="20"/>
    </row>
    <row r="2" spans="1:9">
      <c r="A2" s="345" t="s">
        <v>140</v>
      </c>
      <c r="B2" s="20" t="s">
        <v>836</v>
      </c>
      <c r="C2" s="20" t="s">
        <v>835</v>
      </c>
      <c r="D2" s="20" t="s">
        <v>837</v>
      </c>
      <c r="E2" s="20" t="s">
        <v>839</v>
      </c>
      <c r="F2" s="20" t="s">
        <v>838</v>
      </c>
      <c r="G2" s="20" t="s">
        <v>840</v>
      </c>
      <c r="I2" t="s">
        <v>817</v>
      </c>
    </row>
    <row r="3" spans="1:9">
      <c r="B3" s="20">
        <f>SQRT(D3-(C3)^2)</f>
        <v>3.5199431813596083</v>
      </c>
      <c r="C3" s="21">
        <v>-1.9</v>
      </c>
      <c r="D3" s="21">
        <v>16</v>
      </c>
      <c r="E3" s="20">
        <f>SQRT(G3-(F4)^2)</f>
        <v>3.5745629103430252</v>
      </c>
      <c r="F3" s="20">
        <v>-1.9</v>
      </c>
      <c r="G3" s="21">
        <v>16.2</v>
      </c>
      <c r="I3" t="s">
        <v>817</v>
      </c>
    </row>
    <row r="4" spans="1:9">
      <c r="B4" s="20">
        <f t="shared" ref="B4:B40" si="0">SQRT(D4-(C4)^2)</f>
        <v>3.5464771252610667</v>
      </c>
      <c r="C4" s="21">
        <f>C3+0.05</f>
        <v>-1.8499999999999999</v>
      </c>
      <c r="D4" s="21">
        <v>16</v>
      </c>
      <c r="E4" s="20">
        <f t="shared" ref="E4:E40" si="1">SQRT(G4-(F5)^2)</f>
        <v>3.6</v>
      </c>
      <c r="F4" s="20">
        <f>F3+0.05</f>
        <v>-1.8499999999999999</v>
      </c>
      <c r="G4" s="21">
        <v>16.2</v>
      </c>
    </row>
    <row r="5" spans="1:9">
      <c r="B5" s="20">
        <f t="shared" si="0"/>
        <v>3.5721142198983507</v>
      </c>
      <c r="C5" s="21">
        <f t="shared" ref="C5:C40" si="2">C4+0.05</f>
        <v>-1.7999999999999998</v>
      </c>
      <c r="D5" s="21">
        <v>16</v>
      </c>
      <c r="E5" s="20">
        <f t="shared" si="1"/>
        <v>3.6245689398878866</v>
      </c>
      <c r="F5" s="21">
        <f t="shared" ref="F5:F40" si="3">F4+0.05</f>
        <v>-1.7999999999999998</v>
      </c>
      <c r="G5" s="21">
        <v>16.2</v>
      </c>
    </row>
    <row r="6" spans="1:9">
      <c r="B6" s="20">
        <f t="shared" si="0"/>
        <v>3.5968736424845398</v>
      </c>
      <c r="C6" s="21">
        <f t="shared" si="2"/>
        <v>-1.7499999999999998</v>
      </c>
      <c r="D6" s="21">
        <v>16</v>
      </c>
      <c r="E6" s="20">
        <f t="shared" si="1"/>
        <v>3.6482872693909401</v>
      </c>
      <c r="F6" s="21">
        <f t="shared" si="3"/>
        <v>-1.7499999999999998</v>
      </c>
      <c r="G6" s="21">
        <v>16.2</v>
      </c>
    </row>
    <row r="7" spans="1:9">
      <c r="B7" s="20">
        <f t="shared" si="0"/>
        <v>3.6207733980463348</v>
      </c>
      <c r="C7" s="21">
        <f t="shared" si="2"/>
        <v>-1.6999999999999997</v>
      </c>
      <c r="D7" s="21">
        <v>16</v>
      </c>
      <c r="E7" s="20">
        <f t="shared" si="1"/>
        <v>3.6711714751561253</v>
      </c>
      <c r="F7" s="21">
        <f t="shared" si="3"/>
        <v>-1.6999999999999997</v>
      </c>
      <c r="G7" s="21">
        <v>16.2</v>
      </c>
    </row>
    <row r="8" spans="1:9">
      <c r="B8" s="20">
        <f t="shared" si="0"/>
        <v>3.6438304022004102</v>
      </c>
      <c r="C8" s="21">
        <f t="shared" si="2"/>
        <v>-1.6499999999999997</v>
      </c>
      <c r="D8" s="21">
        <v>16</v>
      </c>
      <c r="E8" s="20">
        <f t="shared" si="1"/>
        <v>3.6932370625238775</v>
      </c>
      <c r="F8" s="21">
        <f t="shared" si="3"/>
        <v>-1.6499999999999997</v>
      </c>
      <c r="G8" s="21">
        <v>16.2</v>
      </c>
    </row>
    <row r="9" spans="1:9">
      <c r="B9" s="20">
        <f t="shared" si="0"/>
        <v>3.6660605559646724</v>
      </c>
      <c r="C9" s="21">
        <f t="shared" si="2"/>
        <v>-1.5999999999999996</v>
      </c>
      <c r="D9" s="21">
        <v>16</v>
      </c>
      <c r="E9" s="20">
        <f t="shared" si="1"/>
        <v>3.7144986202716512</v>
      </c>
      <c r="F9" s="21">
        <f t="shared" si="3"/>
        <v>-1.5999999999999996</v>
      </c>
      <c r="G9" s="21">
        <v>16.2</v>
      </c>
    </row>
    <row r="10" spans="1:9">
      <c r="B10" s="20">
        <f t="shared" si="0"/>
        <v>3.6874788134984584</v>
      </c>
      <c r="C10" s="21">
        <f t="shared" si="2"/>
        <v>-1.5499999999999996</v>
      </c>
      <c r="D10" s="21">
        <v>16</v>
      </c>
      <c r="E10" s="20">
        <f t="shared" si="1"/>
        <v>3.73496987939662</v>
      </c>
      <c r="F10" s="21">
        <f t="shared" si="3"/>
        <v>-1.5499999999999996</v>
      </c>
      <c r="G10" s="21">
        <v>16.2</v>
      </c>
    </row>
    <row r="11" spans="1:9">
      <c r="B11" s="20">
        <f t="shared" si="0"/>
        <v>3.7080992435478319</v>
      </c>
      <c r="C11" s="21">
        <f t="shared" si="2"/>
        <v>-1.4999999999999996</v>
      </c>
      <c r="D11" s="21">
        <v>16</v>
      </c>
      <c r="E11" s="20">
        <f t="shared" si="1"/>
        <v>3.7546637665708498</v>
      </c>
      <c r="F11" s="21">
        <f t="shared" si="3"/>
        <v>-1.4999999999999996</v>
      </c>
      <c r="G11" s="21">
        <v>16.2</v>
      </c>
    </row>
    <row r="12" spans="1:9">
      <c r="B12" s="20">
        <f t="shared" si="0"/>
        <v>3.7279350852717381</v>
      </c>
      <c r="C12" s="21">
        <f t="shared" si="2"/>
        <v>-1.4499999999999995</v>
      </c>
      <c r="D12" s="21">
        <v>16</v>
      </c>
      <c r="E12" s="20">
        <f t="shared" si="1"/>
        <v>3.7735924528226414</v>
      </c>
      <c r="F12" s="21">
        <f t="shared" si="3"/>
        <v>-1.4499999999999995</v>
      </c>
      <c r="G12" s="21">
        <v>16.2</v>
      </c>
    </row>
    <row r="13" spans="1:9">
      <c r="B13" s="20">
        <f t="shared" si="0"/>
        <v>3.746998799039039</v>
      </c>
      <c r="C13" s="21">
        <f t="shared" si="2"/>
        <v>-1.3999999999999995</v>
      </c>
      <c r="D13" s="21">
        <v>16</v>
      </c>
      <c r="E13" s="20">
        <f t="shared" si="1"/>
        <v>3.7917673979293616</v>
      </c>
      <c r="F13" s="21">
        <f t="shared" si="3"/>
        <v>-1.3999999999999995</v>
      </c>
      <c r="G13" s="21">
        <v>16.2</v>
      </c>
    </row>
    <row r="14" spans="1:9">
      <c r="B14" s="20">
        <f t="shared" si="0"/>
        <v>3.7653021127128699</v>
      </c>
      <c r="C14" s="21">
        <f t="shared" si="2"/>
        <v>-1.3499999999999994</v>
      </c>
      <c r="D14" s="21">
        <v>16</v>
      </c>
      <c r="E14" s="20">
        <f t="shared" si="1"/>
        <v>3.8091993909481823</v>
      </c>
      <c r="F14" s="21">
        <f t="shared" si="3"/>
        <v>-1.3499999999999994</v>
      </c>
      <c r="G14" s="21">
        <v>16.2</v>
      </c>
    </row>
    <row r="15" spans="1:9">
      <c r="B15" s="20">
        <f t="shared" si="0"/>
        <v>3.7828560638755477</v>
      </c>
      <c r="C15" s="21">
        <f t="shared" si="2"/>
        <v>-1.2999999999999994</v>
      </c>
      <c r="D15" s="21">
        <v>16</v>
      </c>
      <c r="E15" s="20">
        <f t="shared" si="1"/>
        <v>3.8258985872602533</v>
      </c>
      <c r="F15" s="21">
        <f t="shared" si="3"/>
        <v>-1.2999999999999994</v>
      </c>
      <c r="G15" s="21">
        <v>16.2</v>
      </c>
    </row>
    <row r="16" spans="1:9">
      <c r="B16" s="20">
        <f t="shared" si="0"/>
        <v>3.799671038392666</v>
      </c>
      <c r="C16" s="21">
        <f t="shared" si="2"/>
        <v>-1.2499999999999993</v>
      </c>
      <c r="D16" s="21">
        <v>16</v>
      </c>
      <c r="E16" s="20">
        <f t="shared" si="1"/>
        <v>3.8418745424597094</v>
      </c>
      <c r="F16" s="21">
        <f t="shared" si="3"/>
        <v>-1.2499999999999993</v>
      </c>
      <c r="G16" s="21">
        <v>16.2</v>
      </c>
    </row>
    <row r="17" spans="2:7">
      <c r="B17" s="20">
        <f t="shared" si="0"/>
        <v>3.8157568056677831</v>
      </c>
      <c r="C17" s="21">
        <f t="shared" si="2"/>
        <v>-1.1999999999999993</v>
      </c>
      <c r="D17" s="21">
        <v>16</v>
      </c>
      <c r="E17" s="20">
        <f t="shared" si="1"/>
        <v>3.8571362433805731</v>
      </c>
      <c r="F17" s="21">
        <f t="shared" si="3"/>
        <v>-1.1999999999999993</v>
      </c>
      <c r="G17" s="21">
        <v>16.2</v>
      </c>
    </row>
    <row r="18" spans="2:7">
      <c r="B18" s="20">
        <f t="shared" si="0"/>
        <v>3.8311225508981051</v>
      </c>
      <c r="C18" s="21">
        <f t="shared" si="2"/>
        <v>-1.1499999999999992</v>
      </c>
      <c r="D18" s="21">
        <v>16</v>
      </c>
      <c r="E18" s="20">
        <f t="shared" si="1"/>
        <v>3.871692136521188</v>
      </c>
      <c r="F18" s="21">
        <f t="shared" si="3"/>
        <v>-1.1499999999999992</v>
      </c>
      <c r="G18" s="21">
        <v>16.2</v>
      </c>
    </row>
    <row r="19" spans="2:7">
      <c r="B19" s="20">
        <f t="shared" si="0"/>
        <v>3.8457769046058825</v>
      </c>
      <c r="C19" s="21">
        <f t="shared" si="2"/>
        <v>-1.0999999999999992</v>
      </c>
      <c r="D19" s="21">
        <v>16</v>
      </c>
      <c r="E19" s="20">
        <f t="shared" si="1"/>
        <v>3.8855501540965856</v>
      </c>
      <c r="F19" s="21">
        <f t="shared" si="3"/>
        <v>-1.0999999999999992</v>
      </c>
      <c r="G19" s="21">
        <v>16.2</v>
      </c>
    </row>
    <row r="20" spans="2:7">
      <c r="B20" s="20">
        <f t="shared" si="0"/>
        <v>3.8597279696890556</v>
      </c>
      <c r="C20" s="21">
        <f t="shared" si="2"/>
        <v>-1.0499999999999992</v>
      </c>
      <c r="D20" s="21">
        <v>16</v>
      </c>
      <c r="E20" s="20">
        <f t="shared" si="1"/>
        <v>3.8987177379235858</v>
      </c>
      <c r="F20" s="21">
        <f t="shared" si="3"/>
        <v>-1.0499999999999992</v>
      </c>
      <c r="G20" s="21">
        <v>16.2</v>
      </c>
    </row>
    <row r="21" spans="2:7">
      <c r="B21" s="20">
        <f t="shared" si="0"/>
        <v>3.872983346207417</v>
      </c>
      <c r="C21" s="21">
        <f t="shared" si="2"/>
        <v>-0.99999999999999911</v>
      </c>
      <c r="D21" s="21">
        <v>16</v>
      </c>
      <c r="E21" s="20">
        <f t="shared" si="1"/>
        <v>3.9112018613208908</v>
      </c>
      <c r="F21" s="21">
        <f t="shared" si="3"/>
        <v>-0.99999999999999911</v>
      </c>
      <c r="G21" s="21">
        <v>16.2</v>
      </c>
    </row>
    <row r="22" spans="2:7">
      <c r="B22" s="20">
        <f t="shared" si="0"/>
        <v>3.885550154096586</v>
      </c>
      <c r="C22" s="21">
        <f t="shared" si="2"/>
        <v>-0.94999999999999907</v>
      </c>
      <c r="D22" s="21">
        <v>16</v>
      </c>
      <c r="E22" s="20">
        <f t="shared" si="1"/>
        <v>3.9230090491866063</v>
      </c>
      <c r="F22" s="21">
        <f t="shared" si="3"/>
        <v>-0.94999999999999907</v>
      </c>
      <c r="G22" s="21">
        <v>16.2</v>
      </c>
    </row>
    <row r="23" spans="2:7">
      <c r="B23" s="20">
        <f t="shared" si="0"/>
        <v>3.8974350539810154</v>
      </c>
      <c r="C23" s="21">
        <f t="shared" si="2"/>
        <v>-0.89999999999999902</v>
      </c>
      <c r="D23" s="21">
        <v>16</v>
      </c>
      <c r="E23" s="20">
        <f t="shared" si="1"/>
        <v>3.9341453963980539</v>
      </c>
      <c r="F23" s="21">
        <f t="shared" si="3"/>
        <v>-0.89999999999999902</v>
      </c>
      <c r="G23" s="21">
        <v>16.2</v>
      </c>
    </row>
    <row r="24" spans="2:7">
      <c r="B24" s="20">
        <f t="shared" si="0"/>
        <v>3.9086442662386149</v>
      </c>
      <c r="C24" s="21">
        <f t="shared" si="2"/>
        <v>-0.84999999999999898</v>
      </c>
      <c r="D24" s="21">
        <v>16</v>
      </c>
      <c r="E24" s="20">
        <f t="shared" si="1"/>
        <v>3.944616584663204</v>
      </c>
      <c r="F24" s="21">
        <f t="shared" si="3"/>
        <v>-0.84999999999999898</v>
      </c>
      <c r="G24" s="21">
        <v>16.2</v>
      </c>
    </row>
    <row r="25" spans="2:7">
      <c r="B25" s="20">
        <f t="shared" si="0"/>
        <v>3.9191835884530852</v>
      </c>
      <c r="C25" s="21">
        <f t="shared" si="2"/>
        <v>-0.79999999999999893</v>
      </c>
      <c r="D25" s="21">
        <v>16</v>
      </c>
      <c r="E25" s="20">
        <f t="shared" si="1"/>
        <v>3.9544278979392202</v>
      </c>
      <c r="F25" s="21">
        <f t="shared" si="3"/>
        <v>-0.79999999999999893</v>
      </c>
      <c r="G25" s="21">
        <v>16.2</v>
      </c>
    </row>
    <row r="26" spans="2:7">
      <c r="B26" s="20">
        <f t="shared" si="0"/>
        <v>3.9290584113754279</v>
      </c>
      <c r="C26" s="21">
        <f t="shared" si="2"/>
        <v>-0.74999999999999889</v>
      </c>
      <c r="D26" s="21">
        <v>16</v>
      </c>
      <c r="E26" s="20">
        <f t="shared" si="1"/>
        <v>3.963584236521283</v>
      </c>
      <c r="F26" s="21">
        <f t="shared" si="3"/>
        <v>-0.74999999999999889</v>
      </c>
      <c r="G26" s="21">
        <v>16.2</v>
      </c>
    </row>
    <row r="27" spans="2:7">
      <c r="B27" s="20">
        <f t="shared" si="0"/>
        <v>3.9382737335030433</v>
      </c>
      <c r="C27" s="21">
        <f t="shared" si="2"/>
        <v>-0.69999999999999885</v>
      </c>
      <c r="D27" s="21">
        <v>16</v>
      </c>
      <c r="E27" s="20">
        <f t="shared" si="1"/>
        <v>3.9720901298938323</v>
      </c>
      <c r="F27" s="21">
        <f t="shared" si="3"/>
        <v>-0.69999999999999885</v>
      </c>
      <c r="G27" s="21">
        <v>16.2</v>
      </c>
    </row>
    <row r="28" spans="2:7">
      <c r="B28" s="20">
        <f t="shared" si="0"/>
        <v>3.9468341743731776</v>
      </c>
      <c r="C28" s="21">
        <f t="shared" si="2"/>
        <v>-0.6499999999999988</v>
      </c>
      <c r="D28" s="21">
        <v>16</v>
      </c>
      <c r="E28" s="22">
        <f t="shared" si="1"/>
        <v>3.9799497484264799</v>
      </c>
      <c r="F28" s="21">
        <f t="shared" si="3"/>
        <v>-0.6499999999999988</v>
      </c>
      <c r="G28" s="21">
        <v>16.2</v>
      </c>
    </row>
    <row r="29" spans="2:7">
      <c r="B29" s="20">
        <f t="shared" si="0"/>
        <v>3.954743986657038</v>
      </c>
      <c r="C29" s="21">
        <f t="shared" si="2"/>
        <v>-0.59999999999999876</v>
      </c>
      <c r="D29" s="21">
        <v>16</v>
      </c>
      <c r="E29" s="20">
        <f t="shared" si="1"/>
        <v>3.987166913987926</v>
      </c>
      <c r="F29" s="21">
        <f t="shared" si="3"/>
        <v>-0.59999999999999876</v>
      </c>
      <c r="G29" s="21">
        <v>16.2</v>
      </c>
    </row>
    <row r="30" spans="2:7">
      <c r="B30" s="20">
        <f t="shared" si="0"/>
        <v>3.9620070671315064</v>
      </c>
      <c r="C30" s="21">
        <f t="shared" si="2"/>
        <v>-0.54999999999999871</v>
      </c>
      <c r="D30" s="21">
        <v>16</v>
      </c>
      <c r="E30" s="20">
        <f t="shared" si="1"/>
        <v>3.993745109543172</v>
      </c>
      <c r="F30" s="21">
        <f t="shared" si="3"/>
        <v>-0.54999999999999871</v>
      </c>
      <c r="G30" s="21">
        <v>16.2</v>
      </c>
    </row>
    <row r="31" spans="2:7">
      <c r="B31" s="20">
        <f t="shared" si="0"/>
        <v>3.9686269665968861</v>
      </c>
      <c r="C31" s="21">
        <f t="shared" si="2"/>
        <v>-0.49999999999999872</v>
      </c>
      <c r="D31" s="21">
        <v>16</v>
      </c>
      <c r="E31" s="20">
        <f t="shared" si="1"/>
        <v>3.999687487792015</v>
      </c>
      <c r="F31" s="21">
        <f t="shared" si="3"/>
        <v>-0.49999999999999872</v>
      </c>
      <c r="G31" s="21">
        <v>16.2</v>
      </c>
    </row>
    <row r="32" spans="2:7">
      <c r="B32" s="20">
        <f t="shared" si="0"/>
        <v>3.97460689880144</v>
      </c>
      <c r="C32" s="21">
        <f t="shared" si="2"/>
        <v>-0.44999999999999873</v>
      </c>
      <c r="D32" s="21">
        <v>16</v>
      </c>
      <c r="E32" s="20">
        <f t="shared" si="1"/>
        <v>4.0049968789001573</v>
      </c>
      <c r="F32" s="21">
        <f t="shared" si="3"/>
        <v>-0.44999999999999873</v>
      </c>
      <c r="G32" s="21">
        <v>16.2</v>
      </c>
    </row>
    <row r="33" spans="2:9">
      <c r="B33" s="20">
        <f t="shared" si="0"/>
        <v>3.9799497484264799</v>
      </c>
      <c r="C33" s="21">
        <f t="shared" si="2"/>
        <v>-0.39999999999999875</v>
      </c>
      <c r="D33" s="21">
        <v>16</v>
      </c>
      <c r="E33" s="20">
        <f t="shared" si="1"/>
        <v>4.0096757973681614</v>
      </c>
      <c r="F33" s="21">
        <f t="shared" si="3"/>
        <v>-0.39999999999999875</v>
      </c>
      <c r="G33" s="21">
        <v>16.2</v>
      </c>
    </row>
    <row r="34" spans="2:9">
      <c r="B34" s="20">
        <f t="shared" si="0"/>
        <v>3.9846580781793564</v>
      </c>
      <c r="C34" s="21">
        <f t="shared" si="2"/>
        <v>-0.34999999999999876</v>
      </c>
      <c r="D34" s="21">
        <v>16</v>
      </c>
      <c r="E34" s="20">
        <f t="shared" si="1"/>
        <v>4.0137264480778958</v>
      </c>
      <c r="F34" s="21">
        <f t="shared" si="3"/>
        <v>-0.34999999999999876</v>
      </c>
      <c r="G34" s="21">
        <v>16.2</v>
      </c>
    </row>
    <row r="35" spans="2:9">
      <c r="B35" s="20">
        <f t="shared" si="0"/>
        <v>3.9887341350358261</v>
      </c>
      <c r="C35" s="21">
        <f t="shared" si="2"/>
        <v>-0.29999999999999877</v>
      </c>
      <c r="D35" s="21">
        <v>16</v>
      </c>
      <c r="E35" s="20">
        <f t="shared" si="1"/>
        <v>4.0171507315509087</v>
      </c>
      <c r="F35" s="21">
        <f t="shared" si="3"/>
        <v>-0.29999999999999877</v>
      </c>
      <c r="G35" s="21">
        <v>16.2</v>
      </c>
    </row>
    <row r="36" spans="2:9">
      <c r="B36" s="20">
        <f t="shared" si="0"/>
        <v>3.9921798556678278</v>
      </c>
      <c r="C36" s="21">
        <f t="shared" si="2"/>
        <v>-0.24999999999999878</v>
      </c>
      <c r="D36" s="21">
        <v>16</v>
      </c>
      <c r="E36" s="20">
        <f t="shared" si="1"/>
        <v>4.0199502484483558</v>
      </c>
      <c r="F36" s="21">
        <f t="shared" si="3"/>
        <v>-0.24999999999999878</v>
      </c>
      <c r="G36" s="21">
        <v>16.2</v>
      </c>
    </row>
    <row r="37" spans="2:9">
      <c r="B37" s="20">
        <f t="shared" si="0"/>
        <v>3.9949968710876358</v>
      </c>
      <c r="C37" s="21">
        <f t="shared" si="2"/>
        <v>-0.19999999999999879</v>
      </c>
      <c r="D37" s="21">
        <v>16</v>
      </c>
      <c r="E37" s="20">
        <f t="shared" si="1"/>
        <v>4.0221263033375765</v>
      </c>
      <c r="F37" s="21">
        <f t="shared" si="3"/>
        <v>-0.19999999999999879</v>
      </c>
      <c r="G37" s="21">
        <v>16.2</v>
      </c>
    </row>
    <row r="38" spans="2:9">
      <c r="B38" s="20">
        <f t="shared" si="0"/>
        <v>3.9971865105346285</v>
      </c>
      <c r="C38" s="21">
        <f t="shared" si="2"/>
        <v>-0.1499999999999988</v>
      </c>
      <c r="D38" s="21">
        <v>16</v>
      </c>
      <c r="E38" s="20">
        <f t="shared" si="1"/>
        <v>4.0236799077461418</v>
      </c>
      <c r="F38" s="21">
        <f t="shared" si="3"/>
        <v>-0.1499999999999988</v>
      </c>
      <c r="G38" s="21">
        <v>16.2</v>
      </c>
    </row>
    <row r="39" spans="2:9">
      <c r="B39" s="20">
        <f t="shared" si="0"/>
        <v>3.9987498046264411</v>
      </c>
      <c r="C39" s="21">
        <f t="shared" si="2"/>
        <v>-9.9999999999998798E-2</v>
      </c>
      <c r="D39" s="21">
        <v>16</v>
      </c>
      <c r="E39" s="20">
        <f t="shared" si="1"/>
        <v>4.0246117825201475</v>
      </c>
      <c r="F39" s="21">
        <f t="shared" si="3"/>
        <v>-9.9999999999998798E-2</v>
      </c>
      <c r="G39" s="21">
        <v>16.2</v>
      </c>
    </row>
    <row r="40" spans="2:9">
      <c r="B40" s="20">
        <f t="shared" si="0"/>
        <v>3.999687487792015</v>
      </c>
      <c r="C40" s="21">
        <f t="shared" si="2"/>
        <v>-4.9999999999998795E-2</v>
      </c>
      <c r="D40" s="21">
        <v>16</v>
      </c>
      <c r="E40" s="20">
        <f t="shared" si="1"/>
        <v>4.0249223594996213</v>
      </c>
      <c r="F40" s="21">
        <f t="shared" si="3"/>
        <v>-4.9999999999998795E-2</v>
      </c>
      <c r="G40" s="21">
        <v>16.2</v>
      </c>
    </row>
    <row r="41" spans="2:9">
      <c r="B41" s="23">
        <v>4</v>
      </c>
      <c r="C41" s="24">
        <v>0</v>
      </c>
      <c r="D41" s="24">
        <v>16</v>
      </c>
      <c r="E41" s="25">
        <f>SQRT(G41-(F41)^2)</f>
        <v>4.0249223594996213</v>
      </c>
      <c r="F41" s="25">
        <v>0</v>
      </c>
      <c r="G41" s="21">
        <v>16.2</v>
      </c>
      <c r="I41" t="s">
        <v>817</v>
      </c>
    </row>
    <row r="42" spans="2:9">
      <c r="B42">
        <f>SQRT(D42-(C42)^2)</f>
        <v>3.999687487792015</v>
      </c>
      <c r="C42">
        <v>0.05</v>
      </c>
      <c r="D42">
        <v>16</v>
      </c>
      <c r="E42">
        <f t="shared" ref="E42:E79" si="4">SQRT(G42-(F42)^2)</f>
        <v>4.0246117825201475</v>
      </c>
      <c r="F42">
        <v>0.05</v>
      </c>
      <c r="G42" s="21">
        <v>16.2</v>
      </c>
    </row>
    <row r="43" spans="2:9">
      <c r="B43">
        <f t="shared" ref="B43:B79" si="5">SQRT(D43-(C43)^2)</f>
        <v>3.9987498046264411</v>
      </c>
      <c r="C43">
        <f>C42+0.05</f>
        <v>0.1</v>
      </c>
      <c r="D43">
        <v>16</v>
      </c>
      <c r="E43">
        <f t="shared" si="4"/>
        <v>4.0236799077461418</v>
      </c>
      <c r="F43">
        <f>F42+0.05</f>
        <v>0.1</v>
      </c>
      <c r="G43" s="21">
        <v>16.2</v>
      </c>
    </row>
    <row r="44" spans="2:9">
      <c r="B44">
        <f t="shared" si="5"/>
        <v>3.9971865105346285</v>
      </c>
      <c r="C44">
        <f t="shared" ref="C44:C79" si="6">C43+0.05</f>
        <v>0.15000000000000002</v>
      </c>
      <c r="D44">
        <v>16</v>
      </c>
      <c r="E44">
        <f t="shared" si="4"/>
        <v>4.0221263033375765</v>
      </c>
      <c r="F44">
        <f t="shared" ref="F44:F79" si="7">F43+0.05</f>
        <v>0.15000000000000002</v>
      </c>
      <c r="G44" s="21">
        <v>16.2</v>
      </c>
    </row>
    <row r="45" spans="2:9">
      <c r="B45">
        <f t="shared" si="5"/>
        <v>3.9949968710876358</v>
      </c>
      <c r="C45">
        <f t="shared" si="6"/>
        <v>0.2</v>
      </c>
      <c r="D45">
        <v>16</v>
      </c>
      <c r="E45">
        <f t="shared" si="4"/>
        <v>4.0199502484483558</v>
      </c>
      <c r="F45">
        <f t="shared" si="7"/>
        <v>0.2</v>
      </c>
      <c r="G45" s="21">
        <v>16.2</v>
      </c>
    </row>
    <row r="46" spans="2:9">
      <c r="B46">
        <f t="shared" si="5"/>
        <v>3.9921798556678278</v>
      </c>
      <c r="C46">
        <f t="shared" si="6"/>
        <v>0.25</v>
      </c>
      <c r="D46">
        <v>16</v>
      </c>
      <c r="E46">
        <f t="shared" si="4"/>
        <v>4.0171507315509087</v>
      </c>
      <c r="F46">
        <f t="shared" si="7"/>
        <v>0.25</v>
      </c>
      <c r="G46" s="21">
        <v>16.2</v>
      </c>
    </row>
    <row r="47" spans="2:9">
      <c r="B47">
        <f t="shared" si="5"/>
        <v>3.9887341350358261</v>
      </c>
      <c r="C47">
        <f t="shared" si="6"/>
        <v>0.3</v>
      </c>
      <c r="D47">
        <v>16</v>
      </c>
      <c r="E47">
        <f t="shared" si="4"/>
        <v>4.0137264480778958</v>
      </c>
      <c r="F47">
        <f t="shared" si="7"/>
        <v>0.3</v>
      </c>
      <c r="G47" s="21">
        <v>16.2</v>
      </c>
    </row>
    <row r="48" spans="2:9">
      <c r="B48">
        <f t="shared" si="5"/>
        <v>3.9846580781793559</v>
      </c>
      <c r="C48">
        <f t="shared" si="6"/>
        <v>0.35</v>
      </c>
      <c r="D48">
        <v>16</v>
      </c>
      <c r="E48">
        <f t="shared" si="4"/>
        <v>4.0096757973681614</v>
      </c>
      <c r="F48">
        <f t="shared" si="7"/>
        <v>0.35</v>
      </c>
      <c r="G48" s="21">
        <v>16.2</v>
      </c>
    </row>
    <row r="49" spans="2:7">
      <c r="B49">
        <f t="shared" si="5"/>
        <v>3.9799497484264799</v>
      </c>
      <c r="C49">
        <f t="shared" si="6"/>
        <v>0.39999999999999997</v>
      </c>
      <c r="D49">
        <v>16</v>
      </c>
      <c r="E49">
        <f t="shared" si="4"/>
        <v>4.0049968789001573</v>
      </c>
      <c r="F49">
        <f t="shared" si="7"/>
        <v>0.39999999999999997</v>
      </c>
      <c r="G49" s="21">
        <v>16.2</v>
      </c>
    </row>
    <row r="50" spans="2:7">
      <c r="B50">
        <f t="shared" si="5"/>
        <v>3.97460689880144</v>
      </c>
      <c r="C50">
        <f t="shared" si="6"/>
        <v>0.44999999999999996</v>
      </c>
      <c r="D50">
        <v>16</v>
      </c>
      <c r="E50">
        <f t="shared" si="4"/>
        <v>3.999687487792015</v>
      </c>
      <c r="F50">
        <f t="shared" si="7"/>
        <v>0.44999999999999996</v>
      </c>
      <c r="G50" s="21">
        <v>16.2</v>
      </c>
    </row>
    <row r="51" spans="2:7">
      <c r="B51">
        <f t="shared" si="5"/>
        <v>3.9686269665968861</v>
      </c>
      <c r="C51">
        <f t="shared" si="6"/>
        <v>0.49999999999999994</v>
      </c>
      <c r="D51">
        <v>16</v>
      </c>
      <c r="E51">
        <f t="shared" si="4"/>
        <v>3.9937451095431715</v>
      </c>
      <c r="F51">
        <f t="shared" si="7"/>
        <v>0.49999999999999994</v>
      </c>
      <c r="G51" s="21">
        <v>16.2</v>
      </c>
    </row>
    <row r="52" spans="2:7">
      <c r="B52">
        <f t="shared" si="5"/>
        <v>3.9620070671315064</v>
      </c>
      <c r="C52">
        <f t="shared" si="6"/>
        <v>0.54999999999999993</v>
      </c>
      <c r="D52">
        <v>16</v>
      </c>
      <c r="E52">
        <f t="shared" si="4"/>
        <v>3.9871669139879256</v>
      </c>
      <c r="F52">
        <f t="shared" si="7"/>
        <v>0.54999999999999993</v>
      </c>
      <c r="G52" s="21">
        <v>16.2</v>
      </c>
    </row>
    <row r="53" spans="2:7">
      <c r="B53">
        <f t="shared" si="5"/>
        <v>3.954743986657038</v>
      </c>
      <c r="C53">
        <f t="shared" si="6"/>
        <v>0.6</v>
      </c>
      <c r="D53">
        <v>16</v>
      </c>
      <c r="E53">
        <f t="shared" si="4"/>
        <v>3.9799497484264799</v>
      </c>
      <c r="F53">
        <f t="shared" si="7"/>
        <v>0.6</v>
      </c>
      <c r="G53" s="21">
        <v>16.2</v>
      </c>
    </row>
    <row r="54" spans="2:7">
      <c r="B54">
        <f t="shared" si="5"/>
        <v>3.9468341743731772</v>
      </c>
      <c r="C54">
        <f t="shared" si="6"/>
        <v>0.65</v>
      </c>
      <c r="D54">
        <v>16</v>
      </c>
      <c r="E54">
        <f t="shared" si="4"/>
        <v>3.9720901298938323</v>
      </c>
      <c r="F54">
        <f t="shared" si="7"/>
        <v>0.65</v>
      </c>
      <c r="G54" s="21">
        <v>16.2</v>
      </c>
    </row>
    <row r="55" spans="2:7">
      <c r="B55">
        <f t="shared" si="5"/>
        <v>3.9382737335030433</v>
      </c>
      <c r="C55">
        <f t="shared" si="6"/>
        <v>0.70000000000000007</v>
      </c>
      <c r="D55">
        <v>16</v>
      </c>
      <c r="E55">
        <f t="shared" si="4"/>
        <v>3.9635842365212826</v>
      </c>
      <c r="F55">
        <f t="shared" si="7"/>
        <v>0.70000000000000007</v>
      </c>
      <c r="G55" s="21">
        <v>16.2</v>
      </c>
    </row>
    <row r="56" spans="2:7">
      <c r="B56">
        <f t="shared" si="5"/>
        <v>3.9290584113754279</v>
      </c>
      <c r="C56">
        <f t="shared" si="6"/>
        <v>0.75000000000000011</v>
      </c>
      <c r="D56">
        <v>16</v>
      </c>
      <c r="E56">
        <f t="shared" si="4"/>
        <v>3.9544278979392202</v>
      </c>
      <c r="F56">
        <f t="shared" si="7"/>
        <v>0.75000000000000011</v>
      </c>
      <c r="G56" s="21">
        <v>16.2</v>
      </c>
    </row>
    <row r="57" spans="2:7">
      <c r="B57">
        <f t="shared" si="5"/>
        <v>3.9191835884530848</v>
      </c>
      <c r="C57">
        <f t="shared" si="6"/>
        <v>0.80000000000000016</v>
      </c>
      <c r="D57">
        <v>16</v>
      </c>
      <c r="E57">
        <f t="shared" si="4"/>
        <v>3.944616584663204</v>
      </c>
      <c r="F57">
        <f t="shared" si="7"/>
        <v>0.80000000000000016</v>
      </c>
      <c r="G57" s="21">
        <v>16.2</v>
      </c>
    </row>
    <row r="58" spans="2:7">
      <c r="B58">
        <f t="shared" si="5"/>
        <v>3.9086442662386149</v>
      </c>
      <c r="C58">
        <f t="shared" si="6"/>
        <v>0.8500000000000002</v>
      </c>
      <c r="D58">
        <v>16</v>
      </c>
      <c r="E58">
        <f t="shared" si="4"/>
        <v>3.9341453963980535</v>
      </c>
      <c r="F58">
        <f t="shared" si="7"/>
        <v>0.8500000000000002</v>
      </c>
      <c r="G58" s="21">
        <v>16.2</v>
      </c>
    </row>
    <row r="59" spans="2:7">
      <c r="B59">
        <f t="shared" si="5"/>
        <v>3.8974350539810154</v>
      </c>
      <c r="C59">
        <f t="shared" si="6"/>
        <v>0.90000000000000024</v>
      </c>
      <c r="D59">
        <v>16</v>
      </c>
      <c r="E59">
        <f t="shared" si="4"/>
        <v>3.9230090491866059</v>
      </c>
      <c r="F59">
        <f t="shared" si="7"/>
        <v>0.90000000000000024</v>
      </c>
      <c r="G59" s="21">
        <v>16.2</v>
      </c>
    </row>
    <row r="60" spans="2:7">
      <c r="B60">
        <f t="shared" si="5"/>
        <v>3.8855501540965856</v>
      </c>
      <c r="C60">
        <f t="shared" si="6"/>
        <v>0.95000000000000029</v>
      </c>
      <c r="D60">
        <v>16</v>
      </c>
      <c r="E60">
        <f t="shared" si="4"/>
        <v>3.9112018613208908</v>
      </c>
      <c r="F60">
        <f t="shared" si="7"/>
        <v>0.95000000000000029</v>
      </c>
      <c r="G60" s="21">
        <v>16.2</v>
      </c>
    </row>
    <row r="61" spans="2:7">
      <c r="B61">
        <f t="shared" si="5"/>
        <v>3.872983346207417</v>
      </c>
      <c r="C61">
        <f t="shared" si="6"/>
        <v>1.0000000000000002</v>
      </c>
      <c r="D61">
        <v>16</v>
      </c>
      <c r="E61">
        <f t="shared" si="4"/>
        <v>3.8987177379235853</v>
      </c>
      <c r="F61">
        <f t="shared" si="7"/>
        <v>1.0000000000000002</v>
      </c>
      <c r="G61" s="21">
        <v>16.2</v>
      </c>
    </row>
    <row r="62" spans="2:7">
      <c r="B62">
        <f t="shared" si="5"/>
        <v>3.8597279696890556</v>
      </c>
      <c r="C62">
        <f t="shared" si="6"/>
        <v>1.0500000000000003</v>
      </c>
      <c r="D62">
        <v>16</v>
      </c>
      <c r="E62">
        <f t="shared" si="4"/>
        <v>3.8855501540965856</v>
      </c>
      <c r="F62">
        <f t="shared" si="7"/>
        <v>1.0500000000000003</v>
      </c>
      <c r="G62" s="21">
        <v>16.2</v>
      </c>
    </row>
    <row r="63" spans="2:7">
      <c r="B63">
        <f t="shared" si="5"/>
        <v>3.8457769046058821</v>
      </c>
      <c r="C63">
        <f t="shared" si="6"/>
        <v>1.1000000000000003</v>
      </c>
      <c r="D63">
        <v>16</v>
      </c>
      <c r="E63">
        <f t="shared" si="4"/>
        <v>3.8716921365211876</v>
      </c>
      <c r="F63">
        <f t="shared" si="7"/>
        <v>1.1000000000000003</v>
      </c>
      <c r="G63" s="21">
        <v>16.2</v>
      </c>
    </row>
    <row r="64" spans="2:7">
      <c r="B64">
        <f t="shared" si="5"/>
        <v>3.8311225508981046</v>
      </c>
      <c r="C64">
        <f t="shared" si="6"/>
        <v>1.1500000000000004</v>
      </c>
      <c r="D64">
        <v>16</v>
      </c>
      <c r="E64">
        <f t="shared" si="4"/>
        <v>3.8571362433805727</v>
      </c>
      <c r="F64">
        <f t="shared" si="7"/>
        <v>1.1500000000000004</v>
      </c>
      <c r="G64" s="21">
        <v>16.2</v>
      </c>
    </row>
    <row r="65" spans="2:7">
      <c r="B65">
        <f t="shared" si="5"/>
        <v>3.8157568056677826</v>
      </c>
      <c r="C65">
        <f t="shared" si="6"/>
        <v>1.2000000000000004</v>
      </c>
      <c r="D65">
        <v>16</v>
      </c>
      <c r="E65">
        <f t="shared" si="4"/>
        <v>3.8418745424597089</v>
      </c>
      <c r="F65">
        <f t="shared" si="7"/>
        <v>1.2000000000000004</v>
      </c>
      <c r="G65" s="21">
        <v>16.2</v>
      </c>
    </row>
    <row r="66" spans="2:7">
      <c r="B66">
        <f t="shared" si="5"/>
        <v>3.7996710383926655</v>
      </c>
      <c r="C66">
        <f t="shared" si="6"/>
        <v>1.2500000000000004</v>
      </c>
      <c r="D66">
        <v>16</v>
      </c>
      <c r="E66">
        <f t="shared" si="4"/>
        <v>3.8258985872602529</v>
      </c>
      <c r="F66">
        <f t="shared" si="7"/>
        <v>1.2500000000000004</v>
      </c>
      <c r="G66" s="21">
        <v>16.2</v>
      </c>
    </row>
    <row r="67" spans="2:7">
      <c r="B67">
        <f t="shared" si="5"/>
        <v>3.7828560638755473</v>
      </c>
      <c r="C67">
        <f t="shared" si="6"/>
        <v>1.3000000000000005</v>
      </c>
      <c r="D67">
        <v>16</v>
      </c>
      <c r="E67">
        <f t="shared" si="4"/>
        <v>3.8091993909481818</v>
      </c>
      <c r="F67">
        <f t="shared" si="7"/>
        <v>1.3000000000000005</v>
      </c>
      <c r="G67" s="21">
        <v>16.2</v>
      </c>
    </row>
    <row r="68" spans="2:7">
      <c r="B68">
        <f t="shared" si="5"/>
        <v>3.7653021127128694</v>
      </c>
      <c r="C68">
        <f t="shared" si="6"/>
        <v>1.3500000000000005</v>
      </c>
      <c r="D68">
        <v>16</v>
      </c>
      <c r="E68">
        <f t="shared" si="4"/>
        <v>3.7917673979293611</v>
      </c>
      <c r="F68">
        <f t="shared" si="7"/>
        <v>1.3500000000000005</v>
      </c>
      <c r="G68" s="21">
        <v>16.2</v>
      </c>
    </row>
    <row r="69" spans="2:7">
      <c r="B69">
        <f t="shared" si="5"/>
        <v>3.746998799039039</v>
      </c>
      <c r="C69">
        <f t="shared" si="6"/>
        <v>1.4000000000000006</v>
      </c>
      <c r="D69">
        <v>16</v>
      </c>
      <c r="E69">
        <f t="shared" si="4"/>
        <v>3.7735924528226414</v>
      </c>
      <c r="F69">
        <f t="shared" si="7"/>
        <v>1.4000000000000006</v>
      </c>
      <c r="G69" s="21">
        <v>16.2</v>
      </c>
    </row>
    <row r="70" spans="2:7">
      <c r="B70">
        <f t="shared" si="5"/>
        <v>3.7279350852717377</v>
      </c>
      <c r="C70">
        <f t="shared" si="6"/>
        <v>1.4500000000000006</v>
      </c>
      <c r="D70">
        <v>16</v>
      </c>
      <c r="E70">
        <f t="shared" si="4"/>
        <v>3.7546637665708493</v>
      </c>
      <c r="F70">
        <f t="shared" si="7"/>
        <v>1.4500000000000006</v>
      </c>
      <c r="G70" s="21">
        <v>16.2</v>
      </c>
    </row>
    <row r="71" spans="2:7">
      <c r="B71">
        <f t="shared" si="5"/>
        <v>3.708099243547831</v>
      </c>
      <c r="C71">
        <f t="shared" si="6"/>
        <v>1.5000000000000007</v>
      </c>
      <c r="D71">
        <v>16</v>
      </c>
      <c r="E71">
        <f t="shared" si="4"/>
        <v>3.7349698793966195</v>
      </c>
      <c r="F71">
        <f t="shared" si="7"/>
        <v>1.5000000000000007</v>
      </c>
      <c r="G71" s="21">
        <v>16.2</v>
      </c>
    </row>
    <row r="72" spans="2:7">
      <c r="B72">
        <f t="shared" si="5"/>
        <v>3.6874788134984584</v>
      </c>
      <c r="C72">
        <f t="shared" si="6"/>
        <v>1.5500000000000007</v>
      </c>
      <c r="D72">
        <v>16</v>
      </c>
      <c r="E72">
        <f t="shared" si="4"/>
        <v>3.7144986202716508</v>
      </c>
      <c r="F72">
        <f t="shared" si="7"/>
        <v>1.5500000000000007</v>
      </c>
      <c r="G72" s="21">
        <v>16.2</v>
      </c>
    </row>
    <row r="73" spans="2:7">
      <c r="B73">
        <f t="shared" si="5"/>
        <v>3.6660605559646715</v>
      </c>
      <c r="C73">
        <f t="shared" si="6"/>
        <v>1.6000000000000008</v>
      </c>
      <c r="D73">
        <v>16</v>
      </c>
      <c r="E73">
        <f t="shared" si="4"/>
        <v>3.6932370625238771</v>
      </c>
      <c r="F73">
        <f t="shared" si="7"/>
        <v>1.6000000000000008</v>
      </c>
      <c r="G73" s="21">
        <v>16.2</v>
      </c>
    </row>
    <row r="74" spans="2:7">
      <c r="B74">
        <f t="shared" si="5"/>
        <v>3.6438304022004093</v>
      </c>
      <c r="C74">
        <f t="shared" si="6"/>
        <v>1.6500000000000008</v>
      </c>
      <c r="D74">
        <v>16</v>
      </c>
      <c r="E74">
        <f t="shared" si="4"/>
        <v>3.6711714751561244</v>
      </c>
      <c r="F74">
        <f t="shared" si="7"/>
        <v>1.6500000000000008</v>
      </c>
      <c r="G74" s="21">
        <v>16.2</v>
      </c>
    </row>
    <row r="75" spans="2:7">
      <c r="B75">
        <f t="shared" si="5"/>
        <v>3.6207733980463344</v>
      </c>
      <c r="C75">
        <f t="shared" si="6"/>
        <v>1.7000000000000008</v>
      </c>
      <c r="D75">
        <v>16</v>
      </c>
      <c r="E75">
        <f t="shared" si="4"/>
        <v>3.6482872693909396</v>
      </c>
      <c r="F75">
        <f t="shared" si="7"/>
        <v>1.7000000000000008</v>
      </c>
      <c r="G75" s="21">
        <v>16.2</v>
      </c>
    </row>
    <row r="76" spans="2:7">
      <c r="B76">
        <f t="shared" si="5"/>
        <v>3.5968736424845393</v>
      </c>
      <c r="C76">
        <f t="shared" si="6"/>
        <v>1.7500000000000009</v>
      </c>
      <c r="D76">
        <v>16</v>
      </c>
      <c r="E76">
        <f t="shared" si="4"/>
        <v>3.6245689398878862</v>
      </c>
      <c r="F76">
        <f t="shared" si="7"/>
        <v>1.7500000000000009</v>
      </c>
      <c r="G76" s="21">
        <v>16.2</v>
      </c>
    </row>
    <row r="77" spans="2:7">
      <c r="B77">
        <f t="shared" si="5"/>
        <v>3.5721142198983498</v>
      </c>
      <c r="C77">
        <f t="shared" si="6"/>
        <v>1.8000000000000009</v>
      </c>
      <c r="D77">
        <v>16</v>
      </c>
      <c r="E77">
        <f t="shared" si="4"/>
        <v>3.5999999999999992</v>
      </c>
      <c r="F77">
        <f t="shared" si="7"/>
        <v>1.8000000000000009</v>
      </c>
      <c r="G77" s="21">
        <v>16.2</v>
      </c>
    </row>
    <row r="78" spans="2:7">
      <c r="B78">
        <f t="shared" si="5"/>
        <v>3.5464771252610663</v>
      </c>
      <c r="C78">
        <f t="shared" si="6"/>
        <v>1.850000000000001</v>
      </c>
      <c r="D78">
        <v>16</v>
      </c>
      <c r="E78">
        <f t="shared" si="4"/>
        <v>3.5745629103430248</v>
      </c>
      <c r="F78">
        <f t="shared" si="7"/>
        <v>1.850000000000001</v>
      </c>
      <c r="G78" s="21">
        <v>16.2</v>
      </c>
    </row>
    <row r="79" spans="2:7">
      <c r="B79">
        <f t="shared" si="5"/>
        <v>3.5199431813596078</v>
      </c>
      <c r="C79">
        <f t="shared" si="6"/>
        <v>1.900000000000001</v>
      </c>
      <c r="D79">
        <v>16</v>
      </c>
      <c r="E79">
        <f t="shared" si="4"/>
        <v>3.5482389998420336</v>
      </c>
      <c r="F79">
        <f t="shared" si="7"/>
        <v>1.900000000000001</v>
      </c>
      <c r="G79" s="21">
        <v>16.2</v>
      </c>
    </row>
    <row r="81" spans="3:3">
      <c r="C81" t="s">
        <v>817</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Normal="100" workbookViewId="0">
      <selection activeCell="B34" sqref="B34"/>
    </sheetView>
  </sheetViews>
  <sheetFormatPr defaultColWidth="8.81640625" defaultRowHeight="12.5"/>
  <cols>
    <col min="1" max="1" width="28.36328125" customWidth="1"/>
    <col min="2" max="2" width="19.36328125" customWidth="1"/>
    <col min="3" max="3" width="12.6328125" customWidth="1"/>
    <col min="4" max="4" width="11.36328125" customWidth="1"/>
    <col min="5" max="5" width="9.36328125" bestFit="1" customWidth="1"/>
    <col min="7" max="7" width="10.81640625" customWidth="1"/>
    <col min="10" max="10" width="9.6328125" customWidth="1"/>
    <col min="11" max="11" width="10.6328125" customWidth="1"/>
    <col min="12" max="12" width="11" customWidth="1"/>
    <col min="14" max="14" width="11.6328125" customWidth="1"/>
    <col min="15" max="15" width="16.1796875" customWidth="1"/>
  </cols>
  <sheetData>
    <row r="1" spans="1:21" ht="23.5" thickBot="1">
      <c r="A1" s="384" t="s">
        <v>592</v>
      </c>
      <c r="B1" s="26"/>
      <c r="C1" s="26"/>
      <c r="D1" s="26"/>
      <c r="E1" s="682" t="str">
        <f>'Title Page'!F3</f>
        <v>OreSat - CS0 (DxWiFi)</v>
      </c>
      <c r="F1" s="26"/>
      <c r="G1" s="53" t="s">
        <v>817</v>
      </c>
      <c r="H1" s="26"/>
      <c r="I1" s="53" t="str">
        <f>'Title Page'!F23</f>
        <v>2019 February 1</v>
      </c>
      <c r="J1" s="53"/>
      <c r="K1" s="53" t="str">
        <f>'Title Page'!G1</f>
        <v xml:space="preserve"> Version: 2.5.5</v>
      </c>
      <c r="L1" s="53"/>
      <c r="M1" s="26"/>
      <c r="N1" s="26"/>
      <c r="O1" s="26"/>
      <c r="P1" s="26"/>
      <c r="Q1" s="129"/>
      <c r="R1" s="129"/>
      <c r="S1" s="129"/>
      <c r="T1" s="129"/>
      <c r="U1" s="289"/>
    </row>
    <row r="2" spans="1:21" ht="12.75" customHeight="1">
      <c r="A2" s="885" t="s">
        <v>687</v>
      </c>
      <c r="B2" s="103"/>
      <c r="C2" s="103"/>
      <c r="D2" s="103"/>
      <c r="E2" s="802"/>
      <c r="F2" s="103"/>
      <c r="G2" s="465"/>
      <c r="H2" s="103"/>
      <c r="I2" s="465"/>
      <c r="J2" s="465"/>
      <c r="K2" s="465"/>
      <c r="L2" s="465"/>
      <c r="M2" s="103"/>
      <c r="N2" s="103"/>
      <c r="O2" s="103"/>
      <c r="P2" s="103"/>
      <c r="Q2" s="103"/>
      <c r="R2" s="103"/>
      <c r="S2" s="103"/>
      <c r="T2" s="103"/>
      <c r="U2" s="103"/>
    </row>
    <row r="3" spans="1:21" s="803" customFormat="1" ht="12.75" customHeight="1" thickBot="1">
      <c r="A3" s="885" t="s">
        <v>688</v>
      </c>
      <c r="B3" s="554"/>
      <c r="C3" s="554"/>
      <c r="D3" s="554"/>
      <c r="E3" s="802"/>
      <c r="F3" s="554"/>
      <c r="G3" s="465"/>
      <c r="H3" s="554"/>
      <c r="I3" s="465"/>
      <c r="J3" s="465"/>
      <c r="K3" s="465"/>
      <c r="L3" s="465"/>
      <c r="M3" s="554"/>
      <c r="N3" s="554"/>
      <c r="O3" s="554"/>
      <c r="P3" s="554"/>
      <c r="Q3" s="554"/>
      <c r="R3" s="554"/>
      <c r="S3" s="554"/>
      <c r="T3" s="554"/>
      <c r="U3" s="554"/>
    </row>
    <row r="4" spans="1:21" s="803" customFormat="1" ht="12.75" customHeight="1" thickBot="1">
      <c r="A4" s="886" t="s">
        <v>686</v>
      </c>
      <c r="B4" s="806" t="s">
        <v>623</v>
      </c>
      <c r="C4" s="388">
        <v>1</v>
      </c>
      <c r="D4" s="844" t="str">
        <f>INDEX(C6:DC9,C4,1)</f>
        <v>LEO</v>
      </c>
      <c r="E4" s="802"/>
      <c r="F4" s="806" t="s">
        <v>794</v>
      </c>
      <c r="G4" s="846">
        <f>INDEX(D6:D9,C4,1)</f>
        <v>748.85719018094153</v>
      </c>
      <c r="H4" s="845" t="s">
        <v>822</v>
      </c>
      <c r="I4" s="554" t="s">
        <v>625</v>
      </c>
      <c r="J4" s="465"/>
      <c r="K4" s="465"/>
      <c r="L4" s="465"/>
      <c r="M4" s="554"/>
      <c r="N4" s="554"/>
      <c r="O4" s="554"/>
      <c r="P4" s="554"/>
      <c r="Q4" s="554"/>
      <c r="R4" s="554"/>
      <c r="S4" s="554"/>
      <c r="T4" s="554"/>
      <c r="U4" s="554"/>
    </row>
    <row r="5" spans="1:21" s="803" customFormat="1" ht="12.75" customHeight="1">
      <c r="A5" s="465"/>
      <c r="B5" s="804" t="s">
        <v>626</v>
      </c>
      <c r="C5" s="804" t="s">
        <v>814</v>
      </c>
      <c r="D5" s="804" t="s">
        <v>624</v>
      </c>
      <c r="E5" s="802"/>
      <c r="F5" s="807"/>
      <c r="G5" s="465"/>
      <c r="H5" s="554"/>
      <c r="I5" s="554"/>
      <c r="J5" s="465"/>
      <c r="K5" s="465"/>
      <c r="L5" s="465"/>
      <c r="M5" s="554"/>
      <c r="N5" s="554"/>
      <c r="O5" s="554"/>
      <c r="P5" s="554"/>
      <c r="Q5" s="554"/>
      <c r="R5" s="554"/>
      <c r="S5" s="554"/>
      <c r="T5" s="554"/>
      <c r="U5" s="554"/>
    </row>
    <row r="6" spans="1:21" ht="12.75" customHeight="1">
      <c r="A6" s="801"/>
      <c r="B6" s="805">
        <v>1</v>
      </c>
      <c r="C6" s="805" t="s">
        <v>620</v>
      </c>
      <c r="D6" s="810">
        <f>B36</f>
        <v>748.85719018094153</v>
      </c>
      <c r="E6" s="554" t="s">
        <v>822</v>
      </c>
      <c r="F6" s="103"/>
      <c r="G6" s="465"/>
      <c r="H6" s="103"/>
      <c r="I6" s="465"/>
      <c r="J6" s="465"/>
      <c r="K6" s="465"/>
      <c r="L6" s="465"/>
      <c r="M6" s="103" t="s">
        <v>817</v>
      </c>
      <c r="N6" s="103"/>
      <c r="O6" s="103"/>
      <c r="P6" s="103"/>
      <c r="Q6" s="103"/>
      <c r="R6" s="103"/>
      <c r="S6" s="103"/>
      <c r="T6" s="103"/>
      <c r="U6" s="103"/>
    </row>
    <row r="7" spans="1:21" ht="12.75" customHeight="1">
      <c r="A7" s="801"/>
      <c r="B7" s="805">
        <v>2</v>
      </c>
      <c r="C7" s="805" t="s">
        <v>621</v>
      </c>
      <c r="D7" s="815">
        <f>K63</f>
        <v>41126.753187550428</v>
      </c>
      <c r="E7" s="554" t="s">
        <v>822</v>
      </c>
      <c r="F7" s="103"/>
      <c r="G7" s="465"/>
      <c r="H7" s="103"/>
      <c r="I7" s="465"/>
      <c r="J7" s="465"/>
      <c r="K7" s="465"/>
      <c r="L7" s="465"/>
      <c r="M7" s="103"/>
      <c r="N7" s="103"/>
      <c r="O7" s="103"/>
      <c r="P7" s="103"/>
      <c r="Q7" s="103"/>
      <c r="R7" s="103"/>
      <c r="S7" s="103"/>
      <c r="T7" s="103"/>
      <c r="U7" s="103"/>
    </row>
    <row r="8" spans="1:21" ht="12.75" customHeight="1">
      <c r="A8" s="801"/>
      <c r="B8" s="805">
        <v>3</v>
      </c>
      <c r="C8" s="805" t="s">
        <v>622</v>
      </c>
      <c r="D8" s="810">
        <f>B104</f>
        <v>36488.15588571554</v>
      </c>
      <c r="E8" s="554" t="s">
        <v>822</v>
      </c>
      <c r="F8" s="103"/>
      <c r="G8" s="465"/>
      <c r="H8" s="103"/>
      <c r="I8" s="465"/>
      <c r="J8" s="465"/>
      <c r="K8" s="465"/>
      <c r="L8" s="465"/>
      <c r="M8" s="103"/>
      <c r="N8" s="103"/>
      <c r="O8" s="103"/>
      <c r="P8" s="103"/>
      <c r="Q8" s="103"/>
      <c r="R8" s="103"/>
      <c r="S8" s="103"/>
      <c r="T8" s="103"/>
      <c r="U8" s="103"/>
    </row>
    <row r="9" spans="1:21" ht="12.75" customHeight="1">
      <c r="A9" s="801"/>
      <c r="B9" s="805">
        <v>4</v>
      </c>
      <c r="C9" s="843" t="s">
        <v>793</v>
      </c>
      <c r="D9" s="889">
        <f>D125</f>
        <v>315000000.00000006</v>
      </c>
      <c r="E9" s="554" t="s">
        <v>822</v>
      </c>
      <c r="F9" s="103"/>
      <c r="G9" s="465"/>
      <c r="H9" s="103"/>
      <c r="I9" s="465"/>
      <c r="J9" s="465"/>
      <c r="K9" s="465"/>
      <c r="L9" s="465"/>
      <c r="M9" s="103"/>
      <c r="N9" s="103"/>
      <c r="O9" s="103"/>
      <c r="P9" s="103"/>
      <c r="Q9" s="103"/>
      <c r="R9" s="103"/>
      <c r="S9" s="103"/>
      <c r="T9" s="103"/>
      <c r="U9" s="103"/>
    </row>
    <row r="10" spans="1:21" ht="12.75" customHeight="1" thickBot="1">
      <c r="A10" s="789"/>
      <c r="B10" s="3"/>
      <c r="C10" s="3"/>
      <c r="D10" s="3"/>
      <c r="E10" s="3"/>
      <c r="F10" s="3"/>
      <c r="G10" s="3"/>
      <c r="H10" s="3"/>
      <c r="I10" s="3"/>
      <c r="J10" s="3"/>
      <c r="K10" s="3"/>
      <c r="L10" s="3"/>
      <c r="M10" s="3"/>
      <c r="N10" s="3"/>
      <c r="O10" s="3"/>
      <c r="P10" s="3"/>
      <c r="Q10" s="3"/>
      <c r="R10" s="3"/>
      <c r="S10" s="3"/>
      <c r="T10" s="3"/>
      <c r="U10" s="3"/>
    </row>
    <row r="11" spans="1:21" ht="13.5" thickBot="1">
      <c r="A11" s="3"/>
      <c r="B11" s="532"/>
      <c r="C11" s="3"/>
      <c r="D11" s="719" t="s">
        <v>843</v>
      </c>
      <c r="E11" s="28" t="s">
        <v>844</v>
      </c>
      <c r="F11" s="28"/>
      <c r="G11" s="3"/>
      <c r="H11" s="3"/>
      <c r="I11" s="50" t="s">
        <v>845</v>
      </c>
      <c r="J11" s="29" t="s">
        <v>846</v>
      </c>
      <c r="K11" s="3"/>
      <c r="L11" s="4" t="s">
        <v>926</v>
      </c>
      <c r="M11" s="3"/>
      <c r="N11" s="3"/>
      <c r="O11" s="3"/>
      <c r="P11" s="3"/>
      <c r="Q11" s="3"/>
      <c r="R11" s="3"/>
      <c r="S11" s="3"/>
      <c r="T11" s="3"/>
      <c r="U11" s="3"/>
    </row>
    <row r="12" spans="1:21" ht="13">
      <c r="A12" s="3" t="s">
        <v>929</v>
      </c>
      <c r="B12" s="723" t="s">
        <v>168</v>
      </c>
      <c r="C12" s="3"/>
      <c r="D12" s="51" t="s">
        <v>847</v>
      </c>
      <c r="E12" s="28" t="s">
        <v>936</v>
      </c>
      <c r="F12" s="28"/>
      <c r="G12" s="3"/>
      <c r="H12" s="3"/>
      <c r="I12" s="385" t="s">
        <v>923</v>
      </c>
      <c r="J12" s="29" t="s">
        <v>928</v>
      </c>
      <c r="K12" s="3"/>
      <c r="L12" s="3"/>
      <c r="M12" s="3"/>
      <c r="N12" s="3"/>
      <c r="O12" s="3"/>
      <c r="P12" s="3"/>
      <c r="Q12" s="3"/>
      <c r="R12" s="3"/>
      <c r="S12" s="3"/>
      <c r="T12" s="3"/>
      <c r="U12" s="3"/>
    </row>
    <row r="13" spans="1:21" ht="13" thickBot="1">
      <c r="A13" s="114"/>
      <c r="B13" s="817"/>
      <c r="C13" s="114"/>
      <c r="D13" s="818"/>
      <c r="E13" s="819"/>
      <c r="F13" s="819"/>
      <c r="G13" s="114"/>
      <c r="H13" s="114"/>
      <c r="I13" s="820"/>
      <c r="J13" s="821"/>
      <c r="K13" s="114"/>
      <c r="L13" s="114"/>
      <c r="M13" s="114"/>
      <c r="N13" s="114"/>
      <c r="O13" s="114"/>
      <c r="P13" s="114"/>
      <c r="Q13" s="114"/>
      <c r="R13" s="114"/>
      <c r="S13" s="114"/>
      <c r="T13" s="114"/>
      <c r="U13" s="114"/>
    </row>
    <row r="14" spans="1:21" ht="15.5">
      <c r="A14" s="871" t="s">
        <v>611</v>
      </c>
      <c r="B14" s="345" t="s">
        <v>278</v>
      </c>
      <c r="C14" s="25"/>
      <c r="D14" s="25"/>
      <c r="E14" s="25"/>
      <c r="F14" s="25"/>
      <c r="G14" s="25"/>
      <c r="H14" s="25"/>
      <c r="I14" s="25"/>
      <c r="J14" s="25"/>
      <c r="K14" s="25"/>
      <c r="L14" s="25"/>
      <c r="M14" s="25"/>
      <c r="N14" s="25"/>
      <c r="O14" s="25"/>
      <c r="P14" s="25"/>
      <c r="Q14" s="25"/>
      <c r="R14" s="25"/>
      <c r="S14" s="25"/>
      <c r="T14" s="25"/>
      <c r="U14" s="25"/>
    </row>
    <row r="15" spans="1:21" ht="15.5">
      <c r="A15" s="790" t="s">
        <v>593</v>
      </c>
      <c r="B15" s="788"/>
      <c r="C15" s="788"/>
      <c r="Q15" s="3"/>
      <c r="R15" s="3"/>
      <c r="S15" s="3"/>
      <c r="T15" s="3"/>
      <c r="U15" s="3"/>
    </row>
    <row r="16" spans="1:21" ht="13">
      <c r="A16" s="4" t="s">
        <v>852</v>
      </c>
      <c r="B16" s="4"/>
      <c r="C16" s="4"/>
      <c r="Q16" s="3"/>
      <c r="R16" s="3"/>
      <c r="S16" s="3"/>
      <c r="T16" s="3"/>
      <c r="U16" s="3"/>
    </row>
    <row r="17" spans="1:21" ht="13">
      <c r="A17" s="11" t="s">
        <v>818</v>
      </c>
      <c r="B17" s="12" t="s">
        <v>819</v>
      </c>
      <c r="C17" s="13" t="s">
        <v>820</v>
      </c>
      <c r="Q17" s="3"/>
      <c r="R17" s="3"/>
      <c r="S17" s="3"/>
      <c r="T17" s="3"/>
      <c r="U17" s="3"/>
    </row>
    <row r="18" spans="1:21">
      <c r="A18" s="14" t="s">
        <v>821</v>
      </c>
      <c r="B18" s="15">
        <v>6378.1360000000004</v>
      </c>
      <c r="C18" s="14" t="s">
        <v>822</v>
      </c>
      <c r="Q18" s="3"/>
      <c r="R18" s="3"/>
      <c r="S18" s="3"/>
      <c r="T18" s="3"/>
      <c r="U18" s="3"/>
    </row>
    <row r="19" spans="1:21">
      <c r="A19" s="14" t="s">
        <v>841</v>
      </c>
      <c r="B19" s="700">
        <v>408</v>
      </c>
      <c r="C19" s="14" t="s">
        <v>822</v>
      </c>
      <c r="Q19" s="3"/>
      <c r="R19" s="3"/>
      <c r="S19" s="3"/>
      <c r="T19" s="3"/>
      <c r="U19" s="3"/>
    </row>
    <row r="20" spans="1:21">
      <c r="A20" s="14" t="s">
        <v>842</v>
      </c>
      <c r="B20" s="699">
        <v>403</v>
      </c>
      <c r="C20" s="14" t="s">
        <v>822</v>
      </c>
      <c r="Q20" s="3"/>
      <c r="R20" s="3"/>
      <c r="S20" s="3"/>
      <c r="T20" s="3"/>
      <c r="U20" s="3"/>
    </row>
    <row r="21" spans="1:21">
      <c r="A21" s="3" t="s">
        <v>823</v>
      </c>
      <c r="B21" s="701">
        <f>(B19+B20+2*B18)/2</f>
        <v>6783.6360000000004</v>
      </c>
      <c r="C21" s="3" t="s">
        <v>822</v>
      </c>
      <c r="Q21" s="3"/>
      <c r="R21" s="3"/>
      <c r="S21" s="3"/>
      <c r="T21" s="3"/>
      <c r="U21" s="3"/>
    </row>
    <row r="22" spans="1:21">
      <c r="A22" s="3" t="s">
        <v>824</v>
      </c>
      <c r="B22" s="16">
        <f>((B19+B18)-(B20+B18))/((B19+B18)+(B20+B18))</f>
        <v>3.6853392487450683E-4</v>
      </c>
      <c r="C22" s="3"/>
      <c r="Q22" s="3"/>
      <c r="R22" s="3"/>
      <c r="S22" s="3"/>
      <c r="T22" s="3"/>
      <c r="U22" s="3"/>
    </row>
    <row r="23" spans="1:21">
      <c r="A23" s="3" t="s">
        <v>825</v>
      </c>
      <c r="B23" s="62">
        <v>98.61</v>
      </c>
      <c r="C23" s="3" t="s">
        <v>4</v>
      </c>
      <c r="Q23" s="3"/>
      <c r="R23" s="3"/>
      <c r="S23" s="3"/>
      <c r="T23" s="3"/>
      <c r="U23" s="3"/>
    </row>
    <row r="24" spans="1:21">
      <c r="A24" s="3" t="s">
        <v>827</v>
      </c>
      <c r="B24" s="63">
        <v>180</v>
      </c>
      <c r="C24" s="3" t="s">
        <v>4</v>
      </c>
      <c r="Q24" s="3"/>
      <c r="R24" s="3"/>
      <c r="S24" s="3"/>
      <c r="T24" s="3"/>
      <c r="U24" s="3"/>
    </row>
    <row r="25" spans="1:21">
      <c r="A25" s="3" t="s">
        <v>828</v>
      </c>
      <c r="B25" s="827">
        <v>123.7</v>
      </c>
      <c r="C25" s="3" t="s">
        <v>4</v>
      </c>
      <c r="Q25" s="3"/>
      <c r="R25" s="3"/>
      <c r="S25" s="3"/>
      <c r="T25" s="3"/>
      <c r="U25" s="3"/>
    </row>
    <row r="26" spans="1:21">
      <c r="A26" s="3" t="s">
        <v>829</v>
      </c>
      <c r="B26" s="64">
        <v>0</v>
      </c>
      <c r="C26" s="3" t="s">
        <v>4</v>
      </c>
      <c r="Q26" s="3"/>
      <c r="R26" s="3"/>
      <c r="S26" s="3"/>
      <c r="T26" s="3"/>
      <c r="U26" s="3"/>
    </row>
    <row r="27" spans="1:21">
      <c r="A27" s="3" t="s">
        <v>830</v>
      </c>
      <c r="B27" s="34">
        <f xml:space="preserve"> 84.4892*((B21/B18)^1.5)</f>
        <v>92.673238367165595</v>
      </c>
      <c r="C27" s="3" t="s">
        <v>831</v>
      </c>
      <c r="Q27" s="3"/>
      <c r="R27" s="3"/>
      <c r="S27" s="3"/>
      <c r="T27" s="3"/>
      <c r="U27" s="3"/>
    </row>
    <row r="28" spans="1:21">
      <c r="A28" s="3" t="s">
        <v>832</v>
      </c>
      <c r="B28" s="18">
        <f>19.919482*((B18/B21)^3.5)*(1-1.25*((SIN(B23/57.29578))^2))/((1-B22^2)^2)</f>
        <v>-3.5637728361830368</v>
      </c>
      <c r="C28" s="3" t="s">
        <v>833</v>
      </c>
      <c r="Q28" s="3"/>
      <c r="R28" s="3"/>
      <c r="S28" s="3"/>
      <c r="T28" s="3"/>
      <c r="U28" s="3"/>
    </row>
    <row r="29" spans="1:21">
      <c r="A29" s="3" t="s">
        <v>834</v>
      </c>
      <c r="B29" s="18">
        <f>(-9.9597408/(1-B22^2)^2)*((B18/B21)^3.5)*COS(B23/57.29578)</f>
        <v>1.2017169905724339</v>
      </c>
      <c r="C29" s="3" t="s">
        <v>833</v>
      </c>
      <c r="Q29" s="3"/>
      <c r="R29" s="3"/>
      <c r="S29" s="3"/>
      <c r="T29" s="3"/>
      <c r="U29" s="3"/>
    </row>
    <row r="30" spans="1:21">
      <c r="A30" s="3" t="s">
        <v>922</v>
      </c>
      <c r="B30" s="51" t="s">
        <v>939</v>
      </c>
      <c r="C30" s="3" t="s">
        <v>833</v>
      </c>
      <c r="Q30" s="3"/>
      <c r="R30" s="3"/>
      <c r="S30" s="3"/>
      <c r="T30" s="3"/>
      <c r="U30" s="3"/>
    </row>
    <row r="31" spans="1:21">
      <c r="A31" s="3" t="s">
        <v>848</v>
      </c>
      <c r="B31" s="17">
        <f>(B19+B20)/2</f>
        <v>405.5</v>
      </c>
      <c r="C31" s="3" t="s">
        <v>822</v>
      </c>
      <c r="Q31" s="3"/>
      <c r="R31" s="3"/>
      <c r="S31" s="3"/>
      <c r="T31" s="3"/>
      <c r="U31" s="3"/>
    </row>
    <row r="32" spans="1:21">
      <c r="A32" s="3" t="s">
        <v>854</v>
      </c>
      <c r="B32" s="32">
        <f>B31+B18</f>
        <v>6783.6360000000004</v>
      </c>
      <c r="C32" s="3" t="s">
        <v>822</v>
      </c>
      <c r="Q32" s="3"/>
      <c r="R32" s="3"/>
      <c r="S32" s="3"/>
      <c r="T32" s="3"/>
      <c r="U32" s="3"/>
    </row>
    <row r="33" spans="1:21">
      <c r="A33" s="3" t="s">
        <v>863</v>
      </c>
      <c r="B33" s="17">
        <f>57.2958*ACOS((0.98561)/(-9.95974/(((1-B22^2)^2))*(B18/B21)^3.5))</f>
        <v>97.052932990475142</v>
      </c>
      <c r="C33" s="3" t="s">
        <v>135</v>
      </c>
      <c r="Q33" s="3"/>
      <c r="R33" s="3"/>
      <c r="S33" s="3"/>
      <c r="T33" s="3"/>
      <c r="U33" s="3"/>
    </row>
    <row r="34" spans="1:21" ht="13">
      <c r="A34" s="3" t="s">
        <v>849</v>
      </c>
      <c r="B34" s="387">
        <v>30</v>
      </c>
      <c r="C34" s="3" t="s">
        <v>135</v>
      </c>
      <c r="Q34" s="3"/>
      <c r="R34" s="3"/>
      <c r="S34" s="3"/>
      <c r="T34" s="3"/>
      <c r="U34" s="3"/>
    </row>
    <row r="35" spans="1:21" ht="13" thickBot="1">
      <c r="A35" s="3"/>
      <c r="B35" s="19"/>
      <c r="C35" s="3"/>
      <c r="Q35" s="3"/>
      <c r="R35" s="3"/>
      <c r="S35" s="3"/>
      <c r="T35" s="3"/>
      <c r="U35" s="3"/>
    </row>
    <row r="36" spans="1:21" ht="13.5" thickBot="1">
      <c r="A36" s="3" t="s">
        <v>941</v>
      </c>
      <c r="B36" s="809">
        <f>B18*((((B32^2/B18^2)-(COS(B34/57.2958))^2)^0.5)-SIN(B34/57.2958))</f>
        <v>748.85719018094153</v>
      </c>
      <c r="C36" s="3" t="s">
        <v>853</v>
      </c>
      <c r="Q36" s="3"/>
      <c r="R36" s="3"/>
      <c r="S36" s="3"/>
      <c r="T36" s="3"/>
      <c r="U36" s="3"/>
    </row>
    <row r="37" spans="1:21" ht="13" thickBot="1">
      <c r="A37" s="114"/>
      <c r="B37" s="755"/>
      <c r="C37" s="114"/>
      <c r="D37" s="756"/>
      <c r="E37" s="756"/>
      <c r="F37" s="756"/>
      <c r="G37" s="756"/>
      <c r="H37" s="756"/>
      <c r="I37" s="756"/>
      <c r="J37" s="756"/>
      <c r="K37" s="756"/>
      <c r="L37" s="756"/>
      <c r="M37" s="756"/>
      <c r="N37" s="756"/>
      <c r="O37" s="756"/>
      <c r="P37" s="756"/>
      <c r="Q37" s="114"/>
      <c r="R37" s="114"/>
      <c r="S37" s="114"/>
      <c r="T37" s="114"/>
      <c r="U37" s="114"/>
    </row>
    <row r="38" spans="1:21" ht="16" thickBot="1">
      <c r="A38" s="872" t="s">
        <v>612</v>
      </c>
      <c r="B38" s="25"/>
      <c r="C38" s="853" t="s">
        <v>140</v>
      </c>
      <c r="D38" s="25"/>
      <c r="E38" s="25"/>
      <c r="F38" s="25"/>
      <c r="G38" s="757"/>
      <c r="H38" s="25"/>
      <c r="I38" s="25"/>
      <c r="J38" s="25" t="s">
        <v>755</v>
      </c>
      <c r="K38" s="25"/>
      <c r="L38" s="25"/>
      <c r="M38" s="25"/>
      <c r="N38" s="25"/>
      <c r="O38" s="25"/>
      <c r="P38" s="25"/>
      <c r="Q38" s="25"/>
      <c r="R38" s="25"/>
      <c r="S38" s="25"/>
      <c r="T38" s="25"/>
      <c r="U38" s="25"/>
    </row>
    <row r="39" spans="1:21" ht="15.5">
      <c r="A39" s="790" t="s">
        <v>594</v>
      </c>
      <c r="B39" s="788"/>
      <c r="C39" s="788"/>
      <c r="D39" s="758"/>
      <c r="E39" s="759"/>
      <c r="F39" s="759"/>
      <c r="G39" s="759"/>
      <c r="H39" s="759"/>
      <c r="I39" s="759"/>
      <c r="J39" s="759"/>
      <c r="K39" s="759"/>
      <c r="L39" s="759"/>
      <c r="M39" s="760"/>
      <c r="N39" s="3"/>
      <c r="O39" s="3"/>
      <c r="P39" s="3"/>
      <c r="Q39" s="3"/>
      <c r="R39" s="3"/>
      <c r="S39" s="3"/>
      <c r="T39" s="3"/>
      <c r="U39" s="3"/>
    </row>
    <row r="40" spans="1:21" ht="13">
      <c r="A40" s="4" t="s">
        <v>577</v>
      </c>
      <c r="B40" s="4"/>
      <c r="C40" s="4"/>
      <c r="D40" s="761"/>
      <c r="E40" s="762"/>
      <c r="F40" s="762"/>
      <c r="G40" s="762"/>
      <c r="H40" s="762"/>
      <c r="I40" s="762"/>
      <c r="J40" s="762"/>
      <c r="K40" s="762"/>
      <c r="L40" s="762"/>
      <c r="M40" s="763"/>
      <c r="N40" s="3"/>
      <c r="O40" s="3"/>
      <c r="P40" s="3"/>
      <c r="Q40" s="3"/>
      <c r="R40" s="3"/>
      <c r="S40" s="3"/>
      <c r="T40" s="3"/>
      <c r="U40" s="3"/>
    </row>
    <row r="41" spans="1:21" ht="13">
      <c r="A41" s="11" t="s">
        <v>818</v>
      </c>
      <c r="B41" s="12" t="s">
        <v>819</v>
      </c>
      <c r="C41" s="12" t="s">
        <v>820</v>
      </c>
      <c r="D41" s="761"/>
      <c r="E41" s="762"/>
      <c r="F41" s="762"/>
      <c r="G41" s="762"/>
      <c r="H41" s="762"/>
      <c r="I41" s="762"/>
      <c r="J41" s="762"/>
      <c r="K41" s="762"/>
      <c r="L41" s="762"/>
      <c r="M41" s="763"/>
      <c r="N41" s="3"/>
      <c r="O41" s="3"/>
      <c r="P41" s="3"/>
      <c r="Q41" s="3"/>
      <c r="R41" s="3"/>
      <c r="S41" s="3"/>
      <c r="T41" s="3"/>
      <c r="U41" s="3"/>
    </row>
    <row r="42" spans="1:21">
      <c r="A42" s="14" t="s">
        <v>821</v>
      </c>
      <c r="B42" s="15">
        <v>6378.1369999999997</v>
      </c>
      <c r="C42" s="14" t="s">
        <v>822</v>
      </c>
      <c r="D42" s="761"/>
      <c r="E42" s="762"/>
      <c r="F42" s="762"/>
      <c r="G42" s="762"/>
      <c r="H42" s="762"/>
      <c r="I42" s="762"/>
      <c r="J42" s="762"/>
      <c r="K42" s="762"/>
      <c r="L42" s="762"/>
      <c r="M42" s="763"/>
      <c r="N42" s="3"/>
      <c r="O42" s="3"/>
      <c r="P42" s="3"/>
      <c r="Q42" s="3"/>
      <c r="R42" s="3"/>
      <c r="S42" s="3"/>
      <c r="T42" s="3"/>
      <c r="U42" s="3"/>
    </row>
    <row r="43" spans="1:21">
      <c r="A43" s="14" t="s">
        <v>578</v>
      </c>
      <c r="B43" s="874">
        <v>35786</v>
      </c>
      <c r="C43" s="14" t="s">
        <v>822</v>
      </c>
      <c r="D43" s="761"/>
      <c r="E43" s="762"/>
      <c r="F43" s="762"/>
      <c r="G43" s="762"/>
      <c r="H43" s="762"/>
      <c r="I43" s="762"/>
      <c r="J43" s="762"/>
      <c r="K43" s="762"/>
      <c r="L43" s="762"/>
      <c r="M43" s="763"/>
      <c r="N43" s="3"/>
      <c r="O43" s="3"/>
      <c r="P43" s="3"/>
      <c r="Q43" s="3"/>
      <c r="R43" s="3"/>
      <c r="S43" s="3"/>
      <c r="T43" s="3"/>
      <c r="U43" s="3"/>
    </row>
    <row r="44" spans="1:21">
      <c r="A44" s="14" t="s">
        <v>579</v>
      </c>
      <c r="B44" s="875">
        <v>500</v>
      </c>
      <c r="C44" s="14" t="s">
        <v>822</v>
      </c>
      <c r="D44" s="761"/>
      <c r="E44" s="762"/>
      <c r="F44" s="762"/>
      <c r="G44" s="762"/>
      <c r="H44" s="762"/>
      <c r="I44" s="762"/>
      <c r="J44" s="762"/>
      <c r="K44" s="762"/>
      <c r="L44" s="762"/>
      <c r="M44" s="763"/>
      <c r="N44" s="3"/>
      <c r="O44" s="3"/>
      <c r="P44" s="3"/>
      <c r="Q44" s="3"/>
      <c r="R44" s="3"/>
      <c r="S44" s="3"/>
      <c r="T44" s="3"/>
      <c r="U44" s="3"/>
    </row>
    <row r="45" spans="1:21">
      <c r="A45" s="3" t="s">
        <v>823</v>
      </c>
      <c r="B45" s="15">
        <f>(B43+B44+2*B42)/2</f>
        <v>24521.136999999999</v>
      </c>
      <c r="C45" s="3" t="s">
        <v>822</v>
      </c>
      <c r="D45" s="761"/>
      <c r="E45" s="762"/>
      <c r="F45" s="762"/>
      <c r="G45" s="762"/>
      <c r="H45" s="762"/>
      <c r="I45" s="762"/>
      <c r="J45" s="762"/>
      <c r="K45" s="762"/>
      <c r="L45" s="762"/>
      <c r="M45" s="763"/>
      <c r="N45" s="3"/>
      <c r="O45" s="3"/>
      <c r="P45" s="3"/>
      <c r="Q45" s="3"/>
      <c r="R45" s="3"/>
      <c r="S45" s="3"/>
      <c r="T45" s="3"/>
      <c r="U45" s="3"/>
    </row>
    <row r="46" spans="1:21">
      <c r="A46" s="3" t="s">
        <v>824</v>
      </c>
      <c r="B46" s="16">
        <f>((B43+B42)-(B44+B42))/((B43+B42)+(B44+B42))</f>
        <v>0.71950170989216355</v>
      </c>
      <c r="C46" s="3"/>
      <c r="D46" s="761"/>
      <c r="E46" s="762"/>
      <c r="F46" s="762"/>
      <c r="G46" s="762"/>
      <c r="H46" s="762"/>
      <c r="I46" s="762"/>
      <c r="J46" s="762"/>
      <c r="K46" s="762"/>
      <c r="L46" s="762"/>
      <c r="M46" s="763"/>
      <c r="N46" s="3"/>
      <c r="O46" s="3"/>
      <c r="P46" s="3"/>
      <c r="Q46" s="3"/>
      <c r="R46" s="3"/>
      <c r="S46" s="3"/>
      <c r="T46" s="3"/>
      <c r="U46" s="3"/>
    </row>
    <row r="47" spans="1:21">
      <c r="A47" s="3" t="s">
        <v>825</v>
      </c>
      <c r="B47" s="62">
        <v>7</v>
      </c>
      <c r="C47" s="3" t="s">
        <v>826</v>
      </c>
      <c r="D47" s="761"/>
      <c r="E47" s="762"/>
      <c r="F47" s="762"/>
      <c r="G47" s="762"/>
      <c r="H47" s="762"/>
      <c r="I47" s="762"/>
      <c r="J47" s="762"/>
      <c r="K47" s="762"/>
      <c r="L47" s="762"/>
      <c r="M47" s="763"/>
      <c r="N47" s="3"/>
      <c r="O47" s="3"/>
      <c r="P47" s="3"/>
      <c r="Q47" s="3"/>
      <c r="R47" s="3"/>
      <c r="S47" s="3"/>
      <c r="T47" s="3"/>
      <c r="U47" s="3"/>
    </row>
    <row r="48" spans="1:21">
      <c r="A48" s="3" t="s">
        <v>827</v>
      </c>
      <c r="B48" s="63">
        <v>180</v>
      </c>
      <c r="C48" s="3" t="s">
        <v>826</v>
      </c>
      <c r="D48" s="761"/>
      <c r="E48" s="762"/>
      <c r="F48" s="762"/>
      <c r="G48" s="762"/>
      <c r="H48" s="762"/>
      <c r="I48" s="762"/>
      <c r="J48" s="762"/>
      <c r="K48" s="762"/>
      <c r="L48" s="762"/>
      <c r="M48" s="763"/>
      <c r="N48" s="3"/>
      <c r="O48" s="3"/>
      <c r="P48" s="3"/>
      <c r="Q48" s="3"/>
      <c r="R48" s="3"/>
      <c r="S48" s="3"/>
      <c r="T48" s="3"/>
      <c r="U48" s="3"/>
    </row>
    <row r="49" spans="1:21">
      <c r="A49" s="3" t="s">
        <v>828</v>
      </c>
      <c r="B49" s="64">
        <v>0</v>
      </c>
      <c r="C49" s="3" t="s">
        <v>826</v>
      </c>
      <c r="D49" s="761"/>
      <c r="E49" s="762"/>
      <c r="F49" s="762"/>
      <c r="G49" s="762"/>
      <c r="H49" s="762"/>
      <c r="I49" s="762"/>
      <c r="J49" s="762"/>
      <c r="K49" s="762"/>
      <c r="L49" s="762"/>
      <c r="M49" s="763"/>
      <c r="N49" s="3"/>
      <c r="O49" s="3"/>
      <c r="P49" s="3"/>
      <c r="Q49" s="3"/>
      <c r="R49" s="3"/>
      <c r="S49" s="3"/>
      <c r="T49" s="3"/>
      <c r="U49" s="3"/>
    </row>
    <row r="50" spans="1:21">
      <c r="A50" s="3" t="s">
        <v>829</v>
      </c>
      <c r="B50" s="878">
        <f>INDEX(C65:C78,B63,1)</f>
        <v>179.99999</v>
      </c>
      <c r="C50" s="3" t="s">
        <v>826</v>
      </c>
      <c r="D50" s="761"/>
      <c r="E50" s="762"/>
      <c r="F50" s="762"/>
      <c r="G50" s="762"/>
      <c r="H50" s="762"/>
      <c r="I50" s="762"/>
      <c r="J50" s="762"/>
      <c r="K50" s="762"/>
      <c r="L50" s="762"/>
      <c r="M50" s="763"/>
      <c r="N50" s="3"/>
      <c r="O50" s="3"/>
      <c r="P50" s="3"/>
      <c r="Q50" s="3"/>
      <c r="R50" s="3"/>
      <c r="S50" s="3"/>
      <c r="T50" s="3"/>
      <c r="U50" s="3"/>
    </row>
    <row r="51" spans="1:21">
      <c r="A51" s="3" t="s">
        <v>830</v>
      </c>
      <c r="B51" s="17">
        <f xml:space="preserve"> 84.4892*((B45/B42)^1.5)</f>
        <v>636.90013117168326</v>
      </c>
      <c r="C51" s="3" t="s">
        <v>831</v>
      </c>
      <c r="D51" s="761"/>
      <c r="E51" s="762"/>
      <c r="F51" s="762"/>
      <c r="G51" s="762"/>
      <c r="H51" s="762"/>
      <c r="I51" s="762"/>
      <c r="J51" s="762"/>
      <c r="K51" s="762"/>
      <c r="L51" s="762"/>
      <c r="M51" s="763"/>
      <c r="N51" s="3"/>
      <c r="O51" s="3"/>
      <c r="P51" s="3"/>
      <c r="Q51" s="3"/>
      <c r="R51" s="3"/>
      <c r="S51" s="3"/>
      <c r="T51" s="3"/>
      <c r="U51" s="3"/>
    </row>
    <row r="52" spans="1:21">
      <c r="A52" s="3" t="s">
        <v>832</v>
      </c>
      <c r="B52" s="18">
        <f>19.919482*((B42/B45)^3.5)*(1-1.25*((SIN(B47/57.29578))^2))/((1-B46^2)^2)</f>
        <v>0.75424108469762274</v>
      </c>
      <c r="C52" s="3" t="s">
        <v>833</v>
      </c>
      <c r="D52" s="761"/>
      <c r="E52" s="762"/>
      <c r="F52" s="762"/>
      <c r="G52" s="762"/>
      <c r="H52" s="762"/>
      <c r="I52" s="762"/>
      <c r="J52" s="762"/>
      <c r="K52" s="762"/>
      <c r="L52" s="762"/>
      <c r="M52" s="763"/>
      <c r="N52" s="3"/>
      <c r="O52" s="3"/>
      <c r="P52" s="3"/>
      <c r="Q52" s="3"/>
      <c r="R52" s="3"/>
      <c r="S52" s="3"/>
      <c r="T52" s="3"/>
      <c r="U52" s="3"/>
    </row>
    <row r="53" spans="1:21">
      <c r="A53" s="3" t="s">
        <v>834</v>
      </c>
      <c r="B53" s="18">
        <f>(-9.9597408/(1-B46^2)^2)*((B42/B45)^3.5)*COS(B47/57.29578)</f>
        <v>-0.38139010802751916</v>
      </c>
      <c r="C53" s="3" t="s">
        <v>833</v>
      </c>
      <c r="D53" s="761"/>
      <c r="E53" s="762"/>
      <c r="F53" s="762"/>
      <c r="G53" s="762"/>
      <c r="H53" s="762"/>
      <c r="I53" s="762"/>
      <c r="J53" s="762"/>
      <c r="K53" s="762"/>
      <c r="L53" s="762"/>
      <c r="M53" s="763"/>
      <c r="N53" s="3"/>
      <c r="O53" s="3"/>
      <c r="P53" s="3"/>
      <c r="Q53" s="3"/>
      <c r="R53" s="3"/>
      <c r="S53" s="3"/>
      <c r="T53" s="3"/>
      <c r="U53" s="3"/>
    </row>
    <row r="54" spans="1:21">
      <c r="A54" s="3"/>
      <c r="B54" s="19"/>
      <c r="C54" s="3"/>
      <c r="D54" s="761"/>
      <c r="E54" s="762"/>
      <c r="F54" s="762"/>
      <c r="G54" s="762"/>
      <c r="H54" s="762"/>
      <c r="I54" s="762"/>
      <c r="J54" s="762"/>
      <c r="K54" s="762"/>
      <c r="L54" s="762"/>
      <c r="M54" s="763"/>
      <c r="N54" s="3"/>
      <c r="O54" s="3"/>
      <c r="P54" s="3"/>
      <c r="Q54" s="3"/>
      <c r="R54" s="3"/>
      <c r="S54" s="3"/>
      <c r="T54" s="3"/>
      <c r="U54" s="3"/>
    </row>
    <row r="55" spans="1:21">
      <c r="A55" s="3"/>
      <c r="B55" s="19" t="s">
        <v>817</v>
      </c>
      <c r="C55" s="3"/>
      <c r="D55" s="761"/>
      <c r="E55" s="762"/>
      <c r="F55" s="762"/>
      <c r="G55" s="762"/>
      <c r="H55" s="762"/>
      <c r="I55" s="762"/>
      <c r="J55" s="762"/>
      <c r="K55" s="762"/>
      <c r="L55" s="762"/>
      <c r="M55" s="763"/>
      <c r="N55" s="3"/>
      <c r="O55" s="3"/>
      <c r="P55" s="3"/>
      <c r="Q55" s="3"/>
      <c r="R55" s="3"/>
      <c r="S55" s="3"/>
      <c r="T55" s="3"/>
      <c r="U55" s="3"/>
    </row>
    <row r="56" spans="1:21">
      <c r="A56" s="3"/>
      <c r="B56" s="19"/>
      <c r="C56" s="3"/>
      <c r="D56" s="761"/>
      <c r="E56" s="762"/>
      <c r="F56" s="762"/>
      <c r="G56" s="762"/>
      <c r="H56" s="762"/>
      <c r="I56" s="762"/>
      <c r="J56" s="762"/>
      <c r="K56" s="762"/>
      <c r="L56" s="762"/>
      <c r="M56" s="763"/>
      <c r="N56" s="3"/>
      <c r="O56" s="3"/>
      <c r="P56" s="3"/>
      <c r="Q56" s="3"/>
      <c r="R56" s="3"/>
      <c r="S56" s="3"/>
      <c r="T56" s="3"/>
      <c r="U56" s="3"/>
    </row>
    <row r="57" spans="1:21">
      <c r="A57" s="3"/>
      <c r="B57" s="19"/>
      <c r="C57" s="3"/>
      <c r="D57" s="761"/>
      <c r="E57" s="762"/>
      <c r="F57" s="762"/>
      <c r="G57" s="762"/>
      <c r="H57" s="762"/>
      <c r="I57" s="762"/>
      <c r="J57" s="762"/>
      <c r="K57" s="762"/>
      <c r="L57" s="762"/>
      <c r="M57" s="763"/>
      <c r="N57" s="3"/>
      <c r="O57" s="3"/>
      <c r="P57" s="3"/>
      <c r="Q57" s="3"/>
      <c r="R57" s="3"/>
      <c r="S57" s="3"/>
      <c r="T57" s="3"/>
      <c r="U57" s="3"/>
    </row>
    <row r="58" spans="1:21" ht="13">
      <c r="A58" s="3"/>
      <c r="B58" s="19"/>
      <c r="C58" s="887" t="s">
        <v>621</v>
      </c>
      <c r="D58" s="761"/>
      <c r="E58" s="762"/>
      <c r="F58" s="762"/>
      <c r="G58" s="762"/>
      <c r="H58" s="762"/>
      <c r="I58" s="762"/>
      <c r="J58" s="762"/>
      <c r="K58" s="762"/>
      <c r="L58" s="762"/>
      <c r="M58" s="763"/>
      <c r="N58" s="3"/>
      <c r="O58" s="3"/>
      <c r="P58" s="3"/>
      <c r="Q58" s="3"/>
      <c r="R58" s="3"/>
      <c r="S58" s="3"/>
      <c r="T58" s="3"/>
      <c r="U58" s="3"/>
    </row>
    <row r="59" spans="1:21" ht="13">
      <c r="A59" s="3"/>
      <c r="B59" s="19"/>
      <c r="C59" s="887" t="s">
        <v>756</v>
      </c>
      <c r="D59" s="761"/>
      <c r="E59" s="762"/>
      <c r="F59" s="762"/>
      <c r="G59" s="762"/>
      <c r="H59" s="762"/>
      <c r="I59" s="762"/>
      <c r="J59" s="762"/>
      <c r="K59" s="762"/>
      <c r="L59" s="764"/>
      <c r="M59" s="763"/>
      <c r="N59" s="3"/>
      <c r="O59" s="3"/>
      <c r="P59" s="3"/>
      <c r="Q59" s="3"/>
      <c r="R59" s="3"/>
      <c r="S59" s="3"/>
      <c r="T59" s="3"/>
      <c r="U59" s="3"/>
    </row>
    <row r="60" spans="1:21" ht="13">
      <c r="A60" s="3"/>
      <c r="B60" s="19"/>
      <c r="C60" s="887" t="s">
        <v>757</v>
      </c>
      <c r="D60" s="761"/>
      <c r="E60" s="762"/>
      <c r="F60" s="762"/>
      <c r="G60" s="762"/>
      <c r="H60" s="762"/>
      <c r="I60" s="762"/>
      <c r="J60" s="762"/>
      <c r="K60" s="762"/>
      <c r="L60" s="762"/>
      <c r="M60" s="763"/>
      <c r="N60" s="3"/>
      <c r="O60" s="3"/>
      <c r="P60" s="3"/>
      <c r="Q60" s="3"/>
      <c r="R60" s="3"/>
      <c r="S60" s="3"/>
      <c r="T60" s="3"/>
      <c r="U60" s="3"/>
    </row>
    <row r="61" spans="1:21" ht="13" thickBot="1">
      <c r="A61" s="3"/>
      <c r="B61" s="19"/>
      <c r="C61" s="3"/>
      <c r="D61" s="799"/>
      <c r="E61" s="765"/>
      <c r="F61" s="765"/>
      <c r="G61" s="765"/>
      <c r="H61" s="765"/>
      <c r="I61" s="765"/>
      <c r="J61" s="765"/>
      <c r="K61" s="765"/>
      <c r="L61" s="765"/>
      <c r="M61" s="766"/>
      <c r="N61" s="3"/>
      <c r="O61" s="3"/>
      <c r="P61" s="3"/>
      <c r="Q61" s="3"/>
      <c r="R61" s="3"/>
      <c r="S61" s="3"/>
      <c r="T61" s="3"/>
      <c r="U61" s="3"/>
    </row>
    <row r="62" spans="1:21" ht="13" thickBot="1">
      <c r="A62" s="3"/>
      <c r="B62" s="19"/>
      <c r="C62" s="3"/>
      <c r="D62" s="103"/>
      <c r="E62" s="103"/>
      <c r="F62" s="103"/>
      <c r="G62" s="103"/>
      <c r="H62" s="103"/>
      <c r="I62" s="103"/>
      <c r="J62" s="103"/>
      <c r="K62" s="103"/>
      <c r="L62" s="103"/>
      <c r="M62" s="103"/>
      <c r="N62" s="3"/>
      <c r="O62" s="3"/>
      <c r="P62" s="3"/>
      <c r="Q62" s="3"/>
      <c r="R62" s="3"/>
      <c r="S62" s="3"/>
      <c r="T62" s="3"/>
      <c r="U62" s="3"/>
    </row>
    <row r="63" spans="1:21" ht="13.5" thickBot="1">
      <c r="A63" s="767" t="s">
        <v>580</v>
      </c>
      <c r="B63" s="876">
        <v>13</v>
      </c>
      <c r="C63" s="768">
        <f>INDEX(D65:D78,B63,1)</f>
        <v>35785.99999999781</v>
      </c>
      <c r="D63" s="769" t="s">
        <v>581</v>
      </c>
      <c r="E63" s="3"/>
      <c r="F63" s="813" t="s">
        <v>2</v>
      </c>
      <c r="G63" s="808">
        <v>5</v>
      </c>
      <c r="H63" s="96" t="s">
        <v>4</v>
      </c>
      <c r="I63" s="814" t="s">
        <v>627</v>
      </c>
      <c r="J63" s="3"/>
      <c r="K63" s="848">
        <f>B90*(((((C63+B90)^2/B90^2)-(COS(G63/57.2958))^2)^0.5)-SIN(G63/57.2958))</f>
        <v>41126.753187550428</v>
      </c>
      <c r="L63" s="220" t="s">
        <v>822</v>
      </c>
      <c r="M63" s="3"/>
      <c r="N63" s="3"/>
      <c r="O63" s="3"/>
      <c r="P63" s="3"/>
      <c r="Q63" s="3"/>
      <c r="R63" s="3"/>
      <c r="S63" s="3"/>
      <c r="T63" s="3"/>
      <c r="U63" s="3"/>
    </row>
    <row r="64" spans="1:21" ht="13">
      <c r="A64" s="811" t="s">
        <v>582</v>
      </c>
      <c r="B64" s="811" t="s">
        <v>583</v>
      </c>
      <c r="C64" s="811" t="s">
        <v>584</v>
      </c>
      <c r="D64" s="811" t="s">
        <v>585</v>
      </c>
      <c r="E64" s="812" t="s">
        <v>586</v>
      </c>
      <c r="F64" s="3"/>
      <c r="G64" s="812" t="s">
        <v>587</v>
      </c>
      <c r="H64" s="3"/>
      <c r="I64" s="3"/>
      <c r="J64" s="3"/>
      <c r="K64" s="3"/>
      <c r="L64" s="3"/>
      <c r="M64" s="3"/>
      <c r="N64" s="3"/>
      <c r="O64" s="3"/>
      <c r="P64" s="3"/>
      <c r="Q64" s="3"/>
      <c r="R64" s="3"/>
      <c r="S64" s="3"/>
      <c r="T64" s="3"/>
      <c r="U64" s="3"/>
    </row>
    <row r="65" spans="1:21">
      <c r="A65" s="213">
        <v>1</v>
      </c>
      <c r="B65" s="770">
        <f>(B45*(1-(B46)^2))/(1+B46*COS(C65/57.29578))</f>
        <v>6878.1370000000024</v>
      </c>
      <c r="C65" s="771">
        <v>0</v>
      </c>
      <c r="D65" s="772">
        <f>B65-B42</f>
        <v>500.00000000000273</v>
      </c>
      <c r="E65" s="66">
        <f t="shared" ref="E65:E75" si="0">180-C65</f>
        <v>180</v>
      </c>
      <c r="F65" s="25" t="s">
        <v>12</v>
      </c>
      <c r="G65" s="773">
        <v>35</v>
      </c>
      <c r="H65" s="25" t="s">
        <v>817</v>
      </c>
      <c r="I65" s="25"/>
      <c r="J65" s="25"/>
      <c r="K65" s="25"/>
      <c r="L65" s="25"/>
      <c r="M65" s="25"/>
      <c r="N65" s="3"/>
      <c r="O65" s="3"/>
      <c r="P65" s="3"/>
      <c r="Q65" s="3"/>
      <c r="R65" s="3"/>
      <c r="S65" s="3"/>
      <c r="T65" s="3"/>
      <c r="U65" s="3"/>
    </row>
    <row r="66" spans="1:21" ht="13" thickBot="1">
      <c r="A66" s="213">
        <v>2</v>
      </c>
      <c r="B66" s="770">
        <f>(B45*(1-(B46)^2))/(1+B46*COS(C66/57.29578))</f>
        <v>6977.6230175021201</v>
      </c>
      <c r="C66" s="213">
        <v>15</v>
      </c>
      <c r="D66" s="772">
        <f>B66-B42</f>
        <v>599.48601750212038</v>
      </c>
      <c r="E66" s="66">
        <f t="shared" si="0"/>
        <v>165</v>
      </c>
      <c r="F66" s="25" t="s">
        <v>12</v>
      </c>
      <c r="G66" s="773">
        <v>35</v>
      </c>
      <c r="H66" s="25"/>
      <c r="I66" s="25"/>
      <c r="J66" s="25"/>
      <c r="K66" s="25"/>
      <c r="L66" s="25"/>
      <c r="M66" s="25"/>
      <c r="N66" s="3"/>
      <c r="O66" s="3"/>
      <c r="P66" s="3"/>
      <c r="Q66" s="3"/>
      <c r="R66" s="3"/>
      <c r="S66" s="3"/>
      <c r="T66" s="3"/>
      <c r="U66" s="3"/>
    </row>
    <row r="67" spans="1:21" ht="13" thickBot="1">
      <c r="A67" s="213">
        <v>3</v>
      </c>
      <c r="B67" s="770">
        <f>(B45*(1-(B46)^2))/(1+B46*COS(C67/57.29578))</f>
        <v>7286.6237888209216</v>
      </c>
      <c r="C67" s="213">
        <v>30</v>
      </c>
      <c r="D67" s="772">
        <f>B67-B42</f>
        <v>908.4867888209219</v>
      </c>
      <c r="E67" s="66">
        <f t="shared" si="0"/>
        <v>150</v>
      </c>
      <c r="F67" s="25" t="s">
        <v>12</v>
      </c>
      <c r="G67" s="773">
        <v>35</v>
      </c>
      <c r="H67" s="774"/>
      <c r="I67" s="775" t="s">
        <v>503</v>
      </c>
      <c r="J67" s="775"/>
      <c r="K67" s="775"/>
      <c r="L67" s="776"/>
      <c r="M67" s="25"/>
      <c r="N67" s="3"/>
      <c r="O67" s="3"/>
      <c r="P67" s="3"/>
      <c r="Q67" s="3"/>
      <c r="R67" s="3"/>
      <c r="S67" s="3"/>
      <c r="T67" s="3"/>
      <c r="U67" s="3"/>
    </row>
    <row r="68" spans="1:21" ht="13" thickBot="1">
      <c r="A68" s="213">
        <v>4</v>
      </c>
      <c r="B68" s="770">
        <f>(B45*(1-(B46)^2))/(1+B46*COS(C68/57.29578))</f>
        <v>7838.8429783306747</v>
      </c>
      <c r="C68" s="213">
        <v>45</v>
      </c>
      <c r="D68" s="772">
        <f>B68-B42</f>
        <v>1460.705978330675</v>
      </c>
      <c r="E68" s="66">
        <f t="shared" si="0"/>
        <v>135</v>
      </c>
      <c r="F68" s="25" t="s">
        <v>12</v>
      </c>
      <c r="G68" s="773">
        <v>35</v>
      </c>
      <c r="H68" s="890" t="s">
        <v>982</v>
      </c>
      <c r="I68" s="26"/>
      <c r="J68" s="398"/>
      <c r="K68" s="777">
        <f>2*((ASIN(B42/(B42+C63)))*57.2958)</f>
        <v>17.400982397943942</v>
      </c>
      <c r="L68" s="893" t="s">
        <v>4</v>
      </c>
      <c r="M68" s="25"/>
      <c r="N68" s="3"/>
      <c r="O68" s="3"/>
      <c r="P68" s="3"/>
      <c r="Q68" s="3"/>
      <c r="R68" s="3"/>
      <c r="S68" s="3"/>
      <c r="T68" s="3"/>
      <c r="U68" s="3"/>
    </row>
    <row r="69" spans="1:21" ht="13" thickBot="1">
      <c r="A69" s="213">
        <v>5</v>
      </c>
      <c r="B69" s="770">
        <f>(B45*(1-(B46)^2))/(1+B46*COS(C69/57.29578))</f>
        <v>8697.8936186138471</v>
      </c>
      <c r="C69" s="213">
        <v>60</v>
      </c>
      <c r="D69" s="772">
        <f>B69-B42</f>
        <v>2319.7566186138474</v>
      </c>
      <c r="E69" s="66">
        <f t="shared" si="0"/>
        <v>120</v>
      </c>
      <c r="F69" s="25" t="s">
        <v>12</v>
      </c>
      <c r="G69" s="773">
        <v>35</v>
      </c>
      <c r="H69" s="891" t="s">
        <v>983</v>
      </c>
      <c r="I69" s="26"/>
      <c r="J69" s="398"/>
      <c r="K69" s="892">
        <v>10</v>
      </c>
      <c r="L69" s="894" t="s">
        <v>4</v>
      </c>
      <c r="M69" s="25"/>
      <c r="N69" s="3"/>
      <c r="O69" s="3"/>
      <c r="P69" s="3"/>
      <c r="Q69" s="3"/>
      <c r="R69" s="3"/>
      <c r="S69" s="3"/>
      <c r="T69" s="3"/>
      <c r="U69" s="3"/>
    </row>
    <row r="70" spans="1:21" ht="13" thickBot="1">
      <c r="A70" s="213">
        <v>6</v>
      </c>
      <c r="B70" s="770">
        <f>(B45*(1-(B46)^2))/(1+B46*COS(C70/57.29578))</f>
        <v>9970.292881925574</v>
      </c>
      <c r="C70" s="213">
        <v>75</v>
      </c>
      <c r="D70" s="772">
        <f>B70-B42</f>
        <v>3592.1558819255742</v>
      </c>
      <c r="E70" s="66">
        <f t="shared" si="0"/>
        <v>105</v>
      </c>
      <c r="F70" s="25" t="s">
        <v>12</v>
      </c>
      <c r="G70" s="773">
        <v>35</v>
      </c>
      <c r="H70" s="248" t="s">
        <v>588</v>
      </c>
      <c r="I70" s="26"/>
      <c r="J70" s="398"/>
      <c r="K70" s="777">
        <f>K68/2+K69</f>
        <v>18.700491198971971</v>
      </c>
      <c r="L70" s="893" t="s">
        <v>4</v>
      </c>
      <c r="M70" s="25"/>
      <c r="N70" s="3"/>
      <c r="O70" s="3"/>
      <c r="P70" s="3"/>
      <c r="Q70" s="3"/>
      <c r="R70" s="3"/>
      <c r="S70" s="3"/>
      <c r="T70" s="3"/>
      <c r="U70" s="3"/>
    </row>
    <row r="71" spans="1:21" ht="13" thickBot="1">
      <c r="A71" s="213">
        <v>7</v>
      </c>
      <c r="B71" s="770">
        <f>(B45*(1-(B46)^2))/(1+B46*COS(C71/57.29578))</f>
        <v>11826.968218777867</v>
      </c>
      <c r="C71" s="213">
        <v>90</v>
      </c>
      <c r="D71" s="772">
        <f>B71-B42</f>
        <v>5448.8312187778674</v>
      </c>
      <c r="E71" s="66">
        <f t="shared" si="0"/>
        <v>90</v>
      </c>
      <c r="F71" s="25" t="s">
        <v>12</v>
      </c>
      <c r="G71" s="773">
        <v>35</v>
      </c>
      <c r="H71" s="248" t="s">
        <v>589</v>
      </c>
      <c r="I71" s="26"/>
      <c r="J71" s="398"/>
      <c r="K71" s="779">
        <f>'Antenna Pointing Losses'!K63</f>
        <v>0</v>
      </c>
      <c r="L71" s="778" t="s">
        <v>859</v>
      </c>
      <c r="M71" s="25"/>
      <c r="N71" s="3"/>
      <c r="O71" s="3"/>
      <c r="P71" s="3"/>
      <c r="Q71" s="3"/>
      <c r="R71" s="3"/>
      <c r="S71" s="3"/>
      <c r="T71" s="3"/>
      <c r="U71" s="3"/>
    </row>
    <row r="72" spans="1:21" ht="13" thickBot="1">
      <c r="A72" s="213">
        <v>8</v>
      </c>
      <c r="B72" s="770">
        <f>(B45*(1-(B46)^2))/(1+B46*COS(C72/57.29578))</f>
        <v>14533.386185165687</v>
      </c>
      <c r="C72" s="213">
        <v>105</v>
      </c>
      <c r="D72" s="772">
        <f>B72-B42</f>
        <v>8155.2491851656878</v>
      </c>
      <c r="E72" s="66">
        <f t="shared" si="0"/>
        <v>75</v>
      </c>
      <c r="F72" s="25" t="s">
        <v>12</v>
      </c>
      <c r="G72" s="773">
        <v>35</v>
      </c>
      <c r="H72" s="248" t="s">
        <v>590</v>
      </c>
      <c r="I72" s="26"/>
      <c r="J72" s="398"/>
      <c r="K72" s="779">
        <f>'Antenna Pointing Losses'!K85</f>
        <v>0</v>
      </c>
      <c r="L72" s="778" t="s">
        <v>859</v>
      </c>
      <c r="M72" s="25"/>
      <c r="N72" s="3"/>
      <c r="O72" s="3"/>
      <c r="P72" s="3"/>
      <c r="Q72" s="3"/>
      <c r="R72" s="3"/>
      <c r="S72" s="3"/>
      <c r="T72" s="3"/>
      <c r="U72" s="3"/>
    </row>
    <row r="73" spans="1:21" ht="13" thickBot="1">
      <c r="A73" s="213">
        <v>9</v>
      </c>
      <c r="B73" s="770">
        <f>(B45*(1-(B46)^2))/(1+B46*COS(C73/57.29578))</f>
        <v>18472.446576256712</v>
      </c>
      <c r="C73" s="213">
        <v>120</v>
      </c>
      <c r="D73" s="772">
        <f>B73-B42</f>
        <v>12094.309576256714</v>
      </c>
      <c r="E73" s="66">
        <f t="shared" si="0"/>
        <v>60</v>
      </c>
      <c r="F73" s="25" t="s">
        <v>12</v>
      </c>
      <c r="G73" s="773">
        <v>35</v>
      </c>
      <c r="H73" s="248" t="s">
        <v>502</v>
      </c>
      <c r="I73" s="26"/>
      <c r="J73" s="398"/>
      <c r="K73" s="777">
        <f>'Downlink Budget'!B30</f>
        <v>15.381580096395595</v>
      </c>
      <c r="L73" s="778" t="s">
        <v>859</v>
      </c>
      <c r="M73" s="25"/>
      <c r="N73" s="3"/>
      <c r="O73" s="3"/>
      <c r="P73" s="3"/>
      <c r="Q73" s="3"/>
      <c r="R73" s="3"/>
      <c r="S73" s="3"/>
      <c r="T73" s="3"/>
      <c r="U73" s="3"/>
    </row>
    <row r="74" spans="1:21" ht="13" thickBot="1">
      <c r="A74" s="213">
        <v>10</v>
      </c>
      <c r="B74" s="770">
        <f>(B45*(1-(B46)^2))/(1+B46*COS(C74/57.29578))</f>
        <v>24075.965611934313</v>
      </c>
      <c r="C74" s="213">
        <v>135</v>
      </c>
      <c r="D74" s="772">
        <f>B74-B42</f>
        <v>17697.828611934314</v>
      </c>
      <c r="E74" s="66">
        <f t="shared" si="0"/>
        <v>45</v>
      </c>
      <c r="F74" s="25" t="s">
        <v>12</v>
      </c>
      <c r="G74" s="773">
        <v>40</v>
      </c>
      <c r="H74" s="625" t="s">
        <v>984</v>
      </c>
      <c r="I74" s="129"/>
      <c r="J74" s="289"/>
      <c r="K74" s="895">
        <f>'Uplink Budget'!B30</f>
        <v>16.048242175284074</v>
      </c>
      <c r="L74" s="780" t="s">
        <v>859</v>
      </c>
      <c r="M74" s="25"/>
      <c r="N74" s="3"/>
      <c r="O74" s="3"/>
      <c r="P74" s="3"/>
      <c r="Q74" s="3"/>
      <c r="R74" s="3"/>
      <c r="S74" s="3"/>
      <c r="T74" s="3"/>
      <c r="U74" s="3"/>
    </row>
    <row r="75" spans="1:21">
      <c r="A75" s="213">
        <v>11</v>
      </c>
      <c r="B75" s="770">
        <f>(B45*(1-(B46)^2))/(1+B46*COS(C75/57.29578))</f>
        <v>31380.154349772623</v>
      </c>
      <c r="C75" s="213">
        <v>150</v>
      </c>
      <c r="D75" s="772">
        <f>B75-B42</f>
        <v>25002.017349772625</v>
      </c>
      <c r="E75" s="66">
        <f t="shared" si="0"/>
        <v>30</v>
      </c>
      <c r="F75" s="25" t="s">
        <v>12</v>
      </c>
      <c r="G75" s="773">
        <v>50</v>
      </c>
      <c r="H75" s="25"/>
      <c r="I75" s="25"/>
      <c r="J75" s="25"/>
      <c r="K75" s="25"/>
      <c r="L75" s="25"/>
      <c r="M75" s="25"/>
      <c r="N75" s="3"/>
      <c r="O75" s="3"/>
      <c r="P75" s="3"/>
      <c r="Q75" s="3"/>
      <c r="R75" s="3"/>
      <c r="S75" s="3"/>
      <c r="T75" s="3"/>
      <c r="U75" s="3"/>
    </row>
    <row r="76" spans="1:21">
      <c r="A76" s="213">
        <v>12</v>
      </c>
      <c r="B76" s="770">
        <f>(B45*(1-(B46)^2))/(1+B46*COS(C76/57.29578))</f>
        <v>38775.073861854115</v>
      </c>
      <c r="C76" s="213">
        <v>165</v>
      </c>
      <c r="D76" s="772">
        <f>B76-B42</f>
        <v>32396.936861854116</v>
      </c>
      <c r="E76" s="66">
        <f>180-C76</f>
        <v>15</v>
      </c>
      <c r="F76" s="25" t="s">
        <v>12</v>
      </c>
      <c r="G76" s="773">
        <v>90</v>
      </c>
      <c r="H76" s="25"/>
      <c r="I76" s="25"/>
      <c r="J76" s="25"/>
      <c r="K76" s="25"/>
      <c r="L76" s="25"/>
      <c r="M76" s="25"/>
      <c r="N76" s="3"/>
      <c r="O76" s="3"/>
      <c r="P76" s="3"/>
      <c r="Q76" s="3"/>
      <c r="R76" s="3"/>
      <c r="S76" s="3"/>
      <c r="T76" s="3"/>
      <c r="U76" s="3"/>
    </row>
    <row r="77" spans="1:21">
      <c r="A77" s="213">
        <v>13</v>
      </c>
      <c r="B77" s="770">
        <f>(B45*(1-(B46)^2))/(1+B46*COS(C77/57.29578))</f>
        <v>42164.136999997812</v>
      </c>
      <c r="C77" s="771">
        <v>179.99999</v>
      </c>
      <c r="D77" s="772">
        <f>B77-B42</f>
        <v>35785.99999999781</v>
      </c>
      <c r="E77" s="66">
        <f>180-C77</f>
        <v>1.0000000003174137E-5</v>
      </c>
      <c r="F77" s="25" t="s">
        <v>12</v>
      </c>
      <c r="G77" s="773">
        <v>170</v>
      </c>
      <c r="H77" s="25"/>
      <c r="I77" s="25"/>
      <c r="J77" s="25"/>
      <c r="K77" s="25"/>
      <c r="L77" s="25"/>
      <c r="M77" s="25"/>
      <c r="N77" s="3"/>
      <c r="O77" s="3"/>
      <c r="P77" s="3"/>
      <c r="Q77" s="3"/>
      <c r="R77" s="3"/>
      <c r="S77" s="3"/>
      <c r="T77" s="3"/>
      <c r="U77" s="3"/>
    </row>
    <row r="78" spans="1:21">
      <c r="A78" s="781">
        <v>14</v>
      </c>
      <c r="B78" s="782">
        <f>(B45*(1-(B46)^2))/(1+B46*COS(C78/57.29578))</f>
        <v>41756.554391673679</v>
      </c>
      <c r="C78" s="783">
        <v>175</v>
      </c>
      <c r="D78" s="784">
        <f>B78-B42</f>
        <v>35378.417391673676</v>
      </c>
      <c r="E78" s="785">
        <f>180-C78</f>
        <v>5</v>
      </c>
      <c r="F78" s="613" t="s">
        <v>12</v>
      </c>
      <c r="G78" s="786">
        <v>160</v>
      </c>
      <c r="H78" s="613"/>
      <c r="I78" s="787" t="s">
        <v>591</v>
      </c>
      <c r="J78" s="613"/>
      <c r="K78" s="613"/>
      <c r="L78" s="613"/>
      <c r="M78" s="371"/>
      <c r="N78" s="3"/>
      <c r="O78" s="3"/>
      <c r="P78" s="3"/>
      <c r="Q78" s="3"/>
      <c r="R78" s="3"/>
      <c r="S78" s="3"/>
      <c r="T78" s="3"/>
      <c r="U78" s="3"/>
    </row>
    <row r="79" spans="1:21">
      <c r="A79" s="3"/>
      <c r="B79" s="3" t="s">
        <v>817</v>
      </c>
      <c r="C79" s="3"/>
      <c r="D79" s="3"/>
      <c r="E79" s="3" t="s">
        <v>817</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4"/>
      <c r="B84" s="114"/>
      <c r="C84" s="114"/>
      <c r="D84" s="114"/>
      <c r="E84" s="114"/>
      <c r="F84" s="114"/>
      <c r="G84" s="114"/>
      <c r="H84" s="114"/>
      <c r="I84" s="114"/>
      <c r="J84" s="114"/>
      <c r="K84" s="114"/>
      <c r="L84" s="114"/>
      <c r="M84" s="114"/>
      <c r="N84" s="114"/>
      <c r="O84" s="114"/>
      <c r="P84" s="114"/>
      <c r="Q84" s="114"/>
      <c r="R84" s="114"/>
      <c r="S84" s="114"/>
      <c r="T84" s="114"/>
      <c r="U84" s="114"/>
    </row>
    <row r="85" spans="1:21" ht="15.5">
      <c r="A85" s="872" t="s">
        <v>618</v>
      </c>
      <c r="B85" s="25"/>
      <c r="C85" s="25"/>
      <c r="D85" s="853" t="s">
        <v>140</v>
      </c>
      <c r="E85" s="25"/>
      <c r="F85" s="25"/>
      <c r="G85" s="25"/>
      <c r="H85" s="25"/>
      <c r="I85" s="25"/>
      <c r="J85" s="25"/>
      <c r="K85" s="25"/>
      <c r="L85" s="25"/>
      <c r="M85" s="25"/>
      <c r="N85" s="25"/>
      <c r="O85" s="25"/>
      <c r="P85" s="25"/>
      <c r="Q85" s="25"/>
      <c r="R85" s="25"/>
      <c r="S85" s="25"/>
      <c r="T85" s="25"/>
      <c r="U85" s="25"/>
    </row>
    <row r="86" spans="1:21">
      <c r="A86" s="3"/>
      <c r="B86" s="3"/>
      <c r="C86" s="3"/>
      <c r="D86" s="3"/>
      <c r="E86" s="3"/>
      <c r="F86" s="3"/>
      <c r="G86" s="3"/>
      <c r="H86" s="3"/>
      <c r="I86" s="3"/>
      <c r="J86" s="3"/>
      <c r="K86" s="3"/>
      <c r="L86" s="3"/>
      <c r="M86" s="3"/>
      <c r="N86" s="3"/>
      <c r="O86" s="3"/>
      <c r="P86" s="3"/>
      <c r="Q86" s="3"/>
      <c r="R86" s="3"/>
      <c r="S86" s="3"/>
      <c r="T86" s="3"/>
      <c r="U86" s="3"/>
    </row>
    <row r="87" spans="1:21" ht="13">
      <c r="A87" s="4" t="s">
        <v>608</v>
      </c>
      <c r="B87" s="3"/>
      <c r="C87" s="3"/>
      <c r="D87" s="3"/>
      <c r="E87" s="3"/>
      <c r="F87" s="3"/>
      <c r="G87" s="3"/>
      <c r="H87" s="3"/>
      <c r="I87" s="3"/>
      <c r="J87" s="3"/>
      <c r="K87" s="3"/>
      <c r="L87" s="3"/>
      <c r="M87" s="3"/>
      <c r="N87" s="3"/>
      <c r="O87" s="3"/>
      <c r="P87" s="3"/>
      <c r="Q87" s="3"/>
      <c r="R87" s="3"/>
      <c r="S87" s="3"/>
      <c r="T87" s="3"/>
      <c r="U87" s="3"/>
    </row>
    <row r="88" spans="1:21" ht="13">
      <c r="A88" s="791" t="s">
        <v>818</v>
      </c>
      <c r="B88" s="792" t="s">
        <v>819</v>
      </c>
      <c r="C88" s="791" t="s">
        <v>820</v>
      </c>
      <c r="D88" s="798" t="s">
        <v>595</v>
      </c>
      <c r="E88" s="3"/>
      <c r="F88" s="3"/>
      <c r="G88" s="3"/>
      <c r="H88" s="3"/>
      <c r="I88" s="3"/>
      <c r="J88" s="3"/>
      <c r="K88" s="3"/>
      <c r="L88" s="3"/>
      <c r="M88" s="3"/>
      <c r="N88" s="3"/>
      <c r="O88" s="3"/>
      <c r="P88" s="3"/>
      <c r="Q88" s="3"/>
      <c r="R88" s="3"/>
      <c r="S88" s="3"/>
      <c r="T88" s="3"/>
      <c r="U88" s="3"/>
    </row>
    <row r="89" spans="1:21" ht="17.25" customHeight="1">
      <c r="A89" s="793" t="s">
        <v>600</v>
      </c>
      <c r="B89" s="794">
        <f>B91-B90</f>
        <v>35786.018697888401</v>
      </c>
      <c r="C89" s="793" t="s">
        <v>822</v>
      </c>
      <c r="D89" s="797" t="s">
        <v>601</v>
      </c>
      <c r="E89" s="3"/>
      <c r="F89" s="3"/>
      <c r="G89" s="3"/>
      <c r="H89" s="3"/>
      <c r="I89" s="3"/>
      <c r="J89" s="3"/>
      <c r="K89" s="3"/>
      <c r="L89" s="3"/>
      <c r="M89" s="3"/>
      <c r="N89" s="3"/>
      <c r="O89" s="3"/>
      <c r="P89" s="3"/>
      <c r="Q89" s="3"/>
      <c r="R89" s="3"/>
      <c r="S89" s="3"/>
      <c r="T89" s="3"/>
      <c r="U89" s="3"/>
    </row>
    <row r="90" spans="1:21">
      <c r="A90" s="793" t="s">
        <v>602</v>
      </c>
      <c r="B90" s="794">
        <v>6378.1369999999997</v>
      </c>
      <c r="C90" s="793" t="s">
        <v>822</v>
      </c>
      <c r="D90" s="795"/>
      <c r="E90" s="3"/>
      <c r="F90" s="3"/>
      <c r="G90" s="3"/>
      <c r="H90" s="3"/>
      <c r="I90" s="3"/>
      <c r="J90" s="3"/>
      <c r="K90" s="3"/>
      <c r="L90" s="3"/>
      <c r="M90" s="3"/>
      <c r="N90" s="3"/>
      <c r="O90" s="3"/>
      <c r="P90" s="3"/>
      <c r="Q90" s="3"/>
      <c r="R90" s="3"/>
      <c r="S90" s="3"/>
      <c r="T90" s="3"/>
      <c r="U90" s="3"/>
    </row>
    <row r="91" spans="1:21">
      <c r="A91" s="793" t="s">
        <v>603</v>
      </c>
      <c r="B91" s="794">
        <f>(398600000000000*(86400*(365.25/366.25)/(2*PI()))^2)^(1/3)/1000</f>
        <v>42164.155697888404</v>
      </c>
      <c r="C91" s="793" t="s">
        <v>822</v>
      </c>
      <c r="D91" s="554" t="s">
        <v>604</v>
      </c>
      <c r="E91" s="3"/>
      <c r="F91" s="3"/>
      <c r="G91" s="3"/>
      <c r="H91" s="3"/>
      <c r="I91" s="3"/>
      <c r="J91" s="3"/>
      <c r="K91" s="3"/>
      <c r="L91" s="3"/>
      <c r="M91" s="3"/>
      <c r="N91" s="3"/>
      <c r="O91" s="3"/>
      <c r="P91" s="3"/>
      <c r="Q91" s="3"/>
      <c r="R91" s="3"/>
      <c r="S91" s="3"/>
      <c r="T91" s="3"/>
      <c r="U91" s="3"/>
    </row>
    <row r="92" spans="1:21">
      <c r="A92" s="793" t="s">
        <v>605</v>
      </c>
      <c r="B92" s="794">
        <v>37410</v>
      </c>
      <c r="C92" s="103" t="s">
        <v>822</v>
      </c>
      <c r="D92" s="103" t="s">
        <v>609</v>
      </c>
      <c r="E92" s="3"/>
      <c r="F92" s="3"/>
      <c r="G92" s="3"/>
      <c r="H92" s="3"/>
      <c r="I92" s="3"/>
      <c r="J92" s="3"/>
      <c r="K92" s="3"/>
      <c r="L92" s="3"/>
      <c r="M92" s="3"/>
      <c r="N92" s="3"/>
      <c r="O92" s="3"/>
      <c r="P92" s="3"/>
      <c r="Q92" s="3"/>
      <c r="R92" s="3"/>
      <c r="S92" s="3"/>
      <c r="T92" s="3"/>
      <c r="U92" s="3"/>
    </row>
    <row r="93" spans="1:21">
      <c r="A93" s="793" t="s">
        <v>606</v>
      </c>
      <c r="B93" s="800">
        <v>35786.019</v>
      </c>
      <c r="C93" s="793" t="s">
        <v>822</v>
      </c>
      <c r="D93" s="103" t="s">
        <v>610</v>
      </c>
      <c r="E93" s="3"/>
      <c r="F93" s="3"/>
      <c r="G93" s="3"/>
      <c r="H93" s="3"/>
      <c r="I93" s="3"/>
      <c r="J93" s="3"/>
      <c r="K93" s="3"/>
      <c r="L93" s="3"/>
      <c r="M93" s="3"/>
      <c r="N93" s="3"/>
      <c r="O93" s="3"/>
      <c r="P93" s="3"/>
      <c r="Q93" s="3"/>
      <c r="R93" s="3"/>
      <c r="S93" s="3"/>
      <c r="T93" s="3"/>
      <c r="U93" s="3"/>
    </row>
    <row r="94" spans="1:21">
      <c r="A94" s="793" t="s">
        <v>607</v>
      </c>
      <c r="B94" s="800">
        <v>41678.957000000002</v>
      </c>
      <c r="C94" s="793" t="s">
        <v>822</v>
      </c>
      <c r="D94" s="103" t="s">
        <v>619</v>
      </c>
      <c r="E94" s="3"/>
      <c r="F94" s="3"/>
      <c r="G94" s="3"/>
      <c r="H94" s="3"/>
      <c r="I94" s="3"/>
      <c r="J94" s="3"/>
      <c r="K94" s="3"/>
      <c r="L94" s="3"/>
      <c r="M94" s="3"/>
      <c r="N94" s="3"/>
      <c r="O94" s="3"/>
      <c r="P94" s="3"/>
      <c r="Q94" s="3"/>
      <c r="R94" s="3"/>
      <c r="S94" s="3"/>
      <c r="T94" s="3"/>
      <c r="U94" s="3"/>
    </row>
    <row r="95" spans="1:21" ht="13.5" thickBot="1">
      <c r="A95" s="103" t="s">
        <v>817</v>
      </c>
      <c r="B95" s="796" t="s">
        <v>817</v>
      </c>
      <c r="C95" s="103" t="s">
        <v>817</v>
      </c>
      <c r="D95" s="103"/>
      <c r="E95" s="3"/>
      <c r="F95" s="3"/>
      <c r="G95" s="3"/>
      <c r="H95" s="3"/>
      <c r="I95" s="3"/>
      <c r="J95" s="3"/>
      <c r="K95" s="3"/>
      <c r="L95" s="3"/>
      <c r="M95" s="3"/>
      <c r="N95" s="3"/>
      <c r="O95" s="868" t="s">
        <v>28</v>
      </c>
      <c r="P95" s="3"/>
      <c r="Q95" s="3"/>
      <c r="R95" s="3"/>
      <c r="S95" s="3"/>
      <c r="T95" s="3"/>
      <c r="U95" s="3"/>
    </row>
    <row r="96" spans="1:21" ht="13.5" thickBot="1">
      <c r="A96" s="103" t="s">
        <v>817</v>
      </c>
      <c r="B96" s="824" t="s">
        <v>119</v>
      </c>
      <c r="C96" s="103"/>
      <c r="D96" s="103"/>
      <c r="E96" s="3"/>
      <c r="F96" s="3"/>
      <c r="G96" s="825" t="s">
        <v>371</v>
      </c>
      <c r="H96" s="3"/>
      <c r="I96" s="3"/>
      <c r="J96" s="3"/>
      <c r="K96" s="3"/>
      <c r="L96" s="3"/>
      <c r="M96" s="824" t="s">
        <v>122</v>
      </c>
      <c r="N96" s="103"/>
      <c r="O96" s="826" t="s">
        <v>140</v>
      </c>
      <c r="P96" s="3"/>
      <c r="Q96" s="3"/>
      <c r="R96" s="3"/>
      <c r="S96" s="3"/>
      <c r="T96" s="3"/>
      <c r="U96" s="3"/>
    </row>
    <row r="97" spans="1:21" ht="13.5" thickBot="1">
      <c r="A97" s="3"/>
      <c r="B97" s="868" t="s">
        <v>599</v>
      </c>
      <c r="C97" s="3"/>
      <c r="D97" s="3"/>
      <c r="E97" s="3"/>
      <c r="F97" s="3"/>
      <c r="G97" s="3"/>
      <c r="H97" s="3"/>
      <c r="I97" s="3"/>
      <c r="J97" s="3"/>
      <c r="K97" s="3"/>
      <c r="L97" s="3"/>
      <c r="M97" s="3"/>
      <c r="N97" s="3"/>
      <c r="O97" s="868" t="s">
        <v>817</v>
      </c>
      <c r="P97" s="3"/>
      <c r="Q97" s="3"/>
      <c r="R97" s="3"/>
      <c r="S97" s="3"/>
      <c r="T97" s="3"/>
      <c r="U97" s="3"/>
    </row>
    <row r="98" spans="1:21" ht="13" thickBot="1">
      <c r="A98" s="3" t="s">
        <v>613</v>
      </c>
      <c r="B98" s="854">
        <v>19.062200000000001</v>
      </c>
      <c r="C98" s="3" t="s">
        <v>4</v>
      </c>
      <c r="D98" s="28" t="s">
        <v>615</v>
      </c>
      <c r="E98" s="3"/>
      <c r="F98" s="3"/>
      <c r="G98" s="3"/>
      <c r="H98" s="3"/>
      <c r="I98" s="3"/>
      <c r="J98" s="3"/>
      <c r="K98" s="3"/>
      <c r="L98" s="3"/>
      <c r="M98" s="850" t="s">
        <v>613</v>
      </c>
      <c r="N98" s="3"/>
      <c r="O98" s="854">
        <v>17.429200000000002</v>
      </c>
      <c r="P98" s="3" t="s">
        <v>4</v>
      </c>
      <c r="Q98" s="3"/>
      <c r="R98" s="3"/>
      <c r="S98" s="3"/>
      <c r="T98" s="3"/>
      <c r="U98" s="3"/>
    </row>
    <row r="99" spans="1:21" ht="13" thickBot="1">
      <c r="A99" s="3"/>
      <c r="B99" s="855" t="s">
        <v>817</v>
      </c>
      <c r="C99" s="3"/>
      <c r="D99" s="3"/>
      <c r="E99" s="3"/>
      <c r="F99" s="3"/>
      <c r="G99" s="3"/>
      <c r="H99" s="3"/>
      <c r="I99" s="3"/>
      <c r="J99" s="3"/>
      <c r="K99" s="3"/>
      <c r="L99" s="3"/>
      <c r="M99" s="622"/>
      <c r="N99" s="3"/>
      <c r="O99" s="3"/>
      <c r="P99" s="3"/>
      <c r="Q99" s="3"/>
      <c r="R99" s="3"/>
      <c r="S99" s="3"/>
      <c r="T99" s="3"/>
      <c r="U99" s="3"/>
    </row>
    <row r="100" spans="1:21" ht="13" thickBot="1">
      <c r="A100" s="3" t="s">
        <v>614</v>
      </c>
      <c r="B100" s="854">
        <v>72.874200000000002</v>
      </c>
      <c r="C100" s="3" t="s">
        <v>4</v>
      </c>
      <c r="D100" s="28" t="s">
        <v>616</v>
      </c>
      <c r="E100" s="3"/>
      <c r="F100" s="3"/>
      <c r="G100" s="3"/>
      <c r="H100" s="3"/>
      <c r="I100" s="3"/>
      <c r="J100" s="3"/>
      <c r="K100" s="3"/>
      <c r="L100" s="3"/>
      <c r="M100" s="850" t="s">
        <v>614</v>
      </c>
      <c r="N100" s="3"/>
      <c r="O100" s="854">
        <v>78.465800000000002</v>
      </c>
      <c r="P100" s="3" t="s">
        <v>4</v>
      </c>
      <c r="Q100" s="3"/>
      <c r="R100" s="3"/>
      <c r="S100" s="3"/>
      <c r="T100" s="3"/>
      <c r="U100" s="3"/>
    </row>
    <row r="101" spans="1:21" ht="13" thickBot="1">
      <c r="A101" s="3"/>
      <c r="B101" s="898">
        <f>(B100-B102)</f>
        <v>-16.625799999999998</v>
      </c>
      <c r="C101" s="3"/>
      <c r="D101" s="3"/>
      <c r="E101" s="3"/>
      <c r="F101" s="3"/>
      <c r="G101" s="3"/>
      <c r="H101" s="3"/>
      <c r="I101" s="3"/>
      <c r="J101" s="3"/>
      <c r="K101" s="3"/>
      <c r="L101" s="3"/>
      <c r="M101" s="622"/>
      <c r="N101" s="3"/>
      <c r="O101" s="898">
        <f>O100-O102</f>
        <v>-11.034199999999998</v>
      </c>
      <c r="P101" s="3"/>
      <c r="Q101" s="3"/>
      <c r="R101" s="3"/>
      <c r="S101" s="3"/>
      <c r="T101" s="3"/>
      <c r="U101" s="3"/>
    </row>
    <row r="102" spans="1:21" ht="13" thickBot="1">
      <c r="A102" s="3" t="s">
        <v>331</v>
      </c>
      <c r="B102" s="854">
        <v>89.5</v>
      </c>
      <c r="C102" s="3" t="s">
        <v>4</v>
      </c>
      <c r="D102" s="3" t="s">
        <v>351</v>
      </c>
      <c r="E102" s="3"/>
      <c r="F102" s="3"/>
      <c r="G102" s="3"/>
      <c r="H102" s="3"/>
      <c r="I102" s="3"/>
      <c r="J102" s="3"/>
      <c r="K102" s="3"/>
      <c r="L102" s="3"/>
      <c r="M102" s="883" t="s">
        <v>924</v>
      </c>
      <c r="N102" s="3"/>
      <c r="O102" s="884">
        <f>B102</f>
        <v>89.5</v>
      </c>
      <c r="P102" s="3" t="s">
        <v>4</v>
      </c>
      <c r="Q102" s="3" t="s">
        <v>925</v>
      </c>
      <c r="R102" s="3"/>
      <c r="S102" s="3"/>
      <c r="T102" s="3"/>
      <c r="U102" s="3"/>
    </row>
    <row r="103" spans="1:21" ht="13" thickBot="1">
      <c r="A103" s="3"/>
      <c r="B103" s="3"/>
      <c r="C103" s="3"/>
      <c r="D103" s="3"/>
      <c r="E103" s="3"/>
      <c r="F103" s="3"/>
      <c r="G103" s="3"/>
      <c r="H103" s="3"/>
      <c r="I103" s="3"/>
      <c r="J103" s="3"/>
      <c r="K103" s="3"/>
      <c r="L103" s="3"/>
      <c r="M103" s="622"/>
      <c r="N103" s="3"/>
      <c r="O103" s="3"/>
      <c r="P103" s="3"/>
      <c r="Q103" s="3"/>
      <c r="R103" s="3"/>
      <c r="S103" s="3"/>
      <c r="T103" s="3"/>
      <c r="U103" s="3"/>
    </row>
    <row r="104" spans="1:21" ht="13.5" thickBot="1">
      <c r="A104" s="3" t="s">
        <v>617</v>
      </c>
      <c r="B104" s="816">
        <f>SQRT($B$91^2+$B$90^2-2*$B$91*$B$90*COS(B110/57.29578))</f>
        <v>36488.15588571554</v>
      </c>
      <c r="C104" s="3" t="s">
        <v>822</v>
      </c>
      <c r="D104" s="3" t="s">
        <v>352</v>
      </c>
      <c r="E104" s="3"/>
      <c r="F104" s="3"/>
      <c r="G104" s="3"/>
      <c r="H104" s="3"/>
      <c r="I104" s="3"/>
      <c r="J104" s="3"/>
      <c r="K104" s="3"/>
      <c r="L104" s="3"/>
      <c r="M104" s="849" t="s">
        <v>617</v>
      </c>
      <c r="N104" s="3"/>
      <c r="O104" s="816">
        <f>SQRT($B$91^2+$B$90^2-2*$B$91*$B$90*COS(O110/57.29578))</f>
        <v>36260.448781198123</v>
      </c>
      <c r="P104" s="3" t="s">
        <v>822</v>
      </c>
      <c r="Q104" s="3"/>
      <c r="R104" s="3"/>
      <c r="S104" s="3"/>
      <c r="T104" s="3"/>
      <c r="U104" s="3"/>
    </row>
    <row r="105" spans="1:21" ht="13" thickBot="1">
      <c r="A105" s="3"/>
      <c r="B105" s="3"/>
      <c r="C105" s="3"/>
      <c r="D105" s="3"/>
      <c r="E105" s="3"/>
      <c r="F105" s="3"/>
      <c r="G105" s="3"/>
      <c r="H105" s="3"/>
      <c r="I105" s="3"/>
      <c r="J105" s="3"/>
      <c r="K105" s="3"/>
      <c r="L105" s="3"/>
      <c r="M105" s="622"/>
      <c r="N105" s="3"/>
      <c r="O105" s="3"/>
      <c r="P105" s="3"/>
      <c r="Q105" s="3"/>
      <c r="R105" s="3"/>
      <c r="S105" s="3"/>
      <c r="T105" s="3"/>
      <c r="U105" s="3"/>
    </row>
    <row r="106" spans="1:21" ht="13" thickBot="1">
      <c r="A106" s="3" t="s">
        <v>628</v>
      </c>
      <c r="B106" s="877">
        <f>57.29578*ATAN((COS(B110/57.29578)-($B$90/$B$91))/SIN(B110/57.29578))</f>
        <v>60.660455833168932</v>
      </c>
      <c r="C106" s="3" t="s">
        <v>4</v>
      </c>
      <c r="D106" s="3" t="s">
        <v>353</v>
      </c>
      <c r="E106" s="3"/>
      <c r="F106" s="3"/>
      <c r="G106" s="3"/>
      <c r="H106" s="3"/>
      <c r="I106" s="3"/>
      <c r="J106" s="3"/>
      <c r="K106" s="3"/>
      <c r="L106" s="3"/>
      <c r="M106" s="850" t="s">
        <v>628</v>
      </c>
      <c r="N106" s="3"/>
      <c r="O106" s="877">
        <f>57.29578*ATAN((COS(O110/57.29578)-($B$90/$B$91))/SIN(O110/57.29578))</f>
        <v>65.925927773075983</v>
      </c>
      <c r="P106" s="3" t="s">
        <v>4</v>
      </c>
      <c r="Q106" s="3"/>
      <c r="R106" s="3"/>
      <c r="S106" s="3"/>
      <c r="T106" s="3"/>
      <c r="U106" s="3"/>
    </row>
    <row r="107" spans="1:21" ht="13" thickBot="1">
      <c r="A107" s="3"/>
      <c r="B107" s="899">
        <f>57.29578*ATAN(SIN($B$101/57.29578)/((-SIN($B$98/57.29578)*COS($B$101/57.29578))))</f>
        <v>42.436490136550354</v>
      </c>
      <c r="C107" s="3"/>
      <c r="D107" s="3"/>
      <c r="E107" s="3"/>
      <c r="F107" s="3"/>
      <c r="G107" s="3"/>
      <c r="H107" s="3"/>
      <c r="I107" s="3"/>
      <c r="J107" s="3"/>
      <c r="K107" s="3"/>
      <c r="L107" s="3"/>
      <c r="M107" s="850"/>
      <c r="N107" s="3"/>
      <c r="O107" s="899">
        <f>57.29578*ATAN(SIN(O101/57.29578)/((-SIN(O98/57.29578)*COS(O101/57.29578))))</f>
        <v>33.065164163394428</v>
      </c>
      <c r="P107" s="3"/>
      <c r="Q107" s="3"/>
      <c r="R107" s="3"/>
      <c r="S107" s="3"/>
      <c r="T107" s="3"/>
      <c r="U107" s="3"/>
    </row>
    <row r="108" spans="1:21" ht="13" thickBot="1">
      <c r="A108" s="3" t="s">
        <v>597</v>
      </c>
      <c r="B108" s="877">
        <f>'GEO Azimuth Calc Data'!E19</f>
        <v>137.56350986344964</v>
      </c>
      <c r="C108" s="3" t="s">
        <v>4</v>
      </c>
      <c r="D108" s="3" t="s">
        <v>598</v>
      </c>
      <c r="E108" s="3"/>
      <c r="F108" s="3"/>
      <c r="G108" s="3"/>
      <c r="H108" s="3"/>
      <c r="I108" s="3"/>
      <c r="J108" s="3"/>
      <c r="K108" s="3"/>
      <c r="L108" s="3"/>
      <c r="M108" s="850" t="s">
        <v>597</v>
      </c>
      <c r="N108" s="3"/>
      <c r="O108" s="877">
        <f>'GEO Azimuth Calc Data'!E40</f>
        <v>146.93483583660557</v>
      </c>
      <c r="P108" s="870" t="s">
        <v>4</v>
      </c>
      <c r="Q108" s="3"/>
      <c r="R108" s="3"/>
      <c r="S108" s="3"/>
      <c r="T108" s="3"/>
      <c r="U108" s="3"/>
    </row>
    <row r="109" spans="1:21" ht="13" thickBot="1">
      <c r="A109" s="3"/>
      <c r="B109" s="3" t="s">
        <v>817</v>
      </c>
      <c r="C109" s="3"/>
      <c r="D109" s="3"/>
      <c r="E109" s="3"/>
      <c r="F109" s="3"/>
      <c r="G109" s="3"/>
      <c r="H109" s="3"/>
      <c r="I109" s="3"/>
      <c r="J109" s="3"/>
      <c r="K109" s="3"/>
      <c r="L109" s="3"/>
      <c r="M109" s="3"/>
      <c r="N109" s="3"/>
      <c r="O109" s="3"/>
      <c r="P109" s="3"/>
      <c r="Q109" s="3"/>
      <c r="R109" s="3"/>
      <c r="S109" s="3"/>
      <c r="T109" s="3"/>
      <c r="U109" s="3"/>
    </row>
    <row r="110" spans="1:21" ht="13" thickBot="1">
      <c r="A110" s="3" t="s">
        <v>596</v>
      </c>
      <c r="B110" s="860">
        <f>57.29578*ACOS(COS(B98/57.29578)*COS(B101/57.29578))</f>
        <v>25.088911834355539</v>
      </c>
      <c r="C110" s="3" t="s">
        <v>4</v>
      </c>
      <c r="D110" s="3" t="s">
        <v>357</v>
      </c>
      <c r="E110" s="3"/>
      <c r="F110" s="3"/>
      <c r="G110" s="3"/>
      <c r="H110" s="3"/>
      <c r="I110" s="3"/>
      <c r="J110" s="3"/>
      <c r="K110" s="3"/>
      <c r="L110" s="3"/>
      <c r="M110" s="3" t="s">
        <v>596</v>
      </c>
      <c r="N110" s="3"/>
      <c r="O110" s="860">
        <f>57.29578*ACOS(COS(O98/57.29578)*COS(O101/57.29578))</f>
        <v>20.536371124162212</v>
      </c>
      <c r="P110" s="3" t="s">
        <v>4</v>
      </c>
      <c r="Q110" s="3"/>
      <c r="R110" s="3"/>
      <c r="S110" s="3"/>
      <c r="T110" s="3"/>
      <c r="U110" s="3"/>
    </row>
    <row r="111" spans="1:21">
      <c r="A111" s="3"/>
      <c r="B111" s="856"/>
      <c r="C111" s="3"/>
      <c r="D111" s="3"/>
      <c r="E111" s="3"/>
      <c r="F111" s="3"/>
      <c r="G111" s="3"/>
      <c r="H111" s="3"/>
      <c r="I111" s="3"/>
      <c r="J111" s="3"/>
      <c r="K111" s="3"/>
      <c r="L111" s="3"/>
      <c r="M111" s="3"/>
      <c r="N111" s="3"/>
      <c r="O111" s="499"/>
      <c r="P111" s="3"/>
      <c r="Q111" s="3"/>
      <c r="R111" s="3"/>
      <c r="S111" s="3"/>
      <c r="T111" s="3"/>
      <c r="U111" s="3"/>
    </row>
    <row r="112" spans="1:21">
      <c r="A112" s="3"/>
      <c r="B112" s="856" t="s">
        <v>817</v>
      </c>
      <c r="C112" s="3"/>
      <c r="D112" s="3"/>
      <c r="E112" s="3"/>
      <c r="F112" s="3"/>
      <c r="G112" s="3"/>
      <c r="H112" s="3"/>
      <c r="I112" s="3"/>
      <c r="J112" s="3"/>
      <c r="K112" s="3"/>
      <c r="L112" s="3"/>
      <c r="M112" s="3"/>
      <c r="N112" s="3"/>
      <c r="O112" s="499"/>
      <c r="P112" s="3"/>
      <c r="Q112" s="3"/>
      <c r="R112" s="3"/>
      <c r="S112" s="3"/>
      <c r="T112" s="3"/>
      <c r="U112" s="3"/>
    </row>
    <row r="113" spans="1:21">
      <c r="A113" s="3"/>
      <c r="B113" s="856"/>
      <c r="C113" s="3"/>
      <c r="D113" s="3"/>
      <c r="E113" s="3"/>
      <c r="F113" s="3"/>
      <c r="G113" s="3"/>
      <c r="H113" s="3"/>
      <c r="I113" s="3"/>
      <c r="J113" s="3"/>
      <c r="K113" s="3"/>
      <c r="L113" s="3"/>
      <c r="M113" s="3"/>
      <c r="N113" s="3"/>
      <c r="O113" s="499"/>
      <c r="P113" s="3"/>
      <c r="Q113" s="3"/>
      <c r="R113" s="3"/>
      <c r="S113" s="3"/>
      <c r="T113" s="3"/>
      <c r="U113" s="3"/>
    </row>
    <row r="114" spans="1:21" ht="13" thickBot="1">
      <c r="A114" s="114"/>
      <c r="B114" s="114"/>
      <c r="C114" s="114"/>
      <c r="D114" s="114"/>
      <c r="E114" s="114"/>
      <c r="F114" s="114"/>
      <c r="G114" s="103"/>
      <c r="H114" s="114"/>
      <c r="I114" s="114"/>
      <c r="J114" s="114"/>
      <c r="K114" s="114"/>
      <c r="L114" s="114"/>
      <c r="M114" s="114"/>
      <c r="N114" s="114"/>
      <c r="O114" s="114"/>
      <c r="P114" s="114"/>
      <c r="Q114" s="114"/>
      <c r="R114" s="114"/>
      <c r="S114" s="114"/>
      <c r="T114" s="114"/>
      <c r="U114" s="114"/>
    </row>
    <row r="115" spans="1:21" ht="15.5">
      <c r="A115" s="873" t="s">
        <v>30</v>
      </c>
      <c r="B115" s="852"/>
      <c r="C115" s="132"/>
      <c r="D115" s="132"/>
      <c r="E115" s="132"/>
      <c r="F115" s="132"/>
      <c r="G115" s="240" t="s">
        <v>140</v>
      </c>
      <c r="H115" s="132"/>
      <c r="I115" s="132"/>
      <c r="J115" s="132"/>
      <c r="K115" s="132"/>
      <c r="L115" s="132"/>
      <c r="M115" s="132"/>
      <c r="N115" s="132"/>
      <c r="O115" s="132"/>
      <c r="P115" s="132"/>
      <c r="Q115" s="132"/>
      <c r="R115" s="581"/>
      <c r="S115" s="581"/>
      <c r="T115" s="581"/>
      <c r="U115" s="581"/>
    </row>
    <row r="116" spans="1:21">
      <c r="A116" s="3"/>
      <c r="B116" s="219"/>
      <c r="C116" s="52"/>
      <c r="D116" s="3"/>
      <c r="E116" s="52"/>
      <c r="F116" s="3"/>
      <c r="G116" s="3"/>
      <c r="H116" s="52"/>
      <c r="I116" s="3"/>
      <c r="J116" s="3"/>
      <c r="K116" s="3"/>
      <c r="L116" s="3"/>
      <c r="M116" s="3"/>
      <c r="N116" s="3"/>
      <c r="O116" s="3"/>
      <c r="P116" s="3"/>
      <c r="Q116" s="3"/>
      <c r="R116" s="3"/>
      <c r="S116" s="3"/>
      <c r="T116" s="3"/>
      <c r="U116" s="3"/>
    </row>
    <row r="117" spans="1:21" ht="13">
      <c r="A117" s="52"/>
      <c r="B117" s="218"/>
      <c r="C117" s="67"/>
      <c r="D117" s="103"/>
      <c r="E117" s="34"/>
      <c r="F117" s="3"/>
      <c r="G117" s="3"/>
      <c r="H117" s="35"/>
      <c r="I117" s="3"/>
      <c r="J117" s="3"/>
      <c r="K117" s="3"/>
      <c r="L117" s="103"/>
      <c r="M117" s="838"/>
      <c r="N117" s="839"/>
      <c r="O117" s="802"/>
      <c r="P117" s="103"/>
      <c r="Q117" s="3"/>
      <c r="R117" s="3"/>
      <c r="S117" s="3"/>
      <c r="T117" s="3"/>
      <c r="U117" s="3"/>
    </row>
    <row r="118" spans="1:21">
      <c r="A118" s="52"/>
      <c r="B118" s="218"/>
      <c r="C118" s="67"/>
      <c r="D118" s="103"/>
      <c r="E118" s="34"/>
      <c r="F118" s="3"/>
      <c r="G118" s="3"/>
      <c r="H118" s="35"/>
      <c r="I118" s="3"/>
      <c r="J118" s="3"/>
      <c r="K118" s="3"/>
      <c r="L118" s="103"/>
      <c r="M118" s="103"/>
      <c r="N118" s="103"/>
      <c r="O118" s="103"/>
      <c r="P118" s="103"/>
      <c r="Q118" s="3"/>
      <c r="R118" s="3"/>
      <c r="S118" s="3"/>
      <c r="T118" s="3"/>
      <c r="U118" s="3"/>
    </row>
    <row r="119" spans="1:21">
      <c r="A119" s="52"/>
      <c r="B119" s="218"/>
      <c r="C119" s="67"/>
      <c r="D119" s="103"/>
      <c r="E119" s="34"/>
      <c r="F119" s="3"/>
      <c r="G119" s="3"/>
      <c r="H119" s="35"/>
      <c r="I119" s="3"/>
      <c r="J119" s="3"/>
      <c r="K119" s="3"/>
      <c r="L119" s="103"/>
      <c r="M119" s="103"/>
      <c r="N119" s="103"/>
      <c r="O119" s="103"/>
      <c r="P119" s="103"/>
      <c r="Q119" s="3"/>
      <c r="R119" s="3"/>
      <c r="S119" s="3"/>
      <c r="T119" s="3"/>
      <c r="U119" s="3"/>
    </row>
    <row r="120" spans="1:21">
      <c r="A120" s="227"/>
      <c r="B120" s="218"/>
      <c r="C120" s="834"/>
      <c r="D120" s="835"/>
      <c r="E120" s="34"/>
      <c r="F120" s="3"/>
      <c r="G120" s="3"/>
      <c r="H120" s="35"/>
      <c r="I120" s="3"/>
      <c r="J120" s="3"/>
      <c r="K120" s="3"/>
      <c r="L120" s="103"/>
      <c r="M120" s="103"/>
      <c r="N120" s="103"/>
      <c r="O120" s="103"/>
      <c r="P120" s="103"/>
      <c r="Q120" s="3"/>
      <c r="R120" s="3"/>
      <c r="S120" s="3"/>
      <c r="T120" s="3"/>
      <c r="U120" s="3"/>
    </row>
    <row r="121" spans="1:21" ht="13">
      <c r="A121" s="840" t="s">
        <v>788</v>
      </c>
      <c r="B121" s="386" t="s">
        <v>789</v>
      </c>
      <c r="C121" s="67"/>
      <c r="D121" s="103" t="s">
        <v>790</v>
      </c>
      <c r="E121" s="34"/>
      <c r="F121" s="851">
        <v>2.1</v>
      </c>
      <c r="G121" s="371" t="s">
        <v>791</v>
      </c>
      <c r="H121" s="35"/>
      <c r="I121" s="103"/>
      <c r="J121" s="837"/>
      <c r="K121" s="103"/>
      <c r="L121" s="103"/>
      <c r="M121" s="103"/>
      <c r="N121" s="103"/>
      <c r="O121" s="103"/>
      <c r="P121" s="103"/>
      <c r="Q121" s="3"/>
      <c r="R121" s="3"/>
      <c r="S121" s="3"/>
      <c r="T121" s="3"/>
      <c r="U121" s="3"/>
    </row>
    <row r="122" spans="1:21" ht="13">
      <c r="A122" s="3"/>
      <c r="B122" s="81"/>
      <c r="C122" s="67"/>
      <c r="D122" s="103"/>
      <c r="E122" s="34"/>
      <c r="F122" s="3"/>
      <c r="G122" s="3"/>
      <c r="H122" s="3"/>
      <c r="I122" s="3"/>
      <c r="J122" s="36"/>
      <c r="K122" s="3"/>
      <c r="L122" s="103"/>
      <c r="M122" s="103"/>
      <c r="N122" s="103"/>
      <c r="O122" s="103"/>
      <c r="P122" s="103"/>
      <c r="Q122" s="3"/>
      <c r="R122" s="3"/>
      <c r="S122" s="3"/>
      <c r="T122" s="3"/>
      <c r="U122" s="3"/>
    </row>
    <row r="123" spans="1:21" ht="13">
      <c r="A123" s="52"/>
      <c r="B123" s="218"/>
      <c r="C123" s="67"/>
      <c r="D123" s="103"/>
      <c r="E123" s="34"/>
      <c r="F123" s="3"/>
      <c r="G123" s="3"/>
      <c r="H123" s="35"/>
      <c r="I123" s="3"/>
      <c r="J123" s="3"/>
      <c r="K123" s="3"/>
      <c r="L123" s="103"/>
      <c r="M123" s="838"/>
      <c r="N123" s="839"/>
      <c r="O123" s="802"/>
      <c r="P123" s="103"/>
      <c r="Q123" s="3"/>
      <c r="R123" s="3"/>
      <c r="S123" s="3"/>
      <c r="T123" s="3"/>
      <c r="U123" s="3"/>
    </row>
    <row r="124" spans="1:21">
      <c r="A124" s="3"/>
      <c r="B124" s="219"/>
      <c r="C124" s="67"/>
      <c r="D124" s="103"/>
      <c r="E124" s="34"/>
      <c r="F124" s="3"/>
      <c r="G124" s="3"/>
      <c r="H124" s="35"/>
      <c r="I124" s="3"/>
      <c r="J124" s="3"/>
      <c r="K124" s="3"/>
      <c r="L124" s="103"/>
      <c r="M124" s="103"/>
      <c r="N124" s="103"/>
      <c r="O124" s="103"/>
      <c r="P124" s="103"/>
      <c r="Q124" s="3"/>
      <c r="R124" s="3"/>
      <c r="S124" s="3"/>
      <c r="T124" s="3"/>
      <c r="U124" s="3"/>
    </row>
    <row r="125" spans="1:21">
      <c r="A125" s="3"/>
      <c r="B125" s="841" t="s">
        <v>792</v>
      </c>
      <c r="C125" s="67"/>
      <c r="D125" s="888">
        <f>F121*1.5*100000000</f>
        <v>315000000.00000006</v>
      </c>
      <c r="E125" s="842" t="s">
        <v>822</v>
      </c>
      <c r="F125" s="3"/>
      <c r="G125" s="3"/>
      <c r="H125" s="35"/>
      <c r="I125" s="3"/>
      <c r="J125" s="3"/>
      <c r="K125" s="3"/>
      <c r="L125" s="103"/>
      <c r="M125" s="103"/>
      <c r="N125" s="103"/>
      <c r="O125" s="103"/>
      <c r="P125" s="103"/>
      <c r="Q125" s="3"/>
      <c r="R125" s="3"/>
      <c r="S125" s="3"/>
      <c r="T125" s="3"/>
      <c r="U125" s="3"/>
    </row>
    <row r="126" spans="1:21">
      <c r="A126" s="227"/>
      <c r="B126" s="219"/>
      <c r="C126" s="836"/>
      <c r="D126" s="835"/>
      <c r="E126" s="34"/>
      <c r="F126" s="3"/>
      <c r="G126" s="3"/>
      <c r="H126" s="35"/>
      <c r="I126" s="3"/>
      <c r="J126" s="3"/>
      <c r="K126" s="3"/>
      <c r="L126" s="3"/>
      <c r="M126" s="3"/>
      <c r="N126" s="3"/>
      <c r="O126" s="3"/>
      <c r="P126" s="3"/>
      <c r="Q126" s="3"/>
      <c r="R126" s="3"/>
      <c r="S126" s="3"/>
      <c r="T126" s="3"/>
      <c r="U126" s="3"/>
    </row>
    <row r="127" spans="1:21">
      <c r="A127" s="3"/>
      <c r="B127" s="3"/>
      <c r="C127" s="103"/>
      <c r="D127" s="103"/>
      <c r="E127" s="3"/>
      <c r="F127" s="3"/>
      <c r="G127" s="3"/>
      <c r="H127" s="3"/>
      <c r="I127" s="3"/>
      <c r="J127" s="3"/>
      <c r="K127" s="3"/>
      <c r="L127" s="3"/>
      <c r="M127" s="3"/>
      <c r="N127" s="3"/>
      <c r="O127" s="3"/>
      <c r="P127" s="3"/>
      <c r="Q127" s="3"/>
      <c r="R127" s="3"/>
      <c r="S127" s="3"/>
      <c r="T127" s="3"/>
      <c r="U127" s="3"/>
    </row>
    <row r="128" spans="1:21">
      <c r="A128" s="3" t="s">
        <v>817</v>
      </c>
      <c r="B128" s="3"/>
      <c r="C128" s="3"/>
      <c r="D128" s="3"/>
      <c r="E128" s="3"/>
      <c r="F128" s="3"/>
      <c r="G128" s="3"/>
      <c r="H128" s="3"/>
      <c r="I128" s="3"/>
      <c r="J128" s="3"/>
      <c r="K128" s="3"/>
      <c r="L128" s="3"/>
      <c r="M128" s="3"/>
      <c r="N128" s="3"/>
      <c r="O128" s="3"/>
      <c r="P128" s="3"/>
      <c r="Q128" s="3"/>
      <c r="R128" s="3"/>
      <c r="S128" s="3"/>
      <c r="T128" s="3"/>
      <c r="U128" s="3"/>
    </row>
    <row r="129" spans="1:21">
      <c r="A129" s="3"/>
      <c r="B129" s="33"/>
      <c r="C129" s="3"/>
      <c r="D129" s="3"/>
      <c r="E129" s="3"/>
      <c r="F129" s="3"/>
      <c r="G129" s="3"/>
      <c r="H129" s="3" t="s">
        <v>817</v>
      </c>
      <c r="I129" s="3"/>
      <c r="J129" s="3"/>
      <c r="K129" s="3"/>
      <c r="L129" s="3"/>
      <c r="M129" s="3"/>
      <c r="N129" s="3"/>
      <c r="O129" s="3"/>
      <c r="P129" s="3"/>
      <c r="Q129" s="3"/>
      <c r="R129" s="3"/>
      <c r="S129" s="3"/>
      <c r="T129" s="3"/>
      <c r="U129" s="3"/>
    </row>
    <row r="130" spans="1:21">
      <c r="A130" s="3"/>
      <c r="B130" s="3" t="s">
        <v>817</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817</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Normal="100" workbookViewId="0">
      <selection activeCell="C23" sqref="C23"/>
    </sheetView>
  </sheetViews>
  <sheetFormatPr defaultColWidth="8.81640625" defaultRowHeight="12.5"/>
  <cols>
    <col min="1" max="1" width="25.81640625" customWidth="1"/>
    <col min="7" max="7" width="14.453125" customWidth="1"/>
    <col min="8" max="8" width="5.453125" customWidth="1"/>
    <col min="11" max="11" width="10.6328125" customWidth="1"/>
    <col min="14" max="14" width="7" customWidth="1"/>
  </cols>
  <sheetData>
    <row r="1" spans="1:21" ht="18.5" thickBot="1">
      <c r="A1" s="696" t="s">
        <v>114</v>
      </c>
      <c r="B1" s="697"/>
      <c r="C1" s="698"/>
      <c r="D1" s="698"/>
      <c r="E1" s="698"/>
      <c r="F1" s="698"/>
      <c r="G1" s="698"/>
      <c r="H1" s="698"/>
      <c r="I1" s="698"/>
      <c r="J1" s="698"/>
      <c r="K1" s="698"/>
      <c r="L1" s="698"/>
      <c r="M1" s="698"/>
      <c r="N1" s="698"/>
      <c r="O1" s="698"/>
      <c r="P1" s="698"/>
      <c r="Q1" s="698"/>
      <c r="R1" s="129"/>
      <c r="S1" s="129"/>
      <c r="T1" s="129"/>
      <c r="U1" s="129"/>
    </row>
    <row r="2" spans="1:21" ht="18">
      <c r="A2" s="828"/>
      <c r="B2" s="626"/>
      <c r="C2" s="829"/>
      <c r="D2" s="829"/>
      <c r="E2" s="829"/>
      <c r="F2" s="829"/>
      <c r="G2" s="829"/>
      <c r="H2" s="829"/>
      <c r="I2" s="829"/>
      <c r="J2" s="829"/>
      <c r="K2" s="829"/>
      <c r="L2" s="829"/>
      <c r="M2" s="829"/>
      <c r="N2" s="829"/>
      <c r="O2" s="829"/>
      <c r="P2" s="829"/>
      <c r="Q2" s="829"/>
      <c r="R2" s="103"/>
      <c r="S2" s="103"/>
      <c r="T2" s="103"/>
      <c r="U2" s="103"/>
    </row>
    <row r="3" spans="1:21" ht="18">
      <c r="A3" s="828"/>
      <c r="B3" s="626"/>
      <c r="C3" s="829"/>
      <c r="D3" s="829"/>
      <c r="E3" s="829"/>
      <c r="F3" s="829"/>
      <c r="G3" s="829"/>
      <c r="H3" s="829"/>
      <c r="I3" s="829"/>
      <c r="J3" s="829"/>
      <c r="K3" s="829"/>
      <c r="L3" s="829"/>
      <c r="M3" s="829"/>
      <c r="N3" s="829"/>
      <c r="O3" s="829"/>
      <c r="P3" s="829"/>
      <c r="Q3" s="829"/>
      <c r="R3" s="103"/>
      <c r="S3" s="103"/>
      <c r="T3" s="103"/>
      <c r="U3" s="103"/>
    </row>
    <row r="4" spans="1:21" ht="18">
      <c r="A4" s="828"/>
      <c r="B4" s="626"/>
      <c r="C4" s="830" t="s">
        <v>817</v>
      </c>
      <c r="D4" s="830" t="s">
        <v>981</v>
      </c>
      <c r="E4" s="829"/>
      <c r="F4" s="829"/>
      <c r="G4" s="896" t="str">
        <f>Orbit!D4</f>
        <v>LEO</v>
      </c>
      <c r="H4" s="829"/>
      <c r="I4" s="829"/>
      <c r="J4" s="223" t="s">
        <v>862</v>
      </c>
      <c r="K4" s="125"/>
      <c r="L4" s="126"/>
      <c r="M4" s="829"/>
      <c r="N4" s="829"/>
      <c r="O4" s="829"/>
      <c r="P4" s="829"/>
      <c r="Q4" s="829"/>
      <c r="R4" s="103"/>
      <c r="S4" s="103"/>
      <c r="T4" s="103"/>
      <c r="U4" s="103"/>
    </row>
    <row r="5" spans="1:21" ht="13.5" customHeight="1">
      <c r="A5" s="828"/>
      <c r="B5" s="626"/>
      <c r="C5" s="829"/>
      <c r="D5" s="829"/>
      <c r="E5" s="829"/>
      <c r="F5" s="829"/>
      <c r="G5" s="829"/>
      <c r="H5" s="829"/>
      <c r="I5" s="829"/>
      <c r="J5" s="829"/>
      <c r="K5" s="829"/>
      <c r="L5" s="829"/>
      <c r="M5" s="829"/>
      <c r="N5" s="829"/>
      <c r="O5" s="829"/>
      <c r="P5" s="829"/>
      <c r="Q5" s="829"/>
      <c r="R5" s="103"/>
      <c r="S5" s="103"/>
      <c r="T5" s="103"/>
      <c r="U5" s="103"/>
    </row>
    <row r="6" spans="1:21" ht="13.5" customHeight="1">
      <c r="A6" s="828"/>
      <c r="B6" s="626"/>
      <c r="C6" s="830" t="s">
        <v>382</v>
      </c>
      <c r="D6" s="829"/>
      <c r="E6" s="829"/>
      <c r="F6" s="829"/>
      <c r="G6" s="897">
        <f>Orbit!G4</f>
        <v>748.85719018094153</v>
      </c>
      <c r="H6" s="847" t="s">
        <v>822</v>
      </c>
      <c r="I6" s="829"/>
      <c r="J6" s="829"/>
      <c r="K6" s="829"/>
      <c r="L6" s="829"/>
      <c r="M6" s="829"/>
      <c r="N6" s="829"/>
      <c r="O6" s="829"/>
      <c r="P6" s="829"/>
      <c r="Q6" s="829"/>
      <c r="R6" s="103"/>
      <c r="S6" s="103"/>
      <c r="T6" s="103"/>
      <c r="U6" s="103"/>
    </row>
    <row r="7" spans="1:21" ht="13.5" customHeight="1">
      <c r="A7" s="828"/>
      <c r="B7" s="240" t="s">
        <v>140</v>
      </c>
      <c r="C7" s="829"/>
      <c r="D7" s="829"/>
      <c r="E7" s="829"/>
      <c r="F7" s="829"/>
      <c r="G7" s="829"/>
      <c r="H7" s="829"/>
      <c r="I7" s="829"/>
      <c r="J7" s="829"/>
      <c r="K7" s="829"/>
      <c r="L7" s="829"/>
      <c r="M7" s="829"/>
      <c r="N7" s="829"/>
      <c r="O7" s="829"/>
      <c r="P7" s="829"/>
      <c r="Q7" s="829"/>
      <c r="R7" s="103"/>
      <c r="S7" s="103"/>
      <c r="T7" s="103"/>
      <c r="U7" s="103"/>
    </row>
    <row r="8" spans="1:21" ht="13.5" customHeight="1">
      <c r="A8" s="828"/>
      <c r="B8" s="626"/>
      <c r="C8" s="829"/>
      <c r="D8" s="829"/>
      <c r="E8" s="829"/>
      <c r="F8" s="829"/>
      <c r="G8" s="829"/>
      <c r="H8" s="829"/>
      <c r="I8" s="829"/>
      <c r="J8" s="829"/>
      <c r="K8" s="829"/>
      <c r="L8" s="829"/>
      <c r="M8" s="829"/>
      <c r="N8" s="829"/>
      <c r="O8" s="829"/>
      <c r="P8" s="829"/>
      <c r="Q8" s="829"/>
      <c r="R8" s="103"/>
      <c r="S8" s="103"/>
      <c r="T8" s="103"/>
      <c r="U8" s="103"/>
    </row>
    <row r="9" spans="1:21" ht="13" thickBot="1">
      <c r="A9" s="3" t="s">
        <v>817</v>
      </c>
      <c r="B9" s="219" t="s">
        <v>944</v>
      </c>
      <c r="C9" s="52" t="s">
        <v>855</v>
      </c>
      <c r="D9" s="3"/>
      <c r="E9" s="52" t="s">
        <v>942</v>
      </c>
      <c r="F9" s="3"/>
      <c r="G9" s="52" t="s">
        <v>858</v>
      </c>
      <c r="H9" s="3"/>
      <c r="I9" s="3"/>
      <c r="J9" s="3"/>
      <c r="K9" s="3"/>
      <c r="L9" s="3"/>
      <c r="M9" s="3"/>
      <c r="N9" s="3"/>
      <c r="O9" s="3"/>
      <c r="P9" s="3"/>
      <c r="Q9" s="3"/>
      <c r="R9" s="3"/>
      <c r="S9" s="3"/>
      <c r="T9" s="3"/>
      <c r="U9" s="3"/>
    </row>
    <row r="10" spans="1:21" ht="13.5" thickBot="1">
      <c r="A10" s="833" t="s">
        <v>860</v>
      </c>
      <c r="B10" s="218" t="s">
        <v>111</v>
      </c>
      <c r="C10" s="222">
        <v>145.80000000000001</v>
      </c>
      <c r="D10" s="126" t="s">
        <v>856</v>
      </c>
      <c r="E10" s="34">
        <f>299.8/C10</f>
        <v>2.056241426611797</v>
      </c>
      <c r="F10" s="3" t="s">
        <v>857</v>
      </c>
      <c r="G10" s="35">
        <f>22+20*LOG10(($G$6*1000)/E10)</f>
        <v>133.22649799022253</v>
      </c>
      <c r="H10" s="3" t="s">
        <v>859</v>
      </c>
      <c r="I10" s="3" t="s">
        <v>116</v>
      </c>
      <c r="J10" s="3"/>
      <c r="K10" s="3"/>
      <c r="L10" s="388">
        <v>4</v>
      </c>
      <c r="M10" s="221">
        <f>INDEX(C10:C13,L10,1)</f>
        <v>2412</v>
      </c>
      <c r="N10" s="220" t="s">
        <v>856</v>
      </c>
      <c r="O10" s="3"/>
      <c r="P10" s="3"/>
      <c r="Q10" s="3"/>
      <c r="R10" s="3"/>
      <c r="S10" s="3"/>
      <c r="T10" s="3"/>
      <c r="U10" s="3"/>
    </row>
    <row r="11" spans="1:21">
      <c r="A11" s="52"/>
      <c r="B11" s="218" t="s">
        <v>112</v>
      </c>
      <c r="C11" s="222">
        <v>437.5</v>
      </c>
      <c r="D11" s="126" t="s">
        <v>856</v>
      </c>
      <c r="E11" s="34">
        <f t="shared" ref="E11:E18" si="0">299.8/C11</f>
        <v>0.6852571428571429</v>
      </c>
      <c r="F11" s="3" t="s">
        <v>857</v>
      </c>
      <c r="G11" s="35">
        <f>22+20*LOG10(($G$6*1000)/E11)</f>
        <v>142.77090865775006</v>
      </c>
      <c r="H11" s="3" t="s">
        <v>859</v>
      </c>
      <c r="I11" s="3"/>
      <c r="J11" s="3"/>
      <c r="K11" s="3"/>
      <c r="L11" s="3"/>
      <c r="M11" s="3"/>
      <c r="N11" s="3"/>
      <c r="O11" s="3"/>
      <c r="P11" s="3"/>
      <c r="Q11" s="3"/>
      <c r="R11" s="3"/>
      <c r="S11" s="3"/>
      <c r="T11" s="3"/>
      <c r="U11" s="3"/>
    </row>
    <row r="12" spans="1:21" ht="13">
      <c r="A12" s="52"/>
      <c r="B12" s="218" t="s">
        <v>113</v>
      </c>
      <c r="C12" s="222">
        <v>1269.9000000000001</v>
      </c>
      <c r="D12" s="126" t="s">
        <v>856</v>
      </c>
      <c r="E12" s="34">
        <f t="shared" si="0"/>
        <v>0.23608158122686826</v>
      </c>
      <c r="F12" s="3" t="s">
        <v>857</v>
      </c>
      <c r="G12" s="35">
        <f>22+20*LOG10(($G$6*1000)/E12)</f>
        <v>152.02673797445686</v>
      </c>
      <c r="H12" s="3" t="s">
        <v>859</v>
      </c>
      <c r="I12" s="3" t="s">
        <v>90</v>
      </c>
      <c r="J12" s="3"/>
      <c r="K12" s="3"/>
      <c r="L12" s="3"/>
      <c r="M12" s="831">
        <f>INDEX(G10:G13,L10,1)</f>
        <v>157.5988935799457</v>
      </c>
      <c r="N12" s="832" t="s">
        <v>859</v>
      </c>
      <c r="O12" s="3"/>
      <c r="P12" s="3"/>
      <c r="Q12" s="3"/>
      <c r="R12" s="3"/>
      <c r="S12" s="3"/>
      <c r="T12" s="3"/>
      <c r="U12" s="3"/>
    </row>
    <row r="13" spans="1:21">
      <c r="A13" s="227" t="s">
        <v>118</v>
      </c>
      <c r="B13" s="218" t="s">
        <v>117</v>
      </c>
      <c r="C13" s="224">
        <v>2412</v>
      </c>
      <c r="D13" s="225" t="s">
        <v>856</v>
      </c>
      <c r="E13" s="34">
        <f>299.8/C13</f>
        <v>0.12429519071310116</v>
      </c>
      <c r="F13" s="3" t="s">
        <v>857</v>
      </c>
      <c r="G13" s="35">
        <f>22+20*LOG10(($G$6*1000)/E13)</f>
        <v>157.5988935799457</v>
      </c>
      <c r="H13" s="3" t="s">
        <v>859</v>
      </c>
      <c r="I13" s="3"/>
      <c r="J13" s="3"/>
      <c r="K13" s="3"/>
      <c r="L13" s="3"/>
      <c r="M13" s="3"/>
      <c r="N13" s="3"/>
      <c r="O13" s="3"/>
      <c r="P13" s="3"/>
      <c r="Q13" s="3"/>
      <c r="R13" s="3"/>
      <c r="S13" s="3"/>
      <c r="T13" s="3"/>
      <c r="U13" s="3"/>
    </row>
    <row r="14" spans="1:21" ht="13">
      <c r="A14" s="52"/>
      <c r="B14" s="218"/>
      <c r="C14" s="67"/>
      <c r="D14" s="3"/>
      <c r="E14" s="34" t="s">
        <v>817</v>
      </c>
      <c r="F14" s="3"/>
      <c r="G14" s="35"/>
      <c r="H14" s="3"/>
      <c r="I14" s="837"/>
      <c r="J14" s="103"/>
      <c r="K14" s="103"/>
      <c r="L14" s="3"/>
      <c r="M14" s="3"/>
      <c r="N14" s="3"/>
      <c r="O14" s="3"/>
      <c r="P14" s="3"/>
      <c r="Q14" s="3"/>
      <c r="R14" s="3"/>
      <c r="S14" s="3"/>
      <c r="T14" s="3"/>
      <c r="U14" s="3"/>
    </row>
    <row r="15" spans="1:21" ht="13.5" thickBot="1">
      <c r="A15" s="3"/>
      <c r="B15" s="81"/>
      <c r="C15" s="217" t="s">
        <v>817</v>
      </c>
      <c r="D15" s="3"/>
      <c r="E15" s="34" t="s">
        <v>817</v>
      </c>
      <c r="F15" s="3"/>
      <c r="G15" s="3"/>
      <c r="H15" s="3"/>
      <c r="I15" s="36" t="s">
        <v>817</v>
      </c>
      <c r="J15" s="3"/>
      <c r="K15" s="3"/>
      <c r="L15" s="3"/>
      <c r="M15" s="3"/>
      <c r="N15" s="3"/>
      <c r="O15" s="3"/>
      <c r="P15" s="3"/>
      <c r="Q15" s="3"/>
      <c r="R15" s="3"/>
      <c r="S15" s="3"/>
      <c r="T15" s="3"/>
      <c r="U15" s="3"/>
    </row>
    <row r="16" spans="1:21" ht="13.5" thickBot="1">
      <c r="A16" s="833" t="s">
        <v>861</v>
      </c>
      <c r="B16" s="218" t="s">
        <v>111</v>
      </c>
      <c r="C16" s="222">
        <v>145.80000000000001</v>
      </c>
      <c r="D16" s="126" t="s">
        <v>856</v>
      </c>
      <c r="E16" s="34">
        <f t="shared" si="0"/>
        <v>2.056241426611797</v>
      </c>
      <c r="F16" s="3" t="s">
        <v>857</v>
      </c>
      <c r="G16" s="35">
        <f>22+20*LOG10(($G$6*1000)/E16)</f>
        <v>133.22649799022253</v>
      </c>
      <c r="H16" s="3" t="s">
        <v>859</v>
      </c>
      <c r="I16" s="3" t="s">
        <v>115</v>
      </c>
      <c r="J16" s="3"/>
      <c r="K16" s="3"/>
      <c r="L16" s="388">
        <v>4</v>
      </c>
      <c r="M16" s="221">
        <f>INDEX(C16:C19,L16,1)</f>
        <v>2412</v>
      </c>
      <c r="N16" s="220" t="s">
        <v>856</v>
      </c>
      <c r="O16" s="3"/>
      <c r="P16" s="3"/>
      <c r="Q16" s="3"/>
      <c r="R16" s="3"/>
      <c r="S16" s="3"/>
      <c r="T16" s="3"/>
      <c r="U16" s="3"/>
    </row>
    <row r="17" spans="1:21">
      <c r="A17" s="3"/>
      <c r="B17" s="219" t="s">
        <v>112</v>
      </c>
      <c r="C17" s="222">
        <v>437.45</v>
      </c>
      <c r="D17" s="126" t="s">
        <v>856</v>
      </c>
      <c r="E17" s="34">
        <f t="shared" si="0"/>
        <v>0.68533546691050407</v>
      </c>
      <c r="F17" s="3" t="s">
        <v>857</v>
      </c>
      <c r="G17" s="35">
        <f>22+20*LOG10(($G$6*1000)/E17)</f>
        <v>142.76991592792007</v>
      </c>
      <c r="H17" s="3" t="s">
        <v>859</v>
      </c>
      <c r="I17" s="3"/>
      <c r="J17" s="3"/>
      <c r="K17" s="3"/>
      <c r="L17" s="3"/>
      <c r="M17" s="3"/>
      <c r="N17" s="3"/>
      <c r="O17" s="3"/>
      <c r="P17" s="3"/>
      <c r="Q17" s="3"/>
      <c r="R17" s="3"/>
      <c r="S17" s="3"/>
      <c r="T17" s="3"/>
      <c r="U17" s="3"/>
    </row>
    <row r="18" spans="1:21" ht="13">
      <c r="A18" s="3"/>
      <c r="B18" s="219" t="s">
        <v>113</v>
      </c>
      <c r="C18" s="222">
        <v>2405</v>
      </c>
      <c r="D18" s="126" t="s">
        <v>856</v>
      </c>
      <c r="E18" s="34">
        <f t="shared" si="0"/>
        <v>0.12465696465696466</v>
      </c>
      <c r="F18" s="3" t="s">
        <v>857</v>
      </c>
      <c r="G18" s="35">
        <f>22+20*LOG10(($G$6*1000)/E18)</f>
        <v>157.57364912478045</v>
      </c>
      <c r="H18" s="3" t="s">
        <v>859</v>
      </c>
      <c r="I18" s="3" t="s">
        <v>90</v>
      </c>
      <c r="J18" s="3"/>
      <c r="K18" s="3"/>
      <c r="L18" s="3"/>
      <c r="M18" s="831">
        <f>INDEX(G16:G19,L16,1)</f>
        <v>157.5988935799457</v>
      </c>
      <c r="N18" s="832" t="s">
        <v>859</v>
      </c>
      <c r="O18" s="3"/>
      <c r="P18" s="3"/>
      <c r="Q18" s="3"/>
      <c r="R18" s="3"/>
      <c r="S18" s="3"/>
      <c r="T18" s="3"/>
      <c r="U18" s="3"/>
    </row>
    <row r="19" spans="1:21">
      <c r="A19" s="227" t="s">
        <v>118</v>
      </c>
      <c r="B19" s="219" t="s">
        <v>117</v>
      </c>
      <c r="C19" s="226">
        <v>2412</v>
      </c>
      <c r="D19" s="225" t="s">
        <v>856</v>
      </c>
      <c r="E19" s="34">
        <f>299.8/C19</f>
        <v>0.12429519071310116</v>
      </c>
      <c r="F19" s="3" t="s">
        <v>857</v>
      </c>
      <c r="G19" s="35">
        <f>22+20*LOG10(($G$6*1000)/E19)</f>
        <v>157.5988935799457</v>
      </c>
      <c r="H19" s="3" t="s">
        <v>859</v>
      </c>
      <c r="I19" s="3" t="s">
        <v>817</v>
      </c>
      <c r="J19" s="3"/>
      <c r="K19" s="3"/>
      <c r="L19" s="3"/>
      <c r="M19" s="3"/>
      <c r="N19" s="3"/>
      <c r="O19" s="3"/>
      <c r="P19" s="3"/>
      <c r="Q19" s="3"/>
      <c r="R19" s="3"/>
      <c r="S19" s="3"/>
      <c r="T19" s="3"/>
      <c r="U19" s="3"/>
    </row>
    <row r="20" spans="1:21">
      <c r="A20" s="3"/>
      <c r="B20" s="3"/>
      <c r="C20" s="3"/>
      <c r="D20" s="3"/>
      <c r="E20" s="3" t="s">
        <v>817</v>
      </c>
      <c r="F20" s="3"/>
      <c r="G20" s="3"/>
      <c r="H20" s="3"/>
      <c r="I20" s="3"/>
      <c r="J20" s="3" t="s">
        <v>817</v>
      </c>
      <c r="K20" s="3"/>
      <c r="L20" s="3"/>
      <c r="M20" s="3"/>
      <c r="N20" s="3"/>
      <c r="O20" s="3"/>
      <c r="P20" s="3"/>
      <c r="Q20" s="3"/>
      <c r="R20" s="3"/>
      <c r="S20" s="3"/>
      <c r="T20" s="3"/>
      <c r="U20" s="3"/>
    </row>
    <row r="21" spans="1:21">
      <c r="A21" s="3" t="s">
        <v>817</v>
      </c>
      <c r="B21" s="3"/>
      <c r="C21" s="3"/>
      <c r="D21" s="3"/>
      <c r="E21" s="3"/>
      <c r="F21" s="3"/>
      <c r="G21" s="3"/>
      <c r="H21" s="3"/>
      <c r="I21" s="3"/>
      <c r="J21" s="3"/>
      <c r="K21" s="3"/>
      <c r="L21" s="3"/>
      <c r="M21" s="3"/>
      <c r="N21" s="3"/>
      <c r="O21" s="3"/>
      <c r="P21" s="3"/>
      <c r="Q21" s="3"/>
      <c r="R21" s="3"/>
      <c r="S21" s="3"/>
      <c r="T21" s="3"/>
      <c r="U21" s="3"/>
    </row>
    <row r="22" spans="1:21">
      <c r="A22" s="3"/>
      <c r="B22" s="33" t="s">
        <v>817</v>
      </c>
      <c r="C22" s="3"/>
      <c r="D22" s="3"/>
      <c r="E22" s="3"/>
      <c r="F22" s="3"/>
      <c r="G22" s="3"/>
      <c r="H22" s="3" t="s">
        <v>817</v>
      </c>
      <c r="I22" s="3"/>
      <c r="J22" s="3"/>
      <c r="K22" s="3"/>
      <c r="L22" s="3"/>
      <c r="M22" s="3"/>
      <c r="N22" s="3"/>
      <c r="O22" s="3"/>
      <c r="P22" s="3"/>
      <c r="Q22" s="3"/>
      <c r="R22" s="3"/>
      <c r="S22" s="3"/>
      <c r="T22" s="3"/>
      <c r="U22" s="3"/>
    </row>
    <row r="23" spans="1:21">
      <c r="A23" s="3"/>
      <c r="B23" s="3" t="s">
        <v>817</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817</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sheetPr>
  <dimension ref="A1:P105"/>
  <sheetViews>
    <sheetView topLeftCell="A37" zoomScaleNormal="100" workbookViewId="0">
      <selection activeCell="K67" sqref="K67"/>
    </sheetView>
  </sheetViews>
  <sheetFormatPr defaultColWidth="8.81640625" defaultRowHeight="12.5"/>
  <cols>
    <col min="4" max="4" width="23.453125" customWidth="1"/>
    <col min="5" max="5" width="10.54296875" customWidth="1"/>
    <col min="6" max="6" width="9.36328125" customWidth="1"/>
    <col min="7" max="7" width="9" customWidth="1"/>
    <col min="9" max="9" width="10.6328125" customWidth="1"/>
  </cols>
  <sheetData>
    <row r="1" spans="1:16" ht="18.5" thickBot="1">
      <c r="A1" s="127" t="s">
        <v>177</v>
      </c>
      <c r="B1" s="129"/>
      <c r="C1" s="129"/>
      <c r="D1" s="129"/>
      <c r="E1" s="129"/>
      <c r="F1" s="681" t="str">
        <f>'Title Page'!F3</f>
        <v>OreSat - CS0 (DxWiFi)</v>
      </c>
      <c r="G1" s="129"/>
      <c r="H1" s="129"/>
      <c r="I1" s="129"/>
      <c r="J1" s="680" t="str">
        <f>'Title Page'!F23</f>
        <v>2019 February 1</v>
      </c>
      <c r="K1" s="129"/>
      <c r="L1" s="129"/>
      <c r="M1" s="129"/>
      <c r="N1" s="129"/>
      <c r="O1" s="129"/>
      <c r="P1" s="129"/>
    </row>
    <row r="2" spans="1:16">
      <c r="A2" s="3"/>
      <c r="B2" s="3"/>
      <c r="C2" s="3"/>
      <c r="D2" s="3"/>
      <c r="E2" s="3" t="s">
        <v>817</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1" t="s">
        <v>157</v>
      </c>
      <c r="C4" s="187"/>
      <c r="D4" s="187"/>
      <c r="E4" s="187"/>
      <c r="F4" s="187"/>
      <c r="G4" s="188"/>
      <c r="H4" s="3"/>
      <c r="I4" s="3"/>
      <c r="J4" s="532"/>
      <c r="K4" s="3"/>
      <c r="L4" s="3"/>
      <c r="M4" s="3"/>
      <c r="N4" s="3"/>
      <c r="O4" s="3"/>
      <c r="P4" s="3"/>
    </row>
    <row r="5" spans="1:16" ht="15.5">
      <c r="A5" s="3"/>
      <c r="B5" s="627"/>
      <c r="C5" s="103"/>
      <c r="D5" s="103"/>
      <c r="E5" s="103"/>
      <c r="F5" s="103"/>
      <c r="G5" s="103"/>
      <c r="H5" s="3"/>
      <c r="I5" s="3"/>
      <c r="J5" s="532"/>
      <c r="K5" s="3"/>
      <c r="L5" s="3"/>
      <c r="M5" s="3"/>
      <c r="N5" s="3"/>
      <c r="O5" s="3"/>
      <c r="P5" s="3"/>
    </row>
    <row r="6" spans="1:16">
      <c r="A6" s="3"/>
      <c r="B6" s="345" t="s">
        <v>278</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c r="A8" s="3"/>
      <c r="B8" s="3"/>
      <c r="C8" s="328"/>
      <c r="D8" s="329"/>
      <c r="E8" s="329"/>
      <c r="F8" s="329"/>
      <c r="G8" s="329"/>
      <c r="H8" s="329"/>
      <c r="I8" s="329"/>
      <c r="J8" s="329"/>
      <c r="K8" s="1002" t="s">
        <v>1075</v>
      </c>
      <c r="L8" s="3"/>
      <c r="M8" s="3"/>
      <c r="N8" s="3"/>
      <c r="O8" s="3"/>
      <c r="P8" s="3"/>
    </row>
    <row r="9" spans="1:16" ht="13">
      <c r="A9" s="3"/>
      <c r="B9" s="3"/>
      <c r="C9" s="342" t="s">
        <v>159</v>
      </c>
      <c r="D9" s="331"/>
      <c r="E9" s="331"/>
      <c r="F9" s="331"/>
      <c r="G9" s="331"/>
      <c r="H9" s="331"/>
      <c r="I9" s="331"/>
      <c r="J9" s="331"/>
      <c r="K9" s="321"/>
      <c r="L9" s="3"/>
      <c r="M9" s="3"/>
      <c r="N9" s="3"/>
      <c r="O9" s="3"/>
      <c r="P9" s="3"/>
    </row>
    <row r="10" spans="1:16">
      <c r="A10" s="3"/>
      <c r="B10" s="3"/>
      <c r="C10" s="330"/>
      <c r="D10" s="331"/>
      <c r="E10" s="331"/>
      <c r="F10" s="331"/>
      <c r="G10" s="331"/>
      <c r="H10" s="331"/>
      <c r="I10" s="331"/>
      <c r="J10" s="331"/>
      <c r="K10" s="321"/>
      <c r="L10" s="3"/>
      <c r="M10" s="3"/>
      <c r="N10" s="3"/>
      <c r="O10" s="3"/>
      <c r="P10" s="3"/>
    </row>
    <row r="11" spans="1:16">
      <c r="A11" s="3"/>
      <c r="B11" s="3"/>
      <c r="C11" s="330"/>
      <c r="D11" s="331"/>
      <c r="E11" s="331"/>
      <c r="F11" s="331" t="s">
        <v>180</v>
      </c>
      <c r="G11" s="331"/>
      <c r="H11" s="331" t="s">
        <v>181</v>
      </c>
      <c r="I11" s="331"/>
      <c r="J11" s="331" t="s">
        <v>179</v>
      </c>
      <c r="K11" s="321"/>
      <c r="L11" s="3"/>
      <c r="M11" s="3"/>
      <c r="N11" s="3"/>
      <c r="O11" s="3"/>
      <c r="P11" s="3"/>
    </row>
    <row r="12" spans="1:16">
      <c r="A12" s="3"/>
      <c r="B12" s="3"/>
      <c r="C12" s="330"/>
      <c r="D12" s="331"/>
      <c r="E12" s="331"/>
      <c r="F12" s="331"/>
      <c r="G12" s="331"/>
      <c r="H12" s="331"/>
      <c r="I12" s="331"/>
      <c r="J12" s="331"/>
      <c r="K12" s="321"/>
      <c r="L12" s="3"/>
      <c r="M12" s="3"/>
      <c r="N12" s="3"/>
      <c r="O12" s="3"/>
      <c r="P12" s="3"/>
    </row>
    <row r="13" spans="1:16">
      <c r="A13" s="3"/>
      <c r="B13" s="3"/>
      <c r="C13" s="330"/>
      <c r="D13" s="331"/>
      <c r="E13" s="331"/>
      <c r="F13" s="331"/>
      <c r="G13" s="331"/>
      <c r="H13" s="331"/>
      <c r="I13" s="331"/>
      <c r="J13" s="331"/>
      <c r="K13" s="321"/>
      <c r="L13" s="3"/>
      <c r="M13" s="3"/>
      <c r="N13" s="3"/>
      <c r="O13" s="3"/>
      <c r="P13" s="3"/>
    </row>
    <row r="14" spans="1:16">
      <c r="A14" s="3"/>
      <c r="B14" s="3"/>
      <c r="C14" s="330"/>
      <c r="D14" s="331"/>
      <c r="E14" s="331"/>
      <c r="F14" s="331"/>
      <c r="G14" s="331"/>
      <c r="H14" s="331"/>
      <c r="I14" s="331"/>
      <c r="J14" s="331"/>
      <c r="K14" s="321"/>
      <c r="L14" s="3"/>
      <c r="M14" s="3"/>
      <c r="N14" s="3"/>
      <c r="O14" s="3"/>
      <c r="P14" s="3"/>
    </row>
    <row r="15" spans="1:16">
      <c r="A15" s="3"/>
      <c r="B15" s="3"/>
      <c r="C15" s="330"/>
      <c r="D15" s="331"/>
      <c r="E15" s="331"/>
      <c r="F15" s="331"/>
      <c r="G15" s="331"/>
      <c r="H15" s="331"/>
      <c r="I15" s="331"/>
      <c r="J15" s="331"/>
      <c r="K15" s="321" t="s">
        <v>1111</v>
      </c>
      <c r="L15" s="3"/>
      <c r="M15" s="3"/>
      <c r="N15" s="3"/>
      <c r="O15" s="3"/>
      <c r="P15" s="3"/>
    </row>
    <row r="16" spans="1:16">
      <c r="A16" s="3"/>
      <c r="B16" s="3"/>
      <c r="C16" s="330" t="s">
        <v>160</v>
      </c>
      <c r="D16" s="331"/>
      <c r="E16" s="340">
        <v>1.5</v>
      </c>
      <c r="F16" s="331" t="s">
        <v>161</v>
      </c>
      <c r="G16" s="407">
        <f>10*LOG10(E16)</f>
        <v>1.7609125905568124</v>
      </c>
      <c r="H16" s="331" t="s">
        <v>162</v>
      </c>
      <c r="I16" s="326">
        <f>G16+30</f>
        <v>31.760912590556813</v>
      </c>
      <c r="J16" s="331" t="s">
        <v>885</v>
      </c>
      <c r="K16" s="321" t="s">
        <v>1110</v>
      </c>
      <c r="L16" s="3"/>
      <c r="M16" s="3"/>
      <c r="N16" s="3"/>
      <c r="O16" s="3"/>
      <c r="P16" s="3"/>
    </row>
    <row r="17" spans="1:16">
      <c r="A17" s="3"/>
      <c r="B17" s="3"/>
      <c r="C17" s="330"/>
      <c r="D17" s="331"/>
      <c r="E17" s="331"/>
      <c r="F17" s="331"/>
      <c r="G17" s="331"/>
      <c r="H17" s="331"/>
      <c r="I17" s="331"/>
      <c r="J17" s="331"/>
      <c r="K17" s="321"/>
      <c r="L17" s="3"/>
      <c r="M17" s="3"/>
      <c r="N17" s="3"/>
      <c r="O17" s="3"/>
      <c r="P17" s="3"/>
    </row>
    <row r="18" spans="1:16">
      <c r="A18" s="3"/>
      <c r="B18" s="3"/>
      <c r="C18" s="330" t="s">
        <v>220</v>
      </c>
      <c r="D18" s="331"/>
      <c r="E18" s="331"/>
      <c r="F18" s="331" t="s">
        <v>817</v>
      </c>
      <c r="G18" s="331"/>
      <c r="H18" s="331"/>
      <c r="I18" s="331"/>
      <c r="J18" s="331"/>
      <c r="K18" s="321"/>
      <c r="L18" s="3"/>
      <c r="M18" s="3"/>
      <c r="N18" s="3"/>
      <c r="O18" s="3"/>
      <c r="P18" s="3"/>
    </row>
    <row r="19" spans="1:16">
      <c r="A19" s="3"/>
      <c r="B19" s="3"/>
      <c r="C19" s="330"/>
      <c r="D19" s="995" t="s">
        <v>182</v>
      </c>
      <c r="E19" s="525" t="s">
        <v>527</v>
      </c>
      <c r="F19" s="962"/>
      <c r="G19" s="331"/>
      <c r="H19" s="331"/>
      <c r="I19" s="130"/>
      <c r="J19" s="331" t="s">
        <v>857</v>
      </c>
      <c r="K19" s="321"/>
      <c r="L19" s="3"/>
      <c r="M19" s="3"/>
      <c r="N19" s="3"/>
      <c r="O19" s="3"/>
      <c r="P19" s="3"/>
    </row>
    <row r="20" spans="1:16">
      <c r="A20" s="3"/>
      <c r="B20" s="3"/>
      <c r="C20" s="330"/>
      <c r="D20" s="995" t="s">
        <v>183</v>
      </c>
      <c r="E20" s="525"/>
      <c r="F20" s="962"/>
      <c r="G20" s="331"/>
      <c r="H20" s="331"/>
      <c r="I20" s="130"/>
      <c r="J20" s="331" t="s">
        <v>857</v>
      </c>
      <c r="K20" s="321"/>
      <c r="L20" s="3"/>
      <c r="M20" s="3"/>
      <c r="N20" s="3"/>
      <c r="O20" s="3"/>
      <c r="P20" s="3"/>
    </row>
    <row r="21" spans="1:16">
      <c r="A21" s="3"/>
      <c r="B21" s="3"/>
      <c r="C21" s="330"/>
      <c r="D21" s="995" t="s">
        <v>184</v>
      </c>
      <c r="E21" s="525"/>
      <c r="F21" s="962"/>
      <c r="G21" s="331"/>
      <c r="H21" s="331"/>
      <c r="I21" s="130"/>
      <c r="J21" s="331" t="s">
        <v>857</v>
      </c>
      <c r="K21" s="321"/>
      <c r="L21" s="3"/>
      <c r="M21" s="3"/>
      <c r="N21" s="3"/>
      <c r="O21" s="3"/>
      <c r="P21" s="3"/>
    </row>
    <row r="22" spans="1:16">
      <c r="A22" s="3"/>
      <c r="B22" s="3"/>
      <c r="C22" s="330"/>
      <c r="D22" s="331"/>
      <c r="E22" s="331"/>
      <c r="F22" s="331" t="s">
        <v>817</v>
      </c>
      <c r="G22" s="331"/>
      <c r="H22" s="331"/>
      <c r="I22" s="331"/>
      <c r="J22" s="331" t="s">
        <v>817</v>
      </c>
      <c r="K22" s="321"/>
      <c r="L22" s="3"/>
      <c r="M22" s="3"/>
      <c r="N22" s="3"/>
      <c r="O22" s="3"/>
      <c r="P22" s="3"/>
    </row>
    <row r="23" spans="1:16">
      <c r="A23" s="3"/>
      <c r="B23" s="3"/>
      <c r="C23" s="330"/>
      <c r="D23" s="331" t="s">
        <v>188</v>
      </c>
      <c r="E23" s="331"/>
      <c r="F23" s="331" t="s">
        <v>817</v>
      </c>
      <c r="G23" s="331"/>
      <c r="H23" s="331"/>
      <c r="I23" s="703">
        <f>SUM(I19:I21)</f>
        <v>0</v>
      </c>
      <c r="J23" s="331" t="s">
        <v>857</v>
      </c>
      <c r="K23" s="321"/>
      <c r="L23" s="3"/>
      <c r="M23" s="3"/>
      <c r="N23" s="3"/>
      <c r="O23" s="3"/>
      <c r="P23" s="3"/>
    </row>
    <row r="24" spans="1:16">
      <c r="A24" s="3"/>
      <c r="B24" s="3"/>
      <c r="C24" s="330"/>
      <c r="D24" s="331"/>
      <c r="E24" s="331"/>
      <c r="F24" s="331"/>
      <c r="G24" s="331"/>
      <c r="H24" s="331"/>
      <c r="I24" s="703"/>
      <c r="J24" s="331"/>
      <c r="K24" s="321"/>
      <c r="L24" s="3"/>
      <c r="M24" s="3"/>
      <c r="N24" s="3"/>
      <c r="O24" s="3"/>
      <c r="P24" s="3"/>
    </row>
    <row r="25" spans="1:16">
      <c r="A25" s="3"/>
      <c r="B25" s="3"/>
      <c r="C25" s="330"/>
      <c r="D25" s="996" t="s">
        <v>1073</v>
      </c>
      <c r="E25" s="331"/>
      <c r="F25" s="331"/>
      <c r="G25" s="331"/>
      <c r="H25" s="331"/>
      <c r="I25" s="331"/>
      <c r="J25" s="331"/>
      <c r="K25" s="321"/>
      <c r="L25" s="3"/>
      <c r="M25" s="3"/>
      <c r="N25" s="3"/>
      <c r="O25" s="3"/>
      <c r="P25" s="3"/>
    </row>
    <row r="26" spans="1:16">
      <c r="A26" s="3"/>
      <c r="B26" s="3"/>
      <c r="C26" s="330"/>
      <c r="D26" s="331" t="s">
        <v>1064</v>
      </c>
      <c r="E26" s="963"/>
      <c r="F26" s="997" t="s">
        <v>1065</v>
      </c>
      <c r="G26" s="702">
        <f>Frequency!$M$10</f>
        <v>2412</v>
      </c>
      <c r="H26" s="331" t="s">
        <v>174</v>
      </c>
      <c r="I26" s="333">
        <f>I19*E26</f>
        <v>0</v>
      </c>
      <c r="J26" s="331" t="s">
        <v>859</v>
      </c>
      <c r="K26" s="321"/>
      <c r="L26" s="3"/>
      <c r="M26" s="3"/>
      <c r="N26" s="3"/>
      <c r="O26" s="3"/>
      <c r="P26" s="3"/>
    </row>
    <row r="27" spans="1:16">
      <c r="A27" s="3"/>
      <c r="B27" s="3"/>
      <c r="C27" s="330"/>
      <c r="D27" s="996" t="s">
        <v>1066</v>
      </c>
      <c r="E27" s="963"/>
      <c r="F27" s="997" t="s">
        <v>1065</v>
      </c>
      <c r="G27" s="702">
        <f>Frequency!$M$10</f>
        <v>2412</v>
      </c>
      <c r="H27" s="331" t="s">
        <v>174</v>
      </c>
      <c r="I27" s="333">
        <f t="shared" ref="I27:I28" si="0">I20*E27</f>
        <v>0</v>
      </c>
      <c r="J27" s="331" t="s">
        <v>859</v>
      </c>
      <c r="K27" s="321"/>
      <c r="L27" s="3"/>
      <c r="M27" s="3"/>
      <c r="N27" s="3"/>
      <c r="O27" s="3"/>
      <c r="P27" s="3"/>
    </row>
    <row r="28" spans="1:16">
      <c r="A28" s="3"/>
      <c r="B28" s="3"/>
      <c r="C28" s="330"/>
      <c r="D28" s="996" t="s">
        <v>1067</v>
      </c>
      <c r="E28" s="963"/>
      <c r="F28" s="997" t="s">
        <v>1065</v>
      </c>
      <c r="G28" s="702">
        <f>Frequency!$M$10</f>
        <v>2412</v>
      </c>
      <c r="H28" s="331" t="s">
        <v>174</v>
      </c>
      <c r="I28" s="333">
        <f t="shared" si="0"/>
        <v>0</v>
      </c>
      <c r="J28" s="331" t="s">
        <v>859</v>
      </c>
      <c r="K28" s="321"/>
      <c r="L28" s="3"/>
      <c r="M28" s="3"/>
      <c r="N28" s="3"/>
      <c r="O28" s="3"/>
      <c r="P28" s="3"/>
    </row>
    <row r="29" spans="1:16">
      <c r="A29" s="3"/>
      <c r="B29" s="3"/>
      <c r="C29" s="330"/>
      <c r="D29" s="331"/>
      <c r="E29" s="998"/>
      <c r="F29" s="331"/>
      <c r="G29" s="333"/>
      <c r="H29" s="331"/>
      <c r="I29" s="333"/>
      <c r="J29" s="331"/>
      <c r="K29" s="321"/>
      <c r="L29" s="3"/>
      <c r="M29" s="3"/>
      <c r="N29" s="3"/>
      <c r="O29" s="3"/>
      <c r="P29" s="3"/>
    </row>
    <row r="30" spans="1:16">
      <c r="A30" s="3"/>
      <c r="B30" s="3"/>
      <c r="C30" s="330"/>
      <c r="D30" s="996" t="s">
        <v>1068</v>
      </c>
      <c r="E30" s="998"/>
      <c r="F30" s="331"/>
      <c r="G30" s="333"/>
      <c r="H30" s="331"/>
      <c r="I30" s="333">
        <f>SUM(I26:I28)</f>
        <v>0</v>
      </c>
      <c r="J30" s="996" t="s">
        <v>859</v>
      </c>
      <c r="K30" s="321"/>
      <c r="L30" s="3"/>
      <c r="M30" s="3"/>
      <c r="N30" s="3"/>
      <c r="O30" s="3"/>
      <c r="P30" s="3"/>
    </row>
    <row r="31" spans="1:16">
      <c r="A31" s="3"/>
      <c r="B31" s="3"/>
      <c r="C31" s="330"/>
      <c r="D31" s="331"/>
      <c r="E31" s="998"/>
      <c r="F31" s="331"/>
      <c r="G31" s="333"/>
      <c r="H31" s="331"/>
      <c r="I31" s="333"/>
      <c r="J31" s="331"/>
      <c r="K31" s="321"/>
      <c r="L31" s="3"/>
      <c r="M31" s="704"/>
      <c r="N31" s="3"/>
      <c r="O31" s="3"/>
      <c r="P31" s="3"/>
    </row>
    <row r="32" spans="1:16">
      <c r="A32" s="3"/>
      <c r="B32" s="3"/>
      <c r="C32" s="330" t="s">
        <v>175</v>
      </c>
      <c r="D32" s="331"/>
      <c r="E32" s="998"/>
      <c r="F32" s="331"/>
      <c r="G32" s="333"/>
      <c r="H32" s="331"/>
      <c r="I32" s="333"/>
      <c r="J32" s="331"/>
      <c r="K32" s="321"/>
      <c r="L32" s="3"/>
      <c r="M32" s="3"/>
      <c r="N32" s="3"/>
      <c r="O32" s="3"/>
      <c r="P32" s="3"/>
    </row>
    <row r="33" spans="1:16">
      <c r="A33" s="3"/>
      <c r="B33" s="3"/>
      <c r="C33" s="330"/>
      <c r="D33" s="331"/>
      <c r="E33" s="998"/>
      <c r="F33" s="331"/>
      <c r="G33" s="333"/>
      <c r="H33" s="331"/>
      <c r="I33" s="333"/>
      <c r="J33" s="331"/>
      <c r="K33" s="1070" t="s">
        <v>1103</v>
      </c>
      <c r="L33" s="3"/>
      <c r="M33" s="3"/>
      <c r="N33" s="3"/>
      <c r="O33" s="3"/>
      <c r="P33" s="3"/>
    </row>
    <row r="34" spans="1:16">
      <c r="A34" s="3"/>
      <c r="B34" s="3"/>
      <c r="C34" s="330"/>
      <c r="D34" s="331" t="s">
        <v>172</v>
      </c>
      <c r="E34" s="386">
        <v>8</v>
      </c>
      <c r="F34" s="996" t="s">
        <v>1074</v>
      </c>
      <c r="G34" s="331"/>
      <c r="H34" s="331"/>
      <c r="I34" s="999">
        <f>E34*0.05</f>
        <v>0.4</v>
      </c>
      <c r="J34" s="331" t="s">
        <v>859</v>
      </c>
      <c r="K34" s="1071" t="s">
        <v>1062</v>
      </c>
      <c r="L34" s="81"/>
      <c r="M34" s="3"/>
      <c r="N34" s="3"/>
      <c r="O34" s="3"/>
      <c r="P34" s="3"/>
    </row>
    <row r="35" spans="1:16">
      <c r="A35" s="3"/>
      <c r="B35" s="3"/>
      <c r="C35" s="330"/>
      <c r="D35" s="331" t="s">
        <v>171</v>
      </c>
      <c r="E35" s="334" t="s">
        <v>192</v>
      </c>
      <c r="F35" s="525" t="s">
        <v>527</v>
      </c>
      <c r="G35" s="371"/>
      <c r="H35" s="331"/>
      <c r="I35" s="130">
        <v>0</v>
      </c>
      <c r="J35" s="331" t="s">
        <v>859</v>
      </c>
      <c r="K35" s="321"/>
      <c r="L35" s="3"/>
      <c r="M35" s="3"/>
      <c r="N35" s="3"/>
      <c r="O35" s="3"/>
      <c r="P35" s="3"/>
    </row>
    <row r="36" spans="1:16">
      <c r="A36" s="3"/>
      <c r="B36" s="3"/>
      <c r="C36" s="330"/>
      <c r="D36" s="331" t="s">
        <v>173</v>
      </c>
      <c r="E36" s="334" t="s">
        <v>192</v>
      </c>
      <c r="F36" s="525" t="s">
        <v>527</v>
      </c>
      <c r="G36" s="371"/>
      <c r="H36" s="331"/>
      <c r="I36" s="130">
        <v>0</v>
      </c>
      <c r="J36" s="331" t="s">
        <v>859</v>
      </c>
      <c r="K36" s="321"/>
      <c r="L36" s="3"/>
      <c r="M36" s="3"/>
      <c r="N36" s="3"/>
      <c r="O36" s="3"/>
      <c r="P36" s="3"/>
    </row>
    <row r="37" spans="1:16">
      <c r="A37" s="3"/>
      <c r="B37" s="3"/>
      <c r="C37" s="330"/>
      <c r="D37" s="331" t="s">
        <v>173</v>
      </c>
      <c r="E37" s="334" t="s">
        <v>192</v>
      </c>
      <c r="F37" s="525" t="s">
        <v>527</v>
      </c>
      <c r="G37" s="371"/>
      <c r="H37" s="331"/>
      <c r="I37" s="130">
        <v>0</v>
      </c>
      <c r="J37" s="331" t="s">
        <v>859</v>
      </c>
      <c r="K37" s="321"/>
      <c r="L37" s="3"/>
      <c r="M37" s="3"/>
      <c r="N37" s="3"/>
      <c r="O37" s="3"/>
      <c r="P37" s="3"/>
    </row>
    <row r="38" spans="1:16">
      <c r="A38" s="3"/>
      <c r="B38" s="3"/>
      <c r="C38" s="330"/>
      <c r="D38" s="331"/>
      <c r="E38" s="334"/>
      <c r="F38" s="1000"/>
      <c r="G38" s="331"/>
      <c r="H38" s="331"/>
      <c r="I38" s="1001"/>
      <c r="J38" s="331"/>
      <c r="K38" s="321"/>
      <c r="L38" s="3"/>
      <c r="M38" s="3"/>
      <c r="N38" s="3"/>
      <c r="O38" s="3"/>
      <c r="P38" s="3"/>
    </row>
    <row r="39" spans="1:16">
      <c r="A39" s="3"/>
      <c r="B39" s="3"/>
      <c r="C39" s="330"/>
      <c r="D39" s="331" t="s">
        <v>178</v>
      </c>
      <c r="E39" s="331"/>
      <c r="F39" s="331" t="s">
        <v>529</v>
      </c>
      <c r="G39" s="331"/>
      <c r="H39" s="331"/>
      <c r="I39" s="130">
        <v>0.18</v>
      </c>
      <c r="J39" s="331" t="s">
        <v>859</v>
      </c>
      <c r="K39" s="321"/>
      <c r="L39" s="3"/>
      <c r="M39" s="3"/>
      <c r="N39" s="3"/>
      <c r="O39" s="3"/>
      <c r="P39" s="3"/>
    </row>
    <row r="40" spans="1:16">
      <c r="A40" s="3"/>
      <c r="B40" s="3"/>
      <c r="C40" s="330"/>
      <c r="D40" s="331"/>
      <c r="E40" s="331"/>
      <c r="F40" s="331"/>
      <c r="G40" s="331"/>
      <c r="H40" s="331"/>
      <c r="I40" s="332"/>
      <c r="J40" s="331"/>
      <c r="K40" s="321"/>
      <c r="L40" s="3"/>
      <c r="M40" s="3"/>
      <c r="N40" s="3"/>
      <c r="O40" s="3"/>
      <c r="P40" s="3"/>
    </row>
    <row r="41" spans="1:16" ht="13">
      <c r="A41" s="3"/>
      <c r="B41" s="3"/>
      <c r="C41" s="330" t="s">
        <v>176</v>
      </c>
      <c r="D41" s="331"/>
      <c r="E41" s="331"/>
      <c r="F41" s="331"/>
      <c r="G41" s="331"/>
      <c r="H41" s="331"/>
      <c r="I41" s="724">
        <f>SUM(I30:I39)</f>
        <v>0.58000000000000007</v>
      </c>
      <c r="J41" s="331" t="s">
        <v>859</v>
      </c>
      <c r="K41" s="321"/>
      <c r="L41" s="3"/>
      <c r="M41" s="3"/>
      <c r="N41" s="3"/>
      <c r="O41" s="3"/>
      <c r="P41" s="3"/>
    </row>
    <row r="42" spans="1:16">
      <c r="A42" s="3"/>
      <c r="B42" s="3"/>
      <c r="C42" s="330"/>
      <c r="D42" s="331"/>
      <c r="E42" s="331"/>
      <c r="F42" s="331"/>
      <c r="G42" s="331"/>
      <c r="H42" s="331"/>
      <c r="I42" s="335"/>
      <c r="J42" s="331"/>
      <c r="K42" s="321"/>
      <c r="L42" s="3"/>
      <c r="M42" s="3"/>
      <c r="N42" s="3"/>
      <c r="O42" s="3"/>
      <c r="P42" s="3"/>
    </row>
    <row r="43" spans="1:16">
      <c r="A43" s="3"/>
      <c r="B43" s="3"/>
      <c r="C43" s="330" t="s">
        <v>190</v>
      </c>
      <c r="D43" s="331"/>
      <c r="E43" s="331"/>
      <c r="F43" s="331"/>
      <c r="G43" s="331"/>
      <c r="H43" s="331"/>
      <c r="I43" s="325">
        <f>G16-I41</f>
        <v>1.1809125905568123</v>
      </c>
      <c r="J43" s="331" t="s">
        <v>884</v>
      </c>
      <c r="K43" s="321"/>
      <c r="L43" s="3"/>
      <c r="M43" s="3"/>
      <c r="N43" s="3"/>
      <c r="O43" s="3"/>
      <c r="P43" s="3"/>
    </row>
    <row r="44" spans="1:16">
      <c r="A44" s="3"/>
      <c r="B44" s="3"/>
      <c r="C44" s="336"/>
      <c r="D44" s="337"/>
      <c r="E44" s="337"/>
      <c r="F44" s="337"/>
      <c r="G44" s="337"/>
      <c r="H44" s="337"/>
      <c r="I44" s="337"/>
      <c r="J44" s="337"/>
      <c r="K44" s="338"/>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ht="15.5">
      <c r="A47" s="3"/>
      <c r="B47" s="271" t="s">
        <v>158</v>
      </c>
      <c r="C47" s="187"/>
      <c r="D47" s="187"/>
      <c r="E47" s="187"/>
      <c r="F47" s="187"/>
      <c r="G47" s="188"/>
      <c r="H47" s="3"/>
      <c r="I47" s="3"/>
      <c r="J47" s="3"/>
      <c r="K47" s="3"/>
      <c r="L47" s="3"/>
      <c r="M47" s="3" t="s">
        <v>817</v>
      </c>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18" t="s">
        <v>159</v>
      </c>
      <c r="D50" s="178"/>
      <c r="E50" s="178"/>
      <c r="F50" s="178"/>
      <c r="G50" s="178"/>
      <c r="H50" s="178"/>
      <c r="I50" s="178"/>
      <c r="J50" s="178"/>
      <c r="K50" s="971" t="s">
        <v>1075</v>
      </c>
      <c r="L50" s="3"/>
      <c r="M50" s="3"/>
      <c r="N50" s="3"/>
      <c r="O50" s="3"/>
      <c r="P50" s="3"/>
    </row>
    <row r="51" spans="1:16">
      <c r="A51" s="3"/>
      <c r="B51" s="3"/>
      <c r="C51" s="175"/>
      <c r="D51" s="143"/>
      <c r="E51" s="143"/>
      <c r="F51" s="143"/>
      <c r="G51" s="143"/>
      <c r="H51" s="143"/>
      <c r="I51" s="143"/>
      <c r="J51" s="143"/>
      <c r="K51" s="180"/>
      <c r="L51" s="3"/>
      <c r="M51" s="3"/>
      <c r="N51" s="3"/>
      <c r="O51" s="3"/>
      <c r="P51" s="3"/>
    </row>
    <row r="52" spans="1:16">
      <c r="A52" s="3"/>
      <c r="B52" s="3"/>
      <c r="C52" s="175"/>
      <c r="D52" s="144" t="s">
        <v>187</v>
      </c>
      <c r="E52" s="143"/>
      <c r="F52" s="190" t="s">
        <v>185</v>
      </c>
      <c r="G52" s="143"/>
      <c r="H52" s="143" t="s">
        <v>186</v>
      </c>
      <c r="I52" s="143"/>
      <c r="J52" s="143" t="s">
        <v>179</v>
      </c>
      <c r="K52" s="180"/>
      <c r="L52" s="3"/>
      <c r="M52" s="3"/>
      <c r="N52" s="3"/>
      <c r="O52" s="3"/>
      <c r="P52" s="3"/>
    </row>
    <row r="53" spans="1:16">
      <c r="A53" s="3"/>
      <c r="B53" s="3"/>
      <c r="C53" s="175"/>
      <c r="D53" s="143"/>
      <c r="E53" s="143"/>
      <c r="F53" s="143"/>
      <c r="G53" s="143"/>
      <c r="H53" s="143"/>
      <c r="I53" s="143"/>
      <c r="J53" s="143"/>
      <c r="K53" s="180"/>
      <c r="L53" s="3"/>
      <c r="M53" s="3"/>
      <c r="N53" s="3"/>
      <c r="O53" s="3"/>
      <c r="P53" s="3"/>
    </row>
    <row r="54" spans="1:16">
      <c r="A54" s="3"/>
      <c r="B54" s="3"/>
      <c r="C54" s="175"/>
      <c r="D54" s="143"/>
      <c r="E54" s="143"/>
      <c r="F54" s="143"/>
      <c r="G54" s="143"/>
      <c r="H54" s="143"/>
      <c r="I54" s="143"/>
      <c r="J54" s="143"/>
      <c r="K54" s="180"/>
      <c r="L54" s="3"/>
      <c r="M54" s="3"/>
      <c r="N54" s="3"/>
      <c r="O54" s="3"/>
      <c r="P54" s="3"/>
    </row>
    <row r="55" spans="1:16">
      <c r="A55" s="3"/>
      <c r="B55" s="3"/>
      <c r="C55" s="175"/>
      <c r="D55" s="143"/>
      <c r="E55" s="143"/>
      <c r="F55" s="143"/>
      <c r="G55" s="143"/>
      <c r="H55" s="143"/>
      <c r="I55" s="143"/>
      <c r="J55" s="143"/>
      <c r="K55" s="180"/>
      <c r="L55" s="3"/>
      <c r="M55" s="3"/>
      <c r="N55" s="3"/>
      <c r="O55" s="3"/>
      <c r="P55" s="3"/>
    </row>
    <row r="56" spans="1:16">
      <c r="A56" s="3"/>
      <c r="B56" s="3"/>
      <c r="C56" s="175"/>
      <c r="D56" s="143"/>
      <c r="E56" s="143"/>
      <c r="F56" s="143"/>
      <c r="G56" s="143"/>
      <c r="H56" s="143"/>
      <c r="I56" s="143"/>
      <c r="J56" s="143"/>
      <c r="K56" s="180"/>
      <c r="L56" s="3"/>
      <c r="M56" s="3"/>
      <c r="N56" s="3"/>
      <c r="O56" s="3"/>
      <c r="P56" s="3"/>
    </row>
    <row r="57" spans="1:16">
      <c r="A57" s="3"/>
      <c r="B57" s="3"/>
      <c r="C57" s="175"/>
      <c r="D57" s="143"/>
      <c r="E57" s="143"/>
      <c r="F57" s="143"/>
      <c r="G57" s="143"/>
      <c r="H57" s="143"/>
      <c r="I57" s="143"/>
      <c r="J57" s="143"/>
      <c r="K57" s="180"/>
      <c r="L57" s="3"/>
      <c r="M57" s="3"/>
      <c r="N57" s="3"/>
      <c r="O57" s="3"/>
      <c r="P57" s="3"/>
    </row>
    <row r="58" spans="1:16">
      <c r="A58" s="3"/>
      <c r="B58" s="3"/>
      <c r="C58" s="175" t="s">
        <v>160</v>
      </c>
      <c r="D58" s="143"/>
      <c r="E58" s="341">
        <v>1.8</v>
      </c>
      <c r="F58" s="143" t="s">
        <v>161</v>
      </c>
      <c r="G58" s="407">
        <f>10*LOG10(E58)</f>
        <v>2.5527250510330606</v>
      </c>
      <c r="H58" s="143" t="s">
        <v>162</v>
      </c>
      <c r="I58" s="326">
        <f>G58+30</f>
        <v>32.552725051033057</v>
      </c>
      <c r="J58" s="143" t="s">
        <v>885</v>
      </c>
      <c r="K58" s="180" t="s">
        <v>817</v>
      </c>
      <c r="L58" s="3"/>
      <c r="M58" s="3"/>
      <c r="N58" s="3"/>
      <c r="O58" s="3"/>
      <c r="P58" s="3"/>
    </row>
    <row r="59" spans="1:16">
      <c r="A59" s="3"/>
      <c r="B59" s="3"/>
      <c r="C59" s="175"/>
      <c r="D59" s="143"/>
      <c r="E59" s="143"/>
      <c r="F59" s="143"/>
      <c r="G59" s="143"/>
      <c r="H59" s="143"/>
      <c r="I59" s="143"/>
      <c r="J59" s="143"/>
      <c r="K59" s="180"/>
      <c r="L59" s="3"/>
      <c r="M59" s="3"/>
      <c r="N59" s="3"/>
      <c r="O59" s="3"/>
      <c r="P59" s="3"/>
    </row>
    <row r="60" spans="1:16">
      <c r="A60" s="3"/>
      <c r="B60" s="3"/>
      <c r="C60" s="175" t="s">
        <v>164</v>
      </c>
      <c r="D60" s="143"/>
      <c r="E60" s="143"/>
      <c r="F60" s="143" t="s">
        <v>817</v>
      </c>
      <c r="G60" s="143"/>
      <c r="H60" s="143"/>
      <c r="I60" s="143"/>
      <c r="J60" s="143"/>
      <c r="K60" s="180"/>
      <c r="L60" s="3"/>
      <c r="M60" s="3"/>
      <c r="N60" s="3"/>
      <c r="O60" s="3"/>
      <c r="P60" s="3"/>
    </row>
    <row r="61" spans="1:16">
      <c r="A61" s="3"/>
      <c r="B61" s="3"/>
      <c r="C61" s="175"/>
      <c r="D61" s="143" t="s">
        <v>182</v>
      </c>
      <c r="E61" s="525" t="s">
        <v>1061</v>
      </c>
      <c r="F61" s="962"/>
      <c r="G61" s="143"/>
      <c r="H61" s="143"/>
      <c r="I61" s="130">
        <v>0.1</v>
      </c>
      <c r="J61" s="143" t="s">
        <v>857</v>
      </c>
      <c r="K61" s="180" t="s">
        <v>1076</v>
      </c>
      <c r="L61" s="3"/>
      <c r="M61" s="3"/>
      <c r="N61" s="3"/>
      <c r="O61" s="3"/>
      <c r="P61" s="3"/>
    </row>
    <row r="62" spans="1:16">
      <c r="A62" s="3"/>
      <c r="B62" s="3"/>
      <c r="C62" s="175"/>
      <c r="D62" s="143" t="s">
        <v>183</v>
      </c>
      <c r="E62" s="525"/>
      <c r="F62" s="962"/>
      <c r="G62" s="143"/>
      <c r="H62" s="143"/>
      <c r="I62" s="130"/>
      <c r="J62" s="143" t="s">
        <v>857</v>
      </c>
      <c r="K62" s="180"/>
      <c r="L62" s="3"/>
      <c r="M62" s="3"/>
      <c r="N62" s="3"/>
      <c r="O62" s="3"/>
      <c r="P62" s="3"/>
    </row>
    <row r="63" spans="1:16">
      <c r="A63" s="3"/>
      <c r="B63" s="3"/>
      <c r="C63" s="175"/>
      <c r="D63" s="143" t="s">
        <v>184</v>
      </c>
      <c r="E63" s="525"/>
      <c r="F63" s="962"/>
      <c r="G63" s="143"/>
      <c r="H63" s="143"/>
      <c r="I63" s="130"/>
      <c r="J63" s="143" t="s">
        <v>857</v>
      </c>
      <c r="K63" s="180"/>
      <c r="L63" s="3"/>
      <c r="M63" s="3"/>
      <c r="N63" s="3"/>
      <c r="O63" s="3"/>
      <c r="P63" s="3"/>
    </row>
    <row r="64" spans="1:16">
      <c r="A64" s="3"/>
      <c r="B64" s="3"/>
      <c r="C64" s="175"/>
      <c r="D64" s="143"/>
      <c r="E64" s="143"/>
      <c r="F64" s="143" t="s">
        <v>817</v>
      </c>
      <c r="G64" s="143"/>
      <c r="H64" s="143"/>
      <c r="I64" s="143"/>
      <c r="J64" s="143" t="s">
        <v>817</v>
      </c>
      <c r="K64" s="180"/>
      <c r="L64" s="3"/>
      <c r="M64" s="3"/>
      <c r="N64" s="3"/>
      <c r="O64" s="3"/>
      <c r="P64" s="3"/>
    </row>
    <row r="65" spans="1:16">
      <c r="A65" s="3"/>
      <c r="B65" s="3"/>
      <c r="C65" s="175"/>
      <c r="D65" s="143" t="s">
        <v>189</v>
      </c>
      <c r="E65" s="143"/>
      <c r="F65" s="143" t="s">
        <v>817</v>
      </c>
      <c r="G65" s="143"/>
      <c r="H65" s="143"/>
      <c r="I65" s="705">
        <f>SUM(I61:I63)</f>
        <v>0.1</v>
      </c>
      <c r="J65" s="143" t="s">
        <v>857</v>
      </c>
      <c r="K65" s="180"/>
      <c r="L65" s="3"/>
      <c r="M65" s="3"/>
      <c r="N65" s="3"/>
      <c r="O65" s="3"/>
      <c r="P65" s="3"/>
    </row>
    <row r="66" spans="1:16">
      <c r="A66" s="3"/>
      <c r="B66" s="3"/>
      <c r="C66" s="175"/>
      <c r="D66" s="143"/>
      <c r="E66" s="143"/>
      <c r="F66" s="143"/>
      <c r="G66" s="143"/>
      <c r="H66" s="143"/>
      <c r="I66" s="705"/>
      <c r="J66" s="143"/>
      <c r="K66" s="180"/>
      <c r="L66" s="3"/>
      <c r="M66" s="3"/>
      <c r="N66" s="3"/>
      <c r="O66" s="3"/>
      <c r="P66" s="3"/>
    </row>
    <row r="67" spans="1:16">
      <c r="A67" s="3"/>
      <c r="B67" s="3"/>
      <c r="C67" s="175"/>
      <c r="D67" s="143" t="s">
        <v>1063</v>
      </c>
      <c r="E67" s="143"/>
      <c r="F67" s="143"/>
      <c r="G67" s="143"/>
      <c r="H67" s="143"/>
      <c r="I67" s="705"/>
      <c r="J67" s="143"/>
      <c r="K67" s="180"/>
      <c r="L67" s="3"/>
      <c r="M67" s="3"/>
      <c r="N67" s="3"/>
      <c r="O67" s="3"/>
      <c r="P67" s="3"/>
    </row>
    <row r="68" spans="1:16">
      <c r="A68" s="3"/>
      <c r="B68" s="3"/>
      <c r="C68" s="175"/>
      <c r="D68" s="143" t="s">
        <v>1064</v>
      </c>
      <c r="E68" s="963">
        <v>0.96</v>
      </c>
      <c r="F68" s="190" t="s">
        <v>1065</v>
      </c>
      <c r="G68" s="414">
        <f>Frequency!$M$16</f>
        <v>2412</v>
      </c>
      <c r="H68" s="143" t="s">
        <v>174</v>
      </c>
      <c r="I68" s="190">
        <f>I61*E68</f>
        <v>9.6000000000000002E-2</v>
      </c>
      <c r="J68" s="143" t="s">
        <v>859</v>
      </c>
      <c r="K68" s="180"/>
      <c r="L68" s="3"/>
      <c r="M68" s="3"/>
      <c r="N68" s="3"/>
      <c r="O68" s="3"/>
      <c r="P68" s="3"/>
    </row>
    <row r="69" spans="1:16">
      <c r="A69" s="3"/>
      <c r="B69" s="3"/>
      <c r="C69" s="175"/>
      <c r="D69" s="143" t="s">
        <v>1066</v>
      </c>
      <c r="E69" s="963"/>
      <c r="F69" s="190" t="s">
        <v>1065</v>
      </c>
      <c r="G69" s="414">
        <f>Frequency!$M$16</f>
        <v>2412</v>
      </c>
      <c r="H69" s="143" t="s">
        <v>174</v>
      </c>
      <c r="I69" s="190">
        <f t="shared" ref="I69:I70" si="1">I62*E69</f>
        <v>0</v>
      </c>
      <c r="J69" s="143" t="s">
        <v>859</v>
      </c>
      <c r="K69" s="180"/>
      <c r="L69" s="3"/>
      <c r="M69" s="3"/>
      <c r="N69" s="3"/>
      <c r="O69" s="3"/>
      <c r="P69" s="3"/>
    </row>
    <row r="70" spans="1:16">
      <c r="A70" s="3"/>
      <c r="B70" s="3"/>
      <c r="C70" s="175"/>
      <c r="D70" s="143" t="s">
        <v>1067</v>
      </c>
      <c r="E70" s="963"/>
      <c r="F70" s="190" t="s">
        <v>1065</v>
      </c>
      <c r="G70" s="414">
        <f>Frequency!$M$16</f>
        <v>2412</v>
      </c>
      <c r="H70" s="143" t="s">
        <v>174</v>
      </c>
      <c r="I70" s="190">
        <f t="shared" si="1"/>
        <v>0</v>
      </c>
      <c r="J70" s="143" t="s">
        <v>859</v>
      </c>
      <c r="K70" s="180"/>
      <c r="L70" s="3"/>
      <c r="M70" s="3"/>
      <c r="N70" s="3"/>
      <c r="O70" s="3"/>
      <c r="P70" s="3"/>
    </row>
    <row r="71" spans="1:16">
      <c r="A71" s="3"/>
      <c r="B71" s="3"/>
      <c r="C71" s="175"/>
      <c r="D71" s="143"/>
      <c r="E71" s="964"/>
      <c r="F71" s="143"/>
      <c r="G71" s="190"/>
      <c r="H71" s="143"/>
      <c r="I71" s="190"/>
      <c r="J71" s="143"/>
      <c r="K71" s="180"/>
      <c r="L71" s="3"/>
      <c r="M71" s="3"/>
      <c r="N71" s="3"/>
      <c r="O71" s="3"/>
      <c r="P71" s="3"/>
    </row>
    <row r="72" spans="1:16">
      <c r="A72" s="3"/>
      <c r="B72" s="3"/>
      <c r="C72" s="175"/>
      <c r="D72" s="143" t="s">
        <v>1068</v>
      </c>
      <c r="E72" s="964"/>
      <c r="F72" s="143"/>
      <c r="G72" s="190"/>
      <c r="H72" s="143"/>
      <c r="I72" s="190">
        <f>SUM(I68:I70)</f>
        <v>9.6000000000000002E-2</v>
      </c>
      <c r="J72" s="143" t="s">
        <v>859</v>
      </c>
      <c r="K72" s="180"/>
      <c r="L72" s="3"/>
      <c r="M72" s="3"/>
      <c r="N72" s="3"/>
      <c r="O72" s="3"/>
      <c r="P72" s="3"/>
    </row>
    <row r="73" spans="1:16">
      <c r="A73" s="3"/>
      <c r="B73" s="3"/>
      <c r="C73" s="175"/>
      <c r="D73" s="143"/>
      <c r="E73" s="964"/>
      <c r="F73" s="143"/>
      <c r="G73" s="190"/>
      <c r="H73" s="143"/>
      <c r="I73" s="190"/>
      <c r="J73" s="143"/>
      <c r="K73" s="180"/>
      <c r="L73" s="3"/>
      <c r="M73" s="3"/>
      <c r="N73" s="3"/>
      <c r="O73" s="3"/>
      <c r="P73" s="3"/>
    </row>
    <row r="74" spans="1:16">
      <c r="A74" s="3"/>
      <c r="B74" s="3"/>
      <c r="C74" s="175" t="s">
        <v>175</v>
      </c>
      <c r="D74" s="143"/>
      <c r="E74" s="964"/>
      <c r="F74" s="143"/>
      <c r="G74" s="190"/>
      <c r="H74" s="143"/>
      <c r="I74" s="190"/>
      <c r="J74" s="143"/>
      <c r="K74" s="180"/>
      <c r="L74" s="3"/>
      <c r="M74" s="3"/>
      <c r="N74" s="3"/>
      <c r="O74" s="3"/>
      <c r="P74" s="3"/>
    </row>
    <row r="75" spans="1:16">
      <c r="A75" s="3"/>
      <c r="B75" s="3"/>
      <c r="C75" s="175"/>
      <c r="D75" s="143"/>
      <c r="E75" s="964"/>
      <c r="F75" s="143"/>
      <c r="G75" s="190"/>
      <c r="H75" s="143"/>
      <c r="I75" s="190"/>
      <c r="J75" s="143"/>
      <c r="K75" s="180"/>
      <c r="L75" s="3"/>
      <c r="M75" s="3"/>
      <c r="N75" s="3"/>
      <c r="O75" s="3"/>
      <c r="P75" s="3"/>
    </row>
    <row r="76" spans="1:16">
      <c r="A76" s="3"/>
      <c r="B76" s="3"/>
      <c r="C76" s="175"/>
      <c r="D76" s="143" t="s">
        <v>172</v>
      </c>
      <c r="E76" s="386">
        <v>6</v>
      </c>
      <c r="F76" s="965" t="s">
        <v>1069</v>
      </c>
      <c r="G76" s="143"/>
      <c r="H76" s="143"/>
      <c r="I76" s="966">
        <f>E76*0.05</f>
        <v>0.30000000000000004</v>
      </c>
      <c r="J76" s="143" t="s">
        <v>859</v>
      </c>
      <c r="K76" s="967" t="s">
        <v>1062</v>
      </c>
      <c r="L76" s="3"/>
      <c r="M76" s="3"/>
      <c r="N76" s="3"/>
      <c r="O76" s="3"/>
      <c r="P76" s="3"/>
    </row>
    <row r="77" spans="1:16">
      <c r="A77" s="3"/>
      <c r="B77" s="3"/>
      <c r="C77" s="175"/>
      <c r="D77" s="143" t="s">
        <v>171</v>
      </c>
      <c r="E77" s="144" t="s">
        <v>192</v>
      </c>
      <c r="F77" s="968" t="s">
        <v>527</v>
      </c>
      <c r="G77" s="371"/>
      <c r="H77" s="143"/>
      <c r="I77" s="130"/>
      <c r="J77" s="143" t="s">
        <v>859</v>
      </c>
      <c r="K77" s="180"/>
      <c r="L77" s="3"/>
      <c r="M77" s="3"/>
      <c r="N77" s="3"/>
      <c r="O77" s="3"/>
      <c r="P77" s="3"/>
    </row>
    <row r="78" spans="1:16">
      <c r="A78" s="3"/>
      <c r="B78" s="3"/>
      <c r="C78" s="175"/>
      <c r="D78" s="143" t="s">
        <v>173</v>
      </c>
      <c r="E78" s="144" t="s">
        <v>192</v>
      </c>
      <c r="F78" s="968" t="s">
        <v>1109</v>
      </c>
      <c r="G78" s="371"/>
      <c r="H78" s="143"/>
      <c r="I78" s="130">
        <v>1.05</v>
      </c>
      <c r="J78" s="143" t="s">
        <v>859</v>
      </c>
      <c r="K78" s="180"/>
      <c r="L78" s="3"/>
      <c r="M78" s="3"/>
      <c r="N78" s="3"/>
      <c r="O78" s="3"/>
      <c r="P78" s="3"/>
    </row>
    <row r="79" spans="1:16">
      <c r="A79" s="3"/>
      <c r="B79" s="3"/>
      <c r="C79" s="175"/>
      <c r="D79" s="143" t="s">
        <v>173</v>
      </c>
      <c r="E79" s="144" t="s">
        <v>192</v>
      </c>
      <c r="F79" s="968"/>
      <c r="G79" s="371"/>
      <c r="H79" s="143"/>
      <c r="I79" s="130"/>
      <c r="J79" s="143" t="s">
        <v>859</v>
      </c>
      <c r="K79" s="180"/>
      <c r="L79" s="3"/>
      <c r="M79" s="3"/>
      <c r="N79" s="3"/>
      <c r="O79" s="3"/>
      <c r="P79" s="3"/>
    </row>
    <row r="80" spans="1:16">
      <c r="A80" s="3"/>
      <c r="B80" s="3"/>
      <c r="C80" s="175"/>
      <c r="D80" s="143"/>
      <c r="E80" s="144"/>
      <c r="F80" s="969"/>
      <c r="G80" s="143"/>
      <c r="H80" s="143"/>
      <c r="I80" s="970"/>
      <c r="J80" s="143"/>
      <c r="K80" s="180"/>
      <c r="L80" s="3"/>
      <c r="M80" s="3"/>
      <c r="N80" s="3"/>
      <c r="O80" s="3"/>
      <c r="P80" s="3"/>
    </row>
    <row r="81" spans="1:16">
      <c r="A81" s="3"/>
      <c r="B81" s="3"/>
      <c r="C81" s="175"/>
      <c r="D81" s="143" t="s">
        <v>178</v>
      </c>
      <c r="E81" s="143"/>
      <c r="F81" s="143" t="s">
        <v>529</v>
      </c>
      <c r="G81" s="143"/>
      <c r="H81" s="143"/>
      <c r="I81" s="130">
        <v>0.18</v>
      </c>
      <c r="J81" s="143" t="s">
        <v>859</v>
      </c>
      <c r="K81" s="180"/>
      <c r="L81" s="3"/>
      <c r="M81" s="3"/>
      <c r="N81" s="3"/>
      <c r="O81" s="3"/>
      <c r="P81" s="3"/>
    </row>
    <row r="82" spans="1:16">
      <c r="A82" s="3"/>
      <c r="B82" s="3"/>
      <c r="C82" s="175"/>
      <c r="D82" s="143"/>
      <c r="E82" s="143"/>
      <c r="F82" s="143"/>
      <c r="G82" s="143"/>
      <c r="H82" s="143"/>
      <c r="I82" s="327"/>
      <c r="J82" s="143"/>
      <c r="K82" s="180"/>
      <c r="L82" s="3"/>
      <c r="M82" s="3"/>
      <c r="N82" s="3"/>
      <c r="O82" s="3"/>
      <c r="P82" s="3"/>
    </row>
    <row r="83" spans="1:16" ht="13">
      <c r="A83" s="3"/>
      <c r="B83" s="3"/>
      <c r="C83" s="175" t="s">
        <v>176</v>
      </c>
      <c r="D83" s="143"/>
      <c r="E83" s="143"/>
      <c r="F83" s="143"/>
      <c r="G83" s="143"/>
      <c r="H83" s="143"/>
      <c r="I83" s="724">
        <f>SUM(I72:I81)</f>
        <v>1.6260000000000001</v>
      </c>
      <c r="J83" s="143" t="s">
        <v>859</v>
      </c>
      <c r="K83" s="180"/>
      <c r="L83" s="3"/>
      <c r="M83" s="3"/>
      <c r="N83" s="3"/>
      <c r="O83" s="3"/>
      <c r="P83" s="3"/>
    </row>
    <row r="84" spans="1:16">
      <c r="A84" s="3"/>
      <c r="B84" s="3"/>
      <c r="C84" s="175"/>
      <c r="D84" s="143"/>
      <c r="E84" s="143"/>
      <c r="F84" s="143"/>
      <c r="G84" s="143"/>
      <c r="H84" s="143"/>
      <c r="I84" s="339"/>
      <c r="J84" s="143"/>
      <c r="K84" s="180"/>
      <c r="L84" s="3"/>
      <c r="M84" s="3"/>
      <c r="N84" s="3"/>
      <c r="O84" s="3"/>
      <c r="P84" s="3"/>
    </row>
    <row r="85" spans="1:16">
      <c r="A85" s="3"/>
      <c r="B85" s="3"/>
      <c r="C85" s="175" t="s">
        <v>191</v>
      </c>
      <c r="D85" s="143"/>
      <c r="E85" s="143"/>
      <c r="F85" s="143"/>
      <c r="G85" s="143"/>
      <c r="H85" s="143"/>
      <c r="I85" s="325">
        <f>G58-I83</f>
        <v>0.92672505103306047</v>
      </c>
      <c r="J85" s="143" t="s">
        <v>884</v>
      </c>
      <c r="K85" s="180"/>
      <c r="L85" s="3"/>
      <c r="M85" s="3"/>
      <c r="N85" s="3"/>
      <c r="O85" s="3"/>
      <c r="P85" s="3"/>
    </row>
    <row r="86" spans="1:16">
      <c r="A86" s="3"/>
      <c r="B86" s="3"/>
      <c r="C86" s="234"/>
      <c r="D86" s="235"/>
      <c r="E86" s="235"/>
      <c r="F86" s="235"/>
      <c r="G86" s="235"/>
      <c r="H86" s="235"/>
      <c r="I86" s="235"/>
      <c r="J86" s="235"/>
      <c r="K86" s="236"/>
      <c r="L86" s="3"/>
      <c r="M86" s="3"/>
      <c r="N86" s="3"/>
      <c r="O86" s="3"/>
      <c r="P86" s="3"/>
    </row>
    <row r="87" spans="1:16">
      <c r="A87" s="3"/>
      <c r="B87" s="3"/>
      <c r="C87" s="3"/>
      <c r="D87" s="3"/>
      <c r="E87" s="3"/>
      <c r="F87" s="3"/>
      <c r="G87" s="3"/>
      <c r="H87" s="3"/>
      <c r="I87" s="3"/>
      <c r="J87" s="3"/>
      <c r="K87" s="3"/>
      <c r="L87" s="3"/>
      <c r="M87" s="3"/>
      <c r="N87" s="3"/>
      <c r="O87" s="3"/>
      <c r="P87" s="3"/>
    </row>
    <row r="88" spans="1:16">
      <c r="A88" s="3"/>
      <c r="B88" s="3"/>
      <c r="C88" s="3"/>
      <c r="D88" s="3"/>
      <c r="E88" s="3"/>
      <c r="F88" s="3"/>
      <c r="G88" s="3"/>
      <c r="H88" s="3"/>
      <c r="I88" s="3"/>
      <c r="J88" s="3"/>
      <c r="K88" s="3"/>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sheetData>
  <phoneticPr fontId="26" type="noConversion"/>
  <pageMargins left="0.75" right="0.75" top="1" bottom="1" header="0.5" footer="0.5"/>
  <pageSetup paperSize="9" orientation="portrait" horizontalDpi="4294967293"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sheetPr>
  <dimension ref="A1:AA183"/>
  <sheetViews>
    <sheetView topLeftCell="A109" zoomScaleNormal="100" workbookViewId="0">
      <selection activeCell="F138" sqref="F138"/>
    </sheetView>
  </sheetViews>
  <sheetFormatPr defaultColWidth="8.81640625" defaultRowHeight="12.5"/>
  <cols>
    <col min="8" max="8" width="10.1796875" customWidth="1"/>
    <col min="9" max="9" width="14.1796875" customWidth="1"/>
    <col min="10" max="10" width="10" customWidth="1"/>
    <col min="16" max="16" width="10.26953125" customWidth="1"/>
    <col min="17" max="17" width="9.36328125" customWidth="1"/>
    <col min="18" max="18" width="14.453125" bestFit="1" customWidth="1"/>
    <col min="19" max="19" width="12.6328125" bestFit="1" customWidth="1"/>
    <col min="20" max="20" width="6.7265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7" t="s">
        <v>193</v>
      </c>
      <c r="B1" s="129"/>
      <c r="C1" s="129"/>
      <c r="D1" s="129"/>
      <c r="E1" s="129"/>
      <c r="F1" s="129"/>
      <c r="G1" s="129"/>
      <c r="H1" s="681" t="str">
        <f>'Title Page'!F3</f>
        <v>OreSat - CS0 (DxWiFi)</v>
      </c>
      <c r="I1" s="129"/>
      <c r="J1" s="129"/>
      <c r="K1" s="680" t="str">
        <f>'Title Page'!F23</f>
        <v>2019 February 1</v>
      </c>
      <c r="L1" s="129"/>
      <c r="M1" s="129"/>
      <c r="N1" s="129"/>
      <c r="O1" s="129"/>
      <c r="P1" s="129"/>
      <c r="Q1" s="129"/>
      <c r="R1" s="129"/>
      <c r="S1" s="129"/>
      <c r="T1" s="129"/>
      <c r="U1" s="129"/>
      <c r="V1" s="129"/>
      <c r="W1" s="129"/>
      <c r="X1" s="129"/>
      <c r="Y1" s="129"/>
      <c r="Z1" s="129"/>
      <c r="AA1" s="129"/>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1" t="s">
        <v>194</v>
      </c>
      <c r="C4" s="187"/>
      <c r="D4" s="187"/>
      <c r="E4" s="187"/>
      <c r="F4" s="188"/>
      <c r="G4" s="3"/>
      <c r="H4" s="3"/>
      <c r="I4" s="3"/>
      <c r="J4" s="532"/>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278</v>
      </c>
      <c r="D6" s="3"/>
      <c r="E6" s="3"/>
      <c r="F6" s="3"/>
      <c r="G6" s="3"/>
      <c r="H6" s="3"/>
      <c r="I6" s="3"/>
      <c r="J6" s="3"/>
      <c r="K6" s="3"/>
      <c r="L6" s="3"/>
      <c r="M6" s="3"/>
      <c r="N6" s="3"/>
      <c r="O6" s="3"/>
      <c r="P6" s="3"/>
      <c r="Q6" s="3"/>
      <c r="R6" s="3"/>
      <c r="S6" s="3"/>
      <c r="T6" s="3"/>
      <c r="U6" s="3"/>
      <c r="V6" s="3"/>
      <c r="W6" s="3"/>
      <c r="X6" s="3"/>
      <c r="Y6" s="3"/>
      <c r="Z6" s="3"/>
      <c r="AA6" s="3"/>
    </row>
    <row r="7" spans="1:27">
      <c r="A7" s="3"/>
      <c r="B7" s="3"/>
      <c r="C7" s="103"/>
      <c r="D7" s="103"/>
      <c r="E7" s="103"/>
      <c r="F7" s="103"/>
      <c r="G7" s="103"/>
      <c r="H7" s="103"/>
      <c r="I7" s="103"/>
      <c r="J7" s="103"/>
      <c r="K7" s="103"/>
      <c r="L7" s="3"/>
      <c r="M7" s="3"/>
      <c r="N7" s="3"/>
      <c r="O7" s="3"/>
      <c r="P7" s="3"/>
      <c r="Q7" s="3"/>
      <c r="R7" s="3"/>
      <c r="S7" s="3"/>
      <c r="T7" s="3"/>
      <c r="U7" s="3"/>
      <c r="V7" s="3"/>
      <c r="W7" s="3"/>
      <c r="X7" s="3"/>
      <c r="Y7" s="3"/>
      <c r="Z7" s="3"/>
      <c r="AA7" s="3"/>
    </row>
    <row r="8" spans="1:27" ht="13">
      <c r="A8" s="3"/>
      <c r="B8" s="3"/>
      <c r="C8" s="352" t="s">
        <v>159</v>
      </c>
      <c r="D8" s="329"/>
      <c r="E8" s="329"/>
      <c r="F8" s="329"/>
      <c r="G8" s="329"/>
      <c r="H8" s="329"/>
      <c r="I8" s="329"/>
      <c r="J8" s="329"/>
      <c r="K8" s="329"/>
      <c r="L8" s="329"/>
      <c r="M8" s="1002" t="s">
        <v>1075</v>
      </c>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1"/>
      <c r="N9" s="3"/>
      <c r="O9" s="3"/>
      <c r="P9" s="3"/>
      <c r="Q9" s="3"/>
      <c r="R9" s="3"/>
      <c r="S9" s="3"/>
      <c r="T9" s="3"/>
      <c r="U9" s="3"/>
      <c r="V9" s="3"/>
      <c r="W9" s="3"/>
      <c r="X9" s="3"/>
      <c r="Y9" s="3"/>
      <c r="Z9" s="3"/>
      <c r="AA9" s="3"/>
    </row>
    <row r="10" spans="1:27">
      <c r="A10" s="3"/>
      <c r="B10" s="3"/>
      <c r="C10" s="330"/>
      <c r="D10" s="331"/>
      <c r="E10" s="331"/>
      <c r="F10" s="331"/>
      <c r="G10" s="331"/>
      <c r="H10" s="331"/>
      <c r="I10" s="331" t="s">
        <v>209</v>
      </c>
      <c r="J10" s="331"/>
      <c r="K10" s="331" t="s">
        <v>218</v>
      </c>
      <c r="L10" s="331"/>
      <c r="M10" s="321"/>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1"/>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1"/>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1"/>
      <c r="N13" s="3"/>
      <c r="O13" s="3"/>
      <c r="P13" s="3"/>
      <c r="Q13" s="3"/>
      <c r="R13" s="3"/>
      <c r="S13" s="3"/>
      <c r="T13" s="3"/>
      <c r="U13" s="3"/>
      <c r="V13" s="3"/>
      <c r="W13" s="3"/>
      <c r="X13" s="3"/>
      <c r="Y13" s="3"/>
      <c r="Z13" s="3"/>
      <c r="AA13" s="3"/>
    </row>
    <row r="14" spans="1:27">
      <c r="A14" s="3"/>
      <c r="B14" s="3"/>
      <c r="C14" s="330"/>
      <c r="D14" s="333" t="s">
        <v>203</v>
      </c>
      <c r="E14" s="331"/>
      <c r="F14" s="333" t="s">
        <v>204</v>
      </c>
      <c r="G14" s="331"/>
      <c r="H14" s="333" t="s">
        <v>205</v>
      </c>
      <c r="I14" s="331"/>
      <c r="J14" s="331"/>
      <c r="K14" s="331"/>
      <c r="L14" s="331"/>
      <c r="M14" s="321"/>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1"/>
      <c r="N15" s="3"/>
      <c r="O15" s="3"/>
      <c r="P15" s="3"/>
      <c r="Q15" s="3"/>
      <c r="R15" s="3"/>
      <c r="S15" s="3"/>
      <c r="T15" s="3"/>
      <c r="U15" s="3"/>
      <c r="V15" s="3"/>
      <c r="W15" s="3"/>
      <c r="X15" s="3"/>
      <c r="Y15" s="3"/>
      <c r="Z15" s="3"/>
      <c r="AA15" s="3"/>
    </row>
    <row r="16" spans="1:27">
      <c r="A16" s="3"/>
      <c r="B16" s="3"/>
      <c r="C16" s="330"/>
      <c r="D16" s="333" t="s">
        <v>206</v>
      </c>
      <c r="E16" s="331"/>
      <c r="F16" s="333" t="s">
        <v>207</v>
      </c>
      <c r="G16" s="331"/>
      <c r="H16" s="331"/>
      <c r="I16" s="331"/>
      <c r="J16" s="331"/>
      <c r="K16" s="331"/>
      <c r="L16" s="331"/>
      <c r="M16" s="321"/>
      <c r="N16" s="3"/>
      <c r="O16" s="3"/>
      <c r="P16" s="3"/>
      <c r="Q16" s="3"/>
      <c r="R16" s="3"/>
      <c r="S16" s="3"/>
      <c r="T16" s="3"/>
      <c r="U16" s="3"/>
      <c r="V16" s="3"/>
      <c r="W16" s="3"/>
      <c r="X16" s="3"/>
      <c r="Y16" s="3"/>
      <c r="Z16" s="3"/>
      <c r="AA16" s="3"/>
    </row>
    <row r="17" spans="1:27">
      <c r="A17" s="3"/>
      <c r="B17" s="3"/>
      <c r="C17" s="330"/>
      <c r="D17" s="331"/>
      <c r="E17" s="331"/>
      <c r="F17" s="331"/>
      <c r="G17" s="331"/>
      <c r="H17" s="331"/>
      <c r="I17" s="331"/>
      <c r="J17" s="331" t="s">
        <v>206</v>
      </c>
      <c r="K17" s="334" t="s">
        <v>206</v>
      </c>
      <c r="L17" s="331"/>
      <c r="M17" s="321"/>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1"/>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1"/>
      <c r="N19" s="3"/>
      <c r="O19" s="3"/>
      <c r="P19" s="3"/>
      <c r="Q19" s="3"/>
      <c r="R19" s="3"/>
      <c r="S19" s="3"/>
      <c r="T19" s="3"/>
      <c r="U19" s="3"/>
      <c r="V19" s="3"/>
      <c r="W19" s="3"/>
      <c r="X19" s="3"/>
      <c r="Y19" s="3"/>
      <c r="Z19" s="3"/>
      <c r="AA19" s="3"/>
    </row>
    <row r="20" spans="1:27">
      <c r="A20" s="3"/>
      <c r="B20" s="3"/>
      <c r="C20" s="330"/>
      <c r="D20" s="331" t="s">
        <v>201</v>
      </c>
      <c r="E20" s="331"/>
      <c r="F20" s="331"/>
      <c r="G20" s="331"/>
      <c r="H20" s="331"/>
      <c r="I20" s="331"/>
      <c r="J20" s="331"/>
      <c r="K20" s="331"/>
      <c r="L20" s="331"/>
      <c r="M20" s="321"/>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1"/>
      <c r="N21" s="3"/>
      <c r="O21" s="3"/>
      <c r="P21" s="3"/>
      <c r="Q21" s="3"/>
      <c r="R21" s="3"/>
      <c r="S21" s="3"/>
      <c r="T21" s="3"/>
      <c r="U21" s="3"/>
      <c r="V21" s="3"/>
      <c r="W21" s="3"/>
      <c r="X21" s="3"/>
      <c r="Y21" s="3"/>
      <c r="Z21" s="3"/>
      <c r="AA21" s="3"/>
    </row>
    <row r="22" spans="1:27" ht="13">
      <c r="A22" s="3"/>
      <c r="B22" s="3"/>
      <c r="C22" s="330"/>
      <c r="D22" s="347" t="s">
        <v>210</v>
      </c>
      <c r="E22" s="331"/>
      <c r="F22" s="331"/>
      <c r="G22" s="331"/>
      <c r="H22" s="331"/>
      <c r="I22" s="331"/>
      <c r="J22" s="331"/>
      <c r="K22" s="331"/>
      <c r="L22" s="331"/>
      <c r="M22" s="321"/>
      <c r="N22" s="3"/>
      <c r="O22" s="3"/>
      <c r="P22" s="3"/>
      <c r="Q22" s="3"/>
      <c r="R22" s="3"/>
      <c r="S22" s="3"/>
      <c r="T22" s="3"/>
      <c r="U22" s="3"/>
      <c r="V22" s="3"/>
      <c r="W22" s="3"/>
      <c r="X22" s="3"/>
      <c r="Y22" s="3"/>
      <c r="Z22" s="3"/>
      <c r="AA22" s="3"/>
    </row>
    <row r="23" spans="1:27">
      <c r="A23" s="3"/>
      <c r="B23" s="3"/>
      <c r="C23" s="330"/>
      <c r="D23" s="331" t="s">
        <v>202</v>
      </c>
      <c r="E23" s="331"/>
      <c r="F23" s="331"/>
      <c r="G23" s="348"/>
      <c r="H23" s="331"/>
      <c r="I23" s="331"/>
      <c r="J23" s="331"/>
      <c r="K23" s="331"/>
      <c r="L23" s="331"/>
      <c r="M23" s="321"/>
      <c r="N23" s="3"/>
      <c r="O23" s="3"/>
      <c r="P23" s="3"/>
      <c r="Q23" s="3"/>
      <c r="R23" s="3"/>
      <c r="S23" s="3"/>
      <c r="T23" s="3"/>
      <c r="U23" s="3"/>
      <c r="V23" s="3"/>
      <c r="W23" s="3"/>
      <c r="X23" s="3"/>
      <c r="Y23" s="3"/>
      <c r="Z23" s="3"/>
      <c r="AA23" s="3"/>
    </row>
    <row r="24" spans="1:27">
      <c r="A24" s="3"/>
      <c r="B24" s="3"/>
      <c r="C24" s="330"/>
      <c r="D24" s="349" t="s">
        <v>1035</v>
      </c>
      <c r="E24" s="331"/>
      <c r="F24" s="331"/>
      <c r="G24" s="331"/>
      <c r="H24" s="331"/>
      <c r="I24" s="331"/>
      <c r="J24" s="331"/>
      <c r="K24" s="331"/>
      <c r="L24" s="331"/>
      <c r="M24" s="321"/>
      <c r="N24" s="3"/>
      <c r="O24" s="3"/>
      <c r="P24" s="3"/>
      <c r="Q24" s="3"/>
      <c r="R24" s="3"/>
      <c r="S24" s="3"/>
      <c r="T24" s="3"/>
      <c r="U24" s="3"/>
      <c r="V24" s="3"/>
      <c r="W24" s="3"/>
      <c r="X24" s="3"/>
      <c r="Y24" s="3"/>
      <c r="Z24" s="3"/>
      <c r="AA24" s="3"/>
    </row>
    <row r="25" spans="1:27">
      <c r="A25" s="3"/>
      <c r="B25" s="3"/>
      <c r="C25" s="330"/>
      <c r="D25" s="349" t="s">
        <v>1036</v>
      </c>
      <c r="E25" s="331"/>
      <c r="F25" s="331"/>
      <c r="G25" s="331"/>
      <c r="H25" s="331"/>
      <c r="I25" s="331"/>
      <c r="J25" s="331"/>
      <c r="K25" s="331"/>
      <c r="L25" s="331"/>
      <c r="M25" s="321"/>
      <c r="N25" s="3"/>
      <c r="O25" s="3"/>
      <c r="P25" s="3"/>
      <c r="Q25" s="3"/>
      <c r="R25" s="3"/>
      <c r="S25" s="3"/>
      <c r="T25" s="3"/>
      <c r="U25" s="3"/>
      <c r="V25" s="3"/>
      <c r="W25" s="3"/>
      <c r="X25" s="3"/>
      <c r="Y25" s="3"/>
      <c r="Z25" s="3"/>
      <c r="AA25" s="3"/>
    </row>
    <row r="26" spans="1:27">
      <c r="A26" s="3"/>
      <c r="B26" s="3"/>
      <c r="C26" s="330"/>
      <c r="D26" s="349" t="s">
        <v>1037</v>
      </c>
      <c r="E26" s="331"/>
      <c r="F26" s="331"/>
      <c r="G26" s="331"/>
      <c r="H26" s="331"/>
      <c r="I26" s="331"/>
      <c r="J26" s="331"/>
      <c r="K26" s="331"/>
      <c r="L26" s="331"/>
      <c r="M26" s="321"/>
      <c r="N26" s="3"/>
      <c r="O26" s="3"/>
      <c r="P26" s="3"/>
      <c r="Q26" s="3"/>
      <c r="R26" s="3"/>
      <c r="S26" s="3"/>
      <c r="T26" s="3"/>
      <c r="U26" s="3"/>
      <c r="V26" s="3"/>
      <c r="W26" s="3"/>
      <c r="X26" s="3"/>
      <c r="Y26" s="3"/>
      <c r="Z26" s="3"/>
      <c r="AA26" s="3"/>
    </row>
    <row r="27" spans="1:27">
      <c r="A27" s="3"/>
      <c r="B27" s="3"/>
      <c r="C27" s="330"/>
      <c r="D27" s="349" t="s">
        <v>1038</v>
      </c>
      <c r="E27" s="331"/>
      <c r="F27" s="331"/>
      <c r="G27" s="331"/>
      <c r="H27" s="331"/>
      <c r="I27" s="331"/>
      <c r="J27" s="331"/>
      <c r="K27" s="331"/>
      <c r="L27" s="331"/>
      <c r="M27" s="321"/>
      <c r="N27" s="3"/>
      <c r="O27" s="3"/>
      <c r="P27" s="3"/>
      <c r="Q27" s="3"/>
      <c r="R27" s="3"/>
      <c r="S27" s="3"/>
      <c r="T27" s="3"/>
      <c r="U27" s="3"/>
      <c r="V27" s="3"/>
      <c r="W27" s="3"/>
      <c r="X27" s="3"/>
      <c r="Y27" s="3"/>
      <c r="Z27" s="3"/>
      <c r="AA27" s="3"/>
    </row>
    <row r="28" spans="1:27">
      <c r="A28" s="3"/>
      <c r="B28" s="3"/>
      <c r="C28" s="330"/>
      <c r="D28" s="349" t="s">
        <v>1039</v>
      </c>
      <c r="E28" s="331"/>
      <c r="F28" s="331"/>
      <c r="G28" s="331"/>
      <c r="H28" s="331"/>
      <c r="I28" s="240" t="s">
        <v>262</v>
      </c>
      <c r="J28" s="331"/>
      <c r="K28" s="331"/>
      <c r="L28" s="331"/>
      <c r="M28" s="321"/>
      <c r="N28" s="3"/>
      <c r="O28" s="3"/>
      <c r="P28" s="3"/>
      <c r="Q28" s="3"/>
      <c r="R28" s="3"/>
      <c r="S28" s="3"/>
      <c r="T28" s="3"/>
      <c r="U28" s="3"/>
      <c r="V28" s="3"/>
      <c r="W28" s="3"/>
      <c r="X28" s="3"/>
      <c r="Y28" s="3"/>
      <c r="Z28" s="3"/>
      <c r="AA28" s="3"/>
    </row>
    <row r="29" spans="1:27">
      <c r="A29" s="3"/>
      <c r="B29" s="3"/>
      <c r="C29" s="330"/>
      <c r="D29" s="350" t="s">
        <v>1040</v>
      </c>
      <c r="E29" s="331"/>
      <c r="F29" s="331"/>
      <c r="G29" s="331"/>
      <c r="H29" s="331"/>
      <c r="I29" s="331"/>
      <c r="J29" s="331"/>
      <c r="K29" s="331"/>
      <c r="L29" s="331"/>
      <c r="M29" s="321"/>
      <c r="N29" s="3"/>
      <c r="O29" s="3"/>
      <c r="P29" s="3"/>
      <c r="Q29" s="3"/>
      <c r="R29" s="3"/>
      <c r="S29" s="3"/>
      <c r="T29" s="3"/>
      <c r="U29" s="3"/>
      <c r="V29" s="3"/>
      <c r="W29" s="3"/>
      <c r="X29" s="3"/>
      <c r="Y29" s="3"/>
      <c r="Z29" s="3"/>
      <c r="AA29" s="3"/>
    </row>
    <row r="30" spans="1:27">
      <c r="A30" s="3"/>
      <c r="B30" s="3"/>
      <c r="C30" s="330"/>
      <c r="D30" s="331" t="s">
        <v>202</v>
      </c>
      <c r="E30" s="331"/>
      <c r="F30" s="331"/>
      <c r="G30" s="331"/>
      <c r="H30" s="331"/>
      <c r="I30" s="331"/>
      <c r="J30" s="331"/>
      <c r="K30" s="331"/>
      <c r="L30" s="331"/>
      <c r="M30" s="321"/>
      <c r="N30" s="3"/>
      <c r="O30" s="3"/>
      <c r="P30" s="3"/>
      <c r="Q30" s="3"/>
      <c r="R30" s="3"/>
      <c r="S30" s="3"/>
      <c r="T30" s="3"/>
      <c r="U30" s="3"/>
      <c r="V30" s="3"/>
      <c r="W30" s="3"/>
      <c r="X30" s="3"/>
      <c r="Y30" s="3"/>
      <c r="Z30" s="3"/>
      <c r="AA30" s="3"/>
    </row>
    <row r="31" spans="1:27">
      <c r="A31" s="3"/>
      <c r="B31" s="3"/>
      <c r="C31" s="330"/>
      <c r="D31" s="331"/>
      <c r="E31" s="331" t="s">
        <v>1041</v>
      </c>
      <c r="F31" s="331"/>
      <c r="G31" s="331"/>
      <c r="H31" s="331"/>
      <c r="I31" s="331"/>
      <c r="J31" s="331"/>
      <c r="K31" s="331"/>
      <c r="L31" s="331"/>
      <c r="M31" s="321"/>
      <c r="N31" s="3"/>
      <c r="O31" s="3"/>
      <c r="P31" s="3"/>
      <c r="Q31" s="3"/>
      <c r="R31" s="3"/>
      <c r="S31" s="3"/>
      <c r="T31" s="3"/>
      <c r="U31" s="3"/>
      <c r="V31" s="3"/>
      <c r="W31" s="3"/>
      <c r="X31" s="3"/>
      <c r="Y31" s="3"/>
      <c r="Z31" s="3"/>
      <c r="AA31" s="3"/>
    </row>
    <row r="32" spans="1:27">
      <c r="A32" s="3"/>
      <c r="B32" s="3"/>
      <c r="C32" s="330"/>
      <c r="D32" s="331"/>
      <c r="E32" s="331" t="s">
        <v>1042</v>
      </c>
      <c r="F32" s="331"/>
      <c r="G32" s="331"/>
      <c r="H32" s="331"/>
      <c r="I32" s="331"/>
      <c r="J32" s="331"/>
      <c r="K32" s="331"/>
      <c r="L32" s="331"/>
      <c r="M32" s="321"/>
      <c r="N32" s="3"/>
      <c r="O32" s="3"/>
      <c r="P32" s="3"/>
      <c r="Q32" s="3"/>
      <c r="R32" s="3"/>
      <c r="S32" s="3"/>
      <c r="T32" s="3"/>
      <c r="U32" s="3"/>
      <c r="V32" s="3"/>
      <c r="W32" s="3"/>
      <c r="X32" s="3"/>
      <c r="Y32" s="3"/>
      <c r="Z32" s="3"/>
      <c r="AA32" s="3"/>
    </row>
    <row r="33" spans="1:27">
      <c r="A33" s="3"/>
      <c r="B33" s="3"/>
      <c r="C33" s="330"/>
      <c r="D33" s="331"/>
      <c r="E33" s="932" t="s">
        <v>1043</v>
      </c>
      <c r="F33" s="331"/>
      <c r="G33" s="331"/>
      <c r="H33" s="331"/>
      <c r="I33" s="331"/>
      <c r="J33" s="331"/>
      <c r="K33" s="331"/>
      <c r="L33" s="331"/>
      <c r="M33" s="321"/>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1"/>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1"/>
      <c r="N35" s="3"/>
      <c r="O35" s="3"/>
      <c r="P35" s="3"/>
      <c r="Q35" s="3"/>
      <c r="R35" s="3"/>
      <c r="S35" s="3"/>
      <c r="T35" s="3"/>
      <c r="U35" s="3"/>
      <c r="V35" s="3"/>
      <c r="W35" s="3"/>
      <c r="X35" s="3"/>
      <c r="Y35" s="3"/>
      <c r="Z35" s="3"/>
      <c r="AA35" s="3"/>
    </row>
    <row r="36" spans="1:27">
      <c r="A36" s="3"/>
      <c r="B36" s="3"/>
      <c r="C36" s="330"/>
      <c r="D36" s="331" t="s">
        <v>219</v>
      </c>
      <c r="E36" s="331"/>
      <c r="F36" s="331"/>
      <c r="G36" s="331"/>
      <c r="H36" s="331"/>
      <c r="I36" s="331"/>
      <c r="J36" s="331"/>
      <c r="K36" s="331"/>
      <c r="L36" s="331"/>
      <c r="M36" s="321"/>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1"/>
      <c r="N37" s="3"/>
      <c r="O37" s="3"/>
      <c r="P37" s="3"/>
      <c r="Q37" s="3"/>
      <c r="R37" s="3"/>
      <c r="S37" s="3"/>
      <c r="T37" s="3"/>
      <c r="U37" s="3"/>
      <c r="V37" s="3"/>
      <c r="W37" s="3"/>
      <c r="X37" s="3"/>
      <c r="Y37" s="3"/>
      <c r="Z37" s="3"/>
      <c r="AA37" s="3"/>
    </row>
    <row r="38" spans="1:27">
      <c r="A38" s="3"/>
      <c r="B38" s="3"/>
      <c r="C38" s="330"/>
      <c r="D38" s="334" t="s">
        <v>817</v>
      </c>
      <c r="E38" s="331" t="s">
        <v>182</v>
      </c>
      <c r="F38" s="331"/>
      <c r="G38" s="525" t="s">
        <v>1061</v>
      </c>
      <c r="H38" s="371"/>
      <c r="I38" s="331"/>
      <c r="J38" s="1003">
        <v>0.1</v>
      </c>
      <c r="K38" s="331" t="s">
        <v>857</v>
      </c>
      <c r="L38" s="331"/>
      <c r="M38" s="321" t="s">
        <v>1062</v>
      </c>
      <c r="N38" s="3"/>
      <c r="O38" s="3"/>
      <c r="P38" s="3"/>
      <c r="Q38" s="3"/>
      <c r="R38" s="3"/>
      <c r="S38" s="3"/>
      <c r="T38" s="3"/>
      <c r="U38" s="3"/>
      <c r="V38" s="3"/>
      <c r="W38" s="3"/>
      <c r="X38" s="3"/>
      <c r="Y38" s="3"/>
      <c r="Z38" s="3"/>
      <c r="AA38" s="3"/>
    </row>
    <row r="39" spans="1:27">
      <c r="A39" s="3"/>
      <c r="B39" s="3"/>
      <c r="C39" s="330"/>
      <c r="D39" s="331"/>
      <c r="E39" s="331" t="s">
        <v>183</v>
      </c>
      <c r="F39" s="331"/>
      <c r="G39" s="525"/>
      <c r="H39" s="371"/>
      <c r="I39" s="331"/>
      <c r="J39" s="1003"/>
      <c r="K39" s="331" t="s">
        <v>857</v>
      </c>
      <c r="L39" s="331"/>
      <c r="M39" s="321"/>
      <c r="N39" s="3"/>
      <c r="O39" s="3"/>
      <c r="P39" s="3"/>
      <c r="Q39" s="3"/>
      <c r="R39" s="3"/>
      <c r="S39" s="3"/>
      <c r="T39" s="3"/>
      <c r="U39" s="3"/>
      <c r="V39" s="3"/>
      <c r="W39" s="3"/>
      <c r="X39" s="3"/>
      <c r="Y39" s="3"/>
      <c r="Z39" s="3"/>
      <c r="AA39" s="3"/>
    </row>
    <row r="40" spans="1:27">
      <c r="A40" s="3"/>
      <c r="B40" s="3"/>
      <c r="C40" s="330"/>
      <c r="D40" s="331"/>
      <c r="E40" s="331" t="s">
        <v>184</v>
      </c>
      <c r="F40" s="331"/>
      <c r="G40" s="968"/>
      <c r="H40" s="371"/>
      <c r="I40" s="331"/>
      <c r="J40" s="1003"/>
      <c r="K40" s="331" t="s">
        <v>857</v>
      </c>
      <c r="L40" s="331"/>
      <c r="M40" s="321"/>
      <c r="N40" s="3"/>
      <c r="O40" s="3"/>
      <c r="P40" s="3"/>
      <c r="Q40" s="3"/>
      <c r="R40" s="3"/>
      <c r="S40" s="3"/>
      <c r="T40" s="3"/>
      <c r="U40" s="3"/>
      <c r="V40" s="3"/>
      <c r="W40" s="3"/>
      <c r="X40" s="3"/>
      <c r="Y40" s="3"/>
      <c r="Z40" s="3"/>
      <c r="AA40" s="3"/>
    </row>
    <row r="41" spans="1:27">
      <c r="A41" s="3"/>
      <c r="B41" s="3"/>
      <c r="C41" s="330"/>
      <c r="D41" s="331"/>
      <c r="E41" s="331"/>
      <c r="F41" s="331"/>
      <c r="G41" s="331"/>
      <c r="H41" s="331"/>
      <c r="I41" s="331"/>
      <c r="J41" s="1000"/>
      <c r="K41" s="331"/>
      <c r="L41" s="331"/>
      <c r="M41" s="321"/>
      <c r="N41" s="3"/>
      <c r="O41" s="3"/>
      <c r="P41" s="3"/>
      <c r="Q41" s="3"/>
      <c r="R41" s="3"/>
      <c r="S41" s="3"/>
      <c r="T41" s="3"/>
      <c r="U41" s="3"/>
      <c r="V41" s="3"/>
      <c r="W41" s="3"/>
      <c r="X41" s="3"/>
      <c r="Y41" s="3"/>
      <c r="Z41" s="3"/>
      <c r="AA41" s="3"/>
    </row>
    <row r="42" spans="1:27">
      <c r="A42" s="3"/>
      <c r="B42" s="3"/>
      <c r="C42" s="330"/>
      <c r="D42" s="331"/>
      <c r="E42" s="996" t="s">
        <v>1063</v>
      </c>
      <c r="F42" s="331"/>
      <c r="G42" s="331"/>
      <c r="H42" s="331"/>
      <c r="I42" s="331"/>
      <c r="J42" s="1000"/>
      <c r="K42" s="331"/>
      <c r="L42" s="331"/>
      <c r="M42" s="321"/>
      <c r="N42" s="3"/>
      <c r="O42" s="3"/>
      <c r="P42" s="3"/>
      <c r="Q42" s="3"/>
      <c r="R42" s="3"/>
      <c r="S42" s="3"/>
      <c r="T42" s="3"/>
      <c r="U42" s="3"/>
      <c r="V42" s="3"/>
      <c r="W42" s="3"/>
      <c r="X42" s="3"/>
      <c r="Y42" s="3"/>
      <c r="Z42" s="3"/>
      <c r="AA42" s="3"/>
    </row>
    <row r="43" spans="1:27">
      <c r="A43" s="3"/>
      <c r="B43" s="3"/>
      <c r="C43" s="330"/>
      <c r="D43" s="331"/>
      <c r="E43" s="996" t="s">
        <v>1064</v>
      </c>
      <c r="F43" s="331"/>
      <c r="G43" s="331"/>
      <c r="H43" s="963">
        <v>0.96</v>
      </c>
      <c r="I43" s="997" t="s">
        <v>1065</v>
      </c>
      <c r="J43" s="1004">
        <f>Frequency!$M$10</f>
        <v>2412</v>
      </c>
      <c r="K43" s="331" t="s">
        <v>856</v>
      </c>
      <c r="L43" s="331"/>
      <c r="M43" s="321"/>
      <c r="N43" s="3"/>
      <c r="O43" s="3"/>
      <c r="P43" s="3"/>
      <c r="Q43" s="3"/>
      <c r="R43" s="3"/>
      <c r="S43" s="3"/>
      <c r="T43" s="3"/>
      <c r="U43" s="3"/>
      <c r="V43" s="3"/>
      <c r="W43" s="3"/>
      <c r="X43" s="3"/>
      <c r="Y43" s="3"/>
      <c r="Z43" s="3"/>
      <c r="AA43" s="3"/>
    </row>
    <row r="44" spans="1:27">
      <c r="A44" s="3"/>
      <c r="B44" s="3"/>
      <c r="C44" s="330"/>
      <c r="D44" s="331"/>
      <c r="E44" s="996" t="s">
        <v>1064</v>
      </c>
      <c r="F44" s="331"/>
      <c r="G44" s="331"/>
      <c r="H44" s="963"/>
      <c r="I44" s="997" t="s">
        <v>1065</v>
      </c>
      <c r="J44" s="1004">
        <f>Frequency!$M$10</f>
        <v>2412</v>
      </c>
      <c r="K44" s="331" t="s">
        <v>856</v>
      </c>
      <c r="L44" s="331"/>
      <c r="M44" s="321"/>
      <c r="N44" s="3"/>
      <c r="O44" s="3"/>
      <c r="P44" s="3"/>
      <c r="Q44" s="3"/>
      <c r="R44" s="3"/>
      <c r="S44" s="3"/>
      <c r="T44" s="3"/>
      <c r="U44" s="3"/>
      <c r="V44" s="3"/>
      <c r="W44" s="3"/>
      <c r="X44" s="3"/>
      <c r="Y44" s="3"/>
      <c r="Z44" s="3"/>
      <c r="AA44" s="3"/>
    </row>
    <row r="45" spans="1:27">
      <c r="A45" s="3"/>
      <c r="B45" s="3"/>
      <c r="C45" s="330"/>
      <c r="D45" s="331"/>
      <c r="E45" s="996" t="s">
        <v>1064</v>
      </c>
      <c r="F45" s="331"/>
      <c r="G45" s="331"/>
      <c r="H45" s="963"/>
      <c r="I45" s="997" t="s">
        <v>1065</v>
      </c>
      <c r="J45" s="1004">
        <f>Frequency!$M$10</f>
        <v>2412</v>
      </c>
      <c r="K45" s="331" t="s">
        <v>856</v>
      </c>
      <c r="L45" s="331"/>
      <c r="M45" s="321"/>
      <c r="N45" s="3"/>
      <c r="O45" s="3"/>
      <c r="P45" s="3"/>
      <c r="Q45" s="3"/>
      <c r="R45" s="3"/>
      <c r="S45" s="3"/>
      <c r="T45" s="3"/>
      <c r="U45" s="3"/>
      <c r="V45" s="3"/>
      <c r="W45" s="3"/>
      <c r="X45" s="3"/>
      <c r="Y45" s="3"/>
      <c r="Z45" s="3"/>
      <c r="AA45" s="3"/>
    </row>
    <row r="46" spans="1:27">
      <c r="A46" s="3"/>
      <c r="B46" s="3"/>
      <c r="C46" s="330"/>
      <c r="D46" s="331"/>
      <c r="E46" s="331"/>
      <c r="F46" s="331"/>
      <c r="G46" s="331"/>
      <c r="H46" s="331"/>
      <c r="I46" s="331"/>
      <c r="J46" s="331"/>
      <c r="K46" s="331"/>
      <c r="L46" s="331"/>
      <c r="M46" s="321"/>
      <c r="N46" s="3"/>
      <c r="O46" s="3"/>
      <c r="P46" s="3"/>
      <c r="Q46" s="3"/>
      <c r="R46" s="3"/>
      <c r="S46" s="3"/>
      <c r="T46" s="3"/>
      <c r="U46" s="3"/>
      <c r="V46" s="3"/>
      <c r="W46" s="3"/>
      <c r="X46" s="3"/>
      <c r="Y46" s="3"/>
      <c r="Z46" s="3"/>
      <c r="AA46" s="3"/>
    </row>
    <row r="47" spans="1:27">
      <c r="A47" s="3"/>
      <c r="B47" s="3"/>
      <c r="C47" s="330"/>
      <c r="D47" s="331"/>
      <c r="E47" s="331" t="s">
        <v>224</v>
      </c>
      <c r="F47" s="331"/>
      <c r="G47" s="331"/>
      <c r="H47" s="331"/>
      <c r="I47" s="331" t="s">
        <v>221</v>
      </c>
      <c r="J47" s="331">
        <f>J38*H43</f>
        <v>9.6000000000000002E-2</v>
      </c>
      <c r="K47" s="1005" t="s">
        <v>859</v>
      </c>
      <c r="L47" s="331"/>
      <c r="M47" s="321"/>
      <c r="N47" s="3"/>
      <c r="O47" s="3"/>
      <c r="P47" s="3"/>
      <c r="Q47" s="3"/>
      <c r="R47" s="3"/>
      <c r="S47" s="3"/>
      <c r="T47" s="3"/>
      <c r="U47" s="3"/>
      <c r="V47" s="3"/>
      <c r="W47" s="3"/>
      <c r="X47" s="3"/>
      <c r="Y47" s="3"/>
      <c r="Z47" s="3"/>
      <c r="AA47" s="3"/>
    </row>
    <row r="48" spans="1:27">
      <c r="A48" s="3"/>
      <c r="B48" s="3"/>
      <c r="C48" s="330"/>
      <c r="D48" s="331"/>
      <c r="E48" s="331" t="s">
        <v>228</v>
      </c>
      <c r="F48" s="331"/>
      <c r="G48" s="331"/>
      <c r="H48" s="331"/>
      <c r="I48" s="331" t="s">
        <v>222</v>
      </c>
      <c r="J48" s="331">
        <f t="shared" ref="J48:J49" si="0">J39*H44</f>
        <v>0</v>
      </c>
      <c r="K48" s="1005" t="s">
        <v>859</v>
      </c>
      <c r="L48" s="331"/>
      <c r="M48" s="321"/>
      <c r="N48" s="3"/>
      <c r="O48" s="3"/>
      <c r="P48" s="3"/>
      <c r="Q48" s="3"/>
      <c r="R48" s="3"/>
      <c r="S48" s="3"/>
      <c r="T48" s="3"/>
      <c r="U48" s="3"/>
      <c r="V48" s="3"/>
      <c r="W48" s="3"/>
      <c r="X48" s="3"/>
      <c r="Y48" s="3"/>
      <c r="Z48" s="3"/>
      <c r="AA48" s="3"/>
    </row>
    <row r="49" spans="1:27">
      <c r="A49" s="3"/>
      <c r="B49" s="3"/>
      <c r="C49" s="330"/>
      <c r="D49" s="331"/>
      <c r="E49" s="331" t="s">
        <v>229</v>
      </c>
      <c r="F49" s="331"/>
      <c r="G49" s="331"/>
      <c r="H49" s="331"/>
      <c r="I49" s="331" t="s">
        <v>223</v>
      </c>
      <c r="J49" s="331">
        <f t="shared" si="0"/>
        <v>0</v>
      </c>
      <c r="K49" s="331" t="s">
        <v>859</v>
      </c>
      <c r="L49" s="331"/>
      <c r="M49" s="321"/>
      <c r="N49" s="3"/>
      <c r="O49" s="3"/>
      <c r="P49" s="3"/>
      <c r="Q49" s="3"/>
      <c r="R49" s="3"/>
      <c r="S49" s="3"/>
      <c r="T49" s="3"/>
      <c r="U49" s="3"/>
      <c r="V49" s="3"/>
      <c r="W49" s="3"/>
      <c r="X49" s="3"/>
      <c r="Y49" s="3"/>
      <c r="Z49" s="3"/>
      <c r="AA49" s="3"/>
    </row>
    <row r="50" spans="1:27">
      <c r="A50" s="3"/>
      <c r="B50" s="3"/>
      <c r="C50" s="330"/>
      <c r="D50" s="331"/>
      <c r="E50" s="331" t="s">
        <v>230</v>
      </c>
      <c r="F50" s="331"/>
      <c r="G50" s="331"/>
      <c r="H50" s="331"/>
      <c r="I50" s="331" t="s">
        <v>231</v>
      </c>
      <c r="J50" s="1003">
        <v>2</v>
      </c>
      <c r="K50" s="331" t="s">
        <v>859</v>
      </c>
      <c r="L50" s="331"/>
      <c r="M50" s="321"/>
      <c r="N50" s="3"/>
      <c r="O50" s="3"/>
      <c r="P50" s="3"/>
      <c r="Q50" s="3"/>
      <c r="R50" s="3"/>
      <c r="S50" s="3"/>
      <c r="T50" s="3"/>
      <c r="U50" s="3"/>
      <c r="V50" s="3"/>
      <c r="W50" s="3"/>
      <c r="X50" s="3"/>
      <c r="Y50" s="3"/>
      <c r="Z50" s="3"/>
      <c r="AA50" s="3"/>
    </row>
    <row r="51" spans="1:27">
      <c r="A51" s="3"/>
      <c r="B51" s="3"/>
      <c r="C51" s="330"/>
      <c r="D51" s="331"/>
      <c r="E51" s="331" t="s">
        <v>232</v>
      </c>
      <c r="F51" s="331"/>
      <c r="G51" s="331"/>
      <c r="H51" s="331"/>
      <c r="I51" s="331" t="s">
        <v>233</v>
      </c>
      <c r="J51" s="1003">
        <v>0.7</v>
      </c>
      <c r="K51" s="331" t="s">
        <v>859</v>
      </c>
      <c r="L51" s="331"/>
      <c r="M51" s="321"/>
      <c r="N51" s="3"/>
      <c r="O51" s="3"/>
      <c r="P51" s="3"/>
      <c r="Q51" s="3"/>
      <c r="R51" s="3"/>
      <c r="S51" s="3"/>
      <c r="T51" s="3"/>
      <c r="U51" s="3"/>
      <c r="V51" s="3"/>
      <c r="W51" s="3"/>
      <c r="X51" s="3"/>
      <c r="Y51" s="3"/>
      <c r="Z51" s="3"/>
      <c r="AA51" s="3"/>
    </row>
    <row r="52" spans="1:27">
      <c r="A52" s="3"/>
      <c r="B52" s="3"/>
      <c r="C52" s="330"/>
      <c r="D52" s="331"/>
      <c r="E52" s="331" t="s">
        <v>259</v>
      </c>
      <c r="F52" s="331"/>
      <c r="G52" s="331"/>
      <c r="H52" s="386">
        <v>6</v>
      </c>
      <c r="I52" s="331" t="s">
        <v>260</v>
      </c>
      <c r="J52" s="1006">
        <f>H52*0.05</f>
        <v>0.30000000000000004</v>
      </c>
      <c r="K52" s="331" t="s">
        <v>859</v>
      </c>
      <c r="L52" s="331"/>
      <c r="M52" s="321" t="s">
        <v>1062</v>
      </c>
      <c r="N52" s="3"/>
      <c r="O52" s="3"/>
      <c r="P52" s="3"/>
      <c r="Q52" s="3"/>
      <c r="R52" s="3"/>
      <c r="S52" s="3"/>
      <c r="T52" s="3"/>
      <c r="U52" s="3"/>
      <c r="V52" s="3"/>
      <c r="W52" s="3"/>
      <c r="X52" s="3"/>
      <c r="Y52" s="3"/>
      <c r="Z52" s="3"/>
      <c r="AA52" s="3"/>
    </row>
    <row r="53" spans="1:27">
      <c r="A53" s="3"/>
      <c r="B53" s="3"/>
      <c r="C53" s="330"/>
      <c r="D53" s="331"/>
      <c r="E53" s="331" t="s">
        <v>528</v>
      </c>
      <c r="F53" s="331"/>
      <c r="G53" s="331"/>
      <c r="H53" s="1001"/>
      <c r="I53" s="331"/>
      <c r="J53" s="968" t="s">
        <v>1104</v>
      </c>
      <c r="K53" s="371"/>
      <c r="L53" s="331"/>
      <c r="M53" s="321"/>
      <c r="N53" s="3"/>
      <c r="O53" s="3"/>
      <c r="P53" s="3"/>
      <c r="Q53" s="3"/>
      <c r="R53" s="3"/>
      <c r="S53" s="3"/>
      <c r="T53" s="3"/>
      <c r="U53" s="3"/>
      <c r="V53" s="3"/>
      <c r="W53" s="3"/>
      <c r="X53" s="3"/>
      <c r="Y53" s="3"/>
      <c r="Z53" s="3"/>
      <c r="AA53" s="3"/>
    </row>
    <row r="54" spans="1:27" ht="13">
      <c r="A54" s="3"/>
      <c r="B54" s="3"/>
      <c r="C54" s="330"/>
      <c r="D54" s="331"/>
      <c r="E54" s="331"/>
      <c r="F54" s="331"/>
      <c r="G54" s="331"/>
      <c r="H54" s="331"/>
      <c r="I54" s="331"/>
      <c r="J54" s="331"/>
      <c r="K54" s="331"/>
      <c r="L54" s="331"/>
      <c r="M54" s="321"/>
      <c r="N54" s="3"/>
      <c r="O54" s="357" t="s">
        <v>779</v>
      </c>
      <c r="P54" s="372"/>
      <c r="Q54" s="291"/>
      <c r="R54" s="291"/>
      <c r="S54" s="291"/>
      <c r="T54" s="291"/>
      <c r="U54" s="291"/>
      <c r="V54" s="242" t="s">
        <v>140</v>
      </c>
      <c r="W54" s="3"/>
      <c r="X54" s="3"/>
      <c r="Y54" s="3"/>
      <c r="Z54" s="3"/>
      <c r="AA54" s="3"/>
    </row>
    <row r="55" spans="1:27">
      <c r="A55" s="3"/>
      <c r="B55" s="3"/>
      <c r="C55" s="330"/>
      <c r="D55" s="331"/>
      <c r="E55" s="331" t="s">
        <v>234</v>
      </c>
      <c r="F55" s="331"/>
      <c r="G55" s="331"/>
      <c r="H55" s="331"/>
      <c r="I55" s="331"/>
      <c r="J55" s="753">
        <f>SUM(J47:J52)</f>
        <v>3.0960000000000001</v>
      </c>
      <c r="K55" s="331" t="s">
        <v>859</v>
      </c>
      <c r="L55" s="331"/>
      <c r="M55" s="321"/>
      <c r="N55" s="3"/>
      <c r="O55" s="293"/>
      <c r="P55" s="295"/>
      <c r="Q55" s="295"/>
      <c r="R55" s="295"/>
      <c r="S55" s="295"/>
      <c r="T55" s="295"/>
      <c r="U55" s="295"/>
      <c r="V55" s="358"/>
      <c r="W55" s="3"/>
      <c r="X55" s="3"/>
      <c r="Y55" s="3"/>
      <c r="Z55" s="3"/>
      <c r="AA55" s="3"/>
    </row>
    <row r="56" spans="1:27">
      <c r="A56" s="3"/>
      <c r="B56" s="3"/>
      <c r="C56" s="330"/>
      <c r="D56" s="331"/>
      <c r="E56" s="331"/>
      <c r="F56" s="331"/>
      <c r="G56" s="331"/>
      <c r="H56" s="331"/>
      <c r="I56" s="331"/>
      <c r="J56" s="331"/>
      <c r="K56" s="331"/>
      <c r="L56" s="331"/>
      <c r="M56" s="321"/>
      <c r="N56" s="3"/>
      <c r="O56" s="293"/>
      <c r="P56" s="295"/>
      <c r="Q56" s="295" t="s">
        <v>252</v>
      </c>
      <c r="R56" s="295"/>
      <c r="S56" s="295"/>
      <c r="T56" s="295"/>
      <c r="U56" s="295"/>
      <c r="V56" s="358"/>
      <c r="W56" s="3"/>
      <c r="X56" s="3"/>
      <c r="Y56" s="3"/>
      <c r="Z56" s="3"/>
      <c r="AA56" s="3"/>
    </row>
    <row r="57" spans="1:27">
      <c r="A57" s="3"/>
      <c r="B57" s="3"/>
      <c r="C57" s="330"/>
      <c r="D57" s="331" t="s">
        <v>235</v>
      </c>
      <c r="E57" s="331"/>
      <c r="F57" s="331"/>
      <c r="G57" s="331"/>
      <c r="H57" s="331"/>
      <c r="I57" s="353" t="s">
        <v>236</v>
      </c>
      <c r="J57" s="1007">
        <f>10^-(J55/10)</f>
        <v>0.49023013013616817</v>
      </c>
      <c r="K57" s="331"/>
      <c r="L57" s="331"/>
      <c r="M57" s="321"/>
      <c r="N57" s="3"/>
      <c r="O57" s="293"/>
      <c r="P57" s="295"/>
      <c r="Q57" s="295"/>
      <c r="R57" s="295" t="s">
        <v>249</v>
      </c>
      <c r="S57" s="295"/>
      <c r="T57" s="295"/>
      <c r="U57" s="295"/>
      <c r="V57" s="358"/>
      <c r="W57" s="3"/>
      <c r="X57" s="3"/>
      <c r="Y57" s="3"/>
      <c r="Z57" s="3"/>
      <c r="AA57" s="3"/>
    </row>
    <row r="58" spans="1:27">
      <c r="A58" s="3"/>
      <c r="B58" s="3"/>
      <c r="C58" s="330"/>
      <c r="D58" s="331"/>
      <c r="E58" s="331"/>
      <c r="F58" s="331"/>
      <c r="G58" s="331"/>
      <c r="H58" s="331"/>
      <c r="I58" s="331"/>
      <c r="J58" s="331"/>
      <c r="K58" s="331"/>
      <c r="L58" s="331"/>
      <c r="M58" s="321"/>
      <c r="N58" s="3"/>
      <c r="O58" s="293"/>
      <c r="P58" s="295"/>
      <c r="Q58" s="295" t="s">
        <v>251</v>
      </c>
      <c r="R58" s="295"/>
      <c r="S58" s="295"/>
      <c r="T58" s="752" t="s">
        <v>240</v>
      </c>
      <c r="U58" s="240">
        <f>J61</f>
        <v>290</v>
      </c>
      <c r="V58" s="358" t="s">
        <v>887</v>
      </c>
      <c r="W58" s="3"/>
      <c r="X58" s="3"/>
      <c r="Y58" s="3"/>
      <c r="Z58" s="3"/>
      <c r="AA58" s="3"/>
    </row>
    <row r="59" spans="1:27">
      <c r="A59" s="3"/>
      <c r="B59" s="3"/>
      <c r="C59" s="330"/>
      <c r="D59" s="331" t="s">
        <v>237</v>
      </c>
      <c r="E59" s="331"/>
      <c r="F59" s="331"/>
      <c r="G59" s="240" t="s">
        <v>140</v>
      </c>
      <c r="H59" s="331"/>
      <c r="I59" s="331" t="s">
        <v>238</v>
      </c>
      <c r="J59" s="343">
        <v>290</v>
      </c>
      <c r="K59" s="331" t="s">
        <v>887</v>
      </c>
      <c r="L59" s="331"/>
      <c r="M59" s="321"/>
      <c r="N59" s="3"/>
      <c r="O59" s="293"/>
      <c r="P59" s="295"/>
      <c r="Q59" s="295"/>
      <c r="R59" s="295"/>
      <c r="S59" s="295"/>
      <c r="T59" s="295"/>
      <c r="U59" s="295"/>
      <c r="V59" s="358"/>
      <c r="W59" s="3"/>
      <c r="X59" s="3"/>
      <c r="Y59" s="3"/>
      <c r="Z59" s="3"/>
      <c r="AA59" s="3"/>
    </row>
    <row r="60" spans="1:27">
      <c r="A60" s="3"/>
      <c r="B60" s="3"/>
      <c r="C60" s="330"/>
      <c r="D60" s="331"/>
      <c r="E60" s="331"/>
      <c r="F60" s="331"/>
      <c r="G60" s="331"/>
      <c r="H60" s="331"/>
      <c r="I60" s="331"/>
      <c r="J60" s="331"/>
      <c r="K60" s="331"/>
      <c r="L60" s="331"/>
      <c r="M60" s="321"/>
      <c r="N60" s="3"/>
      <c r="O60" s="293"/>
      <c r="P60" s="295"/>
      <c r="Q60" s="295"/>
      <c r="R60" s="295"/>
      <c r="S60" s="295"/>
      <c r="T60" s="295"/>
      <c r="U60" s="295"/>
      <c r="V60" s="358"/>
      <c r="W60" s="3"/>
      <c r="X60" s="3"/>
      <c r="Y60" s="3"/>
      <c r="Z60" s="3"/>
      <c r="AA60" s="3"/>
    </row>
    <row r="61" spans="1:27">
      <c r="A61" s="3"/>
      <c r="B61" s="3"/>
      <c r="C61" s="330"/>
      <c r="D61" s="331" t="s">
        <v>239</v>
      </c>
      <c r="E61" s="331"/>
      <c r="F61" s="331"/>
      <c r="G61" s="331"/>
      <c r="H61" s="331"/>
      <c r="I61" s="331" t="s">
        <v>240</v>
      </c>
      <c r="J61" s="343">
        <v>290</v>
      </c>
      <c r="K61" s="331" t="s">
        <v>887</v>
      </c>
      <c r="L61" s="331"/>
      <c r="M61" s="321"/>
      <c r="N61" s="3"/>
      <c r="O61" s="293"/>
      <c r="P61" s="295"/>
      <c r="Q61" s="359" t="s">
        <v>250</v>
      </c>
      <c r="R61" s="341">
        <v>0.63</v>
      </c>
      <c r="S61" s="295" t="s">
        <v>859</v>
      </c>
      <c r="T61" s="359" t="s">
        <v>253</v>
      </c>
      <c r="U61" s="346">
        <f>J61*(10^(R61/10)-1)</f>
        <v>45.272550235708664</v>
      </c>
      <c r="V61" s="358" t="s">
        <v>887</v>
      </c>
      <c r="W61" s="3"/>
      <c r="X61" s="3"/>
      <c r="Y61" s="3"/>
      <c r="Z61" s="3"/>
      <c r="AA61" s="3"/>
    </row>
    <row r="62" spans="1:27">
      <c r="A62" s="3"/>
      <c r="B62" s="3"/>
      <c r="C62" s="330"/>
      <c r="D62" s="331"/>
      <c r="E62" s="331"/>
      <c r="F62" s="331"/>
      <c r="G62" s="331"/>
      <c r="H62" s="331"/>
      <c r="I62" s="331"/>
      <c r="J62" s="331"/>
      <c r="K62" s="331"/>
      <c r="L62" s="331"/>
      <c r="M62" s="321"/>
      <c r="N62" s="3"/>
      <c r="O62" s="293"/>
      <c r="P62" s="295"/>
      <c r="Q62" s="295"/>
      <c r="R62" s="295"/>
      <c r="S62" s="295"/>
      <c r="T62" s="295"/>
      <c r="U62" s="295"/>
      <c r="V62" s="358"/>
      <c r="W62" s="3"/>
      <c r="X62" s="3"/>
      <c r="Y62" s="3"/>
      <c r="Z62" s="3"/>
      <c r="AA62" s="3"/>
    </row>
    <row r="63" spans="1:27">
      <c r="A63" s="3"/>
      <c r="B63" s="3"/>
      <c r="C63" s="330"/>
      <c r="D63" s="331" t="s">
        <v>241</v>
      </c>
      <c r="E63" s="331"/>
      <c r="F63" s="331"/>
      <c r="G63" s="331"/>
      <c r="H63" s="331"/>
      <c r="I63" s="331" t="s">
        <v>242</v>
      </c>
      <c r="J63" s="343">
        <v>45</v>
      </c>
      <c r="K63" s="331" t="s">
        <v>887</v>
      </c>
      <c r="L63" s="331"/>
      <c r="M63" s="321"/>
      <c r="N63" s="3"/>
      <c r="O63" s="293"/>
      <c r="P63" s="295"/>
      <c r="Q63" s="295"/>
      <c r="R63" s="295"/>
      <c r="S63" s="360" t="s">
        <v>255</v>
      </c>
      <c r="T63" s="295"/>
      <c r="U63" s="295"/>
      <c r="V63" s="358"/>
      <c r="W63" s="3"/>
      <c r="X63" s="3"/>
      <c r="Y63" s="3"/>
      <c r="Z63" s="3"/>
      <c r="AA63" s="3"/>
    </row>
    <row r="64" spans="1:27">
      <c r="A64" s="3"/>
      <c r="B64" s="3"/>
      <c r="C64" s="330"/>
      <c r="D64" s="331"/>
      <c r="E64" s="331"/>
      <c r="F64" s="331"/>
      <c r="G64" s="331"/>
      <c r="H64" s="331"/>
      <c r="I64" s="331"/>
      <c r="J64" s="331"/>
      <c r="K64" s="331"/>
      <c r="L64" s="331"/>
      <c r="M64" s="321"/>
      <c r="N64" s="3"/>
      <c r="O64" s="293"/>
      <c r="P64" s="295"/>
      <c r="Q64" s="295"/>
      <c r="R64" s="295"/>
      <c r="S64" s="295"/>
      <c r="T64" s="295"/>
      <c r="U64" s="295"/>
      <c r="V64" s="358"/>
      <c r="W64" s="3"/>
      <c r="X64" s="3"/>
      <c r="Y64" s="3"/>
      <c r="Z64" s="3"/>
      <c r="AA64" s="3"/>
    </row>
    <row r="65" spans="1:27">
      <c r="A65" s="3"/>
      <c r="B65" s="3"/>
      <c r="C65" s="330"/>
      <c r="D65" s="331" t="s">
        <v>244</v>
      </c>
      <c r="E65" s="331"/>
      <c r="F65" s="344">
        <v>15.6</v>
      </c>
      <c r="G65" s="331" t="s">
        <v>859</v>
      </c>
      <c r="H65" s="331"/>
      <c r="I65" s="331" t="s">
        <v>245</v>
      </c>
      <c r="J65" s="351">
        <f>10^(F65/10)</f>
        <v>36.307805477010156</v>
      </c>
      <c r="K65" s="331"/>
      <c r="L65" s="331"/>
      <c r="M65" s="321"/>
      <c r="N65" s="3"/>
      <c r="O65" s="293"/>
      <c r="P65" s="295"/>
      <c r="Q65" s="359" t="s">
        <v>253</v>
      </c>
      <c r="R65" s="341">
        <v>1000</v>
      </c>
      <c r="S65" s="295" t="s">
        <v>887</v>
      </c>
      <c r="T65" s="359" t="s">
        <v>254</v>
      </c>
      <c r="U65" s="356">
        <f>10*LOG10(1+(R65/J61))</f>
        <v>6.4819171240029281</v>
      </c>
      <c r="V65" s="358" t="s">
        <v>859</v>
      </c>
      <c r="W65" s="3"/>
      <c r="X65" s="3"/>
      <c r="Y65" s="3"/>
      <c r="Z65" s="3"/>
      <c r="AA65" s="3"/>
    </row>
    <row r="66" spans="1:27">
      <c r="A66" s="3"/>
      <c r="B66" s="3"/>
      <c r="C66" s="330"/>
      <c r="D66" s="331"/>
      <c r="E66" s="331"/>
      <c r="F66" s="331"/>
      <c r="G66" s="331"/>
      <c r="H66" s="331"/>
      <c r="I66" s="331"/>
      <c r="J66" s="331"/>
      <c r="K66" s="331"/>
      <c r="L66" s="331"/>
      <c r="M66" s="321"/>
      <c r="N66" s="3"/>
      <c r="O66" s="293"/>
      <c r="P66" s="295"/>
      <c r="Q66" s="295"/>
      <c r="R66" s="295"/>
      <c r="S66" s="295"/>
      <c r="T66" s="295"/>
      <c r="U66" s="295"/>
      <c r="V66" s="358"/>
      <c r="W66" s="3"/>
      <c r="X66" s="3"/>
      <c r="Y66" s="3"/>
      <c r="Z66" s="3"/>
      <c r="AA66" s="3"/>
    </row>
    <row r="67" spans="1:27">
      <c r="A67" s="3"/>
      <c r="B67" s="3"/>
      <c r="C67" s="330"/>
      <c r="D67" s="331" t="s">
        <v>243</v>
      </c>
      <c r="E67" s="331"/>
      <c r="F67" s="331"/>
      <c r="G67" s="331"/>
      <c r="H67" s="331"/>
      <c r="I67" s="331" t="s">
        <v>246</v>
      </c>
      <c r="J67" s="343">
        <v>4692</v>
      </c>
      <c r="K67" s="331" t="s">
        <v>887</v>
      </c>
      <c r="L67" s="331"/>
      <c r="M67" s="321"/>
      <c r="N67" s="3"/>
      <c r="O67" s="293"/>
      <c r="P67" s="295"/>
      <c r="Q67" s="295"/>
      <c r="R67" s="295"/>
      <c r="S67" s="295"/>
      <c r="T67" s="295"/>
      <c r="U67" s="295"/>
      <c r="V67" s="358"/>
      <c r="W67" s="3"/>
      <c r="X67" s="3"/>
      <c r="Y67" s="3"/>
      <c r="Z67" s="3"/>
      <c r="AA67" s="3"/>
    </row>
    <row r="68" spans="1:27">
      <c r="A68" s="3"/>
      <c r="B68" s="3"/>
      <c r="C68" s="330"/>
      <c r="D68" s="331"/>
      <c r="E68" s="331"/>
      <c r="F68" s="331"/>
      <c r="G68" s="331"/>
      <c r="H68" s="331"/>
      <c r="I68" s="331"/>
      <c r="J68" s="331"/>
      <c r="K68" s="331"/>
      <c r="L68" s="331"/>
      <c r="M68" s="321"/>
      <c r="N68" s="3"/>
      <c r="O68" s="293"/>
      <c r="P68" s="295"/>
      <c r="Q68" s="295"/>
      <c r="R68" s="295"/>
      <c r="S68" s="295"/>
      <c r="T68" s="295"/>
      <c r="U68" s="295"/>
      <c r="V68" s="358"/>
      <c r="W68" s="3"/>
      <c r="X68" s="3"/>
      <c r="Y68" s="3"/>
      <c r="Z68" s="3"/>
      <c r="AA68" s="3"/>
    </row>
    <row r="69" spans="1:27" ht="13">
      <c r="A69" s="3"/>
      <c r="B69" s="3"/>
      <c r="C69" s="330"/>
      <c r="D69" s="331"/>
      <c r="E69" s="331"/>
      <c r="F69" s="331"/>
      <c r="G69" s="331"/>
      <c r="H69" s="331"/>
      <c r="I69" s="331"/>
      <c r="J69" s="331"/>
      <c r="K69" s="331"/>
      <c r="L69" s="354"/>
      <c r="M69" s="321"/>
      <c r="N69" s="3"/>
      <c r="O69" s="293"/>
      <c r="P69" s="295"/>
      <c r="Q69" s="361"/>
      <c r="R69" s="362" t="s">
        <v>256</v>
      </c>
      <c r="S69" s="361"/>
      <c r="T69" s="295"/>
      <c r="U69" s="362" t="s">
        <v>257</v>
      </c>
      <c r="V69" s="358"/>
      <c r="W69" s="3"/>
      <c r="X69" s="3"/>
      <c r="Y69" s="3"/>
      <c r="Z69" s="3"/>
      <c r="AA69" s="3"/>
    </row>
    <row r="70" spans="1:27" ht="13">
      <c r="A70" s="3"/>
      <c r="B70" s="3"/>
      <c r="C70" s="330"/>
      <c r="D70" s="331" t="s">
        <v>247</v>
      </c>
      <c r="E70" s="331"/>
      <c r="F70" s="331"/>
      <c r="G70" s="331"/>
      <c r="H70" s="331"/>
      <c r="I70" s="331" t="s">
        <v>248</v>
      </c>
      <c r="J70" s="355">
        <f>J59*J57+J61*(1-J57)+J63+(J67/J65)</f>
        <v>464.22841076062673</v>
      </c>
      <c r="K70" s="331" t="s">
        <v>887</v>
      </c>
      <c r="L70" s="331"/>
      <c r="M70" s="321"/>
      <c r="N70" s="3"/>
      <c r="O70" s="293"/>
      <c r="P70" s="295"/>
      <c r="Q70" s="295"/>
      <c r="R70" s="295"/>
      <c r="S70" s="295"/>
      <c r="T70" s="295"/>
      <c r="U70" s="295"/>
      <c r="V70" s="358"/>
      <c r="W70" s="3"/>
      <c r="X70" s="3"/>
      <c r="Y70" s="3"/>
      <c r="Z70" s="3"/>
      <c r="AA70" s="3"/>
    </row>
    <row r="71" spans="1:27">
      <c r="A71" s="3"/>
      <c r="B71" s="3"/>
      <c r="C71" s="330"/>
      <c r="D71" s="331"/>
      <c r="E71" s="331"/>
      <c r="F71" s="331"/>
      <c r="G71" s="331"/>
      <c r="H71" s="331"/>
      <c r="I71" s="331"/>
      <c r="J71" s="331"/>
      <c r="K71" s="331"/>
      <c r="L71" s="331"/>
      <c r="M71" s="321"/>
      <c r="N71" s="3"/>
      <c r="O71" s="296"/>
      <c r="P71" s="297"/>
      <c r="Q71" s="297"/>
      <c r="R71" s="297"/>
      <c r="S71" s="297"/>
      <c r="T71" s="297"/>
      <c r="U71" s="297"/>
      <c r="V71" s="298"/>
      <c r="W71" s="3"/>
      <c r="X71" s="3"/>
      <c r="Y71" s="3"/>
      <c r="Z71" s="3"/>
      <c r="AA71" s="3"/>
    </row>
    <row r="72" spans="1:27" ht="13" thickBot="1">
      <c r="A72" s="3"/>
      <c r="B72" s="3"/>
      <c r="C72" s="330"/>
      <c r="D72" s="331"/>
      <c r="E72" s="331"/>
      <c r="F72" s="331"/>
      <c r="G72" s="331"/>
      <c r="H72" s="331"/>
      <c r="I72" s="331"/>
      <c r="J72" s="331"/>
      <c r="K72" s="331"/>
      <c r="L72" s="331"/>
      <c r="M72" s="321"/>
      <c r="N72" s="3"/>
      <c r="O72" s="3"/>
      <c r="P72" s="3"/>
      <c r="Q72" s="3"/>
      <c r="R72" s="3"/>
      <c r="S72" s="3"/>
      <c r="T72" s="3"/>
      <c r="U72" s="3"/>
      <c r="V72" s="3"/>
      <c r="W72" s="3"/>
      <c r="X72" s="3"/>
      <c r="Y72" s="3"/>
      <c r="Z72" s="3"/>
      <c r="AA72" s="3"/>
    </row>
    <row r="73" spans="1:27" ht="13.5" thickTop="1">
      <c r="A73" s="3"/>
      <c r="B73" s="3"/>
      <c r="C73" s="336"/>
      <c r="D73" s="337"/>
      <c r="E73" s="337"/>
      <c r="F73" s="337"/>
      <c r="G73" s="337"/>
      <c r="H73" s="337"/>
      <c r="I73" s="337"/>
      <c r="J73" s="337"/>
      <c r="K73" s="337"/>
      <c r="L73" s="337"/>
      <c r="M73" s="338"/>
      <c r="N73" s="3"/>
      <c r="O73" s="1011" t="s">
        <v>1077</v>
      </c>
      <c r="P73" s="1012"/>
      <c r="Q73" s="1012"/>
      <c r="R73" s="1012"/>
      <c r="S73" s="1012"/>
      <c r="T73" s="1012"/>
      <c r="U73" s="1012"/>
      <c r="V73" s="1012"/>
      <c r="W73" s="1012"/>
      <c r="X73" s="1012"/>
      <c r="Y73" s="1012"/>
      <c r="Z73" s="1012"/>
      <c r="AA73" s="1013"/>
    </row>
    <row r="74" spans="1:27">
      <c r="A74" s="3"/>
      <c r="B74" s="3"/>
      <c r="C74" s="3"/>
      <c r="D74" s="3"/>
      <c r="E74" s="3"/>
      <c r="F74" s="3"/>
      <c r="G74" s="3"/>
      <c r="H74" s="3"/>
      <c r="I74" s="3"/>
      <c r="J74" s="3"/>
      <c r="K74" s="3"/>
      <c r="L74" s="3"/>
      <c r="M74" s="3"/>
      <c r="N74" s="3"/>
      <c r="O74" s="1014"/>
      <c r="P74" s="425"/>
      <c r="Q74" s="425"/>
      <c r="R74" s="425"/>
      <c r="S74" s="425"/>
      <c r="T74" s="425"/>
      <c r="U74" s="425"/>
      <c r="V74" s="425"/>
      <c r="W74" s="425"/>
      <c r="X74" s="425"/>
      <c r="Y74" s="425"/>
      <c r="Z74" s="425"/>
      <c r="AA74" s="1015"/>
    </row>
    <row r="75" spans="1:27" ht="15" thickBot="1">
      <c r="A75" s="3"/>
      <c r="B75" s="3"/>
      <c r="C75" s="3"/>
      <c r="D75" s="3"/>
      <c r="E75" s="3"/>
      <c r="F75" s="3"/>
      <c r="G75" s="3"/>
      <c r="H75" s="3"/>
      <c r="I75" s="3"/>
      <c r="J75" s="3"/>
      <c r="K75" s="3"/>
      <c r="L75" s="3"/>
      <c r="M75" s="3"/>
      <c r="N75" s="3"/>
      <c r="O75" s="1016" t="s">
        <v>1078</v>
      </c>
      <c r="P75" s="1017" t="s">
        <v>1079</v>
      </c>
      <c r="Q75" s="1018"/>
      <c r="R75" s="1019" t="s">
        <v>1080</v>
      </c>
      <c r="S75" s="1019" t="s">
        <v>1081</v>
      </c>
      <c r="T75" s="1019"/>
      <c r="U75" s="1019" t="s">
        <v>1082</v>
      </c>
      <c r="V75" s="1019" t="s">
        <v>1083</v>
      </c>
      <c r="W75" s="1019" t="s">
        <v>1084</v>
      </c>
      <c r="X75" s="1019" t="s">
        <v>1085</v>
      </c>
      <c r="Y75" s="1019" t="s">
        <v>1086</v>
      </c>
      <c r="Z75" s="1019" t="s">
        <v>1087</v>
      </c>
      <c r="AA75" s="1020" t="s">
        <v>1088</v>
      </c>
    </row>
    <row r="76" spans="1:27">
      <c r="A76" s="3"/>
      <c r="B76" s="3"/>
      <c r="C76" s="3"/>
      <c r="D76" s="3"/>
      <c r="E76" s="3"/>
      <c r="F76" s="3"/>
      <c r="G76" s="3"/>
      <c r="H76" s="3"/>
      <c r="I76" s="3"/>
      <c r="J76" s="3"/>
      <c r="K76" s="3"/>
      <c r="L76" s="3" t="s">
        <v>817</v>
      </c>
      <c r="M76" s="3"/>
      <c r="N76" s="3"/>
      <c r="O76" s="1021">
        <v>1</v>
      </c>
      <c r="P76" s="1022" t="s">
        <v>1105</v>
      </c>
      <c r="Q76" s="1023"/>
      <c r="R76" s="1024">
        <v>-2</v>
      </c>
      <c r="S76" s="1024">
        <v>2</v>
      </c>
      <c r="T76" s="1025"/>
      <c r="U76" s="1026">
        <f>IF(R76,10^(R76/10), "")</f>
        <v>0.63095734448019325</v>
      </c>
      <c r="V76" s="1026">
        <f>IF(S76,10^(S76/10), "")</f>
        <v>1.5848931924611136</v>
      </c>
      <c r="W76" s="1027">
        <f>IF(S76,1,"")</f>
        <v>1</v>
      </c>
      <c r="X76" s="1028">
        <f>IF(S76,290*(V76-1), "")</f>
        <v>169.61902581372294</v>
      </c>
      <c r="Y76" s="1028">
        <f t="shared" ref="Y76:Y85" si="1">IF(S76,X76/W76, "")</f>
        <v>169.61902581372294</v>
      </c>
      <c r="Z76" s="1026">
        <f>IF(S76,(V76-1)/W76, "")</f>
        <v>0.5848931924611136</v>
      </c>
      <c r="AA76" s="1029">
        <f>IF(S76,Z76+1, "")</f>
        <v>1.5848931924611136</v>
      </c>
    </row>
    <row r="77" spans="1:27" ht="15.5">
      <c r="A77" s="3"/>
      <c r="B77" s="271" t="s">
        <v>258</v>
      </c>
      <c r="C77" s="187"/>
      <c r="D77" s="187"/>
      <c r="E77" s="187"/>
      <c r="F77" s="187"/>
      <c r="G77" s="188"/>
      <c r="H77" s="3"/>
      <c r="I77" s="3"/>
      <c r="J77" s="3"/>
      <c r="K77" s="3"/>
      <c r="L77" s="3"/>
      <c r="M77" s="3"/>
      <c r="N77" s="3"/>
      <c r="O77" s="1021">
        <v>2</v>
      </c>
      <c r="P77" s="1030" t="s">
        <v>1108</v>
      </c>
      <c r="Q77" s="1031"/>
      <c r="R77" s="1024">
        <v>-0.35</v>
      </c>
      <c r="S77" s="1024">
        <v>0.35</v>
      </c>
      <c r="T77" s="1025"/>
      <c r="U77" s="1026">
        <f t="shared" ref="U77:V85" si="2">IF(R77,10^(R77/10), "")</f>
        <v>0.92257142715476315</v>
      </c>
      <c r="V77" s="1026">
        <f t="shared" si="2"/>
        <v>1.0839269140212036</v>
      </c>
      <c r="W77" s="1026">
        <f t="shared" ref="W77:W85" si="3">IF(S77,W76*U76, "")</f>
        <v>0.63095734448019325</v>
      </c>
      <c r="X77" s="1028">
        <f t="shared" ref="X77:X85" si="4">IF(S77,290*(V77-1), "")</f>
        <v>24.338805066149032</v>
      </c>
      <c r="Y77" s="1028">
        <f t="shared" si="1"/>
        <v>38.574406461977659</v>
      </c>
      <c r="Z77" s="1026">
        <f t="shared" ref="Z77:Z85" si="5">IF(S77,(V77-1)/W77, "")</f>
        <v>0.13301519469647469</v>
      </c>
      <c r="AA77" s="1032">
        <f>IF(S77, AA76+Z77, "")</f>
        <v>1.7179083871575882</v>
      </c>
    </row>
    <row r="78" spans="1:27">
      <c r="A78" s="3"/>
      <c r="B78" s="3"/>
      <c r="C78" s="3"/>
      <c r="D78" s="3"/>
      <c r="E78" s="3"/>
      <c r="F78" s="3"/>
      <c r="G78" s="3"/>
      <c r="H78" s="3"/>
      <c r="I78" s="3"/>
      <c r="J78" s="3"/>
      <c r="K78" s="3"/>
      <c r="L78" s="3"/>
      <c r="M78" s="3"/>
      <c r="N78" s="3"/>
      <c r="O78" s="1021">
        <v>3</v>
      </c>
      <c r="P78" s="1030" t="s">
        <v>1106</v>
      </c>
      <c r="Q78" s="1031"/>
      <c r="R78" s="1024"/>
      <c r="S78" s="1024">
        <v>10</v>
      </c>
      <c r="T78" s="1025"/>
      <c r="U78" s="1026" t="str">
        <f t="shared" si="2"/>
        <v/>
      </c>
      <c r="V78" s="1026">
        <f t="shared" si="2"/>
        <v>10</v>
      </c>
      <c r="W78" s="1026">
        <f t="shared" si="3"/>
        <v>0.58210321777087137</v>
      </c>
      <c r="X78" s="1028">
        <f t="shared" si="4"/>
        <v>2610</v>
      </c>
      <c r="Y78" s="1028">
        <f t="shared" si="1"/>
        <v>4483.7408904813055</v>
      </c>
      <c r="Z78" s="1026">
        <f t="shared" si="5"/>
        <v>15.461175484418295</v>
      </c>
      <c r="AA78" s="1032">
        <f t="shared" ref="AA78:AA85" si="6">IF(S78, AA77+Z78, "")</f>
        <v>17.179083871575884</v>
      </c>
    </row>
    <row r="79" spans="1:27">
      <c r="A79" s="3"/>
      <c r="B79" s="3"/>
      <c r="C79" s="3"/>
      <c r="D79" s="3"/>
      <c r="E79" s="3"/>
      <c r="F79" s="3"/>
      <c r="G79" s="3"/>
      <c r="H79" s="3"/>
      <c r="I79" s="3"/>
      <c r="J79" s="3"/>
      <c r="K79" s="3"/>
      <c r="L79" s="3"/>
      <c r="M79" s="3"/>
      <c r="N79" s="3"/>
      <c r="O79" s="1021">
        <v>4</v>
      </c>
      <c r="P79" s="1030"/>
      <c r="Q79" s="1031"/>
      <c r="R79" s="1024"/>
      <c r="S79" s="1024"/>
      <c r="T79" s="1025"/>
      <c r="U79" s="1026" t="str">
        <f t="shared" si="2"/>
        <v/>
      </c>
      <c r="V79" s="1026" t="str">
        <f t="shared" si="2"/>
        <v/>
      </c>
      <c r="W79" s="1026" t="str">
        <f t="shared" si="3"/>
        <v/>
      </c>
      <c r="X79" s="1028" t="str">
        <f t="shared" si="4"/>
        <v/>
      </c>
      <c r="Y79" s="1028" t="str">
        <f t="shared" si="1"/>
        <v/>
      </c>
      <c r="Z79" s="1026" t="str">
        <f t="shared" si="5"/>
        <v/>
      </c>
      <c r="AA79" s="1032" t="str">
        <f t="shared" si="6"/>
        <v/>
      </c>
    </row>
    <row r="80" spans="1:27">
      <c r="A80" s="3"/>
      <c r="B80" s="3"/>
      <c r="C80" s="103"/>
      <c r="D80" s="103"/>
      <c r="E80" s="103"/>
      <c r="F80" s="103"/>
      <c r="G80" s="103"/>
      <c r="H80" s="103"/>
      <c r="I80" s="103"/>
      <c r="J80" s="103"/>
      <c r="K80" s="103"/>
      <c r="L80" s="3"/>
      <c r="M80" s="3"/>
      <c r="N80" s="3"/>
      <c r="O80" s="1021">
        <v>5</v>
      </c>
      <c r="P80" s="1030"/>
      <c r="Q80" s="1031"/>
      <c r="R80" s="1024"/>
      <c r="S80" s="1024"/>
      <c r="T80" s="1025"/>
      <c r="U80" s="1026" t="str">
        <f t="shared" si="2"/>
        <v/>
      </c>
      <c r="V80" s="1026" t="str">
        <f t="shared" si="2"/>
        <v/>
      </c>
      <c r="W80" s="1026" t="str">
        <f t="shared" si="3"/>
        <v/>
      </c>
      <c r="X80" s="1028" t="str">
        <f t="shared" si="4"/>
        <v/>
      </c>
      <c r="Y80" s="1028" t="str">
        <f t="shared" si="1"/>
        <v/>
      </c>
      <c r="Z80" s="1026" t="str">
        <f t="shared" si="5"/>
        <v/>
      </c>
      <c r="AA80" s="1032" t="str">
        <f t="shared" si="6"/>
        <v/>
      </c>
    </row>
    <row r="81" spans="1:27" ht="13">
      <c r="A81" s="3"/>
      <c r="B81" s="3"/>
      <c r="C81" s="363" t="s">
        <v>159</v>
      </c>
      <c r="D81" s="178"/>
      <c r="E81" s="178"/>
      <c r="F81" s="178"/>
      <c r="G81" s="178"/>
      <c r="H81" s="178"/>
      <c r="I81" s="178"/>
      <c r="J81" s="178"/>
      <c r="K81" s="178"/>
      <c r="L81" s="178"/>
      <c r="M81" s="971" t="s">
        <v>1075</v>
      </c>
      <c r="N81" s="3"/>
      <c r="O81" s="1021">
        <v>8</v>
      </c>
      <c r="P81" s="1030"/>
      <c r="Q81" s="1031"/>
      <c r="R81" s="1024"/>
      <c r="S81" s="1024"/>
      <c r="T81" s="1025"/>
      <c r="U81" s="1026" t="str">
        <f t="shared" si="2"/>
        <v/>
      </c>
      <c r="V81" s="1026" t="str">
        <f t="shared" si="2"/>
        <v/>
      </c>
      <c r="W81" s="1026" t="str">
        <f t="shared" si="3"/>
        <v/>
      </c>
      <c r="X81" s="1028" t="str">
        <f t="shared" si="4"/>
        <v/>
      </c>
      <c r="Y81" s="1028" t="str">
        <f t="shared" si="1"/>
        <v/>
      </c>
      <c r="Z81" s="1026" t="str">
        <f t="shared" si="5"/>
        <v/>
      </c>
      <c r="AA81" s="1032" t="str">
        <f t="shared" si="6"/>
        <v/>
      </c>
    </row>
    <row r="82" spans="1:27">
      <c r="A82" s="3"/>
      <c r="B82" s="3"/>
      <c r="C82" s="175"/>
      <c r="D82" s="143"/>
      <c r="E82" s="143"/>
      <c r="F82" s="143"/>
      <c r="G82" s="143"/>
      <c r="H82" s="143"/>
      <c r="I82" s="143"/>
      <c r="J82" s="143"/>
      <c r="K82" s="143"/>
      <c r="L82" s="143"/>
      <c r="M82" s="180"/>
      <c r="N82" s="3"/>
      <c r="O82" s="1021">
        <v>9</v>
      </c>
      <c r="P82" s="1030"/>
      <c r="Q82" s="1031"/>
      <c r="R82" s="1024"/>
      <c r="S82" s="1024"/>
      <c r="T82" s="1025"/>
      <c r="U82" s="1026" t="str">
        <f t="shared" si="2"/>
        <v/>
      </c>
      <c r="V82" s="1026" t="str">
        <f t="shared" si="2"/>
        <v/>
      </c>
      <c r="W82" s="1026" t="str">
        <f t="shared" si="3"/>
        <v/>
      </c>
      <c r="X82" s="1028" t="str">
        <f t="shared" si="4"/>
        <v/>
      </c>
      <c r="Y82" s="1028" t="str">
        <f t="shared" si="1"/>
        <v/>
      </c>
      <c r="Z82" s="1026" t="str">
        <f t="shared" si="5"/>
        <v/>
      </c>
      <c r="AA82" s="1032" t="str">
        <f t="shared" si="6"/>
        <v/>
      </c>
    </row>
    <row r="83" spans="1:27">
      <c r="A83" s="3"/>
      <c r="B83" s="3"/>
      <c r="C83" s="175"/>
      <c r="D83" s="143"/>
      <c r="E83" s="143"/>
      <c r="F83" s="143"/>
      <c r="G83" s="143"/>
      <c r="H83" s="143"/>
      <c r="I83" s="143" t="s">
        <v>209</v>
      </c>
      <c r="J83" s="143"/>
      <c r="K83" s="143" t="s">
        <v>765</v>
      </c>
      <c r="L83" s="143"/>
      <c r="M83" s="180"/>
      <c r="N83" s="3"/>
      <c r="O83" s="1021">
        <v>10</v>
      </c>
      <c r="P83" s="1030"/>
      <c r="Q83" s="1031"/>
      <c r="R83" s="1024"/>
      <c r="S83" s="1024"/>
      <c r="T83" s="1025"/>
      <c r="U83" s="1026" t="str">
        <f t="shared" si="2"/>
        <v/>
      </c>
      <c r="V83" s="1026" t="str">
        <f t="shared" si="2"/>
        <v/>
      </c>
      <c r="W83" s="1026" t="str">
        <f t="shared" si="3"/>
        <v/>
      </c>
      <c r="X83" s="1028" t="str">
        <f t="shared" si="4"/>
        <v/>
      </c>
      <c r="Y83" s="1028" t="str">
        <f t="shared" si="1"/>
        <v/>
      </c>
      <c r="Z83" s="1026" t="str">
        <f t="shared" si="5"/>
        <v/>
      </c>
      <c r="AA83" s="1032" t="str">
        <f t="shared" si="6"/>
        <v/>
      </c>
    </row>
    <row r="84" spans="1:27">
      <c r="A84" s="3"/>
      <c r="B84" s="3"/>
      <c r="C84" s="175"/>
      <c r="D84" s="143"/>
      <c r="E84" s="143"/>
      <c r="F84" s="143"/>
      <c r="G84" s="143"/>
      <c r="H84" s="143"/>
      <c r="I84" s="143"/>
      <c r="J84" s="143"/>
      <c r="K84" s="143"/>
      <c r="L84" s="143"/>
      <c r="M84" s="180"/>
      <c r="N84" s="3"/>
      <c r="O84" s="1021">
        <v>11</v>
      </c>
      <c r="P84" s="1030"/>
      <c r="Q84" s="1031"/>
      <c r="R84" s="1024"/>
      <c r="S84" s="1024"/>
      <c r="T84" s="1025"/>
      <c r="U84" s="1026" t="str">
        <f t="shared" si="2"/>
        <v/>
      </c>
      <c r="V84" s="1026" t="str">
        <f t="shared" si="2"/>
        <v/>
      </c>
      <c r="W84" s="1026" t="str">
        <f t="shared" si="3"/>
        <v/>
      </c>
      <c r="X84" s="1028" t="str">
        <f t="shared" si="4"/>
        <v/>
      </c>
      <c r="Y84" s="1028" t="str">
        <f t="shared" si="1"/>
        <v/>
      </c>
      <c r="Z84" s="1026" t="str">
        <f t="shared" si="5"/>
        <v/>
      </c>
      <c r="AA84" s="1032" t="str">
        <f t="shared" si="6"/>
        <v/>
      </c>
    </row>
    <row r="85" spans="1:27" ht="13" thickBot="1">
      <c r="A85" s="3"/>
      <c r="B85" s="3"/>
      <c r="C85" s="175"/>
      <c r="D85" s="143"/>
      <c r="E85" s="143"/>
      <c r="F85" s="143"/>
      <c r="G85" s="143"/>
      <c r="H85" s="143"/>
      <c r="I85" s="143"/>
      <c r="J85" s="143"/>
      <c r="K85" s="143"/>
      <c r="L85" s="143"/>
      <c r="M85" s="180"/>
      <c r="N85" s="3"/>
      <c r="O85" s="1033">
        <v>12</v>
      </c>
      <c r="P85" s="1034"/>
      <c r="Q85" s="1035"/>
      <c r="R85" s="1036"/>
      <c r="S85" s="1036"/>
      <c r="T85" s="1037"/>
      <c r="U85" s="1038" t="str">
        <f t="shared" si="2"/>
        <v/>
      </c>
      <c r="V85" s="1038" t="str">
        <f t="shared" si="2"/>
        <v/>
      </c>
      <c r="W85" s="1038" t="str">
        <f t="shared" si="3"/>
        <v/>
      </c>
      <c r="X85" s="1039" t="str">
        <f t="shared" si="4"/>
        <v/>
      </c>
      <c r="Y85" s="1039" t="str">
        <f t="shared" si="1"/>
        <v/>
      </c>
      <c r="Z85" s="1038" t="str">
        <f t="shared" si="5"/>
        <v/>
      </c>
      <c r="AA85" s="1040" t="str">
        <f t="shared" si="6"/>
        <v/>
      </c>
    </row>
    <row r="86" spans="1:27">
      <c r="A86" s="3"/>
      <c r="B86" s="3"/>
      <c r="C86" s="175"/>
      <c r="D86" s="143"/>
      <c r="E86" s="143"/>
      <c r="F86" s="143"/>
      <c r="G86" s="143"/>
      <c r="H86" s="143"/>
      <c r="I86" s="143"/>
      <c r="J86" s="143"/>
      <c r="K86" s="143"/>
      <c r="L86" s="143"/>
      <c r="M86" s="180"/>
      <c r="N86" s="3"/>
      <c r="O86" s="1041"/>
      <c r="P86" s="1042"/>
      <c r="Q86" s="425"/>
      <c r="R86" s="83"/>
      <c r="S86" s="83"/>
      <c r="T86" s="83"/>
      <c r="U86" s="83"/>
      <c r="V86" s="83"/>
      <c r="W86" s="83"/>
      <c r="X86" s="83"/>
      <c r="Y86" s="83"/>
      <c r="Z86" s="83"/>
      <c r="AA86" s="1043"/>
    </row>
    <row r="87" spans="1:27" ht="15" thickBot="1">
      <c r="A87" s="3"/>
      <c r="B87" s="3"/>
      <c r="C87" s="175"/>
      <c r="D87" s="190" t="s">
        <v>203</v>
      </c>
      <c r="E87" s="143"/>
      <c r="F87" s="190" t="s">
        <v>204</v>
      </c>
      <c r="G87" s="143"/>
      <c r="H87" s="190" t="s">
        <v>205</v>
      </c>
      <c r="I87" s="143"/>
      <c r="J87" s="143"/>
      <c r="K87" s="143"/>
      <c r="L87" s="143"/>
      <c r="M87" s="180"/>
      <c r="N87" s="3"/>
      <c r="O87" s="1044"/>
      <c r="P87" s="1045"/>
      <c r="Q87" s="1046"/>
      <c r="R87" s="1047"/>
      <c r="S87" s="1047"/>
      <c r="T87" s="1047"/>
      <c r="U87" s="1047"/>
      <c r="V87" s="1047"/>
      <c r="W87" s="1047"/>
      <c r="X87" s="1048" t="s">
        <v>1089</v>
      </c>
      <c r="Y87" s="1049">
        <f>SUM(Y76:Y85)</f>
        <v>4691.9343227570062</v>
      </c>
      <c r="Z87" s="1050"/>
      <c r="AA87" s="1051"/>
    </row>
    <row r="88" spans="1:27" ht="13" thickTop="1">
      <c r="A88" s="3"/>
      <c r="B88" s="3"/>
      <c r="C88" s="175"/>
      <c r="D88" s="143"/>
      <c r="E88" s="143"/>
      <c r="F88" s="143"/>
      <c r="G88" s="143"/>
      <c r="H88" s="143"/>
      <c r="I88" s="143"/>
      <c r="J88" s="143"/>
      <c r="K88" s="143"/>
      <c r="L88" s="143"/>
      <c r="M88" s="180"/>
      <c r="N88" s="3"/>
      <c r="O88" s="3"/>
      <c r="P88" s="3"/>
      <c r="Q88" s="3"/>
      <c r="R88" s="3"/>
      <c r="S88" s="3"/>
      <c r="T88" s="3"/>
      <c r="U88" s="3"/>
      <c r="V88" s="3"/>
      <c r="W88" s="3"/>
      <c r="X88" s="3"/>
      <c r="Y88" s="3"/>
      <c r="Z88" s="3"/>
      <c r="AA88" s="3"/>
    </row>
    <row r="89" spans="1:27">
      <c r="A89" s="3"/>
      <c r="B89" s="3"/>
      <c r="C89" s="175"/>
      <c r="D89" s="190" t="s">
        <v>206</v>
      </c>
      <c r="E89" s="143"/>
      <c r="F89" s="190" t="s">
        <v>207</v>
      </c>
      <c r="G89" s="143"/>
      <c r="H89" s="143"/>
      <c r="I89" s="143"/>
      <c r="J89" s="143"/>
      <c r="K89" s="143"/>
      <c r="L89" s="143"/>
      <c r="M89" s="180"/>
      <c r="N89" s="3"/>
      <c r="O89" s="3"/>
      <c r="P89" s="3"/>
      <c r="Q89" s="3"/>
      <c r="R89" s="3"/>
      <c r="S89" s="3"/>
      <c r="T89" s="3"/>
      <c r="U89" s="3"/>
      <c r="V89" s="3"/>
      <c r="W89" s="3"/>
      <c r="X89" s="3"/>
      <c r="Y89" s="3"/>
      <c r="Z89" s="3"/>
      <c r="AA89" s="3"/>
    </row>
    <row r="90" spans="1:27">
      <c r="A90" s="3"/>
      <c r="B90" s="3"/>
      <c r="C90" s="175"/>
      <c r="D90" s="143"/>
      <c r="E90" s="143"/>
      <c r="F90" s="143"/>
      <c r="G90" s="143"/>
      <c r="H90" s="143"/>
      <c r="I90" s="143"/>
      <c r="J90" s="143"/>
      <c r="K90" s="143"/>
      <c r="L90" s="143"/>
      <c r="M90" s="180"/>
      <c r="N90" s="3"/>
      <c r="O90" s="3"/>
      <c r="P90" s="3"/>
      <c r="Q90" s="3"/>
      <c r="R90" s="3"/>
      <c r="S90" s="3"/>
      <c r="T90" s="3"/>
      <c r="U90" s="3"/>
      <c r="V90" s="3"/>
      <c r="W90" s="3"/>
      <c r="X90" s="3"/>
      <c r="Y90" s="3"/>
      <c r="Z90" s="3"/>
      <c r="AA90" s="3"/>
    </row>
    <row r="91" spans="1:27">
      <c r="A91" s="3"/>
      <c r="B91" s="3"/>
      <c r="C91" s="175"/>
      <c r="D91" s="143"/>
      <c r="E91" s="143"/>
      <c r="F91" s="143"/>
      <c r="G91" s="143"/>
      <c r="H91" s="143"/>
      <c r="I91" s="143"/>
      <c r="J91" s="143"/>
      <c r="K91" s="143"/>
      <c r="L91" s="143"/>
      <c r="M91" s="180"/>
      <c r="N91" s="3"/>
      <c r="O91" s="3"/>
      <c r="P91" s="3"/>
      <c r="Q91" s="3"/>
      <c r="R91" s="3"/>
      <c r="S91" s="3"/>
      <c r="T91" s="3"/>
      <c r="U91" s="3"/>
      <c r="V91" s="3"/>
      <c r="W91" s="3"/>
      <c r="X91" s="3"/>
      <c r="Y91" s="3"/>
      <c r="Z91" s="3"/>
      <c r="AA91" s="3"/>
    </row>
    <row r="92" spans="1:27">
      <c r="A92" s="3"/>
      <c r="B92" s="3"/>
      <c r="C92" s="175"/>
      <c r="D92" s="143"/>
      <c r="E92" s="143"/>
      <c r="F92" s="143"/>
      <c r="G92" s="143"/>
      <c r="H92" s="143"/>
      <c r="I92" s="143"/>
      <c r="J92" s="143"/>
      <c r="K92" s="143"/>
      <c r="L92" s="143"/>
      <c r="M92" s="180"/>
      <c r="N92" s="3"/>
      <c r="O92" s="3"/>
      <c r="P92" s="3"/>
      <c r="Q92" s="3"/>
      <c r="R92" s="3"/>
      <c r="S92" s="3"/>
      <c r="T92" s="3"/>
      <c r="U92" s="3"/>
      <c r="V92" s="3"/>
      <c r="W92" s="3"/>
      <c r="X92" s="3"/>
      <c r="Y92" s="3"/>
      <c r="Z92" s="3"/>
      <c r="AA92" s="3"/>
    </row>
    <row r="93" spans="1:27">
      <c r="A93" s="3"/>
      <c r="B93" s="3"/>
      <c r="C93" s="175"/>
      <c r="D93" s="143" t="s">
        <v>201</v>
      </c>
      <c r="E93" s="143"/>
      <c r="F93" s="143"/>
      <c r="G93" s="143"/>
      <c r="H93" s="143"/>
      <c r="I93" s="143"/>
      <c r="J93" s="143"/>
      <c r="K93" s="143"/>
      <c r="L93" s="143"/>
      <c r="M93" s="180"/>
      <c r="N93" s="3"/>
      <c r="O93" s="3"/>
      <c r="P93" s="3"/>
      <c r="Q93" s="3"/>
      <c r="R93" s="3"/>
      <c r="S93" s="3"/>
      <c r="T93" s="3"/>
      <c r="U93" s="3"/>
      <c r="V93" s="3"/>
      <c r="W93" s="3"/>
      <c r="X93" s="3"/>
      <c r="Y93" s="3"/>
      <c r="Z93" s="3"/>
      <c r="AA93" s="3"/>
    </row>
    <row r="94" spans="1:27">
      <c r="A94" s="3"/>
      <c r="B94" s="3"/>
      <c r="C94" s="175"/>
      <c r="D94" s="143"/>
      <c r="E94" s="143"/>
      <c r="F94" s="143"/>
      <c r="G94" s="143"/>
      <c r="H94" s="143"/>
      <c r="I94" s="143"/>
      <c r="J94" s="143"/>
      <c r="K94" s="143"/>
      <c r="L94" s="143"/>
      <c r="M94" s="180"/>
      <c r="N94" s="3"/>
      <c r="O94" s="3"/>
      <c r="P94" s="3"/>
      <c r="Q94" s="3"/>
      <c r="R94" s="3"/>
      <c r="S94" s="3"/>
      <c r="T94" s="3"/>
      <c r="U94" s="3"/>
      <c r="V94" s="3"/>
      <c r="W94" s="3"/>
      <c r="X94" s="3"/>
      <c r="Y94" s="3"/>
      <c r="Z94" s="3"/>
      <c r="AA94" s="3"/>
    </row>
    <row r="95" spans="1:27" ht="13">
      <c r="A95" s="3"/>
      <c r="B95" s="3"/>
      <c r="C95" s="175"/>
      <c r="D95" s="364" t="s">
        <v>766</v>
      </c>
      <c r="E95" s="143"/>
      <c r="F95" s="143"/>
      <c r="G95" s="143"/>
      <c r="H95" s="143"/>
      <c r="I95" s="143"/>
      <c r="J95" s="143"/>
      <c r="K95" s="143"/>
      <c r="L95" s="143"/>
      <c r="M95" s="180"/>
      <c r="N95" s="3"/>
      <c r="O95" s="3"/>
      <c r="P95" s="3"/>
      <c r="Q95" s="3"/>
      <c r="R95" s="3"/>
      <c r="S95" s="3"/>
      <c r="T95" s="3"/>
      <c r="U95" s="3"/>
      <c r="V95" s="3"/>
      <c r="W95" s="3"/>
      <c r="X95" s="3"/>
      <c r="Y95" s="3"/>
      <c r="Z95" s="3"/>
      <c r="AA95" s="3"/>
    </row>
    <row r="96" spans="1:27">
      <c r="A96" s="3"/>
      <c r="B96" s="3"/>
      <c r="C96" s="175"/>
      <c r="D96" s="143" t="s">
        <v>202</v>
      </c>
      <c r="E96" s="143"/>
      <c r="F96" s="143"/>
      <c r="G96" s="365"/>
      <c r="H96" s="143"/>
      <c r="I96" s="143"/>
      <c r="J96" s="143"/>
      <c r="K96" s="143"/>
      <c r="L96" s="143"/>
      <c r="M96" s="180"/>
      <c r="N96" s="3"/>
      <c r="O96" s="3"/>
      <c r="P96" s="3"/>
      <c r="Q96" s="3"/>
      <c r="R96" s="3"/>
      <c r="S96" s="3"/>
      <c r="T96" s="3"/>
      <c r="U96" s="3"/>
      <c r="V96" s="3"/>
      <c r="W96" s="3"/>
      <c r="X96" s="3"/>
      <c r="Y96" s="3"/>
      <c r="Z96" s="3"/>
      <c r="AA96" s="3"/>
    </row>
    <row r="97" spans="1:27">
      <c r="A97" s="3"/>
      <c r="B97" s="3"/>
      <c r="C97" s="175"/>
      <c r="D97" s="366" t="s">
        <v>1044</v>
      </c>
      <c r="E97" s="143"/>
      <c r="F97" s="143"/>
      <c r="G97" s="143"/>
      <c r="H97" s="143"/>
      <c r="I97" s="143"/>
      <c r="J97" s="143"/>
      <c r="K97" s="143"/>
      <c r="L97" s="143"/>
      <c r="M97" s="180"/>
      <c r="N97" s="3"/>
      <c r="O97" s="3"/>
      <c r="P97" s="3"/>
      <c r="Q97" s="3"/>
      <c r="R97" s="3"/>
      <c r="S97" s="3"/>
      <c r="T97" s="3"/>
      <c r="U97" s="3"/>
      <c r="V97" s="3"/>
      <c r="W97" s="3"/>
      <c r="X97" s="3"/>
      <c r="Y97" s="3"/>
      <c r="Z97" s="3"/>
      <c r="AA97" s="3"/>
    </row>
    <row r="98" spans="1:27">
      <c r="A98" s="3"/>
      <c r="B98" s="3"/>
      <c r="C98" s="175"/>
      <c r="D98" s="366" t="s">
        <v>1045</v>
      </c>
      <c r="E98" s="143"/>
      <c r="F98" s="143"/>
      <c r="G98" s="143"/>
      <c r="H98" s="143"/>
      <c r="I98" s="143"/>
      <c r="J98" s="143"/>
      <c r="K98" s="143"/>
      <c r="L98" s="143"/>
      <c r="M98" s="180"/>
      <c r="N98" s="3"/>
      <c r="O98" s="3"/>
      <c r="P98" s="3"/>
      <c r="Q98" s="3"/>
      <c r="R98" s="3"/>
      <c r="S98" s="3"/>
      <c r="T98" s="3"/>
      <c r="U98" s="3"/>
      <c r="V98" s="3"/>
      <c r="W98" s="3"/>
      <c r="X98" s="3"/>
      <c r="Y98" s="3"/>
      <c r="Z98" s="3"/>
      <c r="AA98" s="3"/>
    </row>
    <row r="99" spans="1:27">
      <c r="A99" s="3"/>
      <c r="B99" s="3"/>
      <c r="C99" s="175"/>
      <c r="D99" s="366" t="s">
        <v>1037</v>
      </c>
      <c r="E99" s="143"/>
      <c r="F99" s="143"/>
      <c r="G99" s="143"/>
      <c r="H99" s="143"/>
      <c r="I99" s="143"/>
      <c r="J99" s="143"/>
      <c r="K99" s="143"/>
      <c r="L99" s="143"/>
      <c r="M99" s="180"/>
      <c r="N99" s="3"/>
      <c r="O99" s="3"/>
      <c r="P99" s="3"/>
      <c r="Q99" s="3"/>
      <c r="R99" s="3"/>
      <c r="S99" s="3"/>
      <c r="T99" s="3"/>
      <c r="U99" s="3"/>
      <c r="V99" s="3"/>
      <c r="W99" s="3"/>
      <c r="X99" s="3"/>
      <c r="Y99" s="3"/>
      <c r="Z99" s="3"/>
      <c r="AA99" s="3"/>
    </row>
    <row r="100" spans="1:27">
      <c r="A100" s="3"/>
      <c r="B100" s="3"/>
      <c r="C100" s="175"/>
      <c r="D100" s="366" t="s">
        <v>1046</v>
      </c>
      <c r="E100" s="143"/>
      <c r="F100" s="143"/>
      <c r="G100" s="143"/>
      <c r="H100" s="143"/>
      <c r="I100" s="143"/>
      <c r="J100" s="143"/>
      <c r="K100" s="143"/>
      <c r="L100" s="143"/>
      <c r="M100" s="180"/>
      <c r="N100" s="3"/>
      <c r="O100" s="3"/>
      <c r="P100" s="3"/>
      <c r="Q100" s="3"/>
      <c r="R100" s="3"/>
      <c r="S100" s="3"/>
      <c r="T100" s="3"/>
      <c r="U100" s="3"/>
      <c r="V100" s="3"/>
      <c r="W100" s="3"/>
      <c r="X100" s="3"/>
      <c r="Y100" s="3"/>
      <c r="Z100" s="3"/>
      <c r="AA100" s="3"/>
    </row>
    <row r="101" spans="1:27">
      <c r="A101" s="3"/>
      <c r="B101" s="3"/>
      <c r="C101" s="175"/>
      <c r="D101" s="366" t="s">
        <v>1039</v>
      </c>
      <c r="E101" s="143"/>
      <c r="F101" s="143"/>
      <c r="G101" s="143"/>
      <c r="H101" s="143"/>
      <c r="I101" s="240" t="s">
        <v>140</v>
      </c>
      <c r="J101" s="143" t="s">
        <v>817</v>
      </c>
      <c r="K101" s="143"/>
      <c r="L101" s="143"/>
      <c r="M101" s="180"/>
      <c r="N101" s="3"/>
      <c r="O101" s="3"/>
      <c r="P101" s="3"/>
      <c r="Q101" s="3"/>
      <c r="R101" s="3"/>
      <c r="S101" s="3"/>
      <c r="T101" s="3"/>
      <c r="U101" s="3"/>
      <c r="V101" s="3"/>
      <c r="W101" s="3"/>
      <c r="X101" s="3"/>
      <c r="Y101" s="3"/>
      <c r="Z101" s="3"/>
      <c r="AA101" s="3"/>
    </row>
    <row r="102" spans="1:27">
      <c r="A102" s="3"/>
      <c r="B102" s="3"/>
      <c r="C102" s="175"/>
      <c r="D102" s="367" t="s">
        <v>208</v>
      </c>
      <c r="E102" s="143"/>
      <c r="F102" s="143"/>
      <c r="G102" s="143"/>
      <c r="H102" s="143"/>
      <c r="I102" s="143"/>
      <c r="J102" s="143"/>
      <c r="K102" s="143"/>
      <c r="L102" s="143"/>
      <c r="M102" s="180"/>
      <c r="N102" s="3"/>
      <c r="O102" s="3"/>
      <c r="P102" s="3"/>
      <c r="Q102" s="3"/>
      <c r="R102" s="3"/>
      <c r="S102" s="3"/>
      <c r="T102" s="3"/>
      <c r="U102" s="3"/>
      <c r="V102" s="3"/>
      <c r="W102" s="3"/>
      <c r="X102" s="3"/>
      <c r="Y102" s="3"/>
      <c r="Z102" s="3"/>
      <c r="AA102" s="3"/>
    </row>
    <row r="103" spans="1:27">
      <c r="A103" s="3"/>
      <c r="B103" s="3"/>
      <c r="C103" s="175"/>
      <c r="D103" s="143" t="s">
        <v>202</v>
      </c>
      <c r="E103" s="143"/>
      <c r="F103" s="143"/>
      <c r="G103" s="143"/>
      <c r="H103" s="143"/>
      <c r="I103" s="143"/>
      <c r="J103" s="143"/>
      <c r="K103" s="143"/>
      <c r="L103" s="143"/>
      <c r="M103" s="180"/>
      <c r="N103" s="3"/>
      <c r="O103" s="3"/>
      <c r="P103" s="3"/>
      <c r="Q103" s="3"/>
      <c r="R103" s="3"/>
      <c r="S103" s="3"/>
      <c r="T103" s="3"/>
      <c r="U103" s="3"/>
      <c r="V103" s="3"/>
      <c r="W103" s="3"/>
      <c r="X103" s="3"/>
      <c r="Y103" s="3"/>
      <c r="Z103" s="3"/>
      <c r="AA103" s="3"/>
    </row>
    <row r="104" spans="1:27">
      <c r="A104" s="3"/>
      <c r="B104" s="3"/>
      <c r="C104" s="175"/>
      <c r="D104" s="143"/>
      <c r="E104" s="143" t="s">
        <v>1041</v>
      </c>
      <c r="F104" s="143"/>
      <c r="G104" s="143"/>
      <c r="H104" s="143"/>
      <c r="I104" s="143"/>
      <c r="J104" s="143"/>
      <c r="K104" s="143"/>
      <c r="L104" s="143"/>
      <c r="M104" s="180"/>
      <c r="N104" s="3"/>
      <c r="O104" s="3"/>
      <c r="P104" s="3"/>
      <c r="Q104" s="3"/>
      <c r="R104" s="3"/>
      <c r="S104" s="3"/>
      <c r="T104" s="3"/>
      <c r="U104" s="3"/>
      <c r="V104" s="3"/>
      <c r="W104" s="3"/>
      <c r="X104" s="3"/>
      <c r="Y104" s="3"/>
      <c r="Z104" s="3"/>
      <c r="AA104" s="3"/>
    </row>
    <row r="105" spans="1:27">
      <c r="A105" s="3"/>
      <c r="B105" s="3"/>
      <c r="C105" s="175"/>
      <c r="D105" s="143"/>
      <c r="E105" s="143" t="s">
        <v>1042</v>
      </c>
      <c r="F105" s="143"/>
      <c r="G105" s="143"/>
      <c r="H105" s="143"/>
      <c r="I105" s="143"/>
      <c r="J105" s="143"/>
      <c r="K105" s="143"/>
      <c r="L105" s="143"/>
      <c r="M105" s="180"/>
      <c r="N105" s="3"/>
      <c r="O105" s="3"/>
      <c r="P105" s="3"/>
      <c r="Q105" s="3"/>
      <c r="R105" s="3"/>
      <c r="S105" s="3"/>
      <c r="T105" s="3"/>
      <c r="U105" s="3"/>
      <c r="V105" s="3"/>
      <c r="W105" s="3"/>
      <c r="X105" s="3"/>
      <c r="Y105" s="3"/>
      <c r="Z105" s="3"/>
      <c r="AA105" s="3"/>
    </row>
    <row r="106" spans="1:27">
      <c r="A106" s="3"/>
      <c r="B106" s="3"/>
      <c r="C106" s="175"/>
      <c r="D106" s="143"/>
      <c r="E106" s="933" t="s">
        <v>1043</v>
      </c>
      <c r="F106" s="143"/>
      <c r="G106" s="143"/>
      <c r="H106" s="143"/>
      <c r="I106" s="143"/>
      <c r="J106" s="143"/>
      <c r="K106" s="143"/>
      <c r="L106" s="143"/>
      <c r="M106" s="180"/>
      <c r="N106" s="3"/>
      <c r="O106" s="3"/>
      <c r="P106" s="3"/>
      <c r="Q106" s="3"/>
      <c r="R106" s="3"/>
      <c r="S106" s="3"/>
      <c r="T106" s="3"/>
      <c r="U106" s="3"/>
      <c r="V106" s="3"/>
      <c r="W106" s="3"/>
      <c r="X106" s="3"/>
      <c r="Y106" s="3"/>
      <c r="Z106" s="3"/>
      <c r="AA106" s="3"/>
    </row>
    <row r="107" spans="1:27">
      <c r="A107" s="3"/>
      <c r="B107" s="3"/>
      <c r="C107" s="175"/>
      <c r="D107" s="143"/>
      <c r="E107" s="143"/>
      <c r="F107" s="143"/>
      <c r="G107" s="143"/>
      <c r="H107" s="143"/>
      <c r="I107" s="143"/>
      <c r="J107" s="143"/>
      <c r="K107" s="143"/>
      <c r="L107" s="143"/>
      <c r="M107" s="180"/>
      <c r="N107" s="3"/>
      <c r="O107" s="3"/>
      <c r="P107" s="3"/>
      <c r="Q107" s="3"/>
      <c r="R107" s="3"/>
      <c r="S107" s="3"/>
      <c r="T107" s="3"/>
      <c r="U107" s="3"/>
      <c r="V107" s="3"/>
      <c r="W107" s="3"/>
      <c r="X107" s="3"/>
      <c r="Y107" s="3"/>
      <c r="Z107" s="3"/>
      <c r="AA107" s="3"/>
    </row>
    <row r="108" spans="1:27">
      <c r="A108" s="3"/>
      <c r="B108" s="3"/>
      <c r="C108" s="175"/>
      <c r="D108" s="143"/>
      <c r="E108" s="143"/>
      <c r="F108" s="143"/>
      <c r="G108" s="143"/>
      <c r="H108" s="143"/>
      <c r="I108" s="143"/>
      <c r="J108" s="143"/>
      <c r="K108" s="143"/>
      <c r="L108" s="143"/>
      <c r="M108" s="180"/>
      <c r="N108" s="3"/>
      <c r="O108" s="3"/>
      <c r="P108" s="3"/>
      <c r="Q108" s="3"/>
      <c r="R108" s="3"/>
      <c r="S108" s="3"/>
      <c r="T108" s="3"/>
      <c r="U108" s="3"/>
      <c r="V108" s="3"/>
      <c r="W108" s="3"/>
      <c r="X108" s="3"/>
      <c r="Y108" s="3"/>
      <c r="Z108" s="3"/>
      <c r="AA108" s="3"/>
    </row>
    <row r="109" spans="1:27">
      <c r="A109" s="3"/>
      <c r="B109" s="3"/>
      <c r="C109" s="175"/>
      <c r="D109" s="143" t="s">
        <v>219</v>
      </c>
      <c r="E109" s="143"/>
      <c r="F109" s="143"/>
      <c r="G109" s="143"/>
      <c r="H109" s="240" t="s">
        <v>140</v>
      </c>
      <c r="I109" s="143"/>
      <c r="J109" s="143"/>
      <c r="K109" s="143"/>
      <c r="L109" s="143"/>
      <c r="M109" s="180"/>
      <c r="N109" s="3"/>
      <c r="O109" s="3"/>
      <c r="P109" s="3"/>
      <c r="Q109" s="3"/>
      <c r="R109" s="3"/>
      <c r="S109" s="3"/>
      <c r="T109" s="3"/>
      <c r="U109" s="3"/>
      <c r="V109" s="3"/>
      <c r="W109" s="3"/>
      <c r="X109" s="3"/>
      <c r="Y109" s="3"/>
      <c r="Z109" s="3"/>
      <c r="AA109" s="3"/>
    </row>
    <row r="110" spans="1:27">
      <c r="A110" s="3"/>
      <c r="B110" s="3"/>
      <c r="C110" s="175"/>
      <c r="D110" s="143"/>
      <c r="E110" s="143"/>
      <c r="F110" s="143"/>
      <c r="G110" s="143"/>
      <c r="H110" s="143"/>
      <c r="I110" s="143"/>
      <c r="J110" s="143"/>
      <c r="K110" s="143"/>
      <c r="L110" s="143"/>
      <c r="M110" s="180"/>
      <c r="N110" s="3"/>
      <c r="O110" s="3"/>
      <c r="P110" s="3"/>
      <c r="Q110" s="3"/>
      <c r="R110" s="3"/>
      <c r="S110" s="3"/>
      <c r="T110" s="3"/>
      <c r="U110" s="3"/>
      <c r="V110" s="3"/>
      <c r="W110" s="3"/>
      <c r="X110" s="3"/>
      <c r="Y110" s="3"/>
      <c r="Z110" s="3"/>
      <c r="AA110" s="3"/>
    </row>
    <row r="111" spans="1:27">
      <c r="A111" s="3"/>
      <c r="B111" s="3"/>
      <c r="C111" s="175"/>
      <c r="D111" s="144" t="s">
        <v>817</v>
      </c>
      <c r="E111" s="143" t="s">
        <v>182</v>
      </c>
      <c r="F111" s="143"/>
      <c r="G111" s="525" t="s">
        <v>527</v>
      </c>
      <c r="H111" s="962"/>
      <c r="I111" s="143"/>
      <c r="J111" s="1003"/>
      <c r="K111" s="143" t="s">
        <v>857</v>
      </c>
      <c r="L111" s="143"/>
      <c r="M111" s="180"/>
      <c r="N111" s="3"/>
      <c r="O111" s="3"/>
      <c r="P111" s="3"/>
      <c r="Q111" s="3"/>
      <c r="R111" s="3"/>
      <c r="S111" s="3"/>
      <c r="T111" s="3"/>
      <c r="U111" s="3"/>
      <c r="V111" s="3"/>
      <c r="W111" s="3"/>
      <c r="X111" s="3"/>
      <c r="Y111" s="3"/>
      <c r="Z111" s="3"/>
      <c r="AA111" s="3"/>
    </row>
    <row r="112" spans="1:27">
      <c r="A112" s="3"/>
      <c r="B112" s="3"/>
      <c r="C112" s="175"/>
      <c r="D112" s="143"/>
      <c r="E112" s="143" t="s">
        <v>183</v>
      </c>
      <c r="F112" s="143"/>
      <c r="G112" s="525"/>
      <c r="H112" s="962"/>
      <c r="I112" s="143"/>
      <c r="J112" s="1003"/>
      <c r="K112" s="143" t="s">
        <v>857</v>
      </c>
      <c r="L112" s="143"/>
      <c r="M112" s="180"/>
      <c r="N112" s="3"/>
      <c r="O112" s="3"/>
      <c r="P112" s="3"/>
      <c r="Q112" s="3"/>
      <c r="R112" s="3"/>
      <c r="S112" s="3"/>
      <c r="T112" s="3"/>
      <c r="U112" s="3"/>
      <c r="V112" s="3"/>
      <c r="W112" s="3"/>
      <c r="X112" s="3"/>
      <c r="Y112" s="3"/>
      <c r="Z112" s="3"/>
      <c r="AA112" s="3"/>
    </row>
    <row r="113" spans="1:27">
      <c r="A113" s="3"/>
      <c r="B113" s="3"/>
      <c r="C113" s="175"/>
      <c r="D113" s="143"/>
      <c r="E113" s="143" t="s">
        <v>184</v>
      </c>
      <c r="F113" s="143"/>
      <c r="G113" s="525"/>
      <c r="H113" s="962"/>
      <c r="I113" s="143"/>
      <c r="J113" s="1003"/>
      <c r="K113" s="143" t="s">
        <v>857</v>
      </c>
      <c r="L113" s="143"/>
      <c r="M113" s="180"/>
      <c r="N113" s="3"/>
      <c r="O113" s="3"/>
      <c r="P113" s="3"/>
      <c r="Q113" s="3"/>
      <c r="R113" s="3"/>
      <c r="S113" s="3"/>
      <c r="T113" s="3"/>
      <c r="U113" s="3"/>
      <c r="V113" s="3"/>
      <c r="W113" s="3"/>
      <c r="X113" s="3"/>
      <c r="Y113" s="3"/>
      <c r="Z113" s="3"/>
      <c r="AA113" s="3"/>
    </row>
    <row r="114" spans="1:27">
      <c r="A114" s="3"/>
      <c r="B114" s="3"/>
      <c r="C114" s="175"/>
      <c r="D114" s="143"/>
      <c r="E114" s="143"/>
      <c r="F114" s="143"/>
      <c r="G114" s="143"/>
      <c r="H114" s="143"/>
      <c r="I114" s="143"/>
      <c r="J114" s="1052"/>
      <c r="K114" s="143"/>
      <c r="L114" s="143"/>
      <c r="M114" s="180"/>
      <c r="N114" s="3"/>
      <c r="O114" s="3"/>
      <c r="P114" s="3"/>
      <c r="Q114" s="3"/>
      <c r="R114" s="3"/>
      <c r="S114" s="3"/>
      <c r="T114" s="3"/>
      <c r="U114" s="3"/>
      <c r="V114" s="3"/>
      <c r="W114" s="3"/>
      <c r="X114" s="3"/>
      <c r="Y114" s="3"/>
      <c r="Z114" s="3"/>
      <c r="AA114" s="3"/>
    </row>
    <row r="115" spans="1:27">
      <c r="A115" s="3"/>
      <c r="B115" s="3"/>
      <c r="C115" s="175"/>
      <c r="D115" s="143"/>
      <c r="E115" s="143" t="s">
        <v>1063</v>
      </c>
      <c r="F115" s="143"/>
      <c r="G115" s="143"/>
      <c r="H115" s="143"/>
      <c r="I115" s="143"/>
      <c r="J115" s="1052"/>
      <c r="K115" s="143"/>
      <c r="L115" s="143"/>
      <c r="M115" s="180"/>
      <c r="N115" s="3"/>
      <c r="O115" s="3"/>
      <c r="P115" s="3"/>
      <c r="Q115" s="3"/>
      <c r="R115" s="3"/>
      <c r="S115" s="3"/>
      <c r="T115" s="3"/>
      <c r="U115" s="3"/>
      <c r="V115" s="3"/>
      <c r="W115" s="3"/>
      <c r="X115" s="3"/>
      <c r="Y115" s="3"/>
      <c r="Z115" s="3"/>
      <c r="AA115" s="3"/>
    </row>
    <row r="116" spans="1:27">
      <c r="A116" s="3"/>
      <c r="B116" s="3"/>
      <c r="C116" s="175"/>
      <c r="D116" s="143"/>
      <c r="E116" s="143" t="s">
        <v>1064</v>
      </c>
      <c r="F116" s="143"/>
      <c r="G116" s="143"/>
      <c r="H116" s="963"/>
      <c r="I116" s="190" t="s">
        <v>1065</v>
      </c>
      <c r="J116" s="1053">
        <f>Frequency!$M$16</f>
        <v>2412</v>
      </c>
      <c r="K116" s="143" t="s">
        <v>856</v>
      </c>
      <c r="L116" s="143"/>
      <c r="M116" s="180"/>
      <c r="N116" s="3"/>
      <c r="O116" s="3"/>
      <c r="P116" s="3"/>
      <c r="Q116" s="3"/>
      <c r="R116" s="3"/>
      <c r="S116" s="3"/>
      <c r="T116" s="3"/>
      <c r="U116" s="3"/>
      <c r="V116" s="3"/>
      <c r="W116" s="3"/>
      <c r="X116" s="3"/>
      <c r="Y116" s="3"/>
      <c r="Z116" s="3"/>
      <c r="AA116" s="3"/>
    </row>
    <row r="117" spans="1:27">
      <c r="A117" s="3"/>
      <c r="B117" s="3"/>
      <c r="C117" s="175"/>
      <c r="D117" s="143"/>
      <c r="E117" s="143" t="s">
        <v>1064</v>
      </c>
      <c r="F117" s="143"/>
      <c r="G117" s="143"/>
      <c r="H117" s="963"/>
      <c r="I117" s="190" t="s">
        <v>1065</v>
      </c>
      <c r="J117" s="1053">
        <f>Frequency!$M$16</f>
        <v>2412</v>
      </c>
      <c r="K117" s="143" t="s">
        <v>856</v>
      </c>
      <c r="L117" s="143"/>
      <c r="M117" s="180"/>
      <c r="N117" s="3"/>
      <c r="O117" s="3"/>
      <c r="P117" s="3"/>
      <c r="Q117" s="3"/>
      <c r="R117" s="3"/>
      <c r="S117" s="3"/>
      <c r="T117" s="3"/>
      <c r="U117" s="3"/>
      <c r="V117" s="3"/>
      <c r="W117" s="3"/>
      <c r="X117" s="3"/>
      <c r="Y117" s="3"/>
      <c r="Z117" s="3"/>
      <c r="AA117" s="3"/>
    </row>
    <row r="118" spans="1:27">
      <c r="A118" s="3"/>
      <c r="B118" s="3"/>
      <c r="C118" s="175"/>
      <c r="D118" s="143"/>
      <c r="E118" s="143" t="s">
        <v>1064</v>
      </c>
      <c r="F118" s="143"/>
      <c r="G118" s="143"/>
      <c r="H118" s="963"/>
      <c r="I118" s="190" t="s">
        <v>1065</v>
      </c>
      <c r="J118" s="1053">
        <f>Frequency!$M$16</f>
        <v>2412</v>
      </c>
      <c r="K118" s="143" t="s">
        <v>856</v>
      </c>
      <c r="L118" s="143"/>
      <c r="M118" s="180"/>
      <c r="N118" s="3"/>
      <c r="O118" s="3"/>
      <c r="P118" s="3"/>
      <c r="Q118" s="3"/>
      <c r="R118" s="3"/>
      <c r="S118" s="3"/>
      <c r="T118" s="3"/>
      <c r="U118" s="3"/>
      <c r="V118" s="3"/>
      <c r="W118" s="3"/>
      <c r="X118" s="3"/>
      <c r="Y118" s="3"/>
      <c r="Z118" s="3"/>
      <c r="AA118" s="3"/>
    </row>
    <row r="119" spans="1:27">
      <c r="A119" s="3"/>
      <c r="B119" s="3"/>
      <c r="C119" s="175"/>
      <c r="D119" s="143"/>
      <c r="E119" s="143"/>
      <c r="F119" s="143"/>
      <c r="G119" s="143"/>
      <c r="H119" s="143"/>
      <c r="I119" s="143"/>
      <c r="J119" s="143"/>
      <c r="K119" s="143"/>
      <c r="L119" s="143"/>
      <c r="M119" s="180"/>
      <c r="N119" s="3"/>
      <c r="O119" s="3"/>
      <c r="P119" s="3"/>
      <c r="Q119" s="3"/>
      <c r="R119" s="3"/>
      <c r="S119" s="3"/>
      <c r="T119" s="3"/>
      <c r="U119" s="3"/>
      <c r="V119" s="3"/>
      <c r="W119" s="3"/>
      <c r="X119" s="3"/>
      <c r="Y119" s="3"/>
      <c r="Z119" s="3"/>
      <c r="AA119" s="3"/>
    </row>
    <row r="120" spans="1:27">
      <c r="A120" s="3"/>
      <c r="B120" s="3"/>
      <c r="C120" s="175"/>
      <c r="D120" s="143"/>
      <c r="E120" s="143" t="s">
        <v>224</v>
      </c>
      <c r="F120" s="143"/>
      <c r="G120" s="143"/>
      <c r="H120" s="143"/>
      <c r="I120" s="143" t="s">
        <v>1090</v>
      </c>
      <c r="J120" s="143">
        <f>J111*H116</f>
        <v>0</v>
      </c>
      <c r="K120" s="143" t="s">
        <v>859</v>
      </c>
      <c r="L120" s="143"/>
      <c r="M120" s="180"/>
      <c r="N120" s="3"/>
      <c r="O120" s="3"/>
      <c r="P120" s="3"/>
      <c r="Q120" s="3"/>
      <c r="R120" s="3"/>
      <c r="S120" s="3"/>
      <c r="T120" s="3"/>
      <c r="U120" s="3"/>
      <c r="V120" s="3"/>
      <c r="W120" s="3"/>
      <c r="X120" s="3"/>
      <c r="Y120" s="3"/>
      <c r="Z120" s="3"/>
      <c r="AA120" s="3"/>
    </row>
    <row r="121" spans="1:27">
      <c r="A121" s="3"/>
      <c r="B121" s="3"/>
      <c r="C121" s="175"/>
      <c r="D121" s="143"/>
      <c r="E121" s="143" t="s">
        <v>228</v>
      </c>
      <c r="F121" s="143"/>
      <c r="G121" s="143"/>
      <c r="H121" s="143"/>
      <c r="I121" s="143" t="s">
        <v>1091</v>
      </c>
      <c r="J121" s="143">
        <f t="shared" ref="J121:J122" si="7">J112*H117</f>
        <v>0</v>
      </c>
      <c r="K121" s="143" t="s">
        <v>859</v>
      </c>
      <c r="L121" s="143"/>
      <c r="M121" s="180"/>
      <c r="N121" s="3"/>
      <c r="O121" s="3"/>
      <c r="P121" s="3"/>
      <c r="Q121" s="3"/>
      <c r="R121" s="3"/>
      <c r="S121" s="3"/>
      <c r="T121" s="3"/>
      <c r="U121" s="3"/>
      <c r="V121" s="3"/>
      <c r="W121" s="3"/>
      <c r="X121" s="3"/>
      <c r="Y121" s="3"/>
      <c r="Z121" s="3"/>
      <c r="AA121" s="3"/>
    </row>
    <row r="122" spans="1:27">
      <c r="A122" s="3"/>
      <c r="B122" s="3"/>
      <c r="C122" s="175"/>
      <c r="D122" s="143"/>
      <c r="E122" s="143" t="s">
        <v>229</v>
      </c>
      <c r="F122" s="143"/>
      <c r="G122" s="143"/>
      <c r="H122" s="143"/>
      <c r="I122" s="143" t="s">
        <v>1092</v>
      </c>
      <c r="J122" s="143">
        <f t="shared" si="7"/>
        <v>0</v>
      </c>
      <c r="K122" s="143" t="s">
        <v>859</v>
      </c>
      <c r="L122" s="143"/>
      <c r="M122" s="180"/>
      <c r="N122" s="3"/>
      <c r="O122" s="3"/>
      <c r="P122" s="3"/>
      <c r="Q122" s="3"/>
      <c r="R122" s="3"/>
      <c r="S122" s="3"/>
      <c r="T122" s="3"/>
      <c r="U122" s="3"/>
      <c r="V122" s="3"/>
      <c r="W122" s="3"/>
      <c r="X122" s="3"/>
      <c r="Y122" s="3"/>
      <c r="Z122" s="3"/>
      <c r="AA122" s="3"/>
    </row>
    <row r="123" spans="1:27">
      <c r="A123" s="3"/>
      <c r="B123" s="3"/>
      <c r="C123" s="175"/>
      <c r="D123" s="143"/>
      <c r="E123" s="143" t="s">
        <v>230</v>
      </c>
      <c r="F123" s="143"/>
      <c r="G123" s="143"/>
      <c r="H123" s="143"/>
      <c r="I123" s="143" t="s">
        <v>1093</v>
      </c>
      <c r="J123" s="1003">
        <v>0</v>
      </c>
      <c r="K123" s="143" t="s">
        <v>859</v>
      </c>
      <c r="L123" s="143"/>
      <c r="M123" s="180"/>
      <c r="N123" s="3"/>
      <c r="O123" s="3"/>
      <c r="P123" s="3"/>
      <c r="Q123" s="3"/>
      <c r="R123" s="3"/>
      <c r="S123" s="3"/>
      <c r="T123" s="3"/>
      <c r="U123" s="3"/>
      <c r="V123" s="3"/>
      <c r="W123" s="3"/>
      <c r="X123" s="3"/>
      <c r="Y123" s="3"/>
      <c r="Z123" s="3"/>
      <c r="AA123" s="3"/>
    </row>
    <row r="124" spans="1:27" ht="13">
      <c r="A124" s="3"/>
      <c r="B124" s="3"/>
      <c r="C124" s="175"/>
      <c r="D124" s="143"/>
      <c r="E124" s="143" t="s">
        <v>232</v>
      </c>
      <c r="F124" s="143"/>
      <c r="G124" s="143"/>
      <c r="H124" s="143"/>
      <c r="I124" s="143" t="s">
        <v>1094</v>
      </c>
      <c r="J124" s="1003">
        <v>0</v>
      </c>
      <c r="K124" s="143" t="s">
        <v>859</v>
      </c>
      <c r="L124" s="143"/>
      <c r="M124" s="180"/>
      <c r="N124" s="3"/>
      <c r="O124" s="357" t="s">
        <v>781</v>
      </c>
      <c r="P124" s="372"/>
      <c r="Q124" s="291"/>
      <c r="R124" s="291"/>
      <c r="S124" s="291"/>
      <c r="T124" s="291"/>
      <c r="U124" s="291"/>
      <c r="V124" s="292"/>
      <c r="W124" s="3"/>
      <c r="X124" s="3"/>
      <c r="Y124" s="3"/>
      <c r="Z124" s="3"/>
      <c r="AA124" s="3"/>
    </row>
    <row r="125" spans="1:27">
      <c r="A125" s="3"/>
      <c r="B125" s="3"/>
      <c r="C125" s="175"/>
      <c r="D125" s="143"/>
      <c r="E125" s="143" t="s">
        <v>259</v>
      </c>
      <c r="F125" s="143"/>
      <c r="G125" s="143"/>
      <c r="H125" s="386">
        <v>8</v>
      </c>
      <c r="I125" s="143" t="s">
        <v>261</v>
      </c>
      <c r="J125" s="1054">
        <f>H125*0.05</f>
        <v>0.4</v>
      </c>
      <c r="K125" s="143" t="s">
        <v>859</v>
      </c>
      <c r="L125" s="143"/>
      <c r="M125" s="180" t="s">
        <v>1062</v>
      </c>
      <c r="N125" s="3"/>
      <c r="O125" s="293"/>
      <c r="P125" s="295"/>
      <c r="Q125" s="295"/>
      <c r="R125" s="295"/>
      <c r="S125" s="295"/>
      <c r="T125" s="295"/>
      <c r="U125" s="295"/>
      <c r="V125" s="358"/>
      <c r="W125" s="3"/>
      <c r="X125" s="3"/>
      <c r="Y125" s="3"/>
      <c r="Z125" s="3"/>
      <c r="AA125" s="3"/>
    </row>
    <row r="126" spans="1:27">
      <c r="A126" s="3"/>
      <c r="B126" s="3"/>
      <c r="C126" s="175"/>
      <c r="D126" s="143"/>
      <c r="E126" s="143" t="s">
        <v>528</v>
      </c>
      <c r="F126" s="143"/>
      <c r="G126" s="143"/>
      <c r="H126" s="143"/>
      <c r="I126" s="143"/>
      <c r="J126" s="525" t="s">
        <v>527</v>
      </c>
      <c r="K126" s="371"/>
      <c r="L126" s="143"/>
      <c r="M126" s="180"/>
      <c r="N126" s="3"/>
      <c r="O126" s="293"/>
      <c r="P126" s="295" t="s">
        <v>266</v>
      </c>
      <c r="Q126" s="295"/>
      <c r="R126" s="295"/>
      <c r="S126" s="295"/>
      <c r="T126" s="295"/>
      <c r="U126" s="295"/>
      <c r="V126" s="358"/>
      <c r="W126" s="3"/>
      <c r="X126" s="3"/>
      <c r="Y126" s="3"/>
      <c r="Z126" s="3"/>
      <c r="AA126" s="3"/>
    </row>
    <row r="127" spans="1:27">
      <c r="A127" s="3"/>
      <c r="B127" s="3"/>
      <c r="C127" s="175"/>
      <c r="D127" s="143"/>
      <c r="E127" s="143"/>
      <c r="F127" s="143"/>
      <c r="G127" s="143"/>
      <c r="H127" s="143"/>
      <c r="I127" s="143"/>
      <c r="J127" s="143"/>
      <c r="K127" s="143"/>
      <c r="L127" s="143"/>
      <c r="M127" s="180"/>
      <c r="N127" s="3"/>
      <c r="O127" s="293"/>
      <c r="P127" s="295"/>
      <c r="Q127" s="295"/>
      <c r="R127" s="295"/>
      <c r="S127" s="295"/>
      <c r="T127" s="295"/>
      <c r="U127" s="295"/>
      <c r="V127" s="358"/>
      <c r="W127" s="3"/>
      <c r="X127" s="3"/>
      <c r="Y127" s="3"/>
      <c r="Z127" s="3"/>
      <c r="AA127" s="3"/>
    </row>
    <row r="128" spans="1:27">
      <c r="A128" s="3"/>
      <c r="B128" s="3"/>
      <c r="C128" s="175"/>
      <c r="D128" s="143"/>
      <c r="E128" s="143" t="s">
        <v>234</v>
      </c>
      <c r="F128" s="143"/>
      <c r="G128" s="143"/>
      <c r="H128" s="143"/>
      <c r="I128" s="143"/>
      <c r="J128" s="1055">
        <f>SUM(J120:J125)</f>
        <v>0.4</v>
      </c>
      <c r="K128" s="143" t="s">
        <v>859</v>
      </c>
      <c r="L128" s="143"/>
      <c r="M128" s="180"/>
      <c r="N128" s="3"/>
      <c r="O128" s="293"/>
      <c r="P128" s="295"/>
      <c r="Q128" s="295" t="s">
        <v>263</v>
      </c>
      <c r="R128" s="295"/>
      <c r="S128" s="295"/>
      <c r="T128" s="285">
        <v>2405</v>
      </c>
      <c r="U128" s="43" t="s">
        <v>856</v>
      </c>
      <c r="V128" s="358"/>
      <c r="W128" s="3"/>
      <c r="X128" s="3"/>
      <c r="Y128" s="3"/>
      <c r="Z128" s="3"/>
      <c r="AA128" s="3"/>
    </row>
    <row r="129" spans="1:27">
      <c r="A129" s="3"/>
      <c r="B129" s="3"/>
      <c r="C129" s="175"/>
      <c r="D129" s="143"/>
      <c r="E129" s="143"/>
      <c r="F129" s="143"/>
      <c r="G129" s="143"/>
      <c r="H129" s="143"/>
      <c r="I129" s="143"/>
      <c r="J129" s="143"/>
      <c r="K129" s="143"/>
      <c r="L129" s="143"/>
      <c r="M129" s="180"/>
      <c r="N129" s="3"/>
      <c r="O129" s="293"/>
      <c r="P129" s="295"/>
      <c r="Q129" s="295"/>
      <c r="R129" s="295"/>
      <c r="S129" s="295"/>
      <c r="T129" s="295"/>
      <c r="U129" s="295"/>
      <c r="V129" s="358"/>
      <c r="W129" s="3"/>
      <c r="X129" s="3"/>
      <c r="Y129" s="3"/>
      <c r="Z129" s="3"/>
      <c r="AA129" s="3"/>
    </row>
    <row r="130" spans="1:27">
      <c r="A130" s="3"/>
      <c r="B130" s="3"/>
      <c r="C130" s="175"/>
      <c r="D130" s="143" t="s">
        <v>235</v>
      </c>
      <c r="E130" s="143"/>
      <c r="F130" s="143"/>
      <c r="G130" s="143"/>
      <c r="H130" s="143"/>
      <c r="I130" s="368" t="s">
        <v>236</v>
      </c>
      <c r="J130" s="1007">
        <f>10^-(J128/10)</f>
        <v>0.91201083935590965</v>
      </c>
      <c r="K130" s="143"/>
      <c r="L130" s="143"/>
      <c r="M130" s="180"/>
      <c r="N130" s="3"/>
      <c r="O130" s="293"/>
      <c r="P130" s="295"/>
      <c r="Q130" s="295" t="s">
        <v>264</v>
      </c>
      <c r="R130" s="295"/>
      <c r="S130" s="295"/>
      <c r="T130" s="375">
        <f>80*((T128/1000)/0.25)^-2.75+2.7</f>
        <v>2.8582554003367244</v>
      </c>
      <c r="U130" s="374" t="s">
        <v>887</v>
      </c>
      <c r="V130" s="358"/>
      <c r="W130" s="3"/>
      <c r="X130" s="3"/>
      <c r="Y130" s="3"/>
      <c r="Z130" s="3"/>
      <c r="AA130" s="3"/>
    </row>
    <row r="131" spans="1:27">
      <c r="A131" s="3"/>
      <c r="B131" s="3"/>
      <c r="C131" s="175"/>
      <c r="D131" s="143"/>
      <c r="E131" s="143"/>
      <c r="F131" s="143"/>
      <c r="G131" s="143"/>
      <c r="H131" s="143"/>
      <c r="I131" s="143"/>
      <c r="J131" s="143"/>
      <c r="K131" s="143"/>
      <c r="L131" s="143"/>
      <c r="M131" s="180"/>
      <c r="N131" s="3"/>
      <c r="O131" s="293"/>
      <c r="P131" s="295"/>
      <c r="Q131" s="295"/>
      <c r="R131" s="295"/>
      <c r="S131" s="295"/>
      <c r="T131" s="295"/>
      <c r="U131" s="359"/>
      <c r="V131" s="358"/>
      <c r="W131" s="3"/>
      <c r="X131" s="3"/>
      <c r="Y131" s="3"/>
      <c r="Z131" s="3"/>
      <c r="AA131" s="3"/>
    </row>
    <row r="132" spans="1:27">
      <c r="A132" s="3"/>
      <c r="B132" s="3"/>
      <c r="C132" s="175"/>
      <c r="D132" s="143" t="s">
        <v>237</v>
      </c>
      <c r="E132" s="143"/>
      <c r="F132" s="143"/>
      <c r="G132" s="240" t="s">
        <v>140</v>
      </c>
      <c r="H132" s="143"/>
      <c r="I132" s="143" t="s">
        <v>1095</v>
      </c>
      <c r="J132" s="1008">
        <v>500</v>
      </c>
      <c r="K132" s="143" t="s">
        <v>887</v>
      </c>
      <c r="L132" s="143" t="s">
        <v>1062</v>
      </c>
      <c r="M132" s="180"/>
      <c r="N132" s="3"/>
      <c r="O132" s="293"/>
      <c r="P132" s="295"/>
      <c r="Q132" s="295" t="s">
        <v>265</v>
      </c>
      <c r="R132" s="295"/>
      <c r="S132" s="295"/>
      <c r="T132" s="375">
        <f>380*((T128/1000)/0.25)^-2.75+2.7</f>
        <v>3.4517131515994399</v>
      </c>
      <c r="U132" s="374" t="s">
        <v>887</v>
      </c>
      <c r="V132" s="358"/>
      <c r="W132" s="3"/>
      <c r="X132" s="3"/>
      <c r="Y132" s="3"/>
      <c r="Z132" s="3"/>
      <c r="AA132" s="3"/>
    </row>
    <row r="133" spans="1:27">
      <c r="A133" s="3"/>
      <c r="B133" s="3"/>
      <c r="C133" s="175"/>
      <c r="D133" s="143"/>
      <c r="E133" s="143"/>
      <c r="F133" s="143"/>
      <c r="G133" s="143"/>
      <c r="H133" s="143"/>
      <c r="I133" s="143"/>
      <c r="J133" s="143"/>
      <c r="K133" s="143"/>
      <c r="L133" s="143"/>
      <c r="M133" s="180"/>
      <c r="N133" s="3"/>
      <c r="O133" s="293"/>
      <c r="P133" s="295"/>
      <c r="Q133" s="295"/>
      <c r="R133" s="295"/>
      <c r="S133" s="295"/>
      <c r="T133" s="295"/>
      <c r="U133" s="295"/>
      <c r="V133" s="358"/>
      <c r="W133" s="3"/>
      <c r="X133" s="3"/>
      <c r="Y133" s="3"/>
      <c r="Z133" s="3"/>
      <c r="AA133" s="3"/>
    </row>
    <row r="134" spans="1:27">
      <c r="A134" s="3"/>
      <c r="B134" s="3"/>
      <c r="C134" s="175"/>
      <c r="D134" s="143" t="s">
        <v>637</v>
      </c>
      <c r="E134" s="143"/>
      <c r="F134" s="143"/>
      <c r="G134" s="143"/>
      <c r="H134" s="143"/>
      <c r="I134" s="143" t="s">
        <v>1096</v>
      </c>
      <c r="J134" s="1008">
        <v>290</v>
      </c>
      <c r="K134" s="143" t="s">
        <v>887</v>
      </c>
      <c r="L134" s="143"/>
      <c r="M134" s="180"/>
      <c r="N134" s="3"/>
      <c r="O134" s="293"/>
      <c r="P134" s="295"/>
      <c r="Q134" s="295"/>
      <c r="R134" s="295"/>
      <c r="S134" s="295"/>
      <c r="T134" s="295"/>
      <c r="U134" s="295"/>
      <c r="V134" s="358"/>
      <c r="W134" s="3"/>
      <c r="X134" s="3"/>
      <c r="Y134" s="3"/>
      <c r="Z134" s="3"/>
      <c r="AA134" s="3"/>
    </row>
    <row r="135" spans="1:27">
      <c r="A135" s="3"/>
      <c r="B135" s="3"/>
      <c r="C135" s="175"/>
      <c r="D135" s="143"/>
      <c r="E135" s="143"/>
      <c r="F135" s="143"/>
      <c r="G135" s="143"/>
      <c r="H135" s="143"/>
      <c r="I135" s="143"/>
      <c r="J135" s="143"/>
      <c r="K135" s="143"/>
      <c r="L135" s="143"/>
      <c r="M135" s="180"/>
      <c r="N135" s="3"/>
      <c r="O135" s="293"/>
      <c r="P135" s="295" t="s">
        <v>22</v>
      </c>
      <c r="Q135" s="295"/>
      <c r="R135" s="295"/>
      <c r="S135" s="295"/>
      <c r="T135" s="295"/>
      <c r="U135" s="295"/>
      <c r="V135" s="358"/>
      <c r="W135" s="3"/>
      <c r="X135" s="3"/>
      <c r="Y135" s="3"/>
      <c r="Z135" s="3"/>
      <c r="AA135" s="3"/>
    </row>
    <row r="136" spans="1:27">
      <c r="A136" s="3"/>
      <c r="B136" s="3"/>
      <c r="C136" s="175"/>
      <c r="D136" s="143" t="s">
        <v>241</v>
      </c>
      <c r="E136" s="143"/>
      <c r="F136" s="143"/>
      <c r="G136" s="143"/>
      <c r="H136" s="143"/>
      <c r="I136" s="143" t="s">
        <v>1097</v>
      </c>
      <c r="J136" s="1008">
        <v>360</v>
      </c>
      <c r="K136" s="143" t="s">
        <v>887</v>
      </c>
      <c r="L136" s="143"/>
      <c r="M136" s="180"/>
      <c r="N136" s="3"/>
      <c r="O136" s="293"/>
      <c r="P136" s="295"/>
      <c r="Q136" s="295"/>
      <c r="R136" s="295"/>
      <c r="S136" s="295"/>
      <c r="T136" s="295"/>
      <c r="U136" s="295"/>
      <c r="V136" s="358"/>
      <c r="W136" s="3"/>
      <c r="X136" s="3"/>
      <c r="Y136" s="3"/>
      <c r="Z136" s="3"/>
      <c r="AA136" s="3"/>
    </row>
    <row r="137" spans="1:27">
      <c r="A137" s="3"/>
      <c r="B137" s="3"/>
      <c r="C137" s="175"/>
      <c r="D137" s="143"/>
      <c r="E137" s="143"/>
      <c r="F137" s="143"/>
      <c r="G137" s="143"/>
      <c r="H137" s="143"/>
      <c r="I137" s="143"/>
      <c r="J137" s="143"/>
      <c r="K137" s="143"/>
      <c r="L137" s="143"/>
      <c r="M137" s="180"/>
      <c r="N137" s="3"/>
      <c r="O137" s="293"/>
      <c r="P137" s="295"/>
      <c r="Q137" s="295" t="s">
        <v>267</v>
      </c>
      <c r="R137" s="295"/>
      <c r="S137" s="295"/>
      <c r="T137" s="373">
        <v>10</v>
      </c>
      <c r="U137" s="371" t="s">
        <v>269</v>
      </c>
      <c r="V137" s="358"/>
      <c r="W137" s="3"/>
      <c r="X137" s="3"/>
      <c r="Y137" s="3"/>
      <c r="Z137" s="3"/>
      <c r="AA137" s="3"/>
    </row>
    <row r="138" spans="1:27">
      <c r="A138" s="3"/>
      <c r="B138" s="3"/>
      <c r="C138" s="175"/>
      <c r="D138" s="143" t="s">
        <v>244</v>
      </c>
      <c r="E138" s="143"/>
      <c r="F138" s="1009">
        <v>16</v>
      </c>
      <c r="G138" s="143" t="s">
        <v>859</v>
      </c>
      <c r="H138" s="143"/>
      <c r="I138" s="143" t="s">
        <v>1098</v>
      </c>
      <c r="J138" s="300">
        <f>10^(F138/10)</f>
        <v>39.810717055349755</v>
      </c>
      <c r="K138" s="143"/>
      <c r="L138" s="143"/>
      <c r="M138" s="180"/>
      <c r="N138" s="3"/>
      <c r="O138" s="293"/>
      <c r="P138" s="295"/>
      <c r="Q138" s="295"/>
      <c r="R138" s="295"/>
      <c r="S138" s="295"/>
      <c r="T138" s="295"/>
      <c r="U138" s="295"/>
      <c r="V138" s="358"/>
      <c r="W138" s="3"/>
      <c r="X138" s="3"/>
      <c r="Y138" s="3"/>
      <c r="Z138" s="3"/>
      <c r="AA138" s="3"/>
    </row>
    <row r="139" spans="1:27">
      <c r="A139" s="3"/>
      <c r="B139" s="3"/>
      <c r="C139" s="175"/>
      <c r="D139" s="143"/>
      <c r="E139" s="143"/>
      <c r="F139" s="1056"/>
      <c r="G139" s="143"/>
      <c r="H139" s="143"/>
      <c r="I139" s="143"/>
      <c r="J139" s="300"/>
      <c r="K139" s="143"/>
      <c r="L139" s="143"/>
      <c r="M139" s="180"/>
      <c r="N139" s="3"/>
      <c r="O139" s="293"/>
      <c r="P139" s="240" t="s">
        <v>140</v>
      </c>
      <c r="Q139" s="379" t="s">
        <v>23</v>
      </c>
      <c r="R139" s="295"/>
      <c r="S139" s="295"/>
      <c r="T139" s="285">
        <v>-132</v>
      </c>
      <c r="U139" s="371" t="s">
        <v>885</v>
      </c>
      <c r="V139" s="358"/>
      <c r="W139" s="3"/>
      <c r="X139" s="3"/>
      <c r="Y139" s="3"/>
      <c r="Z139" s="3"/>
      <c r="AA139" s="3"/>
    </row>
    <row r="140" spans="1:27">
      <c r="A140" s="3"/>
      <c r="B140" s="3"/>
      <c r="C140" s="175"/>
      <c r="D140" s="143" t="s">
        <v>768</v>
      </c>
      <c r="E140" s="143"/>
      <c r="F140" s="1056"/>
      <c r="G140" s="240" t="s">
        <v>140</v>
      </c>
      <c r="H140" s="143"/>
      <c r="I140" s="143"/>
      <c r="J140" s="1009">
        <v>0</v>
      </c>
      <c r="K140" s="143" t="s">
        <v>767</v>
      </c>
      <c r="L140" s="143"/>
      <c r="M140" s="180"/>
      <c r="N140" s="3"/>
      <c r="O140" s="293"/>
      <c r="P140" s="295"/>
      <c r="Q140" s="295"/>
      <c r="R140" s="295"/>
      <c r="S140" s="295"/>
      <c r="T140" s="295"/>
      <c r="U140" s="295"/>
      <c r="V140" s="358"/>
      <c r="W140" s="3"/>
      <c r="X140" s="3"/>
      <c r="Y140" s="3"/>
      <c r="Z140" s="3"/>
      <c r="AA140" s="3"/>
    </row>
    <row r="141" spans="1:27">
      <c r="A141" s="3"/>
      <c r="B141" s="3"/>
      <c r="C141" s="175"/>
      <c r="D141" s="143"/>
      <c r="E141" s="143"/>
      <c r="F141" s="1056"/>
      <c r="G141" s="143"/>
      <c r="H141" s="143"/>
      <c r="I141" s="143"/>
      <c r="J141" s="300"/>
      <c r="K141" s="143"/>
      <c r="L141" s="143"/>
      <c r="M141" s="180"/>
      <c r="N141" s="3"/>
      <c r="O141" s="293"/>
      <c r="P141" s="295"/>
      <c r="Q141" s="379" t="s">
        <v>268</v>
      </c>
      <c r="R141" s="295"/>
      <c r="S141" s="295"/>
      <c r="T141" s="375">
        <f>10^((T139+198.6-10*LOG10(T137*1000))/10)</f>
        <v>457.08818961487435</v>
      </c>
      <c r="U141" s="376" t="s">
        <v>887</v>
      </c>
      <c r="V141" s="358"/>
      <c r="W141" s="3"/>
      <c r="X141" s="3"/>
      <c r="Y141" s="3"/>
      <c r="Z141" s="3"/>
      <c r="AA141" s="3"/>
    </row>
    <row r="142" spans="1:27">
      <c r="A142" s="3"/>
      <c r="B142" s="3"/>
      <c r="C142" s="175"/>
      <c r="D142" s="143" t="s">
        <v>769</v>
      </c>
      <c r="E142" s="143"/>
      <c r="F142" s="1056"/>
      <c r="G142" s="143"/>
      <c r="H142" s="143"/>
      <c r="I142" s="143"/>
      <c r="J142" s="525" t="s">
        <v>527</v>
      </c>
      <c r="K142" s="371"/>
      <c r="L142" s="143"/>
      <c r="M142" s="180"/>
      <c r="N142" s="3"/>
      <c r="O142" s="293"/>
      <c r="P142" s="295"/>
      <c r="Q142" s="295"/>
      <c r="R142" s="295"/>
      <c r="S142" s="295"/>
      <c r="T142" s="295"/>
      <c r="U142" s="295"/>
      <c r="V142" s="358"/>
      <c r="W142" s="3"/>
      <c r="X142" s="3"/>
      <c r="Y142" s="3"/>
      <c r="Z142" s="3"/>
      <c r="AA142" s="3"/>
    </row>
    <row r="143" spans="1:27" ht="13">
      <c r="A143" s="3"/>
      <c r="B143" s="3"/>
      <c r="C143" s="175"/>
      <c r="D143" s="143"/>
      <c r="E143" s="143"/>
      <c r="F143" s="1056"/>
      <c r="G143" s="143"/>
      <c r="H143" s="143"/>
      <c r="I143" s="143"/>
      <c r="J143" s="300"/>
      <c r="K143" s="143"/>
      <c r="L143" s="143"/>
      <c r="M143" s="180"/>
      <c r="N143" s="3"/>
      <c r="O143" s="293"/>
      <c r="P143" s="295" t="s">
        <v>270</v>
      </c>
      <c r="Q143" s="295"/>
      <c r="R143" s="295"/>
      <c r="S143" s="295"/>
      <c r="T143" s="378">
        <f>T130+T141</f>
        <v>459.94644501521105</v>
      </c>
      <c r="U143" s="377" t="s">
        <v>887</v>
      </c>
      <c r="V143" s="358"/>
      <c r="W143" s="3"/>
      <c r="X143" s="3"/>
      <c r="Y143" s="3"/>
      <c r="Z143" s="3"/>
      <c r="AA143" s="3"/>
    </row>
    <row r="144" spans="1:27">
      <c r="A144" s="3"/>
      <c r="B144" s="3"/>
      <c r="C144" s="175"/>
      <c r="D144" s="143" t="s">
        <v>770</v>
      </c>
      <c r="E144" s="143"/>
      <c r="F144" s="1056"/>
      <c r="G144" s="143"/>
      <c r="H144" s="143"/>
      <c r="I144" s="143"/>
      <c r="J144" s="1057"/>
      <c r="K144" s="143" t="s">
        <v>555</v>
      </c>
      <c r="L144" s="143"/>
      <c r="M144" s="180"/>
      <c r="N144" s="3"/>
      <c r="O144" s="293"/>
      <c r="P144" s="295"/>
      <c r="Q144" s="295"/>
      <c r="R144" s="295"/>
      <c r="S144" s="295"/>
      <c r="T144" s="297"/>
      <c r="U144" s="297"/>
      <c r="V144" s="358"/>
      <c r="W144" s="3"/>
      <c r="X144" s="3"/>
      <c r="Y144" s="3"/>
      <c r="Z144" s="3"/>
      <c r="AA144" s="3"/>
    </row>
    <row r="145" spans="1:27" ht="13">
      <c r="A145" s="3"/>
      <c r="B145" s="3"/>
      <c r="C145" s="175"/>
      <c r="D145" s="143"/>
      <c r="E145" s="143"/>
      <c r="F145" s="1056"/>
      <c r="G145" s="143"/>
      <c r="H145" s="143"/>
      <c r="I145" s="143"/>
      <c r="J145" s="300"/>
      <c r="K145" s="143"/>
      <c r="L145" s="143"/>
      <c r="M145" s="180"/>
      <c r="N145" s="3"/>
      <c r="O145" s="293"/>
      <c r="P145" s="295" t="s">
        <v>271</v>
      </c>
      <c r="Q145" s="295"/>
      <c r="R145" s="295"/>
      <c r="S145" s="295"/>
      <c r="T145" s="378">
        <f>T132+T141</f>
        <v>460.5399027664738</v>
      </c>
      <c r="U145" s="377" t="s">
        <v>887</v>
      </c>
      <c r="V145" s="358"/>
      <c r="W145" s="3"/>
      <c r="X145" s="3"/>
      <c r="Y145" s="3"/>
      <c r="Z145" s="3"/>
      <c r="AA145" s="3"/>
    </row>
    <row r="146" spans="1:27">
      <c r="A146" s="3"/>
      <c r="B146" s="3"/>
      <c r="C146" s="175"/>
      <c r="D146" s="143" t="s">
        <v>771</v>
      </c>
      <c r="E146" s="143"/>
      <c r="F146" s="1056"/>
      <c r="G146" s="143"/>
      <c r="H146" s="143"/>
      <c r="I146" s="143"/>
      <c r="J146" s="300">
        <f>J140*J144</f>
        <v>0</v>
      </c>
      <c r="K146" s="143" t="s">
        <v>859</v>
      </c>
      <c r="L146" s="143"/>
      <c r="M146" s="180"/>
      <c r="N146" s="3"/>
      <c r="O146" s="296"/>
      <c r="P146" s="297"/>
      <c r="Q146" s="297"/>
      <c r="R146" s="297"/>
      <c r="S146" s="297"/>
      <c r="T146" s="297"/>
      <c r="U146" s="297"/>
      <c r="V146" s="298"/>
      <c r="W146" s="3"/>
      <c r="X146" s="3"/>
      <c r="Y146" s="3"/>
      <c r="Z146" s="3"/>
      <c r="AA146" s="3"/>
    </row>
    <row r="147" spans="1:27" ht="13" thickBot="1">
      <c r="A147" s="3"/>
      <c r="B147" s="3"/>
      <c r="C147" s="175"/>
      <c r="D147" s="143"/>
      <c r="E147" s="143"/>
      <c r="F147" s="143"/>
      <c r="G147" s="143"/>
      <c r="H147" s="143"/>
      <c r="I147" s="143"/>
      <c r="J147" s="143"/>
      <c r="K147" s="143"/>
      <c r="L147" s="143"/>
      <c r="M147" s="180"/>
      <c r="N147" s="3"/>
      <c r="O147" s="3"/>
      <c r="P147" s="3"/>
      <c r="Q147" s="3"/>
      <c r="R147" s="3"/>
      <c r="S147" s="3"/>
      <c r="T147" s="3"/>
      <c r="U147" s="3"/>
      <c r="V147" s="3"/>
      <c r="W147" s="3"/>
      <c r="X147" s="3"/>
      <c r="Y147" s="3"/>
      <c r="Z147" s="3"/>
      <c r="AA147" s="3"/>
    </row>
    <row r="148" spans="1:27" ht="13.5" thickTop="1">
      <c r="A148" s="3"/>
      <c r="B148" s="3"/>
      <c r="C148" s="175"/>
      <c r="D148" s="143" t="s">
        <v>108</v>
      </c>
      <c r="E148" s="143"/>
      <c r="F148" s="143"/>
      <c r="G148" s="143"/>
      <c r="H148" s="143"/>
      <c r="I148" s="143" t="s">
        <v>1099</v>
      </c>
      <c r="J148" s="1010">
        <v>4306</v>
      </c>
      <c r="K148" s="143" t="s">
        <v>887</v>
      </c>
      <c r="L148" s="143"/>
      <c r="M148" s="180"/>
      <c r="N148" s="3"/>
      <c r="O148" s="1011" t="s">
        <v>1077</v>
      </c>
      <c r="P148" s="1012"/>
      <c r="Q148" s="1012"/>
      <c r="R148" s="1012"/>
      <c r="S148" s="1012"/>
      <c r="T148" s="1012"/>
      <c r="U148" s="1012"/>
      <c r="V148" s="1012"/>
      <c r="W148" s="1012"/>
      <c r="X148" s="1012"/>
      <c r="Y148" s="1012"/>
      <c r="Z148" s="1012"/>
      <c r="AA148" s="1013"/>
    </row>
    <row r="149" spans="1:27">
      <c r="A149" s="3"/>
      <c r="B149" s="3"/>
      <c r="C149" s="175"/>
      <c r="D149" s="143"/>
      <c r="E149" s="143"/>
      <c r="F149" s="143"/>
      <c r="G149" s="143"/>
      <c r="H149" s="143"/>
      <c r="I149" s="143"/>
      <c r="J149" s="143"/>
      <c r="K149" s="143"/>
      <c r="L149" s="143"/>
      <c r="M149" s="180"/>
      <c r="N149" s="3"/>
      <c r="O149" s="1014"/>
      <c r="P149" s="425"/>
      <c r="Q149" s="425"/>
      <c r="R149" s="425"/>
      <c r="S149" s="425"/>
      <c r="T149" s="425"/>
      <c r="U149" s="425"/>
      <c r="V149" s="425"/>
      <c r="W149" s="425"/>
      <c r="X149" s="425"/>
      <c r="Y149" s="425"/>
      <c r="Z149" s="425"/>
      <c r="AA149" s="1015"/>
    </row>
    <row r="150" spans="1:27" ht="15" thickBot="1">
      <c r="A150" s="3"/>
      <c r="B150" s="3"/>
      <c r="C150" s="175"/>
      <c r="D150" s="143"/>
      <c r="E150" s="143"/>
      <c r="F150" s="143"/>
      <c r="G150" s="143"/>
      <c r="H150" s="143"/>
      <c r="I150" s="143"/>
      <c r="J150" s="143"/>
      <c r="K150" s="143"/>
      <c r="L150" s="369"/>
      <c r="M150" s="180"/>
      <c r="N150" s="3"/>
      <c r="O150" s="1016" t="s">
        <v>1078</v>
      </c>
      <c r="P150" s="1017" t="s">
        <v>1079</v>
      </c>
      <c r="Q150" s="1018"/>
      <c r="R150" s="1019" t="s">
        <v>1080</v>
      </c>
      <c r="S150" s="1019" t="s">
        <v>1081</v>
      </c>
      <c r="T150" s="1019"/>
      <c r="U150" s="1019" t="s">
        <v>1082</v>
      </c>
      <c r="V150" s="1019" t="s">
        <v>1083</v>
      </c>
      <c r="W150" s="1019" t="s">
        <v>1084</v>
      </c>
      <c r="X150" s="1019" t="s">
        <v>1085</v>
      </c>
      <c r="Y150" s="1019" t="s">
        <v>1086</v>
      </c>
      <c r="Z150" s="1019" t="s">
        <v>1087</v>
      </c>
      <c r="AA150" s="1020" t="s">
        <v>1088</v>
      </c>
    </row>
    <row r="151" spans="1:27" ht="13">
      <c r="A151" s="3"/>
      <c r="B151" s="3"/>
      <c r="C151" s="175"/>
      <c r="D151" s="143" t="s">
        <v>247</v>
      </c>
      <c r="E151" s="143"/>
      <c r="F151" s="143"/>
      <c r="G151" s="143"/>
      <c r="H151" s="143"/>
      <c r="I151" s="143" t="s">
        <v>1100</v>
      </c>
      <c r="J151" s="380">
        <f>J132*J130+J134*(1-J130)+J136+(J148/(J138/(10^(J146/10))))</f>
        <v>949.68410600554353</v>
      </c>
      <c r="K151" s="143" t="s">
        <v>887</v>
      </c>
      <c r="L151" s="143"/>
      <c r="M151" s="180"/>
      <c r="N151" s="3"/>
      <c r="O151" s="1021">
        <v>1</v>
      </c>
      <c r="P151" s="1022" t="s">
        <v>1107</v>
      </c>
      <c r="Q151" s="1023"/>
      <c r="R151" s="1024">
        <v>-2</v>
      </c>
      <c r="S151" s="1024">
        <v>2</v>
      </c>
      <c r="T151" s="1025"/>
      <c r="U151" s="1026">
        <f>IF(R151,10^(R151/10), "")</f>
        <v>0.63095734448019325</v>
      </c>
      <c r="V151" s="1026">
        <f>IF(S151,10^(S151/10), "")</f>
        <v>1.5848931924611136</v>
      </c>
      <c r="W151" s="1027">
        <f>IF(S151,1,"")</f>
        <v>1</v>
      </c>
      <c r="X151" s="1028">
        <f>IF(S151,290*(V151-1), "")</f>
        <v>169.61902581372294</v>
      </c>
      <c r="Y151" s="1028">
        <f t="shared" ref="Y151:Y160" si="8">IF(S151,X151/W151, "")</f>
        <v>169.61902581372294</v>
      </c>
      <c r="Z151" s="1026">
        <f>IF(S151,(V151-1)/W151, "")</f>
        <v>0.5848931924611136</v>
      </c>
      <c r="AA151" s="1029">
        <f>IF(S151,Z151+1, "")</f>
        <v>1.5848931924611136</v>
      </c>
    </row>
    <row r="152" spans="1:27">
      <c r="A152" s="3"/>
      <c r="B152" s="3"/>
      <c r="C152" s="175"/>
      <c r="D152" s="143"/>
      <c r="E152" s="143"/>
      <c r="F152" s="143"/>
      <c r="G152" s="143"/>
      <c r="H152" s="143"/>
      <c r="I152" s="143"/>
      <c r="J152" s="143"/>
      <c r="K152" s="143"/>
      <c r="L152" s="143"/>
      <c r="M152" s="180"/>
      <c r="N152" s="3"/>
      <c r="O152" s="1021">
        <v>2</v>
      </c>
      <c r="P152" s="1030" t="s">
        <v>1106</v>
      </c>
      <c r="Q152" s="1031"/>
      <c r="R152" s="1024"/>
      <c r="S152" s="1024">
        <v>10</v>
      </c>
      <c r="T152" s="1025"/>
      <c r="U152" s="1026" t="str">
        <f t="shared" ref="U152:V160" si="9">IF(R152,10^(R152/10), "")</f>
        <v/>
      </c>
      <c r="V152" s="1026">
        <f t="shared" si="9"/>
        <v>10</v>
      </c>
      <c r="W152" s="1026">
        <f t="shared" ref="W152:W160" si="10">IF(S152,W151*U151, "")</f>
        <v>0.63095734448019325</v>
      </c>
      <c r="X152" s="1028">
        <f t="shared" ref="X152:X160" si="11">IF(S152,290*(V152-1), "")</f>
        <v>2610</v>
      </c>
      <c r="Y152" s="1028">
        <f t="shared" si="8"/>
        <v>4136.5712323235066</v>
      </c>
      <c r="Z152" s="1026">
        <f t="shared" ref="Z152:Z160" si="12">IF(S152,(V152-1)/W152, "")</f>
        <v>14.264038732150022</v>
      </c>
      <c r="AA152" s="1032">
        <f>IF(S152, AA151+Z152, "")</f>
        <v>15.848931924611135</v>
      </c>
    </row>
    <row r="153" spans="1:27">
      <c r="A153" s="3"/>
      <c r="B153" s="3"/>
      <c r="C153" s="175"/>
      <c r="D153" s="143"/>
      <c r="E153" s="143"/>
      <c r="F153" s="143"/>
      <c r="G153" s="143"/>
      <c r="H153" s="143"/>
      <c r="I153" s="143"/>
      <c r="J153" s="143"/>
      <c r="K153" s="143"/>
      <c r="L153" s="143"/>
      <c r="M153" s="180"/>
      <c r="N153" s="3"/>
      <c r="O153" s="1021">
        <v>3</v>
      </c>
      <c r="P153" s="1030"/>
      <c r="Q153" s="1031"/>
      <c r="R153" s="1024"/>
      <c r="S153" s="1024"/>
      <c r="T153" s="1025"/>
      <c r="U153" s="1026" t="str">
        <f t="shared" si="9"/>
        <v/>
      </c>
      <c r="V153" s="1026" t="str">
        <f t="shared" si="9"/>
        <v/>
      </c>
      <c r="W153" s="1026" t="str">
        <f t="shared" si="10"/>
        <v/>
      </c>
      <c r="X153" s="1028" t="str">
        <f t="shared" si="11"/>
        <v/>
      </c>
      <c r="Y153" s="1028" t="str">
        <f t="shared" si="8"/>
        <v/>
      </c>
      <c r="Z153" s="1026" t="str">
        <f t="shared" si="12"/>
        <v/>
      </c>
      <c r="AA153" s="1032" t="str">
        <f t="shared" ref="AA153:AA160" si="13">IF(S153, AA152+Z153, "")</f>
        <v/>
      </c>
    </row>
    <row r="154" spans="1:27">
      <c r="A154" s="3"/>
      <c r="B154" s="3"/>
      <c r="C154" s="234"/>
      <c r="D154" s="235"/>
      <c r="E154" s="235"/>
      <c r="F154" s="235"/>
      <c r="G154" s="235"/>
      <c r="H154" s="235"/>
      <c r="I154" s="235"/>
      <c r="J154" s="235"/>
      <c r="K154" s="235"/>
      <c r="L154" s="235"/>
      <c r="M154" s="236"/>
      <c r="N154" s="3"/>
      <c r="O154" s="1021">
        <v>4</v>
      </c>
      <c r="P154" s="1030"/>
      <c r="Q154" s="1031"/>
      <c r="R154" s="1024"/>
      <c r="S154" s="1024"/>
      <c r="T154" s="1025"/>
      <c r="U154" s="1026" t="str">
        <f t="shared" si="9"/>
        <v/>
      </c>
      <c r="V154" s="1026" t="str">
        <f t="shared" si="9"/>
        <v/>
      </c>
      <c r="W154" s="1026" t="str">
        <f t="shared" si="10"/>
        <v/>
      </c>
      <c r="X154" s="1028" t="str">
        <f t="shared" si="11"/>
        <v/>
      </c>
      <c r="Y154" s="1028" t="str">
        <f t="shared" si="8"/>
        <v/>
      </c>
      <c r="Z154" s="1026" t="str">
        <f t="shared" si="12"/>
        <v/>
      </c>
      <c r="AA154" s="1032" t="str">
        <f t="shared" si="13"/>
        <v/>
      </c>
    </row>
    <row r="155" spans="1:27">
      <c r="A155" s="3"/>
      <c r="B155" s="3"/>
      <c r="C155" s="3"/>
      <c r="D155" s="3"/>
      <c r="E155" s="3"/>
      <c r="F155" s="3"/>
      <c r="G155" s="3"/>
      <c r="H155" s="3"/>
      <c r="I155" s="3"/>
      <c r="J155" s="3"/>
      <c r="K155" s="3"/>
      <c r="L155" s="3"/>
      <c r="M155" s="3"/>
      <c r="N155" s="3"/>
      <c r="O155" s="1021">
        <v>5</v>
      </c>
      <c r="P155" s="1030"/>
      <c r="Q155" s="1031"/>
      <c r="R155" s="1024"/>
      <c r="S155" s="1024"/>
      <c r="T155" s="1025"/>
      <c r="U155" s="1026" t="str">
        <f t="shared" si="9"/>
        <v/>
      </c>
      <c r="V155" s="1026" t="str">
        <f t="shared" si="9"/>
        <v/>
      </c>
      <c r="W155" s="1026" t="str">
        <f t="shared" si="10"/>
        <v/>
      </c>
      <c r="X155" s="1028" t="str">
        <f t="shared" si="11"/>
        <v/>
      </c>
      <c r="Y155" s="1028" t="str">
        <f t="shared" si="8"/>
        <v/>
      </c>
      <c r="Z155" s="1026" t="str">
        <f t="shared" si="12"/>
        <v/>
      </c>
      <c r="AA155" s="1032" t="str">
        <f t="shared" si="13"/>
        <v/>
      </c>
    </row>
    <row r="156" spans="1:27">
      <c r="A156" s="3"/>
      <c r="B156" s="3"/>
      <c r="C156" s="3"/>
      <c r="D156" s="3"/>
      <c r="E156" s="3"/>
      <c r="F156" s="3"/>
      <c r="G156" s="3"/>
      <c r="H156" s="3"/>
      <c r="I156" s="3"/>
      <c r="J156" s="3"/>
      <c r="K156" s="3"/>
      <c r="L156" s="3"/>
      <c r="M156" s="3"/>
      <c r="N156" s="3"/>
      <c r="O156" s="1021">
        <v>8</v>
      </c>
      <c r="P156" s="1030"/>
      <c r="Q156" s="1031"/>
      <c r="R156" s="1024"/>
      <c r="S156" s="1024"/>
      <c r="T156" s="1025"/>
      <c r="U156" s="1026" t="str">
        <f t="shared" si="9"/>
        <v/>
      </c>
      <c r="V156" s="1026" t="str">
        <f t="shared" si="9"/>
        <v/>
      </c>
      <c r="W156" s="1026" t="str">
        <f t="shared" si="10"/>
        <v/>
      </c>
      <c r="X156" s="1028" t="str">
        <f t="shared" si="11"/>
        <v/>
      </c>
      <c r="Y156" s="1028" t="str">
        <f t="shared" si="8"/>
        <v/>
      </c>
      <c r="Z156" s="1026" t="str">
        <f t="shared" si="12"/>
        <v/>
      </c>
      <c r="AA156" s="1032" t="str">
        <f t="shared" si="13"/>
        <v/>
      </c>
    </row>
    <row r="157" spans="1:27">
      <c r="A157" s="3"/>
      <c r="B157" s="3"/>
      <c r="C157" s="3"/>
      <c r="D157" s="3"/>
      <c r="E157" s="3"/>
      <c r="F157" s="3"/>
      <c r="G157" s="3"/>
      <c r="H157" s="3"/>
      <c r="I157" s="3"/>
      <c r="J157" s="3"/>
      <c r="K157" s="3"/>
      <c r="L157" s="3" t="s">
        <v>817</v>
      </c>
      <c r="M157" s="3"/>
      <c r="N157" s="3"/>
      <c r="O157" s="1021">
        <v>9</v>
      </c>
      <c r="P157" s="1030"/>
      <c r="Q157" s="1031"/>
      <c r="R157" s="1024"/>
      <c r="S157" s="1024"/>
      <c r="T157" s="1025"/>
      <c r="U157" s="1026" t="str">
        <f t="shared" si="9"/>
        <v/>
      </c>
      <c r="V157" s="1026" t="str">
        <f t="shared" si="9"/>
        <v/>
      </c>
      <c r="W157" s="1026" t="str">
        <f t="shared" si="10"/>
        <v/>
      </c>
      <c r="X157" s="1028" t="str">
        <f t="shared" si="11"/>
        <v/>
      </c>
      <c r="Y157" s="1028" t="str">
        <f t="shared" si="8"/>
        <v/>
      </c>
      <c r="Z157" s="1026" t="str">
        <f t="shared" si="12"/>
        <v/>
      </c>
      <c r="AA157" s="1032" t="str">
        <f t="shared" si="13"/>
        <v/>
      </c>
    </row>
    <row r="158" spans="1:27">
      <c r="A158" s="3"/>
      <c r="B158" s="3"/>
      <c r="C158" s="3"/>
      <c r="D158" s="3"/>
      <c r="E158" s="3"/>
      <c r="F158" s="3"/>
      <c r="G158" s="3"/>
      <c r="H158" s="3"/>
      <c r="I158" s="3"/>
      <c r="J158" s="3"/>
      <c r="K158" s="3"/>
      <c r="L158" s="3"/>
      <c r="M158" s="3"/>
      <c r="N158" s="3"/>
      <c r="O158" s="1021">
        <v>10</v>
      </c>
      <c r="P158" s="1030"/>
      <c r="Q158" s="1031"/>
      <c r="R158" s="1024"/>
      <c r="S158" s="1024"/>
      <c r="T158" s="1025"/>
      <c r="U158" s="1026" t="str">
        <f t="shared" si="9"/>
        <v/>
      </c>
      <c r="V158" s="1026" t="str">
        <f t="shared" si="9"/>
        <v/>
      </c>
      <c r="W158" s="1026" t="str">
        <f t="shared" si="10"/>
        <v/>
      </c>
      <c r="X158" s="1028" t="str">
        <f t="shared" si="11"/>
        <v/>
      </c>
      <c r="Y158" s="1028" t="str">
        <f t="shared" si="8"/>
        <v/>
      </c>
      <c r="Z158" s="1026" t="str">
        <f t="shared" si="12"/>
        <v/>
      </c>
      <c r="AA158" s="1032" t="str">
        <f t="shared" si="13"/>
        <v/>
      </c>
    </row>
    <row r="159" spans="1:27">
      <c r="A159" s="3"/>
      <c r="B159" s="3"/>
      <c r="C159" s="3"/>
      <c r="D159" s="3"/>
      <c r="E159" s="3"/>
      <c r="F159" s="3"/>
      <c r="G159" s="3"/>
      <c r="H159" s="3"/>
      <c r="I159" s="3"/>
      <c r="J159" s="3"/>
      <c r="K159" s="3"/>
      <c r="L159" s="3"/>
      <c r="M159" s="3"/>
      <c r="N159" s="3"/>
      <c r="O159" s="1021">
        <v>11</v>
      </c>
      <c r="P159" s="1030"/>
      <c r="Q159" s="1031"/>
      <c r="R159" s="1024"/>
      <c r="S159" s="1024"/>
      <c r="T159" s="1025"/>
      <c r="U159" s="1026" t="str">
        <f t="shared" si="9"/>
        <v/>
      </c>
      <c r="V159" s="1026" t="str">
        <f t="shared" si="9"/>
        <v/>
      </c>
      <c r="W159" s="1026" t="str">
        <f t="shared" si="10"/>
        <v/>
      </c>
      <c r="X159" s="1028" t="str">
        <f t="shared" si="11"/>
        <v/>
      </c>
      <c r="Y159" s="1028" t="str">
        <f t="shared" si="8"/>
        <v/>
      </c>
      <c r="Z159" s="1026" t="str">
        <f t="shared" si="12"/>
        <v/>
      </c>
      <c r="AA159" s="1032" t="str">
        <f t="shared" si="13"/>
        <v/>
      </c>
    </row>
    <row r="160" spans="1:27" ht="13" thickBot="1">
      <c r="A160" s="3"/>
      <c r="B160" s="3"/>
      <c r="C160" s="3"/>
      <c r="D160" s="3"/>
      <c r="E160" s="3"/>
      <c r="F160" s="3"/>
      <c r="G160" s="3"/>
      <c r="H160" s="3"/>
      <c r="I160" s="3"/>
      <c r="J160" s="3"/>
      <c r="K160" s="3"/>
      <c r="L160" s="3"/>
      <c r="M160" s="3"/>
      <c r="N160" s="3"/>
      <c r="O160" s="1033">
        <v>12</v>
      </c>
      <c r="P160" s="1034"/>
      <c r="Q160" s="1035"/>
      <c r="R160" s="1036"/>
      <c r="S160" s="1036"/>
      <c r="T160" s="1037"/>
      <c r="U160" s="1038" t="str">
        <f t="shared" si="9"/>
        <v/>
      </c>
      <c r="V160" s="1038" t="str">
        <f t="shared" si="9"/>
        <v/>
      </c>
      <c r="W160" s="1038" t="str">
        <f t="shared" si="10"/>
        <v/>
      </c>
      <c r="X160" s="1039" t="str">
        <f t="shared" si="11"/>
        <v/>
      </c>
      <c r="Y160" s="1039" t="str">
        <f t="shared" si="8"/>
        <v/>
      </c>
      <c r="Z160" s="1038" t="str">
        <f t="shared" si="12"/>
        <v/>
      </c>
      <c r="AA160" s="1040" t="str">
        <f t="shared" si="13"/>
        <v/>
      </c>
    </row>
    <row r="161" spans="1:27">
      <c r="A161" s="3"/>
      <c r="B161" s="3"/>
      <c r="C161" s="3"/>
      <c r="D161" s="3"/>
      <c r="E161" s="3"/>
      <c r="F161" s="3"/>
      <c r="G161" s="3"/>
      <c r="H161" s="3"/>
      <c r="I161" s="3"/>
      <c r="J161" s="3"/>
      <c r="K161" s="3"/>
      <c r="L161" s="3"/>
      <c r="M161" s="3"/>
      <c r="N161" s="3"/>
      <c r="O161" s="1041"/>
      <c r="P161" s="1042"/>
      <c r="Q161" s="425"/>
      <c r="R161" s="83"/>
      <c r="S161" s="83"/>
      <c r="T161" s="83"/>
      <c r="U161" s="83"/>
      <c r="V161" s="83"/>
      <c r="W161" s="83"/>
      <c r="X161" s="83"/>
      <c r="Y161" s="83"/>
      <c r="Z161" s="83"/>
      <c r="AA161" s="1043"/>
    </row>
    <row r="162" spans="1:27" ht="15" thickBot="1">
      <c r="A162" s="3"/>
      <c r="B162" s="3"/>
      <c r="C162" s="3"/>
      <c r="D162" s="3"/>
      <c r="E162" s="3"/>
      <c r="F162" s="3"/>
      <c r="G162" s="3"/>
      <c r="H162" s="3"/>
      <c r="I162" s="3"/>
      <c r="J162" s="3"/>
      <c r="K162" s="3"/>
      <c r="L162" s="3"/>
      <c r="M162" s="3"/>
      <c r="N162" s="3"/>
      <c r="O162" s="1044"/>
      <c r="P162" s="1045"/>
      <c r="Q162" s="1046"/>
      <c r="R162" s="1047"/>
      <c r="S162" s="1047"/>
      <c r="T162" s="1047"/>
      <c r="U162" s="1047"/>
      <c r="V162" s="1047"/>
      <c r="W162" s="1047"/>
      <c r="X162" s="1048" t="s">
        <v>1089</v>
      </c>
      <c r="Y162" s="1049">
        <f>SUM(Y151:Y160)</f>
        <v>4306.1902581372296</v>
      </c>
      <c r="Z162" s="1050"/>
      <c r="AA162" s="1051"/>
    </row>
    <row r="163" spans="1:27" ht="13" thickTop="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c r="C176" s="137"/>
      <c r="D176" s="137"/>
      <c r="E176" s="137"/>
      <c r="F176" s="137"/>
      <c r="G176" s="137"/>
      <c r="H176" s="137"/>
      <c r="I176" s="137"/>
      <c r="J176" s="137"/>
      <c r="K176" s="137"/>
      <c r="L176" s="137"/>
      <c r="M176" s="137"/>
    </row>
    <row r="177" spans="3:13">
      <c r="C177" s="137"/>
      <c r="D177" s="137"/>
      <c r="E177" s="137"/>
      <c r="F177" s="137"/>
      <c r="G177" s="137"/>
      <c r="H177" s="137"/>
      <c r="I177" s="137"/>
      <c r="J177" s="137"/>
      <c r="K177" s="137"/>
      <c r="L177" s="137"/>
      <c r="M177" s="137"/>
    </row>
    <row r="178" spans="3:13">
      <c r="C178" s="137"/>
      <c r="D178" s="137"/>
      <c r="E178" s="137"/>
      <c r="F178" s="137"/>
      <c r="G178" s="137"/>
      <c r="H178" s="137"/>
      <c r="I178" s="137"/>
      <c r="J178" s="137"/>
      <c r="K178" s="137"/>
      <c r="L178" s="137"/>
      <c r="M178" s="137"/>
    </row>
    <row r="179" spans="3:13">
      <c r="C179" s="137"/>
      <c r="D179" s="137"/>
      <c r="E179" s="137"/>
      <c r="F179" s="137"/>
      <c r="G179" s="137"/>
      <c r="H179" s="137"/>
      <c r="I179" s="137"/>
      <c r="J179" s="137"/>
      <c r="K179" s="137"/>
      <c r="L179" s="137"/>
      <c r="M179" s="137"/>
    </row>
    <row r="180" spans="3:13">
      <c r="C180" s="137"/>
      <c r="D180" s="137"/>
      <c r="E180" s="137"/>
      <c r="F180" s="137"/>
      <c r="G180" s="137"/>
      <c r="H180" s="137"/>
      <c r="I180" s="137"/>
      <c r="J180" s="137"/>
      <c r="K180" s="137"/>
      <c r="L180" s="137"/>
      <c r="M180" s="137"/>
    </row>
    <row r="181" spans="3:13">
      <c r="C181" s="137"/>
      <c r="D181" s="137"/>
      <c r="E181" s="137"/>
      <c r="F181" s="137"/>
      <c r="G181" s="137"/>
      <c r="H181" s="137"/>
      <c r="I181" s="137"/>
      <c r="J181" s="137"/>
      <c r="K181" s="137"/>
      <c r="L181" s="137"/>
      <c r="M181" s="137"/>
    </row>
    <row r="182" spans="3:13">
      <c r="C182" s="137"/>
      <c r="D182" s="137"/>
      <c r="E182" s="137"/>
      <c r="F182" s="137"/>
      <c r="G182" s="137"/>
      <c r="H182" s="137"/>
      <c r="I182" s="137"/>
      <c r="J182" s="137"/>
      <c r="K182" s="137"/>
      <c r="L182" s="137"/>
      <c r="M182" s="137"/>
    </row>
    <row r="183" spans="3:13">
      <c r="C183" s="137"/>
      <c r="D183" s="137"/>
      <c r="E183" s="137"/>
      <c r="F183" s="137"/>
      <c r="G183" s="137"/>
      <c r="H183" s="137"/>
      <c r="I183" s="137"/>
      <c r="J183" s="137"/>
      <c r="K183" s="137"/>
      <c r="L183" s="137"/>
      <c r="M183" s="137"/>
    </row>
  </sheetData>
  <phoneticPr fontId="26" type="noConversion"/>
  <pageMargins left="0.75" right="0.75" top="1" bottom="1" header="0.5" footer="0.5"/>
  <pageSetup paperSize="9" orientation="portrait" horizontalDpi="4294967293" verticalDpi="36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Normal="100" workbookViewId="0">
      <selection activeCell="E24" sqref="E24"/>
    </sheetView>
  </sheetViews>
  <sheetFormatPr defaultColWidth="8.81640625" defaultRowHeight="12.5"/>
  <cols>
    <col min="5" max="5" width="10.1796875" customWidth="1"/>
    <col min="6" max="6" width="9.81640625" customWidth="1"/>
    <col min="7" max="7" width="10.81640625" customWidth="1"/>
    <col min="10" max="10" width="11.36328125" customWidth="1"/>
    <col min="11" max="11" width="10.453125" customWidth="1"/>
    <col min="14" max="14" width="11.36328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7" t="s">
        <v>303</v>
      </c>
      <c r="B1" s="127"/>
      <c r="C1" s="127"/>
      <c r="D1" s="127"/>
      <c r="E1" s="129"/>
      <c r="F1" s="129"/>
      <c r="G1" s="683" t="str">
        <f>'Title Page'!F3</f>
        <v>OreSat - CS0 (DxWiFi)</v>
      </c>
      <c r="H1" s="129"/>
      <c r="I1" s="129"/>
      <c r="J1" s="129"/>
      <c r="K1" s="129"/>
      <c r="L1" s="680" t="str">
        <f>'Title Page'!F23</f>
        <v>2019 February 1</v>
      </c>
      <c r="M1" s="129"/>
      <c r="N1" s="129"/>
      <c r="O1" s="129"/>
      <c r="P1" s="129"/>
      <c r="Q1" s="129"/>
      <c r="R1" s="129"/>
      <c r="S1" s="129"/>
      <c r="T1" s="129"/>
      <c r="U1" s="129"/>
      <c r="V1" s="129"/>
      <c r="W1" s="129"/>
      <c r="X1" s="129"/>
      <c r="Y1" s="129"/>
      <c r="Z1" s="129"/>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6" t="s">
        <v>57</v>
      </c>
      <c r="B3" s="187"/>
      <c r="C3" s="188"/>
      <c r="D3" s="3"/>
      <c r="E3" s="532"/>
      <c r="F3" s="3"/>
      <c r="G3" s="3"/>
      <c r="H3" s="3"/>
      <c r="I3" s="3"/>
      <c r="J3" s="532" t="s">
        <v>817</v>
      </c>
      <c r="K3" s="3"/>
      <c r="L3" s="3"/>
      <c r="M3" s="3"/>
      <c r="N3" s="3"/>
      <c r="O3" s="3"/>
      <c r="P3" s="3"/>
      <c r="Q3" s="3"/>
      <c r="R3" s="3"/>
      <c r="S3" s="3"/>
      <c r="T3" s="3"/>
      <c r="U3" s="3"/>
      <c r="V3" s="3"/>
      <c r="W3" s="3"/>
      <c r="X3" s="3"/>
      <c r="Y3" s="3"/>
      <c r="Z3" s="3"/>
    </row>
    <row r="4" spans="1:26" ht="15.5">
      <c r="A4" s="209"/>
      <c r="B4" s="103"/>
      <c r="C4" s="103"/>
      <c r="D4" s="3"/>
      <c r="E4" s="532"/>
      <c r="F4" s="3"/>
      <c r="G4" s="3"/>
      <c r="H4" s="3"/>
      <c r="I4" s="3"/>
      <c r="J4" s="532"/>
      <c r="K4" s="3"/>
      <c r="L4" s="3"/>
      <c r="M4" s="3"/>
      <c r="N4" s="3"/>
      <c r="O4" s="3"/>
      <c r="P4" s="3"/>
      <c r="Q4" s="3"/>
      <c r="R4" s="3"/>
      <c r="S4" s="3"/>
      <c r="T4" s="3"/>
      <c r="U4" s="3"/>
      <c r="V4" s="3"/>
      <c r="W4" s="3"/>
      <c r="X4" s="3"/>
      <c r="Y4" s="3"/>
      <c r="Z4" s="3"/>
    </row>
    <row r="5" spans="1:26" ht="15.5">
      <c r="A5" s="209"/>
      <c r="B5" s="345" t="s">
        <v>262</v>
      </c>
      <c r="C5" s="103"/>
      <c r="D5" s="3"/>
      <c r="E5" s="532"/>
      <c r="F5" s="3"/>
      <c r="G5" s="3"/>
      <c r="H5" s="3"/>
      <c r="I5" s="3"/>
      <c r="J5" s="532"/>
      <c r="K5" s="3"/>
      <c r="L5" s="3"/>
      <c r="M5" s="3"/>
      <c r="N5" s="3"/>
      <c r="O5" s="3"/>
      <c r="P5" s="3"/>
      <c r="Q5" s="3"/>
      <c r="R5" s="3"/>
      <c r="S5" s="3"/>
      <c r="T5" s="3"/>
      <c r="U5" s="3"/>
      <c r="V5" s="3"/>
      <c r="W5" s="3"/>
      <c r="X5" s="3"/>
      <c r="Y5" s="3"/>
      <c r="Z5" s="3"/>
    </row>
    <row r="6" spans="1:26" ht="16" thickBot="1">
      <c r="A6" s="209"/>
      <c r="B6" s="103"/>
      <c r="C6" s="103"/>
      <c r="D6" s="3"/>
      <c r="E6" s="3"/>
      <c r="F6" s="3"/>
      <c r="G6" s="3"/>
      <c r="H6" s="3"/>
      <c r="I6" s="3"/>
      <c r="J6" s="3"/>
      <c r="K6" s="3"/>
      <c r="L6" s="3"/>
      <c r="M6" s="3"/>
      <c r="N6" s="3"/>
      <c r="O6" s="3"/>
      <c r="P6" s="3"/>
      <c r="Q6" s="3"/>
      <c r="R6" s="3"/>
      <c r="S6" s="3"/>
      <c r="T6" s="3"/>
      <c r="U6" s="3"/>
      <c r="V6" s="3"/>
      <c r="W6" s="3"/>
      <c r="X6" s="3"/>
      <c r="Y6" s="3"/>
      <c r="Z6" s="3"/>
    </row>
    <row r="7" spans="1:26" ht="16" thickBot="1">
      <c r="A7" s="138" t="s">
        <v>817</v>
      </c>
      <c r="B7" s="185" t="s">
        <v>94</v>
      </c>
      <c r="C7" s="192"/>
      <c r="D7" s="178"/>
      <c r="E7" s="178"/>
      <c r="F7" s="178"/>
      <c r="G7" s="178" t="s">
        <v>817</v>
      </c>
      <c r="H7" s="178"/>
      <c r="I7" s="178"/>
      <c r="J7" s="178" t="s">
        <v>817</v>
      </c>
      <c r="K7" s="178"/>
      <c r="L7" s="179"/>
      <c r="M7" s="3"/>
      <c r="N7" s="3"/>
      <c r="O7" s="3"/>
      <c r="P7" s="3"/>
      <c r="Q7" s="3"/>
      <c r="R7" s="3"/>
      <c r="S7" s="3"/>
      <c r="T7" s="3"/>
      <c r="U7" s="3"/>
      <c r="V7" s="3"/>
      <c r="W7" s="3"/>
      <c r="X7" s="3"/>
      <c r="Y7" s="3"/>
      <c r="Z7" s="3"/>
    </row>
    <row r="8" spans="1:26" ht="13">
      <c r="A8" s="3"/>
      <c r="B8" s="176" t="s">
        <v>817</v>
      </c>
      <c r="C8" s="210"/>
      <c r="D8" s="212" t="s">
        <v>104</v>
      </c>
      <c r="E8" s="211" t="s">
        <v>855</v>
      </c>
      <c r="F8" s="242">
        <f>Frequency!M10</f>
        <v>2412</v>
      </c>
      <c r="G8" s="143" t="s">
        <v>856</v>
      </c>
      <c r="H8" s="143"/>
      <c r="I8" s="143"/>
      <c r="J8" s="143" t="s">
        <v>87</v>
      </c>
      <c r="K8" s="243">
        <f>299.8/$F$8</f>
        <v>0.12429519071310116</v>
      </c>
      <c r="L8" s="180" t="s">
        <v>857</v>
      </c>
      <c r="M8" s="3"/>
      <c r="N8" s="3"/>
      <c r="O8" s="3"/>
      <c r="P8" s="3"/>
      <c r="Q8" s="3"/>
      <c r="R8" s="3"/>
      <c r="S8" s="3"/>
      <c r="T8" s="3"/>
      <c r="U8" s="3"/>
      <c r="V8" s="3"/>
      <c r="W8" s="3"/>
      <c r="X8" s="3"/>
      <c r="Y8" s="3"/>
      <c r="Z8" s="3"/>
    </row>
    <row r="9" spans="1:26">
      <c r="A9" s="3"/>
      <c r="B9" s="175"/>
      <c r="C9" s="143"/>
      <c r="D9" s="143"/>
      <c r="E9" s="143"/>
      <c r="F9" s="143"/>
      <c r="G9" s="143"/>
      <c r="H9" s="143"/>
      <c r="I9" s="143"/>
      <c r="J9" s="143"/>
      <c r="K9" s="143"/>
      <c r="L9" s="180"/>
      <c r="M9" s="3"/>
      <c r="N9" s="3"/>
      <c r="O9" s="3"/>
      <c r="P9" s="3"/>
      <c r="Q9" s="3"/>
      <c r="R9" s="3"/>
      <c r="S9" s="3"/>
      <c r="T9" s="3"/>
      <c r="U9" s="3"/>
      <c r="V9" s="3"/>
      <c r="W9" s="3"/>
      <c r="X9" s="3"/>
      <c r="Y9" s="3"/>
      <c r="Z9" s="3"/>
    </row>
    <row r="10" spans="1:26" ht="13" thickBot="1">
      <c r="A10" s="81"/>
      <c r="B10" s="175"/>
      <c r="C10" s="143"/>
      <c r="D10" s="143"/>
      <c r="E10" s="143"/>
      <c r="F10" s="198" t="s">
        <v>107</v>
      </c>
      <c r="G10" s="143"/>
      <c r="H10" s="143"/>
      <c r="I10" s="143"/>
      <c r="J10" s="143"/>
      <c r="K10" s="143"/>
      <c r="L10" s="180"/>
      <c r="M10" s="3"/>
      <c r="N10" s="3"/>
      <c r="O10" s="3"/>
      <c r="P10" s="3"/>
      <c r="Q10" s="231" t="s">
        <v>817</v>
      </c>
      <c r="R10" s="3"/>
      <c r="S10" s="3"/>
      <c r="T10" s="3"/>
      <c r="U10" s="3"/>
      <c r="V10" s="3"/>
      <c r="W10" s="3"/>
      <c r="X10" s="3"/>
      <c r="Y10" s="3"/>
      <c r="Z10" s="3"/>
    </row>
    <row r="11" spans="1:26" ht="13.5" thickBot="1">
      <c r="A11" s="81"/>
      <c r="B11" s="176" t="s">
        <v>817</v>
      </c>
      <c r="C11" s="143"/>
      <c r="D11" s="143"/>
      <c r="E11" s="716">
        <v>4</v>
      </c>
      <c r="F11" s="715" t="str">
        <f>INDEX(B13:B16,E11,1)</f>
        <v xml:space="preserve">User Defined </v>
      </c>
      <c r="G11" s="183"/>
      <c r="H11" s="143"/>
      <c r="I11" s="143"/>
      <c r="J11" s="143" t="s">
        <v>60</v>
      </c>
      <c r="K11" s="263" t="s">
        <v>62</v>
      </c>
      <c r="L11" s="180"/>
      <c r="M11" s="3"/>
      <c r="N11" s="3"/>
      <c r="O11" s="3"/>
      <c r="P11" s="3"/>
      <c r="Q11" s="3"/>
      <c r="R11" s="3"/>
      <c r="S11" s="3"/>
      <c r="T11" s="3"/>
      <c r="U11" s="3"/>
      <c r="V11" s="3"/>
      <c r="W11" s="3"/>
      <c r="X11" s="3"/>
      <c r="Y11" s="3"/>
      <c r="Z11" s="3"/>
    </row>
    <row r="12" spans="1:26" ht="13" thickBot="1">
      <c r="A12" s="214" t="s">
        <v>106</v>
      </c>
      <c r="B12" s="177"/>
      <c r="C12" s="147"/>
      <c r="D12" s="147"/>
      <c r="E12" s="147"/>
      <c r="F12" s="147"/>
      <c r="G12" s="147"/>
      <c r="H12" s="147"/>
      <c r="I12" s="147"/>
      <c r="J12" s="147"/>
      <c r="K12" s="147"/>
      <c r="L12" s="181"/>
      <c r="M12" s="3"/>
      <c r="N12" s="3"/>
      <c r="O12" s="3"/>
      <c r="P12" s="3"/>
      <c r="Q12" s="3"/>
      <c r="R12" s="3"/>
      <c r="S12" s="3"/>
      <c r="T12" s="3"/>
      <c r="U12" s="3"/>
      <c r="V12" s="3"/>
      <c r="W12" s="3"/>
      <c r="X12" s="3"/>
      <c r="Y12" s="3"/>
      <c r="Z12" s="3"/>
    </row>
    <row r="13" spans="1:26" ht="36" customHeight="1">
      <c r="A13" s="174">
        <v>1</v>
      </c>
      <c r="B13" s="169" t="s">
        <v>77</v>
      </c>
      <c r="C13" s="169"/>
      <c r="D13" s="170" t="s">
        <v>73</v>
      </c>
      <c r="E13" s="171">
        <v>3.2</v>
      </c>
      <c r="F13" s="169"/>
      <c r="G13" s="170" t="s">
        <v>75</v>
      </c>
      <c r="H13" s="172">
        <f>IF(E13&lt;$B$72,"too short!",INDEX($D$72:$D$110,MATCH(E13,$B$72:$B$110,1),1))</f>
        <v>12</v>
      </c>
      <c r="I13" s="169" t="s">
        <v>74</v>
      </c>
      <c r="J13" s="173" t="s">
        <v>86</v>
      </c>
      <c r="K13" s="169"/>
      <c r="L13" s="169"/>
      <c r="M13" s="150" t="s">
        <v>76</v>
      </c>
      <c r="N13" s="151">
        <f>IF(E13&lt;$B$72,"too short!",INDEX($F$72:$F$110,MATCH(E13,$B$72:$B$110,1),1))</f>
        <v>16.3</v>
      </c>
      <c r="O13" s="149" t="s">
        <v>886</v>
      </c>
      <c r="P13" s="149" t="s">
        <v>61</v>
      </c>
      <c r="Q13" s="152">
        <f>SQRT(40000/(10^(N13/10)))</f>
        <v>30.621749233640596</v>
      </c>
      <c r="R13" s="149" t="s">
        <v>4</v>
      </c>
      <c r="S13" s="149" t="s">
        <v>273</v>
      </c>
      <c r="T13" s="149"/>
      <c r="U13" s="153">
        <f>K8*E13</f>
        <v>0.39774461028192376</v>
      </c>
      <c r="V13" s="154" t="s">
        <v>857</v>
      </c>
      <c r="W13" s="3"/>
      <c r="X13" s="3"/>
      <c r="Y13" s="3"/>
      <c r="Z13" s="3"/>
    </row>
    <row r="14" spans="1:26" ht="36" customHeight="1">
      <c r="A14" s="155">
        <v>2</v>
      </c>
      <c r="B14" s="156" t="s">
        <v>91</v>
      </c>
      <c r="C14" s="156"/>
      <c r="D14" s="156" t="s">
        <v>65</v>
      </c>
      <c r="E14" s="157">
        <v>10.5</v>
      </c>
      <c r="F14" s="156"/>
      <c r="G14" s="158" t="s">
        <v>66</v>
      </c>
      <c r="H14" s="157">
        <v>0.25</v>
      </c>
      <c r="I14" s="156"/>
      <c r="J14" s="158" t="s">
        <v>64</v>
      </c>
      <c r="K14" s="159">
        <v>1</v>
      </c>
      <c r="L14" s="156"/>
      <c r="M14" s="156" t="s">
        <v>59</v>
      </c>
      <c r="N14" s="160">
        <f>10*LOG10(15*K14^2*E14*H14)</f>
        <v>15.952205667976569</v>
      </c>
      <c r="O14" s="156" t="s">
        <v>886</v>
      </c>
      <c r="P14" s="156" t="s">
        <v>61</v>
      </c>
      <c r="Q14" s="161">
        <f>52.2/(K14*((E14*H14)^0.5))</f>
        <v>32.218539472084792</v>
      </c>
      <c r="R14" s="156" t="s">
        <v>4</v>
      </c>
      <c r="S14" s="158"/>
      <c r="T14" s="158" t="s">
        <v>272</v>
      </c>
      <c r="U14" s="381">
        <f>H14*E14*K8</f>
        <v>0.32627487562189056</v>
      </c>
      <c r="V14" s="162" t="s">
        <v>857</v>
      </c>
      <c r="W14" s="3"/>
      <c r="X14" s="3"/>
      <c r="Y14" s="3"/>
      <c r="Z14" s="3"/>
    </row>
    <row r="15" spans="1:26" ht="36" customHeight="1">
      <c r="A15" s="163">
        <v>3</v>
      </c>
      <c r="B15" s="164" t="s">
        <v>92</v>
      </c>
      <c r="C15" s="164"/>
      <c r="D15" s="164"/>
      <c r="E15" s="164"/>
      <c r="F15" s="164"/>
      <c r="G15" s="165" t="s">
        <v>58</v>
      </c>
      <c r="H15" s="166">
        <v>5.4</v>
      </c>
      <c r="I15" s="164"/>
      <c r="J15" s="165" t="s">
        <v>52</v>
      </c>
      <c r="K15" s="167">
        <v>0.55000000000000004</v>
      </c>
      <c r="L15" s="164"/>
      <c r="M15" s="164" t="s">
        <v>59</v>
      </c>
      <c r="N15" s="160">
        <f>20.4+20*LOG10(H15)+20*LOG10(F8/1000)+10*LOG10(K15)</f>
        <v>40.099048160764085</v>
      </c>
      <c r="O15" s="164" t="s">
        <v>886</v>
      </c>
      <c r="P15" s="164" t="s">
        <v>61</v>
      </c>
      <c r="Q15" s="161">
        <f>21/((F8/1000)*H15)</f>
        <v>1.6123088262391745</v>
      </c>
      <c r="R15" s="164" t="s">
        <v>4</v>
      </c>
      <c r="S15" s="164"/>
      <c r="T15" s="164"/>
      <c r="U15" s="164"/>
      <c r="V15" s="168"/>
      <c r="W15" s="3"/>
      <c r="X15" s="3"/>
      <c r="Y15" s="3"/>
      <c r="Z15" s="3"/>
    </row>
    <row r="16" spans="1:26" ht="36" customHeight="1" thickBot="1">
      <c r="A16" s="974">
        <v>4</v>
      </c>
      <c r="B16" s="975" t="s">
        <v>93</v>
      </c>
      <c r="C16" s="975"/>
      <c r="D16" s="984" t="s">
        <v>92</v>
      </c>
      <c r="E16" s="984"/>
      <c r="F16" s="984"/>
      <c r="G16" s="991"/>
      <c r="H16" s="986"/>
      <c r="I16" s="983"/>
      <c r="J16" s="976"/>
      <c r="K16" s="977"/>
      <c r="L16" s="975"/>
      <c r="M16" s="975" t="s">
        <v>59</v>
      </c>
      <c r="N16" s="980">
        <v>22.9</v>
      </c>
      <c r="O16" s="975" t="s">
        <v>886</v>
      </c>
      <c r="P16" s="975" t="s">
        <v>61</v>
      </c>
      <c r="Q16" s="981">
        <v>20</v>
      </c>
      <c r="R16" s="975" t="s">
        <v>4</v>
      </c>
      <c r="S16" s="975" t="s">
        <v>273</v>
      </c>
      <c r="T16" s="975"/>
      <c r="U16" s="979" t="s">
        <v>725</v>
      </c>
      <c r="V16" s="978" t="s">
        <v>857</v>
      </c>
      <c r="W16" s="3"/>
      <c r="X16" s="3"/>
      <c r="Y16" s="3"/>
      <c r="Z16" s="3"/>
    </row>
    <row r="17" spans="1:26">
      <c r="A17" s="33"/>
      <c r="B17" s="103"/>
      <c r="C17" s="103"/>
      <c r="D17" s="103"/>
      <c r="E17" s="103"/>
      <c r="F17" s="103"/>
      <c r="G17" s="103"/>
      <c r="H17" s="103"/>
      <c r="I17" s="103"/>
      <c r="J17" s="103"/>
      <c r="K17" s="103"/>
      <c r="L17" s="103"/>
      <c r="M17" s="103"/>
      <c r="N17" s="103"/>
      <c r="O17" s="103"/>
      <c r="P17" s="103"/>
      <c r="Q17" s="103"/>
      <c r="R17" s="103"/>
      <c r="S17" s="103"/>
      <c r="T17" s="103"/>
      <c r="U17" s="3"/>
      <c r="V17" s="3"/>
      <c r="W17" s="3"/>
      <c r="X17" s="3"/>
      <c r="Y17" s="3"/>
      <c r="Z17" s="3"/>
    </row>
    <row r="18" spans="1:26">
      <c r="A18" s="33"/>
      <c r="B18" s="103"/>
      <c r="C18" s="103"/>
      <c r="D18" s="103"/>
      <c r="E18" s="103"/>
      <c r="F18" s="103" t="s">
        <v>817</v>
      </c>
      <c r="G18" s="103"/>
      <c r="H18" s="103"/>
      <c r="I18" s="103"/>
      <c r="J18" s="103"/>
      <c r="K18" s="103"/>
      <c r="L18" s="103"/>
      <c r="M18" s="103" t="s">
        <v>817</v>
      </c>
      <c r="N18" s="103"/>
      <c r="O18" s="103"/>
      <c r="P18" s="103"/>
      <c r="Q18" s="103"/>
      <c r="R18" s="103"/>
      <c r="S18" s="103"/>
      <c r="T18" s="103"/>
      <c r="U18" s="3"/>
      <c r="V18" s="3"/>
      <c r="W18" s="3"/>
      <c r="X18" s="3"/>
      <c r="Y18" s="3"/>
      <c r="Z18" s="3"/>
    </row>
    <row r="19" spans="1:26">
      <c r="A19" s="33" t="s">
        <v>817</v>
      </c>
      <c r="B19" s="103"/>
      <c r="C19" s="103"/>
      <c r="D19" s="103"/>
      <c r="E19" s="103"/>
      <c r="F19" s="103"/>
      <c r="G19" s="103"/>
      <c r="H19" s="103"/>
      <c r="I19" s="103"/>
      <c r="J19" s="103"/>
      <c r="K19" s="103"/>
      <c r="L19" s="103"/>
      <c r="M19" s="103"/>
      <c r="N19" s="103"/>
      <c r="O19" s="103"/>
      <c r="P19" s="103"/>
      <c r="Q19" s="103"/>
      <c r="R19" s="103"/>
      <c r="S19" s="103"/>
      <c r="T19" s="103"/>
      <c r="U19" s="3"/>
      <c r="V19" s="3"/>
      <c r="W19" s="3"/>
      <c r="X19" s="3"/>
      <c r="Y19" s="3"/>
      <c r="Z19" s="3"/>
    </row>
    <row r="20" spans="1:26" ht="13" thickBot="1">
      <c r="A20" s="33"/>
      <c r="B20" s="103"/>
      <c r="C20" s="103"/>
      <c r="D20" s="103"/>
      <c r="E20" s="103"/>
      <c r="F20" s="103"/>
      <c r="G20" s="103"/>
      <c r="H20" s="103"/>
      <c r="I20" s="103"/>
      <c r="J20" s="103"/>
      <c r="K20" s="103"/>
      <c r="L20" s="103"/>
      <c r="M20" s="103"/>
      <c r="N20" s="103"/>
      <c r="O20" s="103"/>
      <c r="P20" s="103"/>
      <c r="Q20" s="103"/>
      <c r="R20" s="103"/>
      <c r="S20" s="103"/>
      <c r="T20" s="103"/>
      <c r="U20" s="3"/>
      <c r="V20" s="3"/>
      <c r="W20" s="3"/>
      <c r="X20" s="3"/>
      <c r="Y20" s="3"/>
      <c r="Z20" s="3"/>
    </row>
    <row r="21" spans="1:26" ht="13.5" thickBot="1">
      <c r="A21" s="33"/>
      <c r="B21" s="185" t="s">
        <v>103</v>
      </c>
      <c r="C21" s="192"/>
      <c r="D21" s="178"/>
      <c r="E21" s="178"/>
      <c r="F21" s="178"/>
      <c r="G21" s="178"/>
      <c r="H21" s="178"/>
      <c r="I21" s="178"/>
      <c r="J21" s="178"/>
      <c r="K21" s="178"/>
      <c r="L21" s="179"/>
      <c r="M21" s="103"/>
      <c r="N21" s="103"/>
      <c r="O21" s="103"/>
      <c r="P21" s="103"/>
      <c r="Q21" s="103"/>
      <c r="R21" s="103"/>
      <c r="S21" s="103"/>
      <c r="T21" s="103"/>
      <c r="U21" s="3"/>
      <c r="V21" s="3"/>
      <c r="W21" s="3"/>
      <c r="X21" s="3"/>
      <c r="Y21" s="3"/>
      <c r="Z21" s="3"/>
    </row>
    <row r="22" spans="1:26">
      <c r="A22" s="33"/>
      <c r="B22" s="175"/>
      <c r="C22" s="143"/>
      <c r="D22" s="144" t="s">
        <v>104</v>
      </c>
      <c r="E22" s="143" t="s">
        <v>855</v>
      </c>
      <c r="F22" s="240">
        <f>F8</f>
        <v>2412</v>
      </c>
      <c r="G22" s="143" t="s">
        <v>856</v>
      </c>
      <c r="H22" s="143"/>
      <c r="I22" s="143"/>
      <c r="J22" s="143" t="s">
        <v>87</v>
      </c>
      <c r="K22" s="241">
        <f>299.8/F22</f>
        <v>0.12429519071310116</v>
      </c>
      <c r="L22" s="180" t="s">
        <v>857</v>
      </c>
      <c r="M22" s="103" t="s">
        <v>817</v>
      </c>
      <c r="N22" s="103"/>
      <c r="O22" s="103"/>
      <c r="P22" s="103"/>
      <c r="Q22" s="103"/>
      <c r="R22" s="103"/>
      <c r="S22" s="103"/>
      <c r="T22" s="103"/>
      <c r="U22" s="103"/>
      <c r="V22" s="103"/>
      <c r="W22" s="3"/>
      <c r="X22" s="3"/>
      <c r="Y22" s="3"/>
      <c r="Z22" s="3"/>
    </row>
    <row r="23" spans="1:26" ht="13" thickBot="1">
      <c r="A23" s="81"/>
      <c r="B23" s="175"/>
      <c r="C23" s="143"/>
      <c r="D23" s="143" t="s">
        <v>817</v>
      </c>
      <c r="E23" s="143" t="s">
        <v>817</v>
      </c>
      <c r="F23" s="198" t="s">
        <v>976</v>
      </c>
      <c r="G23" s="143"/>
      <c r="H23" s="143"/>
      <c r="I23" s="143"/>
      <c r="J23" s="143"/>
      <c r="K23" s="143"/>
      <c r="L23" s="180"/>
      <c r="M23" s="3"/>
      <c r="N23" s="3"/>
      <c r="O23" s="3"/>
      <c r="P23" s="3"/>
      <c r="Q23" s="3"/>
      <c r="R23" s="3"/>
      <c r="S23" s="3"/>
      <c r="T23" s="3"/>
      <c r="U23" s="3"/>
      <c r="V23" s="3"/>
      <c r="W23" s="3"/>
      <c r="X23" s="3"/>
      <c r="Y23" s="3"/>
      <c r="Z23" s="3"/>
    </row>
    <row r="24" spans="1:26" ht="13.5" thickBot="1">
      <c r="A24" s="81"/>
      <c r="B24" s="176" t="s">
        <v>817</v>
      </c>
      <c r="C24" s="143"/>
      <c r="D24" s="143"/>
      <c r="E24" s="716">
        <v>7</v>
      </c>
      <c r="F24" s="313" t="str">
        <f>INDEX(B26:B32,E24,1)</f>
        <v>Other (User Defined)</v>
      </c>
      <c r="G24" s="183"/>
      <c r="H24" s="143"/>
      <c r="I24" s="143"/>
      <c r="J24" s="143" t="s">
        <v>60</v>
      </c>
      <c r="K24" s="263" t="s">
        <v>62</v>
      </c>
      <c r="L24" s="180"/>
      <c r="M24" s="3"/>
      <c r="N24" s="3"/>
      <c r="O24" s="3"/>
      <c r="P24" s="3"/>
      <c r="Q24" s="3"/>
      <c r="R24" s="3"/>
      <c r="S24" s="3"/>
      <c r="T24" s="3"/>
      <c r="U24" s="3"/>
      <c r="V24" s="3"/>
      <c r="W24" s="3"/>
      <c r="X24" s="3"/>
      <c r="Y24" s="3"/>
      <c r="Z24" s="3"/>
    </row>
    <row r="25" spans="1:26" ht="13" thickBot="1">
      <c r="A25" s="213" t="s">
        <v>106</v>
      </c>
      <c r="B25" s="175"/>
      <c r="C25" s="143"/>
      <c r="D25" s="143"/>
      <c r="E25" s="143"/>
      <c r="F25" s="143" t="s">
        <v>817</v>
      </c>
      <c r="G25" s="143"/>
      <c r="H25" s="143"/>
      <c r="I25" s="143"/>
      <c r="J25" s="143"/>
      <c r="K25" s="143"/>
      <c r="L25" s="180"/>
      <c r="M25" s="3"/>
      <c r="N25" s="3"/>
      <c r="O25" s="3"/>
      <c r="P25" s="3"/>
      <c r="Q25" s="3"/>
      <c r="R25" s="3"/>
      <c r="S25" s="3"/>
      <c r="T25" s="3"/>
      <c r="U25" s="3"/>
      <c r="V25" s="3"/>
      <c r="W25" s="3"/>
      <c r="X25" s="3"/>
      <c r="Y25" s="3"/>
      <c r="Z25" s="3"/>
    </row>
    <row r="26" spans="1:26" ht="36" customHeight="1">
      <c r="A26" s="139">
        <v>1</v>
      </c>
      <c r="B26" s="140" t="s">
        <v>95</v>
      </c>
      <c r="C26" s="140"/>
      <c r="D26" s="140"/>
      <c r="E26" s="140"/>
      <c r="F26" s="140"/>
      <c r="G26" s="140" t="s">
        <v>59</v>
      </c>
      <c r="H26" s="197">
        <v>2.15</v>
      </c>
      <c r="I26" s="140" t="s">
        <v>63</v>
      </c>
      <c r="J26" s="140"/>
      <c r="K26" s="140" t="s">
        <v>61</v>
      </c>
      <c r="L26" s="197">
        <v>156.19999999999999</v>
      </c>
      <c r="M26" s="140" t="s">
        <v>4</v>
      </c>
      <c r="N26" s="140" t="s">
        <v>144</v>
      </c>
      <c r="O26" s="140"/>
      <c r="P26" s="140"/>
      <c r="Q26" s="140"/>
      <c r="R26" s="140"/>
      <c r="S26" s="140"/>
      <c r="T26" s="140"/>
      <c r="U26" s="140"/>
      <c r="V26" s="141"/>
      <c r="W26" s="3"/>
      <c r="X26" s="3"/>
      <c r="Y26" s="3"/>
      <c r="Z26" s="3"/>
    </row>
    <row r="27" spans="1:26" ht="36" customHeight="1">
      <c r="A27" s="142">
        <v>2</v>
      </c>
      <c r="B27" s="143" t="s">
        <v>96</v>
      </c>
      <c r="C27" s="143"/>
      <c r="D27" s="143"/>
      <c r="E27" s="143"/>
      <c r="F27" s="143"/>
      <c r="G27" s="143" t="s">
        <v>59</v>
      </c>
      <c r="H27" s="189">
        <v>2.15</v>
      </c>
      <c r="I27" s="143" t="s">
        <v>63</v>
      </c>
      <c r="J27" s="143"/>
      <c r="K27" s="143" t="s">
        <v>61</v>
      </c>
      <c r="L27" s="189">
        <v>156.19999999999999</v>
      </c>
      <c r="M27" s="143" t="s">
        <v>4</v>
      </c>
      <c r="N27" s="143" t="s">
        <v>70</v>
      </c>
      <c r="O27" s="143"/>
      <c r="P27" s="143"/>
      <c r="Q27" s="143"/>
      <c r="R27" s="143"/>
      <c r="S27" s="143"/>
      <c r="T27" s="143"/>
      <c r="U27" s="143"/>
      <c r="V27" s="145"/>
      <c r="W27" s="3"/>
      <c r="X27" s="3"/>
      <c r="Y27" s="3"/>
      <c r="Z27" s="3"/>
    </row>
    <row r="28" spans="1:26" ht="35.25" customHeight="1">
      <c r="A28" s="146">
        <v>3</v>
      </c>
      <c r="B28" s="100" t="s">
        <v>97</v>
      </c>
      <c r="C28" s="100"/>
      <c r="D28" s="100"/>
      <c r="E28" s="100"/>
      <c r="F28" s="100"/>
      <c r="G28" s="100" t="s">
        <v>59</v>
      </c>
      <c r="H28" s="193">
        <f>IF(K24=K11,2,0.5)</f>
        <v>2</v>
      </c>
      <c r="I28" s="100" t="s">
        <v>886</v>
      </c>
      <c r="J28" s="100" t="s">
        <v>72</v>
      </c>
      <c r="K28" s="100" t="s">
        <v>61</v>
      </c>
      <c r="L28" s="189">
        <v>180</v>
      </c>
      <c r="M28" s="100" t="s">
        <v>4</v>
      </c>
      <c r="N28" s="100" t="s">
        <v>71</v>
      </c>
      <c r="O28" s="100"/>
      <c r="P28" s="100"/>
      <c r="Q28" s="100"/>
      <c r="R28" s="910"/>
      <c r="S28" s="100"/>
      <c r="T28" s="100"/>
      <c r="U28" s="100"/>
      <c r="V28" s="101"/>
      <c r="W28" s="3"/>
      <c r="X28" s="3"/>
      <c r="Y28" s="3"/>
      <c r="Z28" s="3"/>
    </row>
    <row r="29" spans="1:26" ht="36" customHeight="1">
      <c r="A29" s="142">
        <v>4</v>
      </c>
      <c r="B29" s="143" t="s">
        <v>98</v>
      </c>
      <c r="C29" s="143"/>
      <c r="D29" s="190" t="s">
        <v>67</v>
      </c>
      <c r="E29" s="143" t="s">
        <v>68</v>
      </c>
      <c r="F29" s="143"/>
      <c r="G29" s="143" t="s">
        <v>59</v>
      </c>
      <c r="H29" s="193">
        <v>4</v>
      </c>
      <c r="I29" s="143" t="s">
        <v>886</v>
      </c>
      <c r="J29" s="143"/>
      <c r="K29" s="143" t="s">
        <v>61</v>
      </c>
      <c r="L29" s="189">
        <v>150</v>
      </c>
      <c r="M29" s="143" t="s">
        <v>4</v>
      </c>
      <c r="N29" s="143" t="s">
        <v>145</v>
      </c>
      <c r="O29" s="143"/>
      <c r="P29" s="143"/>
      <c r="Q29" s="143"/>
      <c r="R29" s="143"/>
      <c r="S29" s="143"/>
      <c r="T29" s="143"/>
      <c r="U29" s="143"/>
      <c r="V29" s="145"/>
      <c r="W29" s="3"/>
      <c r="X29" s="3"/>
      <c r="Y29" s="3"/>
      <c r="Z29" s="3"/>
    </row>
    <row r="30" spans="1:26" ht="36" customHeight="1" thickBot="1">
      <c r="A30" s="146">
        <v>5</v>
      </c>
      <c r="B30" s="100" t="s">
        <v>195</v>
      </c>
      <c r="C30" s="100"/>
      <c r="D30" s="725" t="s">
        <v>817</v>
      </c>
      <c r="E30" s="100"/>
      <c r="F30" s="100"/>
      <c r="G30" s="100" t="s">
        <v>59</v>
      </c>
      <c r="H30" s="726">
        <v>6</v>
      </c>
      <c r="I30" s="100" t="s">
        <v>396</v>
      </c>
      <c r="J30" s="100"/>
      <c r="K30" s="100" t="s">
        <v>61</v>
      </c>
      <c r="L30" s="727">
        <v>90</v>
      </c>
      <c r="M30" s="100" t="s">
        <v>4</v>
      </c>
      <c r="N30" s="100" t="s">
        <v>196</v>
      </c>
      <c r="O30" s="100"/>
      <c r="P30" s="100"/>
      <c r="Q30" s="100"/>
      <c r="R30" s="100"/>
      <c r="S30" s="100"/>
      <c r="T30" s="100"/>
      <c r="U30" s="100"/>
      <c r="V30" s="101"/>
      <c r="W30" s="3"/>
      <c r="X30" s="3"/>
      <c r="Y30" s="3"/>
      <c r="Z30" s="3"/>
    </row>
    <row r="31" spans="1:26" ht="36" customHeight="1" thickBot="1">
      <c r="A31" s="142">
        <v>6</v>
      </c>
      <c r="B31" s="143" t="s">
        <v>92</v>
      </c>
      <c r="C31" s="143"/>
      <c r="D31" s="728"/>
      <c r="E31" s="143"/>
      <c r="F31" s="143"/>
      <c r="G31" s="143" t="s">
        <v>59</v>
      </c>
      <c r="H31" s="730">
        <f>20.4+20*LOG10(T31)+20*LOG10(F8/1000)+10*LOG10(V31)</f>
        <v>40.099048160764085</v>
      </c>
      <c r="I31" s="143" t="s">
        <v>396</v>
      </c>
      <c r="J31" s="143"/>
      <c r="K31" s="143" t="s">
        <v>61</v>
      </c>
      <c r="L31" s="730">
        <f>21/((F8/1000)*T31)</f>
        <v>1.6123088262391745</v>
      </c>
      <c r="M31" s="143" t="s">
        <v>4</v>
      </c>
      <c r="N31" s="143" t="s">
        <v>197</v>
      </c>
      <c r="O31" s="143"/>
      <c r="P31" s="143"/>
      <c r="Q31" s="143"/>
      <c r="R31" s="143"/>
      <c r="S31" s="749" t="s">
        <v>748</v>
      </c>
      <c r="T31" s="746">
        <v>5.4</v>
      </c>
      <c r="U31" s="750" t="s">
        <v>749</v>
      </c>
      <c r="V31" s="747">
        <v>0.55000000000000004</v>
      </c>
      <c r="W31" s="3"/>
      <c r="X31" s="3"/>
      <c r="Y31" s="3"/>
      <c r="Z31" s="3"/>
    </row>
    <row r="32" spans="1:26" ht="36" customHeight="1" thickBot="1">
      <c r="A32" s="196">
        <v>7</v>
      </c>
      <c r="B32" s="194" t="s">
        <v>99</v>
      </c>
      <c r="C32" s="194"/>
      <c r="D32" s="973" t="s">
        <v>1070</v>
      </c>
      <c r="E32" s="194"/>
      <c r="F32" s="194"/>
      <c r="G32" s="194" t="s">
        <v>59</v>
      </c>
      <c r="H32" s="717">
        <v>12</v>
      </c>
      <c r="I32" s="194" t="s">
        <v>36</v>
      </c>
      <c r="J32" s="194"/>
      <c r="K32" s="194" t="s">
        <v>61</v>
      </c>
      <c r="L32" s="695">
        <v>30</v>
      </c>
      <c r="M32" s="100" t="s">
        <v>4</v>
      </c>
      <c r="N32" s="194" t="s">
        <v>198</v>
      </c>
      <c r="O32" s="194"/>
      <c r="P32" s="194"/>
      <c r="Q32" s="194"/>
      <c r="R32" s="194"/>
      <c r="S32" s="194"/>
      <c r="T32" s="194"/>
      <c r="U32" s="194"/>
      <c r="V32" s="195"/>
      <c r="W32" s="3"/>
      <c r="X32" s="3"/>
      <c r="Y32" s="3"/>
      <c r="Z32" s="3"/>
    </row>
    <row r="33" spans="1:26" ht="13" thickBot="1">
      <c r="A33" s="199"/>
      <c r="B33" s="200"/>
      <c r="C33" s="200"/>
      <c r="D33" s="200"/>
      <c r="E33" s="200"/>
      <c r="F33" s="200"/>
      <c r="G33" s="200"/>
      <c r="H33" s="200"/>
      <c r="I33" s="200"/>
      <c r="J33" s="200"/>
      <c r="K33" s="200"/>
      <c r="L33" s="200"/>
      <c r="M33" s="200"/>
      <c r="N33" s="200"/>
      <c r="O33" s="200"/>
      <c r="P33" s="200"/>
      <c r="Q33" s="200"/>
      <c r="R33" s="200"/>
      <c r="S33" s="200"/>
      <c r="T33" s="200"/>
      <c r="U33" s="200"/>
      <c r="V33" s="200"/>
      <c r="W33" s="3"/>
      <c r="X33" s="3"/>
      <c r="Y33" s="3"/>
      <c r="Z33" s="3"/>
    </row>
    <row r="34" spans="1:26" ht="16" thickBot="1">
      <c r="A34" s="238"/>
      <c r="B34" s="238"/>
      <c r="C34" s="239" t="s">
        <v>101</v>
      </c>
      <c r="D34" s="238"/>
      <c r="E34" s="238"/>
      <c r="F34" s="238"/>
      <c r="G34" s="238"/>
      <c r="H34" s="238"/>
      <c r="I34" s="238"/>
      <c r="J34" s="239" t="s">
        <v>102</v>
      </c>
      <c r="K34" s="238"/>
      <c r="L34" s="238"/>
      <c r="M34" s="129"/>
      <c r="N34" s="129"/>
      <c r="O34" s="129"/>
      <c r="P34" s="129"/>
      <c r="Q34" s="129"/>
      <c r="R34" s="129"/>
      <c r="S34" s="129"/>
      <c r="T34" s="129"/>
      <c r="U34" s="129"/>
      <c r="V34" s="398"/>
      <c r="W34" s="3"/>
      <c r="X34" s="3"/>
      <c r="Y34" s="3"/>
      <c r="Z34" s="3"/>
    </row>
    <row r="35" spans="1:26">
      <c r="A35" s="3"/>
      <c r="B35" s="3"/>
      <c r="C35" s="3"/>
      <c r="D35" s="3"/>
      <c r="E35" s="3"/>
      <c r="F35" s="3"/>
      <c r="G35" s="3"/>
      <c r="H35" s="3"/>
      <c r="I35" s="3"/>
      <c r="J35" s="3"/>
      <c r="K35" s="3" t="s">
        <v>817</v>
      </c>
      <c r="L35" s="3"/>
      <c r="M35" s="3"/>
      <c r="N35" s="3"/>
      <c r="O35" s="3"/>
      <c r="P35" s="3"/>
      <c r="Q35" s="3"/>
      <c r="R35" s="3"/>
      <c r="S35" s="3"/>
      <c r="T35" s="3"/>
      <c r="U35" s="3"/>
      <c r="V35" s="3"/>
      <c r="W35" s="3"/>
      <c r="X35" s="3"/>
      <c r="Y35" s="3"/>
      <c r="Z35" s="3"/>
    </row>
    <row r="36" spans="1:26" ht="15.5">
      <c r="A36" s="186" t="s">
        <v>100</v>
      </c>
      <c r="B36" s="187"/>
      <c r="C36" s="187"/>
      <c r="D36" s="188"/>
      <c r="E36" s="3"/>
      <c r="F36" s="3"/>
      <c r="G36" s="3"/>
      <c r="H36" s="3" t="s">
        <v>817</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817</v>
      </c>
      <c r="G37" s="3"/>
      <c r="H37" s="3"/>
      <c r="I37" s="3"/>
      <c r="J37" s="3"/>
      <c r="K37" s="3"/>
      <c r="L37" s="3"/>
      <c r="M37" s="3"/>
      <c r="N37" s="3"/>
      <c r="O37" s="3"/>
      <c r="P37" s="3"/>
      <c r="Q37" s="3"/>
      <c r="R37" s="3"/>
      <c r="S37" s="3"/>
      <c r="T37" s="3"/>
      <c r="U37" s="3"/>
      <c r="V37" s="3"/>
      <c r="W37" s="3"/>
      <c r="X37" s="3"/>
      <c r="Y37" s="3"/>
      <c r="Z37" s="3"/>
    </row>
    <row r="38" spans="1:26" ht="13.5" thickBot="1">
      <c r="A38" s="33"/>
      <c r="B38" s="185" t="s">
        <v>867</v>
      </c>
      <c r="C38" s="192"/>
      <c r="D38" s="178"/>
      <c r="E38" s="178"/>
      <c r="F38" s="178"/>
      <c r="G38" s="178"/>
      <c r="H38" s="178"/>
      <c r="I38" s="178"/>
      <c r="J38" s="178"/>
      <c r="K38" s="178"/>
      <c r="L38" s="179"/>
      <c r="M38" s="103"/>
      <c r="N38" s="103" t="s">
        <v>817</v>
      </c>
      <c r="O38" s="103"/>
      <c r="P38" s="103"/>
      <c r="Q38" s="103"/>
      <c r="R38" s="103"/>
      <c r="S38" s="103"/>
      <c r="T38" s="103"/>
      <c r="U38" s="3"/>
      <c r="V38" s="3"/>
      <c r="W38" s="3"/>
      <c r="X38" s="3"/>
      <c r="Y38" s="3"/>
      <c r="Z38" s="3"/>
    </row>
    <row r="39" spans="1:26">
      <c r="A39" s="33"/>
      <c r="B39" s="175"/>
      <c r="C39" s="143"/>
      <c r="D39" s="143" t="s">
        <v>14</v>
      </c>
      <c r="E39" s="143" t="s">
        <v>855</v>
      </c>
      <c r="F39" s="240">
        <f>Frequency!M16</f>
        <v>2412</v>
      </c>
      <c r="G39" s="143" t="s">
        <v>856</v>
      </c>
      <c r="H39" s="143"/>
      <c r="I39" s="143"/>
      <c r="J39" s="143" t="s">
        <v>87</v>
      </c>
      <c r="K39" s="241">
        <f>299.8/F39</f>
        <v>0.12429519071310116</v>
      </c>
      <c r="L39" s="180" t="s">
        <v>857</v>
      </c>
      <c r="M39" s="103"/>
      <c r="N39" s="103"/>
      <c r="O39" s="103"/>
      <c r="P39" s="103"/>
      <c r="Q39" s="103"/>
      <c r="R39" s="103"/>
      <c r="S39" s="103"/>
      <c r="T39" s="103"/>
      <c r="U39" s="103"/>
      <c r="V39" s="103"/>
      <c r="W39" s="3"/>
      <c r="X39" s="3"/>
      <c r="Y39" s="3"/>
      <c r="Z39" s="3"/>
    </row>
    <row r="40" spans="1:26" ht="13" thickBot="1">
      <c r="A40" s="81"/>
      <c r="B40" s="175"/>
      <c r="C40" s="143"/>
      <c r="D40" s="143"/>
      <c r="E40" s="143"/>
      <c r="F40" s="198" t="s">
        <v>109</v>
      </c>
      <c r="G40" s="143"/>
      <c r="H40" s="143"/>
      <c r="I40" s="143"/>
      <c r="J40" s="143"/>
      <c r="K40" s="143"/>
      <c r="L40" s="180"/>
      <c r="M40" s="3"/>
      <c r="N40" s="3"/>
      <c r="O40" s="3"/>
      <c r="P40" s="3"/>
      <c r="Q40" s="3"/>
      <c r="R40" s="3"/>
      <c r="S40" s="3"/>
      <c r="T40" s="3"/>
      <c r="U40" s="3"/>
      <c r="V40" s="3"/>
      <c r="W40" s="3"/>
      <c r="X40" s="3"/>
      <c r="Y40" s="3"/>
      <c r="Z40" s="3"/>
    </row>
    <row r="41" spans="1:26" ht="13.5" thickBot="1">
      <c r="A41" s="81"/>
      <c r="B41" s="176" t="s">
        <v>817</v>
      </c>
      <c r="C41" s="143"/>
      <c r="D41" s="143"/>
      <c r="E41" s="716">
        <v>7</v>
      </c>
      <c r="F41" s="313" t="str">
        <f>INDEX(B43:B49,E41,1)</f>
        <v>Other (User Defined)</v>
      </c>
      <c r="G41" s="183"/>
      <c r="H41" s="143"/>
      <c r="I41" s="143"/>
      <c r="J41" s="143" t="s">
        <v>60</v>
      </c>
      <c r="K41" s="263" t="s">
        <v>62</v>
      </c>
      <c r="L41" s="180"/>
      <c r="M41" s="3"/>
      <c r="N41" s="3"/>
      <c r="O41" s="3"/>
      <c r="P41" s="3"/>
      <c r="Q41" s="3"/>
      <c r="R41" s="3"/>
      <c r="S41" s="3"/>
      <c r="T41" s="3"/>
      <c r="U41" s="3"/>
      <c r="V41" s="3"/>
      <c r="W41" s="3"/>
      <c r="X41" s="3"/>
      <c r="Y41" s="3"/>
      <c r="Z41" s="3"/>
    </row>
    <row r="42" spans="1:26" ht="13" thickBot="1">
      <c r="A42" s="213" t="s">
        <v>106</v>
      </c>
      <c r="B42" s="175"/>
      <c r="C42" s="143"/>
      <c r="D42" s="143"/>
      <c r="E42" s="143"/>
      <c r="F42" s="143" t="s">
        <v>817</v>
      </c>
      <c r="G42" s="143"/>
      <c r="H42" s="143"/>
      <c r="I42" s="143"/>
      <c r="J42" s="143"/>
      <c r="K42" s="143"/>
      <c r="L42" s="180"/>
      <c r="M42" s="3"/>
      <c r="N42" s="3"/>
      <c r="O42" s="3"/>
      <c r="P42" s="3"/>
      <c r="Q42" s="3"/>
      <c r="R42" s="3"/>
      <c r="S42" s="3"/>
      <c r="T42" s="3"/>
      <c r="U42" s="3"/>
      <c r="V42" s="3"/>
      <c r="W42" s="3"/>
      <c r="X42" s="3"/>
      <c r="Y42" s="3"/>
      <c r="Z42" s="3"/>
    </row>
    <row r="43" spans="1:26" ht="36" customHeight="1">
      <c r="A43" s="139">
        <v>1</v>
      </c>
      <c r="B43" s="140" t="s">
        <v>95</v>
      </c>
      <c r="C43" s="140"/>
      <c r="D43" s="140"/>
      <c r="E43" s="140"/>
      <c r="F43" s="140"/>
      <c r="G43" s="140" t="s">
        <v>59</v>
      </c>
      <c r="H43" s="197">
        <v>2.15</v>
      </c>
      <c r="I43" s="140" t="s">
        <v>63</v>
      </c>
      <c r="J43" s="140"/>
      <c r="K43" s="140" t="s">
        <v>61</v>
      </c>
      <c r="L43" s="197">
        <v>156.19999999999999</v>
      </c>
      <c r="M43" s="140" t="s">
        <v>4</v>
      </c>
      <c r="N43" s="140" t="s">
        <v>88</v>
      </c>
      <c r="O43" s="140"/>
      <c r="P43" s="140"/>
      <c r="Q43" s="140"/>
      <c r="R43" s="140"/>
      <c r="S43" s="140"/>
      <c r="T43" s="140"/>
      <c r="U43" s="140"/>
      <c r="V43" s="141"/>
      <c r="W43" s="3"/>
      <c r="X43" s="3"/>
      <c r="Y43" s="3"/>
      <c r="Z43" s="3"/>
    </row>
    <row r="44" spans="1:26" ht="36" customHeight="1">
      <c r="A44" s="142">
        <v>2</v>
      </c>
      <c r="B44" s="143" t="s">
        <v>96</v>
      </c>
      <c r="C44" s="143"/>
      <c r="D44" s="143"/>
      <c r="E44" s="143"/>
      <c r="F44" s="143"/>
      <c r="G44" s="143" t="s">
        <v>59</v>
      </c>
      <c r="H44" s="189">
        <v>2.15</v>
      </c>
      <c r="I44" s="143" t="s">
        <v>63</v>
      </c>
      <c r="J44" s="143"/>
      <c r="K44" s="143" t="s">
        <v>61</v>
      </c>
      <c r="L44" s="189">
        <v>156.19999999999999</v>
      </c>
      <c r="M44" s="143" t="s">
        <v>4</v>
      </c>
      <c r="N44" s="143" t="s">
        <v>70</v>
      </c>
      <c r="O44" s="143"/>
      <c r="P44" s="143"/>
      <c r="Q44" s="143"/>
      <c r="R44" s="143"/>
      <c r="S44" s="143"/>
      <c r="T44" s="143"/>
      <c r="U44" s="143"/>
      <c r="V44" s="145"/>
      <c r="W44" s="3"/>
      <c r="X44" s="3"/>
      <c r="Y44" s="3"/>
      <c r="Z44" s="3"/>
    </row>
    <row r="45" spans="1:26" ht="36" customHeight="1">
      <c r="A45" s="146">
        <v>3</v>
      </c>
      <c r="B45" s="100" t="s">
        <v>97</v>
      </c>
      <c r="C45" s="100"/>
      <c r="D45" s="100"/>
      <c r="E45" s="100"/>
      <c r="F45" s="100"/>
      <c r="G45" s="100" t="s">
        <v>59</v>
      </c>
      <c r="H45" s="193">
        <f>IF(K58=K41, 2, 0.5)</f>
        <v>2</v>
      </c>
      <c r="I45" s="100" t="s">
        <v>886</v>
      </c>
      <c r="J45" s="100" t="s">
        <v>72</v>
      </c>
      <c r="K45" s="100" t="s">
        <v>61</v>
      </c>
      <c r="L45" s="189">
        <v>180</v>
      </c>
      <c r="M45" s="100" t="s">
        <v>4</v>
      </c>
      <c r="N45" s="100" t="s">
        <v>71</v>
      </c>
      <c r="O45" s="100"/>
      <c r="P45" s="100"/>
      <c r="Q45" s="100"/>
      <c r="R45" s="100"/>
      <c r="S45" s="100"/>
      <c r="T45" s="100"/>
      <c r="U45" s="100"/>
      <c r="V45" s="101"/>
      <c r="W45" s="3"/>
      <c r="X45" s="3"/>
      <c r="Y45" s="3"/>
      <c r="Z45" s="3"/>
    </row>
    <row r="46" spans="1:26" ht="36" customHeight="1">
      <c r="A46" s="142">
        <v>4</v>
      </c>
      <c r="B46" s="143" t="s">
        <v>98</v>
      </c>
      <c r="C46" s="143"/>
      <c r="D46" s="190" t="s">
        <v>67</v>
      </c>
      <c r="E46" s="143" t="s">
        <v>68</v>
      </c>
      <c r="F46" s="143"/>
      <c r="G46" s="143" t="s">
        <v>59</v>
      </c>
      <c r="H46" s="193">
        <v>4</v>
      </c>
      <c r="I46" s="143" t="s">
        <v>886</v>
      </c>
      <c r="J46" s="143"/>
      <c r="K46" s="143" t="s">
        <v>61</v>
      </c>
      <c r="L46" s="189">
        <v>150</v>
      </c>
      <c r="M46" s="143" t="s">
        <v>4</v>
      </c>
      <c r="N46" s="143" t="s">
        <v>69</v>
      </c>
      <c r="O46" s="143"/>
      <c r="P46" s="143"/>
      <c r="Q46" s="143"/>
      <c r="R46" s="143"/>
      <c r="S46" s="143"/>
      <c r="T46" s="143"/>
      <c r="U46" s="143"/>
      <c r="V46" s="145"/>
      <c r="W46" s="3"/>
      <c r="X46" s="3"/>
      <c r="Y46" s="3"/>
      <c r="Z46" s="3"/>
    </row>
    <row r="47" spans="1:26" ht="36" customHeight="1" thickBot="1">
      <c r="A47" s="146">
        <v>5</v>
      </c>
      <c r="B47" s="100" t="s">
        <v>99</v>
      </c>
      <c r="C47" s="100"/>
      <c r="D47" s="725" t="s">
        <v>136</v>
      </c>
      <c r="E47" s="100"/>
      <c r="F47" s="100"/>
      <c r="G47" s="100" t="s">
        <v>59</v>
      </c>
      <c r="H47" s="744">
        <v>6</v>
      </c>
      <c r="I47" s="100" t="s">
        <v>396</v>
      </c>
      <c r="J47" s="100"/>
      <c r="K47" s="100" t="s">
        <v>61</v>
      </c>
      <c r="L47" s="745">
        <v>90</v>
      </c>
      <c r="M47" s="100" t="s">
        <v>4</v>
      </c>
      <c r="N47" s="100" t="s">
        <v>69</v>
      </c>
      <c r="O47" s="100"/>
      <c r="P47" s="100"/>
      <c r="Q47" s="100"/>
      <c r="R47" s="100"/>
      <c r="S47" s="100"/>
      <c r="T47" s="100"/>
      <c r="U47" s="100"/>
      <c r="V47" s="101"/>
      <c r="W47" s="3"/>
      <c r="X47" s="3"/>
      <c r="Y47" s="3"/>
      <c r="Z47" s="3"/>
    </row>
    <row r="48" spans="1:26" ht="36" customHeight="1" thickBot="1">
      <c r="A48" s="142">
        <v>6</v>
      </c>
      <c r="B48" s="143" t="s">
        <v>92</v>
      </c>
      <c r="C48" s="143"/>
      <c r="D48" s="728"/>
      <c r="E48" s="143"/>
      <c r="F48" s="143"/>
      <c r="G48" s="143" t="s">
        <v>59</v>
      </c>
      <c r="H48" s="730">
        <f>20.4+20*LOG10(T48)+20*LOG10(F39/1000)+10*LOG10(V48)</f>
        <v>31.471772877584332</v>
      </c>
      <c r="I48" s="143" t="s">
        <v>396</v>
      </c>
      <c r="J48" s="143"/>
      <c r="K48" s="143" t="s">
        <v>61</v>
      </c>
      <c r="L48" s="730">
        <f>21/((F39/1000)*T48)</f>
        <v>4.3532338308457712</v>
      </c>
      <c r="M48" s="143" t="s">
        <v>4</v>
      </c>
      <c r="N48" s="143" t="s">
        <v>197</v>
      </c>
      <c r="O48" s="143"/>
      <c r="P48" s="143"/>
      <c r="Q48" s="143"/>
      <c r="R48" s="143"/>
      <c r="S48" s="748" t="s">
        <v>748</v>
      </c>
      <c r="T48" s="746">
        <v>2</v>
      </c>
      <c r="U48" s="750" t="s">
        <v>749</v>
      </c>
      <c r="V48" s="747">
        <v>0.55000000000000004</v>
      </c>
      <c r="W48" s="3"/>
      <c r="X48" s="3"/>
      <c r="Y48" s="3"/>
      <c r="Z48" s="3"/>
    </row>
    <row r="49" spans="1:26" ht="36" customHeight="1" thickBot="1">
      <c r="A49" s="196">
        <v>7</v>
      </c>
      <c r="B49" s="194" t="s">
        <v>99</v>
      </c>
      <c r="C49" s="194"/>
      <c r="D49" s="973" t="s">
        <v>1070</v>
      </c>
      <c r="E49" s="194"/>
      <c r="F49" s="194"/>
      <c r="G49" s="194" t="s">
        <v>59</v>
      </c>
      <c r="H49" s="717">
        <v>12</v>
      </c>
      <c r="I49" s="194" t="s">
        <v>36</v>
      </c>
      <c r="J49" s="194"/>
      <c r="K49" s="194" t="s">
        <v>61</v>
      </c>
      <c r="L49" s="695">
        <v>30</v>
      </c>
      <c r="M49" s="194" t="s">
        <v>4</v>
      </c>
      <c r="N49" s="194" t="s">
        <v>198</v>
      </c>
      <c r="O49" s="194"/>
      <c r="P49" s="194"/>
      <c r="Q49" s="194"/>
      <c r="R49" s="194"/>
      <c r="S49" s="194"/>
      <c r="T49" s="194"/>
      <c r="U49" s="194"/>
      <c r="V49" s="195"/>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5" t="s">
        <v>94</v>
      </c>
      <c r="C54" s="184"/>
      <c r="D54" s="178"/>
      <c r="E54" s="178"/>
      <c r="F54" s="178"/>
      <c r="G54" s="178"/>
      <c r="H54" s="178"/>
      <c r="I54" s="178"/>
      <c r="J54" s="178"/>
      <c r="K54" s="178"/>
      <c r="L54" s="179"/>
      <c r="M54" s="3"/>
      <c r="N54" s="3"/>
      <c r="O54" s="3"/>
      <c r="P54" s="3"/>
      <c r="Q54" s="3"/>
      <c r="R54" s="3"/>
      <c r="S54" s="3"/>
      <c r="T54" s="3"/>
      <c r="U54" s="3"/>
      <c r="V54" s="3"/>
      <c r="W54" s="3"/>
      <c r="X54" s="3"/>
      <c r="Y54" s="3"/>
      <c r="Z54" s="3"/>
    </row>
    <row r="55" spans="1:26" ht="13">
      <c r="A55" s="237"/>
      <c r="B55" s="210" t="s">
        <v>817</v>
      </c>
      <c r="C55" s="210"/>
      <c r="D55" s="324" t="s">
        <v>14</v>
      </c>
      <c r="E55" s="211" t="s">
        <v>855</v>
      </c>
      <c r="F55" s="242">
        <f>F39</f>
        <v>2412</v>
      </c>
      <c r="G55" s="143" t="s">
        <v>856</v>
      </c>
      <c r="H55" s="143"/>
      <c r="I55" s="143"/>
      <c r="J55" s="143" t="s">
        <v>87</v>
      </c>
      <c r="K55" s="243">
        <f>299.8/F55</f>
        <v>0.12429519071310116</v>
      </c>
      <c r="L55" s="180" t="s">
        <v>857</v>
      </c>
      <c r="M55" s="3"/>
      <c r="N55" s="3"/>
      <c r="O55" s="3"/>
      <c r="P55" s="3"/>
      <c r="Q55" s="3"/>
      <c r="R55" s="3"/>
      <c r="S55" s="3"/>
      <c r="T55" s="3"/>
      <c r="U55" s="3"/>
      <c r="V55" s="3"/>
      <c r="W55" s="3"/>
      <c r="X55" s="3"/>
      <c r="Y55" s="3"/>
      <c r="Z55" s="3"/>
    </row>
    <row r="56" spans="1:26">
      <c r="A56" s="3"/>
      <c r="B56" s="175"/>
      <c r="C56" s="143"/>
      <c r="D56" s="143"/>
      <c r="E56" s="143"/>
      <c r="F56" s="143"/>
      <c r="G56" s="143"/>
      <c r="H56" s="143"/>
      <c r="I56" s="143"/>
      <c r="J56" s="143"/>
      <c r="K56" s="143"/>
      <c r="L56" s="180"/>
      <c r="M56" s="3"/>
      <c r="N56" s="3"/>
      <c r="O56" s="3"/>
      <c r="P56" s="3"/>
      <c r="Q56" s="3"/>
      <c r="R56" s="3"/>
      <c r="S56" s="3"/>
      <c r="T56" s="3"/>
      <c r="U56" s="3"/>
      <c r="V56" s="3"/>
      <c r="W56" s="3"/>
      <c r="X56" s="3"/>
      <c r="Y56" s="3"/>
      <c r="Z56" s="3"/>
    </row>
    <row r="57" spans="1:26" ht="13" thickBot="1">
      <c r="A57" s="81"/>
      <c r="B57" s="175"/>
      <c r="C57" s="143"/>
      <c r="D57" s="143"/>
      <c r="E57" s="143"/>
      <c r="F57" s="198" t="s">
        <v>107</v>
      </c>
      <c r="G57" s="143"/>
      <c r="H57" s="143"/>
      <c r="I57" s="143"/>
      <c r="J57" s="143"/>
      <c r="K57" s="143"/>
      <c r="L57" s="180"/>
      <c r="M57" s="3"/>
      <c r="N57" s="3"/>
      <c r="O57" s="3"/>
      <c r="P57" s="3"/>
      <c r="Q57" s="3"/>
      <c r="R57" s="3"/>
      <c r="S57" s="3"/>
      <c r="T57" s="3"/>
      <c r="U57" s="3"/>
      <c r="V57" s="3"/>
      <c r="W57" s="3"/>
      <c r="X57" s="3"/>
      <c r="Y57" s="3"/>
      <c r="Z57" s="3"/>
    </row>
    <row r="58" spans="1:26" ht="13.5" thickBot="1">
      <c r="A58" s="81"/>
      <c r="B58" s="176" t="s">
        <v>817</v>
      </c>
      <c r="C58" s="143"/>
      <c r="D58" s="143"/>
      <c r="E58" s="716">
        <v>4</v>
      </c>
      <c r="F58" s="715" t="str">
        <f>INDEX(B60:B63,E58,1)</f>
        <v xml:space="preserve">User Defined </v>
      </c>
      <c r="G58" s="183"/>
      <c r="H58" s="143"/>
      <c r="I58" s="143"/>
      <c r="J58" s="143" t="s">
        <v>60</v>
      </c>
      <c r="K58" s="263" t="s">
        <v>62</v>
      </c>
      <c r="L58" s="180"/>
      <c r="M58" s="3"/>
      <c r="N58" s="3"/>
      <c r="O58" s="3"/>
      <c r="P58" s="3"/>
      <c r="Q58" s="3"/>
      <c r="R58" s="3"/>
      <c r="S58" s="3"/>
      <c r="T58" s="3"/>
      <c r="U58" s="3"/>
      <c r="V58" s="3"/>
      <c r="W58" s="3"/>
      <c r="X58" s="3"/>
      <c r="Y58" s="3"/>
      <c r="Z58" s="3"/>
    </row>
    <row r="59" spans="1:26" ht="13" thickBot="1">
      <c r="A59" s="391" t="s">
        <v>106</v>
      </c>
      <c r="B59" s="234"/>
      <c r="C59" s="235"/>
      <c r="D59" s="235"/>
      <c r="E59" s="235"/>
      <c r="F59" s="235"/>
      <c r="G59" s="235"/>
      <c r="H59" s="235"/>
      <c r="I59" s="235"/>
      <c r="J59" s="235"/>
      <c r="K59" s="235"/>
      <c r="L59" s="236"/>
      <c r="M59" s="3"/>
      <c r="N59" s="3"/>
      <c r="O59" s="3"/>
      <c r="P59" s="3"/>
      <c r="Q59" s="3"/>
      <c r="R59" s="3"/>
      <c r="S59" s="3"/>
      <c r="T59" s="3"/>
      <c r="U59" s="3"/>
      <c r="V59" s="3"/>
      <c r="W59" s="3"/>
      <c r="X59" s="3"/>
      <c r="Y59" s="3"/>
      <c r="Z59" s="3"/>
    </row>
    <row r="60" spans="1:26" ht="36" customHeight="1">
      <c r="A60" s="174">
        <v>1</v>
      </c>
      <c r="B60" s="169" t="s">
        <v>77</v>
      </c>
      <c r="C60" s="169"/>
      <c r="D60" s="170" t="s">
        <v>73</v>
      </c>
      <c r="E60" s="171">
        <v>2</v>
      </c>
      <c r="F60" s="169"/>
      <c r="G60" s="170" t="s">
        <v>75</v>
      </c>
      <c r="H60" s="172">
        <f>IF(E60&lt;$B$72,"too short!",INDEX($D$72:$D$110,MATCH(E60,$B$72:$B$110,1),1))</f>
        <v>8</v>
      </c>
      <c r="I60" s="169" t="s">
        <v>74</v>
      </c>
      <c r="J60" s="173" t="s">
        <v>86</v>
      </c>
      <c r="K60" s="169"/>
      <c r="L60" s="169"/>
      <c r="M60" s="150" t="s">
        <v>76</v>
      </c>
      <c r="N60" s="151">
        <f>IF(E60&lt;$B$72,"too short!",INDEX($F$72:$F$110,MATCH(E60,$B$72:$B$110,1),1))</f>
        <v>14.05</v>
      </c>
      <c r="O60" s="149" t="s">
        <v>886</v>
      </c>
      <c r="P60" s="149" t="s">
        <v>61</v>
      </c>
      <c r="Q60" s="152">
        <f>SQRT(40000/(10^(N60/10)))</f>
        <v>39.676193136730106</v>
      </c>
      <c r="R60" s="149" t="s">
        <v>4</v>
      </c>
      <c r="S60" s="149" t="s">
        <v>89</v>
      </c>
      <c r="T60" s="149"/>
      <c r="U60" s="153">
        <f>K55*E60</f>
        <v>0.24859038142620232</v>
      </c>
      <c r="V60" s="154" t="s">
        <v>857</v>
      </c>
      <c r="W60" s="3"/>
      <c r="X60" s="3"/>
      <c r="Y60" s="3"/>
      <c r="Z60" s="3"/>
    </row>
    <row r="61" spans="1:26" ht="35.25" customHeight="1">
      <c r="A61" s="155">
        <v>2</v>
      </c>
      <c r="B61" s="156" t="s">
        <v>91</v>
      </c>
      <c r="C61" s="156"/>
      <c r="D61" s="156" t="s">
        <v>65</v>
      </c>
      <c r="E61" s="157">
        <v>10.5</v>
      </c>
      <c r="F61" s="156"/>
      <c r="G61" s="158" t="s">
        <v>66</v>
      </c>
      <c r="H61" s="157">
        <v>0.25</v>
      </c>
      <c r="I61" s="156"/>
      <c r="J61" s="158" t="s">
        <v>64</v>
      </c>
      <c r="K61" s="159">
        <v>1</v>
      </c>
      <c r="L61" s="156"/>
      <c r="M61" s="156" t="s">
        <v>59</v>
      </c>
      <c r="N61" s="160">
        <f>10*LOG10(15*K61^2*E61*H61)</f>
        <v>15.952205667976569</v>
      </c>
      <c r="O61" s="156" t="s">
        <v>886</v>
      </c>
      <c r="P61" s="156" t="s">
        <v>61</v>
      </c>
      <c r="Q61" s="161">
        <f>115/(K61*((E61*H61)^0.5))</f>
        <v>70.979540982562284</v>
      </c>
      <c r="R61" s="156" t="s">
        <v>4</v>
      </c>
      <c r="S61" s="382" t="s">
        <v>89</v>
      </c>
      <c r="T61" s="382"/>
      <c r="U61" s="381">
        <f>H61*E61*K55</f>
        <v>0.32627487562189056</v>
      </c>
      <c r="V61" s="162" t="s">
        <v>857</v>
      </c>
      <c r="W61" s="3"/>
      <c r="X61" s="3"/>
      <c r="Y61" s="3"/>
      <c r="Z61" s="3"/>
    </row>
    <row r="62" spans="1:26" ht="36" customHeight="1">
      <c r="A62" s="163">
        <v>3</v>
      </c>
      <c r="B62" s="164" t="s">
        <v>92</v>
      </c>
      <c r="C62" s="164"/>
      <c r="D62" s="164"/>
      <c r="E62" s="164"/>
      <c r="F62" s="164"/>
      <c r="G62" s="165" t="s">
        <v>58</v>
      </c>
      <c r="H62" s="166">
        <v>2</v>
      </c>
      <c r="I62" s="164"/>
      <c r="J62" s="165" t="s">
        <v>52</v>
      </c>
      <c r="K62" s="167">
        <v>0.6</v>
      </c>
      <c r="L62" s="164"/>
      <c r="M62" s="164" t="s">
        <v>59</v>
      </c>
      <c r="N62" s="160">
        <f>20.4+20*LOG10(H62)+20*LOG10(F55/1000)+10*LOG10(K62)</f>
        <v>31.849658486478329</v>
      </c>
      <c r="O62" s="164" t="s">
        <v>886</v>
      </c>
      <c r="P62" s="164" t="s">
        <v>61</v>
      </c>
      <c r="Q62" s="161">
        <f>21/((F55/1000)*H62)</f>
        <v>4.3532338308457712</v>
      </c>
      <c r="R62" s="164" t="s">
        <v>4</v>
      </c>
      <c r="S62" s="164"/>
      <c r="T62" s="164"/>
      <c r="U62" s="164"/>
      <c r="V62" s="168"/>
      <c r="W62" s="3"/>
      <c r="X62" s="3"/>
      <c r="Y62" s="3"/>
      <c r="Z62" s="3"/>
    </row>
    <row r="63" spans="1:26" ht="36" customHeight="1" thickBot="1">
      <c r="A63" s="982">
        <v>4</v>
      </c>
      <c r="B63" s="983" t="s">
        <v>93</v>
      </c>
      <c r="C63" s="983"/>
      <c r="D63" s="984" t="s">
        <v>92</v>
      </c>
      <c r="E63" s="984"/>
      <c r="F63" s="984"/>
      <c r="G63" s="991"/>
      <c r="H63" s="986"/>
      <c r="I63" s="983"/>
      <c r="J63" s="985"/>
      <c r="K63" s="987"/>
      <c r="L63" s="983"/>
      <c r="M63" s="983" t="s">
        <v>59</v>
      </c>
      <c r="N63" s="988">
        <v>22.9</v>
      </c>
      <c r="O63" s="983" t="s">
        <v>886</v>
      </c>
      <c r="P63" s="983" t="s">
        <v>61</v>
      </c>
      <c r="Q63" s="989">
        <v>20</v>
      </c>
      <c r="R63" s="983" t="s">
        <v>4</v>
      </c>
      <c r="S63" s="993" t="s">
        <v>563</v>
      </c>
      <c r="T63" s="983"/>
      <c r="U63" s="992" t="s">
        <v>725</v>
      </c>
      <c r="V63" s="990" t="s">
        <v>857</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5" t="s">
        <v>79</v>
      </c>
      <c r="C67" s="216"/>
      <c r="D67" s="216"/>
      <c r="E67" s="216"/>
      <c r="F67" s="192"/>
      <c r="G67" s="3"/>
      <c r="H67" s="3"/>
      <c r="I67" s="3"/>
      <c r="J67" s="3"/>
      <c r="K67" s="3"/>
      <c r="L67" s="3"/>
      <c r="M67" s="3"/>
      <c r="N67" s="3"/>
      <c r="O67" s="3"/>
      <c r="P67" s="3"/>
      <c r="Q67" s="3"/>
      <c r="R67" s="3"/>
      <c r="S67" s="3"/>
      <c r="T67" s="3"/>
      <c r="U67" s="3"/>
      <c r="V67" s="3"/>
      <c r="W67" s="3"/>
      <c r="X67" s="3"/>
      <c r="Y67" s="3"/>
      <c r="Z67" s="3"/>
    </row>
    <row r="68" spans="1:26">
      <c r="A68" s="3"/>
      <c r="B68" s="203"/>
      <c r="C68" s="100"/>
      <c r="D68" s="100"/>
      <c r="E68" s="100"/>
      <c r="F68" s="202"/>
      <c r="G68" s="3"/>
      <c r="H68" s="3"/>
      <c r="I68" s="3"/>
      <c r="J68" s="3"/>
      <c r="K68" s="3"/>
      <c r="L68" s="3"/>
      <c r="M68" s="3"/>
      <c r="N68" s="3"/>
      <c r="O68" s="3"/>
      <c r="P68" s="3"/>
      <c r="Q68" s="3"/>
      <c r="R68" s="3"/>
      <c r="S68" s="3"/>
      <c r="T68" s="3"/>
      <c r="U68" s="3"/>
      <c r="V68" s="3"/>
      <c r="W68" s="3"/>
      <c r="X68" s="3"/>
      <c r="Y68" s="3"/>
      <c r="Z68" s="3"/>
    </row>
    <row r="69" spans="1:26">
      <c r="A69" s="3"/>
      <c r="B69" s="201" t="s">
        <v>80</v>
      </c>
      <c r="C69" s="100"/>
      <c r="D69" s="100" t="s">
        <v>82</v>
      </c>
      <c r="E69" s="100"/>
      <c r="F69" s="202" t="s">
        <v>84</v>
      </c>
      <c r="G69" s="3"/>
      <c r="H69" s="3"/>
      <c r="I69" s="3"/>
      <c r="J69" s="3"/>
      <c r="K69" s="3"/>
      <c r="L69" s="3"/>
      <c r="M69" s="3"/>
      <c r="N69" s="3"/>
      <c r="O69" s="3"/>
      <c r="P69" s="3"/>
      <c r="Q69" s="3"/>
      <c r="R69" s="3"/>
      <c r="S69" s="3"/>
      <c r="T69" s="3"/>
      <c r="U69" s="3"/>
      <c r="V69" s="3"/>
      <c r="W69" s="3"/>
      <c r="X69" s="3"/>
      <c r="Y69" s="3"/>
      <c r="Z69" s="3"/>
    </row>
    <row r="70" spans="1:26">
      <c r="A70" s="3"/>
      <c r="B70" s="201" t="s">
        <v>81</v>
      </c>
      <c r="C70" s="100"/>
      <c r="D70" s="100" t="s">
        <v>83</v>
      </c>
      <c r="E70" s="100"/>
      <c r="F70" s="202" t="s">
        <v>85</v>
      </c>
      <c r="G70" s="3"/>
      <c r="H70" s="3"/>
      <c r="I70" s="3"/>
      <c r="J70" s="3"/>
      <c r="K70" s="3"/>
      <c r="L70" s="3"/>
      <c r="M70" s="3"/>
      <c r="N70" s="3"/>
      <c r="O70" s="3"/>
      <c r="P70" s="3"/>
      <c r="Q70" s="3"/>
      <c r="R70" s="3"/>
      <c r="S70" s="3"/>
      <c r="T70" s="3"/>
      <c r="U70" s="3"/>
      <c r="V70" s="3"/>
      <c r="W70" s="3"/>
      <c r="X70" s="3"/>
      <c r="Y70" s="3"/>
      <c r="Z70" s="3"/>
    </row>
    <row r="71" spans="1:26">
      <c r="A71" s="3"/>
      <c r="B71" s="203"/>
      <c r="C71" s="100"/>
      <c r="D71" s="100"/>
      <c r="E71" s="100"/>
      <c r="F71" s="202"/>
      <c r="G71" s="3"/>
      <c r="H71" s="3"/>
      <c r="I71" s="3"/>
      <c r="J71" s="3"/>
      <c r="K71" s="3"/>
      <c r="L71" s="3"/>
      <c r="M71" s="3"/>
      <c r="N71" s="3"/>
      <c r="O71" s="3"/>
      <c r="P71" s="3"/>
      <c r="Q71" s="3"/>
      <c r="R71" s="3"/>
      <c r="S71" s="3"/>
      <c r="T71" s="3"/>
      <c r="U71" s="3"/>
      <c r="V71" s="3"/>
      <c r="W71" s="3"/>
      <c r="X71" s="3"/>
      <c r="Y71" s="3"/>
      <c r="Z71" s="3"/>
    </row>
    <row r="72" spans="1:26">
      <c r="A72" s="3"/>
      <c r="B72" s="204">
        <v>0.35</v>
      </c>
      <c r="C72" s="205"/>
      <c r="D72" s="205">
        <v>3</v>
      </c>
      <c r="E72" s="205"/>
      <c r="F72" s="206">
        <v>9.65</v>
      </c>
      <c r="G72" s="3"/>
      <c r="H72" s="3"/>
      <c r="I72" s="3"/>
      <c r="J72" s="3"/>
      <c r="K72" s="3"/>
      <c r="L72" s="3"/>
      <c r="M72" s="3"/>
      <c r="N72" s="3"/>
      <c r="O72" s="3"/>
      <c r="P72" s="3"/>
      <c r="Q72" s="3"/>
      <c r="R72" s="3"/>
      <c r="S72" s="3"/>
      <c r="T72" s="3"/>
      <c r="U72" s="3"/>
      <c r="V72" s="3"/>
      <c r="W72" s="3"/>
      <c r="X72" s="3"/>
      <c r="Y72" s="3"/>
      <c r="Z72" s="3"/>
    </row>
    <row r="73" spans="1:26">
      <c r="A73" s="3"/>
      <c r="B73" s="204" t="s">
        <v>817</v>
      </c>
      <c r="C73" s="205"/>
      <c r="D73" s="205"/>
      <c r="E73" s="205"/>
      <c r="F73" s="206"/>
      <c r="G73" s="3"/>
      <c r="H73" s="3"/>
      <c r="I73" s="3"/>
      <c r="J73" s="3"/>
      <c r="K73" s="3"/>
      <c r="L73" s="3"/>
      <c r="M73" s="3"/>
      <c r="N73" s="3"/>
      <c r="O73" s="3"/>
      <c r="P73" s="3"/>
      <c r="Q73" s="3"/>
      <c r="R73" s="3"/>
      <c r="S73" s="3"/>
      <c r="T73" s="3"/>
      <c r="U73" s="3"/>
      <c r="V73" s="3"/>
      <c r="W73" s="3"/>
      <c r="X73" s="3"/>
      <c r="Y73" s="3"/>
      <c r="Z73" s="3"/>
    </row>
    <row r="74" spans="1:26">
      <c r="A74" s="3"/>
      <c r="B74" s="204">
        <v>0.55000000000000004</v>
      </c>
      <c r="C74" s="205"/>
      <c r="D74" s="205">
        <v>4</v>
      </c>
      <c r="E74" s="205"/>
      <c r="F74" s="206">
        <v>10.86</v>
      </c>
      <c r="G74" s="3"/>
      <c r="H74" s="3"/>
      <c r="I74" s="3"/>
      <c r="J74" s="3"/>
      <c r="K74" s="3"/>
      <c r="L74" s="3"/>
      <c r="M74" s="3"/>
      <c r="N74" s="3"/>
      <c r="O74" s="3"/>
      <c r="P74" s="3"/>
      <c r="Q74" s="3"/>
      <c r="R74" s="3"/>
      <c r="S74" s="3"/>
      <c r="T74" s="3"/>
      <c r="U74" s="3"/>
      <c r="V74" s="3"/>
      <c r="W74" s="3"/>
      <c r="X74" s="3"/>
      <c r="Y74" s="3"/>
      <c r="Z74" s="3"/>
    </row>
    <row r="75" spans="1:26">
      <c r="A75" s="3"/>
      <c r="B75" s="204"/>
      <c r="C75" s="205"/>
      <c r="D75" s="205"/>
      <c r="E75" s="205"/>
      <c r="F75" s="206"/>
      <c r="G75" s="3"/>
      <c r="H75" s="3"/>
      <c r="I75" s="3"/>
      <c r="J75" s="3"/>
      <c r="K75" s="3"/>
      <c r="L75" s="3"/>
      <c r="M75" s="3"/>
      <c r="N75" s="3"/>
      <c r="O75" s="3"/>
      <c r="P75" s="3"/>
      <c r="Q75" s="3"/>
      <c r="R75" s="3"/>
      <c r="S75" s="3"/>
      <c r="T75" s="3"/>
      <c r="U75" s="3"/>
      <c r="V75" s="3"/>
      <c r="W75" s="3"/>
      <c r="X75" s="3"/>
      <c r="Y75" s="3"/>
      <c r="Z75" s="3"/>
    </row>
    <row r="76" spans="1:26">
      <c r="A76" s="3"/>
      <c r="B76" s="204">
        <v>0.8</v>
      </c>
      <c r="C76" s="205"/>
      <c r="D76" s="205">
        <v>5</v>
      </c>
      <c r="E76" s="205"/>
      <c r="F76" s="206">
        <v>11.85</v>
      </c>
      <c r="G76" s="3"/>
      <c r="H76" s="3"/>
      <c r="I76" s="3"/>
      <c r="J76" s="3"/>
      <c r="K76" s="3"/>
      <c r="L76" s="3"/>
      <c r="M76" s="3"/>
      <c r="N76" s="3"/>
      <c r="O76" s="3"/>
      <c r="P76" s="3"/>
      <c r="Q76" s="3"/>
      <c r="R76" s="3"/>
      <c r="S76" s="3"/>
      <c r="T76" s="3"/>
      <c r="U76" s="3"/>
      <c r="V76" s="3"/>
      <c r="W76" s="3"/>
      <c r="X76" s="3"/>
      <c r="Y76" s="3"/>
      <c r="Z76" s="3"/>
    </row>
    <row r="77" spans="1:26">
      <c r="A77" s="3"/>
      <c r="B77" s="204"/>
      <c r="C77" s="205"/>
      <c r="D77" s="205"/>
      <c r="E77" s="205"/>
      <c r="F77" s="206"/>
      <c r="G77" s="3"/>
      <c r="H77" s="3"/>
      <c r="I77" s="3"/>
      <c r="J77" s="3"/>
      <c r="K77" s="3"/>
      <c r="L77" s="3"/>
      <c r="M77" s="3"/>
      <c r="N77" s="3"/>
      <c r="O77" s="3"/>
      <c r="P77" s="3"/>
      <c r="Q77" s="3"/>
      <c r="R77" s="3"/>
      <c r="S77" s="3"/>
      <c r="T77" s="3"/>
      <c r="U77" s="3"/>
      <c r="V77" s="3"/>
      <c r="W77" s="3"/>
      <c r="X77" s="3"/>
      <c r="Y77" s="3"/>
      <c r="Z77" s="3"/>
    </row>
    <row r="78" spans="1:26">
      <c r="A78" s="3"/>
      <c r="B78" s="204">
        <v>1.1499999999999999</v>
      </c>
      <c r="C78" s="205"/>
      <c r="D78" s="205">
        <v>6</v>
      </c>
      <c r="E78" s="205"/>
      <c r="F78" s="206">
        <v>12.45</v>
      </c>
      <c r="G78" s="3"/>
      <c r="H78" s="3"/>
      <c r="I78" s="3"/>
      <c r="J78" s="3"/>
      <c r="K78" s="3"/>
      <c r="L78" s="3"/>
      <c r="M78" s="3"/>
      <c r="N78" s="3"/>
      <c r="O78" s="3"/>
      <c r="P78" s="3"/>
      <c r="Q78" s="3"/>
      <c r="R78" s="3"/>
      <c r="S78" s="3"/>
      <c r="T78" s="3"/>
      <c r="U78" s="3"/>
      <c r="V78" s="3"/>
      <c r="W78" s="3"/>
      <c r="X78" s="3"/>
      <c r="Y78" s="3"/>
      <c r="Z78" s="3"/>
    </row>
    <row r="79" spans="1:26">
      <c r="A79" s="3"/>
      <c r="B79" s="204"/>
      <c r="C79" s="205"/>
      <c r="D79" s="205"/>
      <c r="E79" s="205"/>
      <c r="F79" s="206"/>
      <c r="G79" s="3"/>
      <c r="H79" s="3"/>
      <c r="I79" s="3"/>
      <c r="J79" s="3"/>
      <c r="K79" s="3"/>
      <c r="L79" s="3"/>
      <c r="M79" s="3"/>
      <c r="N79" s="3"/>
      <c r="O79" s="3"/>
      <c r="P79" s="3"/>
      <c r="Q79" s="3"/>
      <c r="R79" s="3"/>
      <c r="S79" s="3"/>
      <c r="T79" s="3"/>
      <c r="U79" s="3"/>
      <c r="V79" s="3"/>
      <c r="W79" s="3"/>
      <c r="X79" s="3"/>
      <c r="Y79" s="3"/>
      <c r="Z79" s="3"/>
    </row>
    <row r="80" spans="1:26">
      <c r="A80" s="3"/>
      <c r="B80" s="204">
        <v>1.45</v>
      </c>
      <c r="C80" s="205"/>
      <c r="D80" s="205">
        <v>7</v>
      </c>
      <c r="E80" s="205"/>
      <c r="F80" s="206">
        <v>13.35</v>
      </c>
      <c r="G80" s="3"/>
      <c r="H80" s="3"/>
      <c r="I80" s="3"/>
      <c r="J80" s="3"/>
      <c r="K80" s="3"/>
      <c r="L80" s="3"/>
      <c r="M80" s="3"/>
      <c r="N80" s="3"/>
      <c r="O80" s="3"/>
      <c r="P80" s="3"/>
      <c r="Q80" s="3"/>
      <c r="R80" s="3"/>
      <c r="S80" s="3"/>
      <c r="T80" s="3"/>
      <c r="U80" s="3"/>
      <c r="V80" s="3"/>
      <c r="W80" s="3"/>
      <c r="X80" s="3"/>
      <c r="Y80" s="3"/>
      <c r="Z80" s="3"/>
    </row>
    <row r="81" spans="1:26">
      <c r="A81" s="3"/>
      <c r="B81" s="204"/>
      <c r="C81" s="205"/>
      <c r="D81" s="205"/>
      <c r="E81" s="205"/>
      <c r="F81" s="206"/>
      <c r="G81" s="3"/>
      <c r="H81" s="3"/>
      <c r="I81" s="3"/>
      <c r="J81" s="3"/>
      <c r="K81" s="3"/>
      <c r="L81" s="3"/>
      <c r="M81" s="3"/>
      <c r="N81" s="3"/>
      <c r="O81" s="3"/>
      <c r="P81" s="3"/>
      <c r="Q81" s="3"/>
      <c r="R81" s="3"/>
      <c r="S81" s="3"/>
      <c r="T81" s="3"/>
      <c r="U81" s="3"/>
      <c r="V81" s="3"/>
      <c r="W81" s="3"/>
      <c r="X81" s="3"/>
      <c r="Y81" s="3"/>
      <c r="Z81" s="3"/>
    </row>
    <row r="82" spans="1:26">
      <c r="A82" s="3"/>
      <c r="B82" s="204">
        <v>1.8</v>
      </c>
      <c r="C82" s="205"/>
      <c r="D82" s="205">
        <v>8</v>
      </c>
      <c r="E82" s="205"/>
      <c r="F82" s="206">
        <v>14.05</v>
      </c>
      <c r="G82" s="3"/>
      <c r="H82" s="3"/>
      <c r="I82" s="3"/>
      <c r="J82" s="3"/>
      <c r="K82" s="3"/>
      <c r="L82" s="3"/>
      <c r="M82" s="3"/>
      <c r="N82" s="3"/>
      <c r="O82" s="3"/>
      <c r="P82" s="3"/>
      <c r="Q82" s="3"/>
      <c r="R82" s="3"/>
      <c r="S82" s="3"/>
      <c r="T82" s="3"/>
      <c r="U82" s="3"/>
      <c r="V82" s="3"/>
      <c r="W82" s="3"/>
      <c r="X82" s="3"/>
      <c r="Y82" s="3"/>
      <c r="Z82" s="3"/>
    </row>
    <row r="83" spans="1:26">
      <c r="A83" s="3"/>
      <c r="B83" s="204"/>
      <c r="C83" s="205"/>
      <c r="D83" s="205"/>
      <c r="E83" s="205"/>
      <c r="F83" s="206"/>
      <c r="G83" s="3"/>
      <c r="H83" s="3"/>
      <c r="I83" s="3"/>
      <c r="J83" s="3"/>
      <c r="K83" s="3"/>
      <c r="L83" s="3"/>
      <c r="M83" s="3"/>
      <c r="N83" s="3"/>
      <c r="O83" s="3"/>
      <c r="P83" s="3"/>
      <c r="Q83" s="3"/>
      <c r="R83" s="3"/>
      <c r="S83" s="3"/>
      <c r="T83" s="3"/>
      <c r="U83" s="3"/>
      <c r="V83" s="3"/>
      <c r="W83" s="3"/>
      <c r="X83" s="3"/>
      <c r="Y83" s="3"/>
      <c r="Z83" s="3"/>
    </row>
    <row r="84" spans="1:26">
      <c r="A84" s="3"/>
      <c r="B84" s="204">
        <v>2.1</v>
      </c>
      <c r="C84" s="205"/>
      <c r="D84" s="205">
        <v>9</v>
      </c>
      <c r="E84" s="205"/>
      <c r="F84" s="206">
        <v>14.4</v>
      </c>
      <c r="G84" s="3"/>
      <c r="H84" s="3"/>
      <c r="I84" s="3"/>
      <c r="J84" s="3"/>
      <c r="K84" s="3"/>
      <c r="L84" s="3"/>
      <c r="M84" s="3"/>
      <c r="N84" s="3"/>
      <c r="O84" s="3"/>
      <c r="P84" s="3"/>
      <c r="Q84" s="3"/>
      <c r="R84" s="3"/>
      <c r="S84" s="3"/>
      <c r="T84" s="3"/>
      <c r="U84" s="3"/>
      <c r="V84" s="3"/>
      <c r="W84" s="3"/>
      <c r="X84" s="3"/>
      <c r="Y84" s="3"/>
      <c r="Z84" s="3"/>
    </row>
    <row r="85" spans="1:26">
      <c r="A85" s="3"/>
      <c r="B85" s="204"/>
      <c r="C85" s="205"/>
      <c r="D85" s="205"/>
      <c r="E85" s="205"/>
      <c r="F85" s="206"/>
      <c r="G85" s="3"/>
      <c r="H85" s="3"/>
      <c r="I85" s="3"/>
      <c r="J85" s="3"/>
      <c r="K85" s="3"/>
      <c r="L85" s="3"/>
      <c r="M85" s="3"/>
      <c r="N85" s="3"/>
      <c r="O85" s="3"/>
      <c r="P85" s="3"/>
      <c r="Q85" s="3"/>
      <c r="R85" s="3"/>
      <c r="S85" s="3"/>
      <c r="T85" s="3"/>
      <c r="U85" s="3"/>
      <c r="V85" s="3"/>
      <c r="W85" s="3"/>
      <c r="X85" s="3"/>
      <c r="Y85" s="3"/>
      <c r="Z85" s="3"/>
    </row>
    <row r="86" spans="1:26">
      <c r="A86" s="3"/>
      <c r="B86" s="204">
        <v>2.4500000000000002</v>
      </c>
      <c r="C86" s="205"/>
      <c r="D86" s="205">
        <v>10</v>
      </c>
      <c r="E86" s="205"/>
      <c r="F86" s="206">
        <v>15.25</v>
      </c>
      <c r="G86" s="3"/>
      <c r="H86" s="3"/>
      <c r="I86" s="3"/>
      <c r="J86" s="3"/>
      <c r="K86" s="3"/>
      <c r="L86" s="3"/>
      <c r="M86" s="3"/>
      <c r="N86" s="3"/>
      <c r="O86" s="3"/>
      <c r="P86" s="3"/>
      <c r="Q86" s="3"/>
      <c r="R86" s="3"/>
      <c r="S86" s="3"/>
      <c r="T86" s="3"/>
      <c r="U86" s="3"/>
      <c r="V86" s="3"/>
      <c r="W86" s="3"/>
      <c r="X86" s="3"/>
      <c r="Y86" s="3"/>
      <c r="Z86" s="3"/>
    </row>
    <row r="87" spans="1:26">
      <c r="A87" s="3"/>
      <c r="B87" s="204"/>
      <c r="C87" s="205"/>
      <c r="D87" s="205"/>
      <c r="E87" s="205"/>
      <c r="F87" s="206"/>
      <c r="G87" s="3"/>
      <c r="H87" s="3"/>
      <c r="I87" s="3"/>
      <c r="J87" s="3"/>
      <c r="K87" s="3"/>
      <c r="L87" s="3"/>
      <c r="M87" s="3"/>
      <c r="N87" s="3"/>
      <c r="O87" s="3"/>
      <c r="P87" s="3"/>
      <c r="Q87" s="3"/>
      <c r="R87" s="3"/>
      <c r="S87" s="3"/>
      <c r="T87" s="3"/>
      <c r="U87" s="3"/>
      <c r="V87" s="3"/>
      <c r="W87" s="3"/>
      <c r="X87" s="3"/>
      <c r="Y87" s="3"/>
      <c r="Z87" s="3"/>
    </row>
    <row r="88" spans="1:26">
      <c r="A88" s="3"/>
      <c r="B88" s="204">
        <v>2.8</v>
      </c>
      <c r="C88" s="205"/>
      <c r="D88" s="205">
        <v>11</v>
      </c>
      <c r="E88" s="205"/>
      <c r="F88" s="206">
        <v>15.95</v>
      </c>
      <c r="G88" s="3"/>
      <c r="H88" s="3"/>
      <c r="I88" s="3"/>
      <c r="J88" s="3"/>
      <c r="K88" s="3"/>
      <c r="L88" s="3"/>
      <c r="M88" s="3"/>
      <c r="N88" s="3"/>
      <c r="O88" s="3"/>
      <c r="P88" s="3"/>
      <c r="Q88" s="3"/>
      <c r="R88" s="3"/>
      <c r="S88" s="3"/>
      <c r="T88" s="3"/>
      <c r="U88" s="3"/>
      <c r="V88" s="3"/>
      <c r="W88" s="3"/>
      <c r="X88" s="3"/>
      <c r="Y88" s="3"/>
      <c r="Z88" s="3"/>
    </row>
    <row r="89" spans="1:26">
      <c r="A89" s="3"/>
      <c r="B89" s="204"/>
      <c r="C89" s="205"/>
      <c r="D89" s="205"/>
      <c r="E89" s="205"/>
      <c r="F89" s="206"/>
      <c r="G89" s="3"/>
      <c r="H89" s="3"/>
      <c r="I89" s="3"/>
      <c r="J89" s="3"/>
      <c r="K89" s="3"/>
      <c r="L89" s="3"/>
      <c r="M89" s="3"/>
      <c r="N89" s="3"/>
      <c r="O89" s="3"/>
      <c r="P89" s="3"/>
      <c r="Q89" s="3"/>
      <c r="R89" s="3"/>
      <c r="S89" s="3"/>
      <c r="T89" s="3"/>
      <c r="U89" s="3"/>
      <c r="V89" s="3"/>
      <c r="W89" s="3"/>
      <c r="X89" s="3"/>
      <c r="Y89" s="3"/>
      <c r="Z89" s="3"/>
    </row>
    <row r="90" spans="1:26">
      <c r="A90" s="3"/>
      <c r="B90" s="204">
        <v>3.15</v>
      </c>
      <c r="C90" s="205"/>
      <c r="D90" s="205">
        <v>12</v>
      </c>
      <c r="E90" s="205"/>
      <c r="F90" s="206">
        <v>16.3</v>
      </c>
      <c r="G90" s="3"/>
      <c r="H90" s="3"/>
      <c r="I90" s="3"/>
      <c r="J90" s="3"/>
      <c r="K90" s="3"/>
      <c r="L90" s="3"/>
      <c r="M90" s="3"/>
      <c r="N90" s="3"/>
      <c r="O90" s="3"/>
      <c r="P90" s="3"/>
      <c r="Q90" s="3"/>
      <c r="R90" s="3"/>
      <c r="S90" s="3"/>
      <c r="T90" s="3"/>
      <c r="U90" s="3"/>
      <c r="V90" s="3"/>
      <c r="W90" s="3"/>
      <c r="X90" s="3"/>
      <c r="Y90" s="3"/>
      <c r="Z90" s="3"/>
    </row>
    <row r="91" spans="1:26">
      <c r="A91" s="3"/>
      <c r="B91" s="204"/>
      <c r="C91" s="205"/>
      <c r="D91" s="205"/>
      <c r="E91" s="205"/>
      <c r="F91" s="206"/>
      <c r="G91" s="3"/>
      <c r="H91" s="3"/>
      <c r="I91" s="3"/>
      <c r="J91" s="3"/>
      <c r="K91" s="3"/>
      <c r="L91" s="3"/>
      <c r="M91" s="3"/>
      <c r="N91" s="3"/>
      <c r="O91" s="3"/>
      <c r="P91" s="3"/>
      <c r="Q91" s="3"/>
      <c r="R91" s="3"/>
      <c r="S91" s="3"/>
      <c r="T91" s="3"/>
      <c r="U91" s="3"/>
      <c r="V91" s="3"/>
      <c r="W91" s="3"/>
      <c r="X91" s="3"/>
      <c r="Y91" s="3"/>
      <c r="Z91" s="3"/>
    </row>
    <row r="92" spans="1:26">
      <c r="A92" s="3"/>
      <c r="B92" s="204">
        <v>3.55</v>
      </c>
      <c r="C92" s="205"/>
      <c r="D92" s="205">
        <v>13</v>
      </c>
      <c r="E92" s="205"/>
      <c r="F92" s="206">
        <v>16.95</v>
      </c>
      <c r="G92" s="3"/>
      <c r="H92" s="3"/>
      <c r="I92" s="3"/>
      <c r="J92" s="3"/>
      <c r="K92" s="3"/>
      <c r="L92" s="3"/>
      <c r="M92" s="3"/>
      <c r="N92" s="3"/>
      <c r="O92" s="3"/>
      <c r="P92" s="3"/>
      <c r="Q92" s="3"/>
      <c r="R92" s="3"/>
      <c r="S92" s="3"/>
      <c r="T92" s="3"/>
      <c r="U92" s="3"/>
      <c r="V92" s="3"/>
      <c r="W92" s="3"/>
      <c r="X92" s="3"/>
      <c r="Y92" s="3"/>
      <c r="Z92" s="3"/>
    </row>
    <row r="93" spans="1:26">
      <c r="A93" s="3"/>
      <c r="B93" s="204"/>
      <c r="C93" s="205"/>
      <c r="D93" s="205"/>
      <c r="E93" s="205"/>
      <c r="F93" s="206"/>
      <c r="G93" s="3"/>
      <c r="H93" s="3"/>
      <c r="I93" s="3"/>
      <c r="J93" s="3"/>
      <c r="K93" s="3"/>
      <c r="L93" s="3"/>
      <c r="M93" s="3"/>
      <c r="N93" s="3"/>
      <c r="O93" s="3"/>
      <c r="P93" s="3"/>
      <c r="Q93" s="3"/>
      <c r="R93" s="3"/>
      <c r="S93" s="3"/>
      <c r="T93" s="3"/>
      <c r="U93" s="3"/>
      <c r="V93" s="3"/>
      <c r="W93" s="3"/>
      <c r="X93" s="3"/>
      <c r="Y93" s="3"/>
      <c r="Z93" s="3"/>
    </row>
    <row r="94" spans="1:26">
      <c r="A94" s="3"/>
      <c r="B94" s="204">
        <v>4</v>
      </c>
      <c r="C94" s="205"/>
      <c r="D94" s="205">
        <v>14</v>
      </c>
      <c r="E94" s="205"/>
      <c r="F94" s="206">
        <v>17.45</v>
      </c>
      <c r="G94" s="3"/>
      <c r="H94" s="3"/>
      <c r="I94" s="3"/>
      <c r="J94" s="3"/>
      <c r="K94" s="3"/>
      <c r="L94" s="3"/>
      <c r="M94" s="3"/>
      <c r="N94" s="3"/>
      <c r="O94" s="3"/>
      <c r="P94" s="3"/>
      <c r="Q94" s="3"/>
      <c r="R94" s="3"/>
      <c r="S94" s="3"/>
      <c r="T94" s="3"/>
      <c r="U94" s="3"/>
      <c r="V94" s="3"/>
      <c r="W94" s="3"/>
      <c r="X94" s="3"/>
      <c r="Y94" s="3"/>
      <c r="Z94" s="3"/>
    </row>
    <row r="95" spans="1:26">
      <c r="A95" s="3"/>
      <c r="B95" s="204"/>
      <c r="C95" s="205"/>
      <c r="D95" s="205"/>
      <c r="E95" s="205"/>
      <c r="F95" s="206"/>
      <c r="G95" s="3"/>
      <c r="H95" s="3"/>
      <c r="I95" s="3"/>
      <c r="J95" s="3"/>
      <c r="K95" s="3"/>
      <c r="L95" s="3"/>
      <c r="M95" s="3"/>
      <c r="N95" s="3"/>
      <c r="O95" s="3"/>
      <c r="P95" s="3"/>
      <c r="Q95" s="3"/>
      <c r="R95" s="3"/>
      <c r="S95" s="3"/>
      <c r="T95" s="3"/>
      <c r="U95" s="3"/>
      <c r="V95" s="3"/>
      <c r="W95" s="3"/>
      <c r="X95" s="3"/>
      <c r="Y95" s="3"/>
      <c r="Z95" s="3"/>
    </row>
    <row r="96" spans="1:26">
      <c r="A96" s="3"/>
      <c r="B96" s="204">
        <v>4.4000000000000004</v>
      </c>
      <c r="C96" s="205"/>
      <c r="D96" s="205">
        <v>15</v>
      </c>
      <c r="E96" s="205"/>
      <c r="F96" s="206">
        <v>18.149999999999999</v>
      </c>
      <c r="G96" s="3"/>
      <c r="H96" s="3"/>
      <c r="I96" s="3"/>
      <c r="J96" s="3"/>
      <c r="K96" s="3"/>
      <c r="L96" s="3"/>
      <c r="M96" s="3"/>
      <c r="N96" s="3"/>
      <c r="O96" s="3"/>
      <c r="P96" s="3"/>
      <c r="Q96" s="3"/>
      <c r="R96" s="3"/>
      <c r="S96" s="3"/>
      <c r="T96" s="3"/>
      <c r="U96" s="3"/>
      <c r="V96" s="3"/>
      <c r="W96" s="3"/>
      <c r="X96" s="3"/>
      <c r="Y96" s="3"/>
      <c r="Z96" s="3"/>
    </row>
    <row r="97" spans="1:26">
      <c r="A97" s="3"/>
      <c r="B97" s="204"/>
      <c r="C97" s="205"/>
      <c r="D97" s="205"/>
      <c r="E97" s="205"/>
      <c r="F97" s="206"/>
      <c r="G97" s="3"/>
      <c r="H97" s="3"/>
      <c r="I97" s="3"/>
      <c r="J97" s="3"/>
      <c r="K97" s="3"/>
      <c r="L97" s="3"/>
      <c r="M97" s="3"/>
      <c r="N97" s="3"/>
      <c r="O97" s="3"/>
      <c r="P97" s="3"/>
      <c r="Q97" s="3"/>
      <c r="R97" s="3"/>
      <c r="S97" s="3"/>
      <c r="T97" s="3"/>
      <c r="U97" s="3"/>
      <c r="V97" s="3"/>
      <c r="W97" s="3"/>
      <c r="X97" s="3"/>
      <c r="Y97" s="3"/>
      <c r="Z97" s="3"/>
    </row>
    <row r="98" spans="1:26">
      <c r="A98" s="3"/>
      <c r="B98" s="204">
        <v>4.75</v>
      </c>
      <c r="C98" s="205"/>
      <c r="D98" s="205">
        <v>16</v>
      </c>
      <c r="E98" s="205"/>
      <c r="F98" s="206">
        <v>18.649999999999999</v>
      </c>
      <c r="G98" s="3"/>
      <c r="H98" s="3"/>
      <c r="I98" s="3"/>
      <c r="J98" s="3"/>
      <c r="K98" s="3"/>
      <c r="L98" s="3"/>
      <c r="M98" s="3"/>
      <c r="N98" s="3"/>
      <c r="O98" s="3"/>
      <c r="P98" s="3"/>
      <c r="Q98" s="3"/>
      <c r="R98" s="3"/>
      <c r="S98" s="3"/>
      <c r="T98" s="3"/>
      <c r="U98" s="3"/>
      <c r="V98" s="3"/>
      <c r="W98" s="3"/>
      <c r="X98" s="3"/>
      <c r="Y98" s="3"/>
      <c r="Z98" s="3"/>
    </row>
    <row r="99" spans="1:26">
      <c r="A99" s="3"/>
      <c r="B99" s="204"/>
      <c r="C99" s="205"/>
      <c r="D99" s="205"/>
      <c r="E99" s="205"/>
      <c r="F99" s="206"/>
      <c r="G99" s="3"/>
      <c r="H99" s="3"/>
      <c r="I99" s="3"/>
      <c r="J99" s="3"/>
      <c r="K99" s="3"/>
      <c r="L99" s="3"/>
      <c r="M99" s="3"/>
      <c r="N99" s="3"/>
      <c r="O99" s="3"/>
      <c r="P99" s="3"/>
      <c r="Q99" s="3"/>
      <c r="R99" s="3"/>
      <c r="S99" s="3"/>
      <c r="T99" s="3"/>
      <c r="U99" s="3"/>
      <c r="V99" s="3"/>
      <c r="W99" s="3"/>
      <c r="X99" s="3"/>
      <c r="Y99" s="3"/>
      <c r="Z99" s="3"/>
    </row>
    <row r="100" spans="1:26">
      <c r="A100" s="3"/>
      <c r="B100" s="204">
        <v>5.2</v>
      </c>
      <c r="C100" s="100"/>
      <c r="D100" s="205">
        <v>17</v>
      </c>
      <c r="E100" s="100"/>
      <c r="F100" s="206">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4"/>
      <c r="C101" s="100"/>
      <c r="D101" s="205"/>
      <c r="E101" s="100"/>
      <c r="F101" s="206"/>
      <c r="G101" s="3"/>
      <c r="H101" s="3"/>
      <c r="I101" s="3"/>
      <c r="J101" s="3"/>
      <c r="K101" s="3"/>
      <c r="L101" s="3"/>
      <c r="M101" s="3"/>
      <c r="N101" s="3"/>
      <c r="O101" s="3"/>
      <c r="P101" s="3"/>
      <c r="Q101" s="3"/>
      <c r="R101" s="3"/>
      <c r="S101" s="3"/>
      <c r="T101" s="3"/>
      <c r="U101" s="3"/>
      <c r="V101" s="3"/>
      <c r="W101" s="3"/>
      <c r="X101" s="3"/>
      <c r="Y101" s="3"/>
      <c r="Z101" s="3"/>
    </row>
    <row r="102" spans="1:26">
      <c r="A102" s="3"/>
      <c r="B102" s="204">
        <v>5.55</v>
      </c>
      <c r="C102" s="100"/>
      <c r="D102" s="205">
        <v>18</v>
      </c>
      <c r="E102" s="100"/>
      <c r="F102" s="206">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4"/>
      <c r="C103" s="100"/>
      <c r="D103" s="205"/>
      <c r="E103" s="100"/>
      <c r="F103" s="206"/>
      <c r="G103" s="3"/>
      <c r="H103" s="3"/>
      <c r="I103" s="3"/>
      <c r="J103" s="3"/>
      <c r="K103" s="3"/>
      <c r="L103" s="3"/>
      <c r="M103" s="3"/>
      <c r="N103" s="3"/>
      <c r="O103" s="3"/>
      <c r="P103" s="3"/>
      <c r="Q103" s="3"/>
      <c r="R103" s="3"/>
      <c r="S103" s="3"/>
      <c r="T103" s="3"/>
      <c r="U103" s="3"/>
      <c r="V103" s="3"/>
      <c r="W103" s="3"/>
      <c r="X103" s="3"/>
      <c r="Y103" s="3"/>
      <c r="Z103" s="3"/>
    </row>
    <row r="104" spans="1:26">
      <c r="A104" s="3"/>
      <c r="B104" s="204">
        <v>6</v>
      </c>
      <c r="C104" s="100"/>
      <c r="D104" s="205">
        <v>19</v>
      </c>
      <c r="E104" s="100"/>
      <c r="F104" s="206">
        <v>20.25</v>
      </c>
      <c r="G104" s="3"/>
      <c r="H104" s="3"/>
      <c r="I104" s="3"/>
      <c r="J104" s="3"/>
      <c r="K104" s="3"/>
      <c r="L104" s="3"/>
      <c r="M104" s="3"/>
      <c r="N104" s="3"/>
      <c r="O104" s="3"/>
      <c r="P104" s="3"/>
      <c r="Q104" s="3"/>
      <c r="R104" s="3"/>
      <c r="S104" s="3"/>
      <c r="T104" s="3"/>
      <c r="U104" s="3"/>
      <c r="V104" s="3"/>
      <c r="W104" s="3"/>
      <c r="X104" s="3"/>
      <c r="Y104" s="3"/>
      <c r="Z104" s="3"/>
    </row>
    <row r="105" spans="1:26">
      <c r="A105" s="3"/>
      <c r="B105" s="204"/>
      <c r="C105" s="100"/>
      <c r="D105" s="205"/>
      <c r="E105" s="100"/>
      <c r="F105" s="206"/>
      <c r="G105" s="3"/>
      <c r="H105" s="3"/>
      <c r="I105" s="3"/>
      <c r="J105" s="3"/>
      <c r="K105" s="3"/>
      <c r="L105" s="3"/>
      <c r="M105" s="3"/>
      <c r="N105" s="3"/>
      <c r="O105" s="3"/>
      <c r="P105" s="3"/>
      <c r="Q105" s="3"/>
      <c r="R105" s="3"/>
      <c r="S105" s="3"/>
      <c r="T105" s="3"/>
      <c r="U105" s="3"/>
      <c r="V105" s="3"/>
      <c r="W105" s="3"/>
      <c r="X105" s="3"/>
      <c r="Y105" s="3"/>
      <c r="Z105" s="3"/>
    </row>
    <row r="106" spans="1:26">
      <c r="A106" s="3"/>
      <c r="B106" s="204">
        <v>6.5</v>
      </c>
      <c r="C106" s="100"/>
      <c r="D106" s="205">
        <v>20</v>
      </c>
      <c r="E106" s="100"/>
      <c r="F106" s="206">
        <v>20.75</v>
      </c>
      <c r="G106" s="3"/>
      <c r="H106" s="3"/>
      <c r="I106" s="3"/>
      <c r="J106" s="3"/>
      <c r="K106" s="3"/>
      <c r="L106" s="3"/>
      <c r="M106" s="3"/>
      <c r="N106" s="3"/>
      <c r="O106" s="3"/>
      <c r="P106" s="3"/>
      <c r="Q106" s="3"/>
      <c r="R106" s="3"/>
      <c r="S106" s="3"/>
      <c r="T106" s="3"/>
      <c r="U106" s="3"/>
      <c r="V106" s="3"/>
      <c r="W106" s="3"/>
      <c r="X106" s="3"/>
      <c r="Y106" s="3"/>
      <c r="Z106" s="3"/>
    </row>
    <row r="107" spans="1:26">
      <c r="A107" s="3"/>
      <c r="B107" s="204"/>
      <c r="C107" s="100"/>
      <c r="D107" s="205"/>
      <c r="E107" s="100"/>
      <c r="F107" s="206"/>
      <c r="G107" s="3"/>
      <c r="H107" s="3"/>
      <c r="I107" s="3"/>
      <c r="J107" s="3"/>
      <c r="K107" s="3"/>
      <c r="L107" s="3"/>
      <c r="M107" s="3"/>
      <c r="N107" s="3"/>
      <c r="O107" s="3"/>
      <c r="P107" s="3"/>
      <c r="Q107" s="3"/>
      <c r="R107" s="3"/>
      <c r="S107" s="3"/>
      <c r="T107" s="3"/>
      <c r="U107" s="3"/>
      <c r="V107" s="3"/>
      <c r="W107" s="3"/>
      <c r="X107" s="3"/>
      <c r="Y107" s="3"/>
      <c r="Z107" s="3"/>
    </row>
    <row r="108" spans="1:26">
      <c r="A108" s="3"/>
      <c r="B108" s="204">
        <v>7</v>
      </c>
      <c r="C108" s="100"/>
      <c r="D108" s="205">
        <v>21</v>
      </c>
      <c r="E108" s="100"/>
      <c r="F108" s="206">
        <v>21.35</v>
      </c>
      <c r="G108" s="3"/>
      <c r="H108" s="3"/>
      <c r="I108" s="3"/>
      <c r="J108" s="3"/>
      <c r="K108" s="3"/>
      <c r="L108" s="3"/>
      <c r="M108" s="3"/>
      <c r="N108" s="3"/>
      <c r="O108" s="3"/>
      <c r="P108" s="3"/>
      <c r="Q108" s="3"/>
      <c r="R108" s="3"/>
      <c r="S108" s="3"/>
      <c r="T108" s="3"/>
      <c r="U108" s="3"/>
      <c r="V108" s="3"/>
      <c r="W108" s="3"/>
      <c r="X108" s="3"/>
      <c r="Y108" s="3"/>
      <c r="Z108" s="3"/>
    </row>
    <row r="109" spans="1:26">
      <c r="A109" s="3"/>
      <c r="B109" s="204"/>
      <c r="C109" s="100"/>
      <c r="D109" s="205"/>
      <c r="E109" s="100"/>
      <c r="F109" s="206"/>
      <c r="G109" s="3"/>
      <c r="H109" s="3"/>
      <c r="I109" s="3"/>
      <c r="J109" s="3"/>
      <c r="K109" s="3"/>
      <c r="L109" s="3"/>
      <c r="M109" s="3"/>
      <c r="N109" s="3"/>
      <c r="O109" s="3"/>
      <c r="P109" s="3"/>
      <c r="Q109" s="3"/>
      <c r="R109" s="3"/>
      <c r="S109" s="3"/>
      <c r="T109" s="3"/>
      <c r="U109" s="3"/>
      <c r="V109" s="3"/>
      <c r="W109" s="3"/>
      <c r="X109" s="3"/>
      <c r="Y109" s="3"/>
      <c r="Z109" s="3"/>
    </row>
    <row r="110" spans="1:26">
      <c r="A110" s="3"/>
      <c r="B110" s="204">
        <v>7.5</v>
      </c>
      <c r="C110" s="100"/>
      <c r="D110" s="205">
        <v>22</v>
      </c>
      <c r="E110" s="100"/>
      <c r="F110" s="206">
        <v>21.65</v>
      </c>
      <c r="G110" s="3"/>
      <c r="H110" s="3"/>
      <c r="I110" s="3"/>
      <c r="J110" s="3"/>
      <c r="K110" s="3"/>
      <c r="L110" s="3"/>
      <c r="M110" s="3"/>
      <c r="N110" s="3"/>
      <c r="O110" s="3"/>
      <c r="P110" s="3"/>
      <c r="Q110" s="3"/>
      <c r="R110" s="3"/>
      <c r="S110" s="3"/>
      <c r="T110" s="3"/>
      <c r="U110" s="3"/>
      <c r="V110" s="3"/>
      <c r="W110" s="3"/>
      <c r="X110" s="3"/>
      <c r="Y110" s="3"/>
      <c r="Z110" s="3"/>
    </row>
    <row r="111" spans="1:26">
      <c r="A111" s="3"/>
      <c r="B111" s="207"/>
      <c r="C111" s="169"/>
      <c r="D111" s="169"/>
      <c r="E111" s="169"/>
      <c r="F111" s="208"/>
      <c r="G111" s="3"/>
      <c r="H111" s="3"/>
      <c r="I111" s="3"/>
      <c r="J111" s="3"/>
      <c r="K111" s="3"/>
      <c r="L111" s="3"/>
      <c r="M111" s="3"/>
      <c r="N111" s="3"/>
      <c r="O111" s="3"/>
      <c r="P111" s="3"/>
      <c r="Q111" s="3"/>
      <c r="R111" s="3"/>
      <c r="S111" s="3"/>
      <c r="T111" s="3"/>
      <c r="U111" s="3"/>
      <c r="V111" s="3"/>
      <c r="W111" s="3"/>
      <c r="X111" s="3"/>
      <c r="Y111" s="3"/>
      <c r="Z111" s="3"/>
    </row>
    <row r="112" spans="1:26" ht="13">
      <c r="A112" s="3"/>
      <c r="B112" s="3" t="s">
        <v>693</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Normal="100" workbookViewId="0">
      <selection activeCell="F103" sqref="F103"/>
    </sheetView>
  </sheetViews>
  <sheetFormatPr defaultColWidth="8.81640625" defaultRowHeight="12.5"/>
  <cols>
    <col min="5" max="5" width="9.81640625" customWidth="1"/>
    <col min="9" max="9" width="10.6328125" customWidth="1"/>
    <col min="10" max="10" width="10.81640625" customWidth="1"/>
    <col min="15" max="15" width="17.81640625" customWidth="1"/>
    <col min="18" max="18" width="9.453125" bestFit="1" customWidth="1"/>
  </cols>
  <sheetData>
    <row r="1" spans="1:50" ht="18.5" thickBot="1">
      <c r="A1" s="127" t="s">
        <v>277</v>
      </c>
      <c r="B1" s="129"/>
      <c r="C1" s="129"/>
      <c r="D1" s="129"/>
      <c r="E1" s="129"/>
      <c r="F1" s="129"/>
      <c r="G1" s="681" t="str">
        <f>'Title Page'!F3</f>
        <v>OreSat - CS0 (DxWiFi)</v>
      </c>
      <c r="H1" s="129"/>
      <c r="I1" s="129"/>
      <c r="J1" s="129"/>
      <c r="K1" s="680" t="str">
        <f>'Title Page'!F23</f>
        <v>2019 February 1</v>
      </c>
      <c r="L1" s="129"/>
      <c r="M1" s="129"/>
      <c r="N1" s="129"/>
      <c r="O1" s="129"/>
      <c r="P1" s="129"/>
      <c r="Q1" s="129"/>
      <c r="R1" s="129"/>
      <c r="S1" s="129"/>
      <c r="T1" s="129"/>
      <c r="U1" s="129"/>
      <c r="V1" s="129"/>
      <c r="W1" s="129"/>
      <c r="X1" s="129"/>
      <c r="Y1" s="129"/>
      <c r="Z1" s="129"/>
      <c r="AA1" s="129"/>
      <c r="AB1" s="129"/>
      <c r="AC1" s="129"/>
      <c r="AD1" s="129"/>
      <c r="AE1" s="129"/>
      <c r="AF1" s="129"/>
      <c r="AG1" s="129"/>
      <c r="AH1" s="129"/>
      <c r="AI1" s="129"/>
      <c r="AJ1" s="129"/>
      <c r="AK1" s="129"/>
      <c r="AL1" s="129"/>
      <c r="AM1" s="129"/>
      <c r="AN1" s="129"/>
      <c r="AO1" s="129"/>
      <c r="AP1" s="129"/>
      <c r="AQ1" s="129"/>
      <c r="AR1" s="129"/>
      <c r="AS1" s="129"/>
      <c r="AT1" s="129"/>
      <c r="AU1" s="129"/>
      <c r="AV1" s="129"/>
      <c r="AW1" s="129"/>
      <c r="AX1" s="129"/>
    </row>
    <row r="2" spans="1:50" ht="12.75" customHeight="1">
      <c r="A2" s="287"/>
      <c r="B2" s="88"/>
      <c r="C2" s="88"/>
      <c r="D2" s="88"/>
      <c r="E2" s="88"/>
      <c r="F2" s="88"/>
      <c r="G2" s="88"/>
      <c r="H2" s="88"/>
      <c r="I2" s="288"/>
      <c r="J2" s="103"/>
      <c r="K2" s="103"/>
      <c r="L2" s="103"/>
      <c r="M2" s="103"/>
      <c r="N2" s="103"/>
      <c r="O2" s="103"/>
      <c r="P2" s="103"/>
      <c r="Q2" s="103"/>
      <c r="R2" s="103"/>
      <c r="S2" s="103"/>
      <c r="T2" s="103"/>
      <c r="U2" s="103"/>
      <c r="V2" s="10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2"/>
      <c r="B3" s="345" t="s">
        <v>140</v>
      </c>
      <c r="C3" s="244" t="s">
        <v>860</v>
      </c>
      <c r="D3" s="232"/>
      <c r="E3" s="232"/>
      <c r="F3" s="232"/>
      <c r="G3" s="244" t="s">
        <v>861</v>
      </c>
      <c r="H3" s="232"/>
      <c r="I3" s="89"/>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2"/>
      <c r="B4" s="232"/>
      <c r="C4" s="232"/>
      <c r="D4" s="232"/>
      <c r="E4" s="232"/>
      <c r="F4" s="232"/>
      <c r="G4" s="232"/>
      <c r="H4" s="232"/>
      <c r="I4" s="89"/>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2"/>
      <c r="B5" s="232"/>
      <c r="C5" s="232"/>
      <c r="D5" s="232"/>
      <c r="E5" s="232"/>
      <c r="F5" s="232"/>
      <c r="G5" s="232"/>
      <c r="H5" s="232"/>
      <c r="I5" s="89"/>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2"/>
      <c r="B6" s="232"/>
      <c r="C6" s="232"/>
      <c r="D6" s="232"/>
      <c r="E6" s="232" t="s">
        <v>130</v>
      </c>
      <c r="F6" s="232"/>
      <c r="G6" s="232"/>
      <c r="H6" s="232"/>
      <c r="I6" s="89"/>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2"/>
      <c r="B7" s="232"/>
      <c r="C7" s="232"/>
      <c r="D7" s="232"/>
      <c r="E7" s="244" t="s">
        <v>131</v>
      </c>
      <c r="F7" s="232"/>
      <c r="G7" s="232"/>
      <c r="H7" s="232"/>
      <c r="I7" s="89"/>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2"/>
      <c r="B8" s="232"/>
      <c r="C8" s="232"/>
      <c r="D8" s="232"/>
      <c r="E8" s="244" t="s">
        <v>289</v>
      </c>
      <c r="F8" s="232"/>
      <c r="G8" s="232"/>
      <c r="H8" s="232"/>
      <c r="I8" s="89"/>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2"/>
      <c r="B9" s="232"/>
      <c r="C9" s="232"/>
      <c r="D9" s="232"/>
      <c r="E9" s="232"/>
      <c r="F9" s="232"/>
      <c r="G9" s="232"/>
      <c r="H9" s="232"/>
      <c r="I9" s="89"/>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2"/>
      <c r="B10" s="232"/>
      <c r="C10" s="232"/>
      <c r="D10" s="232"/>
      <c r="E10" s="232"/>
      <c r="F10" s="232"/>
      <c r="G10" s="232"/>
      <c r="H10" s="232"/>
      <c r="I10" s="89"/>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2"/>
      <c r="B11" s="232"/>
      <c r="C11" s="232"/>
      <c r="D11" s="232"/>
      <c r="E11" s="232"/>
      <c r="F11" s="232"/>
      <c r="G11" s="232"/>
      <c r="H11" s="232"/>
      <c r="I11" s="89"/>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2"/>
      <c r="B12" s="232"/>
      <c r="C12" s="232"/>
      <c r="D12" s="232"/>
      <c r="E12" s="232"/>
      <c r="F12" s="232"/>
      <c r="G12" s="232"/>
      <c r="H12" s="232"/>
      <c r="I12" s="89"/>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2"/>
      <c r="B13" s="232"/>
      <c r="C13" s="232"/>
      <c r="D13" s="232"/>
      <c r="E13" s="232"/>
      <c r="F13" s="232"/>
      <c r="G13" s="232"/>
      <c r="H13" s="232"/>
      <c r="I13" s="89"/>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2"/>
      <c r="B14" s="232"/>
      <c r="C14" s="232"/>
      <c r="D14" s="232"/>
      <c r="E14" s="232"/>
      <c r="F14" s="232"/>
      <c r="G14" s="232"/>
      <c r="H14" s="232"/>
      <c r="I14" s="89"/>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2"/>
      <c r="B15" s="232"/>
      <c r="C15" s="232"/>
      <c r="D15" s="232"/>
      <c r="E15" s="232"/>
      <c r="F15" s="232"/>
      <c r="G15" s="232"/>
      <c r="H15" s="232"/>
      <c r="I15" s="89"/>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2"/>
      <c r="B16" s="232"/>
      <c r="C16" s="232"/>
      <c r="D16" s="232"/>
      <c r="E16" s="232"/>
      <c r="F16" s="232"/>
      <c r="G16" s="232"/>
      <c r="H16" s="232"/>
      <c r="I16" s="89"/>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2"/>
      <c r="B17" s="232"/>
      <c r="C17" s="232"/>
      <c r="D17" s="232"/>
      <c r="E17" s="232"/>
      <c r="F17" s="232"/>
      <c r="G17" s="232"/>
      <c r="H17" s="232"/>
      <c r="I17" s="89"/>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2"/>
      <c r="B18" s="232"/>
      <c r="C18" s="232"/>
      <c r="D18" s="232"/>
      <c r="E18" s="232"/>
      <c r="F18" s="232"/>
      <c r="G18" s="232"/>
      <c r="H18" s="232"/>
      <c r="I18" s="89"/>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2"/>
      <c r="B19" s="232"/>
      <c r="C19" s="232"/>
      <c r="D19" s="232"/>
      <c r="E19" s="232"/>
      <c r="F19" s="232"/>
      <c r="G19" s="232"/>
      <c r="H19" s="232"/>
      <c r="I19" s="89"/>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2"/>
      <c r="B20" s="232"/>
      <c r="C20" s="232"/>
      <c r="D20" s="232"/>
      <c r="E20" s="232"/>
      <c r="F20" s="232"/>
      <c r="G20" s="232"/>
      <c r="H20" s="232"/>
      <c r="I20" s="89"/>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2"/>
      <c r="B21" s="232"/>
      <c r="C21" s="232"/>
      <c r="D21" s="232"/>
      <c r="E21" s="244" t="s">
        <v>132</v>
      </c>
      <c r="F21" s="232"/>
      <c r="G21" s="232"/>
      <c r="H21" s="232"/>
      <c r="I21" s="89"/>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2"/>
      <c r="B22" s="232"/>
      <c r="C22" s="232"/>
      <c r="D22" s="232"/>
      <c r="E22" s="232" t="s">
        <v>131</v>
      </c>
      <c r="F22" s="232"/>
      <c r="G22" s="232"/>
      <c r="H22" s="232"/>
      <c r="I22" s="89"/>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2"/>
      <c r="B23" s="232"/>
      <c r="C23" s="232"/>
      <c r="D23" s="232"/>
      <c r="E23" s="244" t="s">
        <v>137</v>
      </c>
      <c r="F23" s="232"/>
      <c r="G23" s="232"/>
      <c r="H23" s="232"/>
      <c r="I23" s="89"/>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2"/>
      <c r="B24" s="232"/>
      <c r="C24" s="232"/>
      <c r="D24" s="232"/>
      <c r="E24" s="232"/>
      <c r="F24" s="232"/>
      <c r="G24" s="232"/>
      <c r="H24" s="232"/>
      <c r="I24" s="89"/>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2"/>
      <c r="B25" s="232"/>
      <c r="C25" s="399" t="s">
        <v>287</v>
      </c>
      <c r="D25" s="232"/>
      <c r="E25" s="232"/>
      <c r="F25" s="232"/>
      <c r="G25" s="399" t="s">
        <v>288</v>
      </c>
      <c r="H25" s="232"/>
      <c r="I25" s="89"/>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7" t="s">
        <v>707</v>
      </c>
      <c r="B26" s="129"/>
      <c r="C26" s="129"/>
      <c r="D26" s="129"/>
      <c r="E26" s="129"/>
      <c r="F26" s="129"/>
      <c r="G26" s="129"/>
      <c r="H26" s="129"/>
      <c r="I26" s="289"/>
      <c r="J26" s="129"/>
      <c r="K26" s="129"/>
      <c r="L26" s="129"/>
      <c r="M26" s="129"/>
      <c r="N26" s="129"/>
      <c r="O26" s="129"/>
      <c r="P26" s="129"/>
      <c r="Q26" s="129"/>
      <c r="R26" s="129"/>
      <c r="S26" s="129"/>
      <c r="T26" s="129"/>
      <c r="U26" s="129"/>
      <c r="V26" s="129"/>
      <c r="W26" s="129"/>
      <c r="X26" s="405" t="s">
        <v>297</v>
      </c>
      <c r="Y26" s="129"/>
      <c r="Z26" s="129"/>
      <c r="AA26" s="129"/>
      <c r="AB26" s="129"/>
      <c r="AC26" s="129"/>
      <c r="AD26" s="129"/>
      <c r="AE26" s="129"/>
      <c r="AF26" s="129"/>
      <c r="AG26" s="129"/>
      <c r="AH26" s="129"/>
      <c r="AI26" s="129"/>
      <c r="AJ26" s="129"/>
      <c r="AK26" s="129"/>
      <c r="AL26" s="129"/>
      <c r="AM26" s="129"/>
      <c r="AN26" s="129"/>
      <c r="AO26" s="129"/>
      <c r="AP26" s="129"/>
      <c r="AQ26" s="129"/>
      <c r="AR26" s="129"/>
      <c r="AS26" s="129"/>
      <c r="AT26" s="129"/>
      <c r="AU26" s="129"/>
      <c r="AV26" s="129"/>
      <c r="AW26" s="129"/>
      <c r="AX26" s="129"/>
    </row>
    <row r="27" spans="1:50">
      <c r="A27" s="3"/>
      <c r="B27" s="3"/>
      <c r="C27" s="3"/>
      <c r="D27" s="3"/>
      <c r="E27" s="3"/>
      <c r="F27" s="3"/>
      <c r="G27" s="3"/>
      <c r="H27" s="3"/>
      <c r="I27" s="3"/>
      <c r="J27" s="3"/>
      <c r="K27" s="3"/>
      <c r="L27" s="3"/>
      <c r="M27" s="3"/>
      <c r="N27" s="3"/>
      <c r="O27" s="3"/>
      <c r="P27" s="3"/>
      <c r="Q27" s="3"/>
      <c r="R27" s="3" t="s">
        <v>817</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1" t="s">
        <v>57</v>
      </c>
      <c r="B28" s="187"/>
      <c r="C28" s="188"/>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627"/>
      <c r="B29" s="103"/>
      <c r="C29" s="10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627"/>
      <c r="B30" s="345" t="s">
        <v>140</v>
      </c>
      <c r="C30" s="10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5" t="s">
        <v>94</v>
      </c>
      <c r="C32" s="192"/>
      <c r="D32" s="178"/>
      <c r="E32" s="178"/>
      <c r="F32" s="178"/>
      <c r="G32" s="178" t="s">
        <v>817</v>
      </c>
      <c r="H32" s="178"/>
      <c r="I32" s="178"/>
      <c r="J32" s="178" t="s">
        <v>817</v>
      </c>
      <c r="K32" s="178"/>
      <c r="L32" s="179"/>
      <c r="M32" s="3"/>
      <c r="N32" s="3"/>
      <c r="O32" s="3"/>
      <c r="P32" s="3"/>
      <c r="Q32" s="3"/>
      <c r="R32" s="396"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6" t="s">
        <v>817</v>
      </c>
      <c r="C33" s="210"/>
      <c r="D33" s="212" t="s">
        <v>104</v>
      </c>
      <c r="E33" s="211" t="s">
        <v>855</v>
      </c>
      <c r="F33" s="242">
        <f>'Antenna Gain'!F8</f>
        <v>2412</v>
      </c>
      <c r="G33" s="143" t="s">
        <v>856</v>
      </c>
      <c r="H33" s="143"/>
      <c r="I33" s="143"/>
      <c r="J33" s="143" t="s">
        <v>87</v>
      </c>
      <c r="K33" s="243">
        <f>'Antenna Gain'!K8</f>
        <v>0.12429519071310116</v>
      </c>
      <c r="L33" s="180" t="s">
        <v>857</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5"/>
      <c r="C34" s="143"/>
      <c r="D34" s="143"/>
      <c r="E34" s="143"/>
      <c r="F34" s="143"/>
      <c r="G34" s="143"/>
      <c r="H34" s="143"/>
      <c r="I34" s="143"/>
      <c r="J34" s="143"/>
      <c r="K34" s="143"/>
      <c r="L34" s="180"/>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5"/>
      <c r="C35" s="143"/>
      <c r="D35" s="143"/>
      <c r="E35" s="143"/>
      <c r="F35" s="198" t="s">
        <v>285</v>
      </c>
      <c r="G35" s="143"/>
      <c r="H35" s="143"/>
      <c r="I35" s="143"/>
      <c r="J35" s="143"/>
      <c r="K35" s="143"/>
      <c r="L35" s="180"/>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6" t="s">
        <v>817</v>
      </c>
      <c r="C36" s="143"/>
      <c r="D36" s="143"/>
      <c r="E36" s="278">
        <f>'Antenna Gain'!E11</f>
        <v>4</v>
      </c>
      <c r="F36" s="182" t="str">
        <f>'Antenna Gain'!F11</f>
        <v xml:space="preserve">User Defined </v>
      </c>
      <c r="G36" s="183"/>
      <c r="H36" s="143"/>
      <c r="I36" s="143"/>
      <c r="J36" s="143" t="s">
        <v>60</v>
      </c>
      <c r="K36" s="279" t="str">
        <f>'Antenna Gain'!K11</f>
        <v>RHCP</v>
      </c>
      <c r="L36" s="180"/>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7"/>
      <c r="C37" s="147"/>
      <c r="D37" s="147"/>
      <c r="E37" s="147"/>
      <c r="F37" s="147"/>
      <c r="G37" s="147"/>
      <c r="H37" s="147"/>
      <c r="I37" s="147"/>
      <c r="J37" s="147"/>
      <c r="K37" s="147"/>
      <c r="L37" s="181"/>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8">
        <v>1</v>
      </c>
      <c r="C38" s="149" t="s">
        <v>77</v>
      </c>
      <c r="D38" s="264"/>
      <c r="E38" s="149"/>
      <c r="F38" s="267" t="s">
        <v>76</v>
      </c>
      <c r="G38" s="276">
        <f>'Antenna Gain'!N13</f>
        <v>16.3</v>
      </c>
      <c r="H38" s="149" t="s">
        <v>886</v>
      </c>
      <c r="I38" s="264" t="s">
        <v>61</v>
      </c>
      <c r="J38" s="272">
        <f>'Antenna Gain'!Q13</f>
        <v>30.621749233640596</v>
      </c>
      <c r="K38" s="149" t="s">
        <v>4</v>
      </c>
      <c r="L38" s="154"/>
      <c r="M38" s="3"/>
      <c r="N38" s="3"/>
      <c r="O38" s="3"/>
      <c r="P38" s="3"/>
      <c r="Q38" s="3"/>
      <c r="R38" s="397">
        <f>2*(F43*(79.76/INDEX(J38:J41,E36,1)))</f>
        <v>39.880000000000003</v>
      </c>
      <c r="S38" s="265"/>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69">
        <v>2</v>
      </c>
      <c r="C39" s="156" t="s">
        <v>91</v>
      </c>
      <c r="D39" s="265"/>
      <c r="E39" s="156"/>
      <c r="F39" s="265" t="s">
        <v>59</v>
      </c>
      <c r="G39" s="275">
        <f>'Antenna Gain'!N14</f>
        <v>15.952205667976569</v>
      </c>
      <c r="H39" s="156" t="s">
        <v>886</v>
      </c>
      <c r="I39" s="265" t="s">
        <v>61</v>
      </c>
      <c r="J39" s="274">
        <f>'Antenna Gain'!Q14</f>
        <v>32.218539472084792</v>
      </c>
      <c r="K39" s="156" t="s">
        <v>4</v>
      </c>
      <c r="L39" s="162"/>
      <c r="M39" s="3"/>
      <c r="N39" s="3"/>
      <c r="O39" s="3"/>
      <c r="P39" s="3"/>
      <c r="Q39" s="3"/>
      <c r="R39" s="84"/>
      <c r="S39" s="86"/>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0">
        <v>3</v>
      </c>
      <c r="C40" s="164" t="s">
        <v>92</v>
      </c>
      <c r="D40" s="266"/>
      <c r="E40" s="164"/>
      <c r="F40" s="266" t="s">
        <v>59</v>
      </c>
      <c r="G40" s="277">
        <f>'Antenna Gain'!N15</f>
        <v>40.099048160764085</v>
      </c>
      <c r="H40" s="164" t="s">
        <v>886</v>
      </c>
      <c r="I40" s="266" t="s">
        <v>61</v>
      </c>
      <c r="J40" s="273">
        <f>'Antenna Gain'!Q15</f>
        <v>1.6123088262391745</v>
      </c>
      <c r="K40" s="164" t="s">
        <v>4</v>
      </c>
      <c r="L40" s="168"/>
      <c r="M40" s="3"/>
      <c r="N40" s="3"/>
      <c r="O40" s="3"/>
      <c r="P40" s="3"/>
      <c r="Q40" s="3"/>
      <c r="R40" s="87"/>
      <c r="S40" s="89"/>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0">
        <v>4</v>
      </c>
      <c r="C41" s="143" t="s">
        <v>93</v>
      </c>
      <c r="D41" s="179"/>
      <c r="E41" s="143"/>
      <c r="F41" s="180" t="s">
        <v>59</v>
      </c>
      <c r="G41" s="281">
        <f>'Antenna Gain'!N16</f>
        <v>22.9</v>
      </c>
      <c r="H41" s="143" t="s">
        <v>886</v>
      </c>
      <c r="I41" s="180" t="s">
        <v>61</v>
      </c>
      <c r="J41" s="282">
        <f>'Antenna Gain'!Q16</f>
        <v>20</v>
      </c>
      <c r="K41" s="143" t="s">
        <v>4</v>
      </c>
      <c r="L41" s="283"/>
      <c r="M41" s="3"/>
      <c r="N41" s="3"/>
      <c r="O41" s="3"/>
      <c r="P41" s="3"/>
      <c r="Q41" s="3"/>
      <c r="R41" s="87"/>
      <c r="S41" s="89"/>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0"/>
      <c r="C42" s="291"/>
      <c r="D42" s="291"/>
      <c r="E42" s="291"/>
      <c r="F42" s="291"/>
      <c r="G42" s="291"/>
      <c r="H42" s="291"/>
      <c r="I42" s="291"/>
      <c r="J42" s="291"/>
      <c r="K42" s="291"/>
      <c r="L42" s="292"/>
      <c r="M42" s="3"/>
      <c r="N42" s="3"/>
      <c r="O42" s="3"/>
      <c r="P42" s="3"/>
      <c r="Q42" s="3"/>
      <c r="R42" s="87"/>
      <c r="S42" s="89"/>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3" t="s">
        <v>817</v>
      </c>
      <c r="C43" s="294" t="s">
        <v>134</v>
      </c>
      <c r="D43" s="295"/>
      <c r="E43" s="295"/>
      <c r="F43" s="285">
        <v>5</v>
      </c>
      <c r="G43" s="286" t="s">
        <v>135</v>
      </c>
      <c r="H43" s="294" t="s">
        <v>133</v>
      </c>
      <c r="I43" s="295"/>
      <c r="J43" s="295"/>
      <c r="K43" s="284">
        <f>-10*LOG10(3282.81*((SIN(RADIANS(R38))^2/(R38^2))))</f>
        <v>0.71302177034341041</v>
      </c>
      <c r="L43" s="183" t="s">
        <v>859</v>
      </c>
      <c r="M43" s="3"/>
      <c r="N43" s="3"/>
      <c r="O43" s="3"/>
      <c r="P43" s="3"/>
      <c r="Q43" s="3"/>
      <c r="R43" s="87"/>
      <c r="S43" s="89"/>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6"/>
      <c r="C44" s="297"/>
      <c r="D44" s="297"/>
      <c r="E44" s="297"/>
      <c r="F44" s="297"/>
      <c r="G44" s="297"/>
      <c r="H44" s="297"/>
      <c r="I44" s="297"/>
      <c r="J44" s="297"/>
      <c r="K44" s="297"/>
      <c r="L44" s="298"/>
      <c r="M44" s="3"/>
      <c r="N44" s="3"/>
      <c r="O44" s="3"/>
      <c r="P44" s="3"/>
      <c r="Q44" s="3"/>
      <c r="R44" s="87"/>
      <c r="S44" s="89"/>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817</v>
      </c>
      <c r="I45" s="3"/>
      <c r="J45" s="3"/>
      <c r="K45" s="3"/>
      <c r="L45" s="3"/>
      <c r="M45" s="3"/>
      <c r="N45" s="3"/>
      <c r="O45" s="3"/>
      <c r="P45" s="3"/>
      <c r="Q45" s="3"/>
      <c r="R45" s="87"/>
      <c r="S45" s="89"/>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817</v>
      </c>
      <c r="P46" s="3"/>
      <c r="Q46" s="3"/>
      <c r="R46" s="87"/>
      <c r="S46" s="89"/>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7"/>
      <c r="S47" s="89"/>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90"/>
      <c r="S48" s="92"/>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5" t="s">
        <v>103</v>
      </c>
      <c r="C49" s="192"/>
      <c r="D49" s="178"/>
      <c r="E49" s="178"/>
      <c r="F49" s="178"/>
      <c r="G49" s="178"/>
      <c r="H49" s="178"/>
      <c r="I49" s="178"/>
      <c r="J49" s="178"/>
      <c r="K49" s="178"/>
      <c r="L49" s="179"/>
      <c r="M49" s="3"/>
      <c r="N49" s="3"/>
      <c r="O49" s="3"/>
      <c r="P49" s="3"/>
      <c r="Q49" s="3"/>
      <c r="R49" s="318"/>
      <c r="S49" s="179"/>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5"/>
      <c r="C50" s="143"/>
      <c r="D50" s="144" t="s">
        <v>104</v>
      </c>
      <c r="E50" s="143" t="s">
        <v>855</v>
      </c>
      <c r="F50" s="240">
        <f>'Antenna Gain'!F22</f>
        <v>2412</v>
      </c>
      <c r="G50" s="143" t="s">
        <v>856</v>
      </c>
      <c r="H50" s="143"/>
      <c r="I50" s="143"/>
      <c r="J50" s="143" t="s">
        <v>87</v>
      </c>
      <c r="K50" s="241">
        <f>'Antenna Gain'!K22</f>
        <v>0.12429519071310116</v>
      </c>
      <c r="L50" s="180" t="s">
        <v>857</v>
      </c>
      <c r="M50" s="3"/>
      <c r="N50" s="3"/>
      <c r="O50" s="3"/>
      <c r="P50" s="3"/>
      <c r="Q50" s="3"/>
      <c r="R50" s="393" t="s">
        <v>142</v>
      </c>
      <c r="S50" s="32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5"/>
      <c r="C51" s="143"/>
      <c r="D51" s="143" t="s">
        <v>817</v>
      </c>
      <c r="E51" s="143" t="s">
        <v>817</v>
      </c>
      <c r="F51" s="198" t="s">
        <v>285</v>
      </c>
      <c r="G51" s="143"/>
      <c r="H51" s="143"/>
      <c r="I51" s="143"/>
      <c r="J51" s="143"/>
      <c r="K51" s="143"/>
      <c r="L51" s="180"/>
      <c r="M51" s="3"/>
      <c r="N51" s="3"/>
      <c r="O51" s="3"/>
      <c r="P51" s="3"/>
      <c r="Q51" s="3"/>
      <c r="R51" s="322"/>
      <c r="S51" s="32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6" t="s">
        <v>817</v>
      </c>
      <c r="C52" s="143"/>
      <c r="D52" s="143"/>
      <c r="E52" s="315">
        <f>'Antenna Gain'!E24</f>
        <v>7</v>
      </c>
      <c r="F52" s="313" t="str">
        <f>'Antenna Gain'!F24</f>
        <v>Other (User Defined)</v>
      </c>
      <c r="G52" s="183"/>
      <c r="H52" s="143"/>
      <c r="I52" s="143"/>
      <c r="J52" s="143" t="s">
        <v>60</v>
      </c>
      <c r="K52" s="279" t="str">
        <f>'Antenna Gain'!K24</f>
        <v>RHCP</v>
      </c>
      <c r="L52" s="180"/>
      <c r="M52" s="3"/>
      <c r="N52" s="3"/>
      <c r="O52" s="403" t="s">
        <v>295</v>
      </c>
      <c r="P52" s="3"/>
      <c r="Q52" s="3"/>
      <c r="R52" s="393" t="s">
        <v>141</v>
      </c>
      <c r="S52" s="32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5"/>
      <c r="C53" s="143"/>
      <c r="D53" s="143"/>
      <c r="E53" s="143"/>
      <c r="F53" s="143" t="s">
        <v>817</v>
      </c>
      <c r="G53" s="143"/>
      <c r="H53" s="143"/>
      <c r="I53" s="143"/>
      <c r="J53" s="143"/>
      <c r="K53" s="143"/>
      <c r="L53" s="180"/>
      <c r="M53" s="3"/>
      <c r="N53" s="3"/>
      <c r="O53" s="404" t="s">
        <v>296</v>
      </c>
      <c r="P53" s="3"/>
      <c r="Q53" s="3"/>
      <c r="R53" s="234" t="s">
        <v>817</v>
      </c>
      <c r="S53" s="236"/>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9">
        <v>1</v>
      </c>
      <c r="C54" s="140" t="s">
        <v>95</v>
      </c>
      <c r="D54" s="140"/>
      <c r="E54" s="140"/>
      <c r="F54" s="140"/>
      <c r="G54" s="140" t="s">
        <v>59</v>
      </c>
      <c r="H54" s="140">
        <f>'Antenna Gain'!H26</f>
        <v>2.15</v>
      </c>
      <c r="I54" s="140" t="s">
        <v>63</v>
      </c>
      <c r="J54" s="140" t="s">
        <v>61</v>
      </c>
      <c r="K54" s="140">
        <f>'Antenna Gain'!L26</f>
        <v>156.19999999999999</v>
      </c>
      <c r="L54" s="141" t="s">
        <v>4</v>
      </c>
      <c r="M54" s="125"/>
      <c r="N54" s="126"/>
      <c r="O54" s="402" t="s">
        <v>290</v>
      </c>
      <c r="P54" s="605" t="s">
        <v>665</v>
      </c>
      <c r="Q54" s="606"/>
      <c r="R54" s="320">
        <f>IF(G63&lt;100,-10*LOG10(COS(RADIANS(90-G63))),"No Signal")</f>
        <v>4.6594831535448265</v>
      </c>
      <c r="S54" s="321" t="s">
        <v>859</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2">
        <v>2</v>
      </c>
      <c r="C55" s="143" t="s">
        <v>96</v>
      </c>
      <c r="D55" s="143"/>
      <c r="E55" s="143"/>
      <c r="F55" s="143"/>
      <c r="G55" s="143" t="s">
        <v>59</v>
      </c>
      <c r="H55" s="143">
        <f>'Antenna Gain'!H27</f>
        <v>2.15</v>
      </c>
      <c r="I55" s="143" t="s">
        <v>63</v>
      </c>
      <c r="J55" s="143" t="s">
        <v>61</v>
      </c>
      <c r="K55" s="143">
        <f>'Antenna Gain'!L27</f>
        <v>156.19999999999999</v>
      </c>
      <c r="L55" s="145" t="s">
        <v>4</v>
      </c>
      <c r="M55" s="125"/>
      <c r="N55" s="126"/>
      <c r="O55" s="401" t="s">
        <v>291</v>
      </c>
      <c r="P55" s="605" t="s">
        <v>666</v>
      </c>
      <c r="Q55" s="606"/>
      <c r="R55" s="316">
        <f>IF(G63&lt;90.001,-10*LOG10(COS(RADIANS($G$63))),-10*LOG(-COS(RADIANS($G$63))))</f>
        <v>0.27014183557063515</v>
      </c>
      <c r="S55" s="180" t="s">
        <v>859</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6">
        <v>3</v>
      </c>
      <c r="C56" s="100" t="s">
        <v>97</v>
      </c>
      <c r="D56" s="100"/>
      <c r="E56" s="100"/>
      <c r="F56" s="100"/>
      <c r="G56" s="100" t="s">
        <v>59</v>
      </c>
      <c r="H56" s="299">
        <f>'Antenna Gain'!H28</f>
        <v>2</v>
      </c>
      <c r="I56" s="100" t="s">
        <v>886</v>
      </c>
      <c r="J56" s="100" t="s">
        <v>61</v>
      </c>
      <c r="K56" s="100">
        <f>'Antenna Gain'!L28</f>
        <v>180</v>
      </c>
      <c r="L56" s="101" t="s">
        <v>4</v>
      </c>
      <c r="M56" s="125"/>
      <c r="N56" s="126"/>
      <c r="O56" s="400" t="s">
        <v>294</v>
      </c>
      <c r="P56" s="605" t="s">
        <v>667</v>
      </c>
      <c r="Q56" s="606"/>
      <c r="R56" s="736">
        <f>IF(K52=K36,0.00075*(G63)^2, 0.00075*(180-G63)^2)</f>
        <v>0.3</v>
      </c>
      <c r="S56" s="321" t="s">
        <v>859</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2">
        <v>4</v>
      </c>
      <c r="C57" s="143" t="s">
        <v>98</v>
      </c>
      <c r="D57" s="143"/>
      <c r="E57" s="190" t="s">
        <v>67</v>
      </c>
      <c r="F57" s="143" t="s">
        <v>68</v>
      </c>
      <c r="G57" s="143" t="s">
        <v>59</v>
      </c>
      <c r="H57" s="300">
        <f>'Antenna Gain'!H29</f>
        <v>4</v>
      </c>
      <c r="I57" s="143" t="s">
        <v>886</v>
      </c>
      <c r="J57" s="143" t="s">
        <v>61</v>
      </c>
      <c r="K57" s="143">
        <f>'Antenna Gain'!L29</f>
        <v>150</v>
      </c>
      <c r="L57" s="145" t="s">
        <v>4</v>
      </c>
      <c r="M57" s="125"/>
      <c r="N57" s="126"/>
      <c r="O57" s="401" t="s">
        <v>292</v>
      </c>
      <c r="P57" s="605" t="s">
        <v>668</v>
      </c>
      <c r="Q57" s="606"/>
      <c r="R57" s="316">
        <f>-1.5*(-(4-10*LOG10(1.256*(1+COS(RADIANS(G63))))))</f>
        <v>0.19916170492455665</v>
      </c>
      <c r="S57" s="180" t="s">
        <v>859</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6">
        <v>5</v>
      </c>
      <c r="C58" s="731" t="s">
        <v>195</v>
      </c>
      <c r="D58" s="100"/>
      <c r="E58" s="732" t="s">
        <v>817</v>
      </c>
      <c r="F58" s="100"/>
      <c r="G58" s="100" t="s">
        <v>59</v>
      </c>
      <c r="H58" s="733">
        <f>'Antenna Gain'!H30</f>
        <v>6</v>
      </c>
      <c r="I58" s="100" t="s">
        <v>199</v>
      </c>
      <c r="J58" s="100" t="s">
        <v>61</v>
      </c>
      <c r="K58" s="731">
        <f>'Antenna Gain'!L30</f>
        <v>90</v>
      </c>
      <c r="L58" s="101" t="s">
        <v>4</v>
      </c>
      <c r="M58" s="120"/>
      <c r="N58" s="121"/>
      <c r="O58" s="400" t="s">
        <v>293</v>
      </c>
      <c r="P58" s="605" t="s">
        <v>973</v>
      </c>
      <c r="Q58" s="606"/>
      <c r="R58" s="734">
        <f>-10*LOG10(3282.81*((SIN(RADIANS(G63*1.7724))^2)/((G63*1.7724)^2)))</f>
        <v>0.56135879700097513</v>
      </c>
      <c r="S58" s="735" t="s">
        <v>859</v>
      </c>
      <c r="T58" s="3"/>
      <c r="U58" s="3"/>
      <c r="V58" s="3"/>
      <c r="W58" s="3"/>
      <c r="X58" s="3" t="s">
        <v>817</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2">
        <v>6</v>
      </c>
      <c r="C59" s="729" t="s">
        <v>92</v>
      </c>
      <c r="D59" s="143"/>
      <c r="E59" s="738" t="s">
        <v>971</v>
      </c>
      <c r="F59" s="143"/>
      <c r="G59" s="143" t="s">
        <v>59</v>
      </c>
      <c r="H59" s="282">
        <f>'Antenna Gain'!H31</f>
        <v>40.099048160764085</v>
      </c>
      <c r="I59" s="143" t="s">
        <v>199</v>
      </c>
      <c r="J59" s="143" t="s">
        <v>61</v>
      </c>
      <c r="K59" s="370">
        <f>'Antenna Gain'!L31</f>
        <v>1.6123088262391745</v>
      </c>
      <c r="L59" s="145" t="s">
        <v>4</v>
      </c>
      <c r="M59" s="125"/>
      <c r="N59" s="125"/>
      <c r="O59" s="742" t="s">
        <v>970</v>
      </c>
      <c r="P59" s="743" t="s">
        <v>974</v>
      </c>
      <c r="Q59" s="606"/>
      <c r="R59" s="370">
        <f>-10*LOG10(3282.1*((SIN(RADIANS(U59))^2/(U59^2))))</f>
        <v>64.182666946192555</v>
      </c>
      <c r="S59" s="737" t="s">
        <v>859</v>
      </c>
      <c r="T59" s="3"/>
      <c r="U59" s="740">
        <f>2*(G63*(79.76/K59))</f>
        <v>1978.7772342857145</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6">
        <v>7</v>
      </c>
      <c r="C60" s="302" t="s">
        <v>99</v>
      </c>
      <c r="D60" s="194"/>
      <c r="E60" s="739" t="s">
        <v>972</v>
      </c>
      <c r="F60" s="194"/>
      <c r="G60" s="194" t="s">
        <v>59</v>
      </c>
      <c r="H60" s="301">
        <f>'Antenna Gain'!H32</f>
        <v>12</v>
      </c>
      <c r="I60" s="194" t="s">
        <v>36</v>
      </c>
      <c r="J60" s="194" t="s">
        <v>61</v>
      </c>
      <c r="K60" s="302">
        <f>'Antenna Gain'!L32</f>
        <v>30</v>
      </c>
      <c r="L60" s="195" t="s">
        <v>4</v>
      </c>
      <c r="M60" s="125"/>
      <c r="N60" s="125"/>
      <c r="O60" s="741" t="s">
        <v>200</v>
      </c>
      <c r="P60" s="743" t="s">
        <v>975</v>
      </c>
      <c r="Q60" s="606"/>
      <c r="R60" s="373">
        <v>0</v>
      </c>
      <c r="S60" s="286" t="s">
        <v>859</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4"/>
      <c r="C61" s="305"/>
      <c r="D61" s="305"/>
      <c r="E61" s="305"/>
      <c r="F61" s="305"/>
      <c r="G61" s="305"/>
      <c r="H61" s="305"/>
      <c r="I61" s="305"/>
      <c r="J61" s="305"/>
      <c r="K61" s="305"/>
      <c r="L61" s="306"/>
      <c r="M61" s="3"/>
      <c r="N61" s="3"/>
      <c r="O61" s="3"/>
      <c r="P61" s="3"/>
      <c r="Q61" s="3"/>
      <c r="R61" s="87"/>
      <c r="S61" s="89"/>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7"/>
      <c r="C62" s="294" t="s">
        <v>501</v>
      </c>
      <c r="D62" s="294"/>
      <c r="E62" s="294"/>
      <c r="F62" s="294"/>
      <c r="G62" s="295"/>
      <c r="H62" s="295"/>
      <c r="I62" s="308" t="s">
        <v>138</v>
      </c>
      <c r="J62" s="308"/>
      <c r="K62" s="295"/>
      <c r="L62" s="309"/>
      <c r="M62" s="3"/>
      <c r="N62" s="3"/>
      <c r="O62" s="3"/>
      <c r="P62" s="3"/>
      <c r="Q62" s="3"/>
      <c r="R62" s="87"/>
      <c r="S62" s="89"/>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7"/>
      <c r="C63" s="294" t="s">
        <v>143</v>
      </c>
      <c r="D63" s="294"/>
      <c r="E63" s="294"/>
      <c r="F63" s="294"/>
      <c r="G63" s="319">
        <v>20</v>
      </c>
      <c r="H63" s="286" t="s">
        <v>4</v>
      </c>
      <c r="I63" s="308" t="s">
        <v>139</v>
      </c>
      <c r="J63" s="308"/>
      <c r="K63" s="284">
        <f>INDEX(R54:R60,E52, 1)</f>
        <v>0</v>
      </c>
      <c r="L63" s="303" t="s">
        <v>859</v>
      </c>
      <c r="M63" s="3"/>
      <c r="N63" s="3"/>
      <c r="O63" s="3"/>
      <c r="P63" s="3"/>
      <c r="Q63" s="3"/>
      <c r="R63" s="87"/>
      <c r="S63" s="89"/>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0"/>
      <c r="C64" s="311"/>
      <c r="D64" s="311"/>
      <c r="E64" s="311"/>
      <c r="F64" s="311"/>
      <c r="G64" s="314"/>
      <c r="H64" s="311"/>
      <c r="I64" s="311"/>
      <c r="J64" s="311"/>
      <c r="K64" s="311"/>
      <c r="L64" s="312"/>
      <c r="M64" s="3" t="s">
        <v>817</v>
      </c>
      <c r="N64" s="3" t="s">
        <v>817</v>
      </c>
      <c r="O64" s="3"/>
      <c r="P64" s="3"/>
      <c r="Q64" s="3"/>
      <c r="R64" s="87"/>
      <c r="S64" s="89"/>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7"/>
      <c r="S65" s="89"/>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7"/>
      <c r="S66" s="89"/>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9"/>
      <c r="B67" s="39"/>
      <c r="C67" s="394" t="s">
        <v>101</v>
      </c>
      <c r="D67" s="39"/>
      <c r="E67" s="39"/>
      <c r="F67" s="39"/>
      <c r="G67" s="39"/>
      <c r="H67" s="39"/>
      <c r="I67" s="39"/>
      <c r="J67" s="394" t="s">
        <v>102</v>
      </c>
      <c r="K67" s="39"/>
      <c r="L67" s="39"/>
      <c r="M67" s="39"/>
      <c r="N67" s="39"/>
      <c r="O67" s="39"/>
      <c r="P67" s="39"/>
      <c r="Q67" s="39"/>
      <c r="R67" s="87"/>
      <c r="S67" s="89"/>
      <c r="T67" s="39"/>
      <c r="U67" s="39"/>
      <c r="V67" s="39"/>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c r="AY67" s="137"/>
      <c r="AZ67" s="137"/>
    </row>
    <row r="68" spans="1:52">
      <c r="A68" s="3"/>
      <c r="B68" s="3"/>
      <c r="C68" s="3"/>
      <c r="D68" s="3"/>
      <c r="E68" s="3"/>
      <c r="F68" s="3"/>
      <c r="G68" s="3"/>
      <c r="H68" s="3"/>
      <c r="I68" s="3"/>
      <c r="J68" s="3"/>
      <c r="K68" s="3"/>
      <c r="L68" s="3"/>
      <c r="M68" s="3"/>
      <c r="N68" s="3"/>
      <c r="O68" s="3"/>
      <c r="P68" s="3"/>
      <c r="Q68" s="3"/>
      <c r="R68" s="87"/>
      <c r="S68" s="89"/>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1" t="s">
        <v>279</v>
      </c>
      <c r="B69" s="187"/>
      <c r="C69" s="187"/>
      <c r="D69" s="188"/>
      <c r="E69" s="3"/>
      <c r="F69" s="3"/>
      <c r="G69" s="3"/>
      <c r="H69" s="3"/>
      <c r="I69" s="3"/>
      <c r="J69" s="3"/>
      <c r="K69" s="3"/>
      <c r="L69" s="3"/>
      <c r="M69" s="3"/>
      <c r="N69" s="3"/>
      <c r="O69" s="3"/>
      <c r="P69" s="3"/>
      <c r="Q69" s="3"/>
      <c r="R69" s="87"/>
      <c r="S69" s="89"/>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90"/>
      <c r="S70" s="92"/>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5" t="s">
        <v>103</v>
      </c>
      <c r="C71" s="192"/>
      <c r="D71" s="178"/>
      <c r="E71" s="178"/>
      <c r="F71" s="178"/>
      <c r="G71" s="178"/>
      <c r="H71" s="178"/>
      <c r="I71" s="178"/>
      <c r="J71" s="178"/>
      <c r="K71" s="178"/>
      <c r="L71" s="179"/>
      <c r="M71" s="3"/>
      <c r="N71" s="3"/>
      <c r="O71" s="3"/>
      <c r="P71" s="3"/>
      <c r="Q71" s="3"/>
      <c r="R71" s="318"/>
      <c r="S71" s="179"/>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5"/>
      <c r="C72" s="143"/>
      <c r="D72" s="144" t="s">
        <v>105</v>
      </c>
      <c r="E72" s="143" t="s">
        <v>855</v>
      </c>
      <c r="F72" s="240">
        <f>'Antenna Gain'!F39</f>
        <v>2412</v>
      </c>
      <c r="G72" s="143" t="s">
        <v>856</v>
      </c>
      <c r="H72" s="143"/>
      <c r="I72" s="143"/>
      <c r="J72" s="143" t="s">
        <v>87</v>
      </c>
      <c r="K72" s="241">
        <f>'Antenna Gain'!K39</f>
        <v>0.12429519071310116</v>
      </c>
      <c r="L72" s="180" t="s">
        <v>857</v>
      </c>
      <c r="M72" s="3"/>
      <c r="N72" s="3"/>
      <c r="O72" s="3"/>
      <c r="P72" s="3"/>
      <c r="Q72" s="3"/>
      <c r="R72" s="393" t="s">
        <v>142</v>
      </c>
      <c r="S72" s="32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5"/>
      <c r="C73" s="143"/>
      <c r="D73" s="143" t="s">
        <v>817</v>
      </c>
      <c r="E73" s="143" t="s">
        <v>817</v>
      </c>
      <c r="F73" s="198" t="s">
        <v>285</v>
      </c>
      <c r="G73" s="143"/>
      <c r="H73" s="143"/>
      <c r="I73" s="143"/>
      <c r="J73" s="143"/>
      <c r="K73" s="143"/>
      <c r="L73" s="180"/>
      <c r="M73" s="3"/>
      <c r="N73" s="3"/>
      <c r="O73" s="3"/>
      <c r="P73" s="3"/>
      <c r="Q73" s="3"/>
      <c r="R73" s="322"/>
      <c r="S73" s="32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6" t="s">
        <v>817</v>
      </c>
      <c r="C74" s="143"/>
      <c r="D74" s="143"/>
      <c r="E74" s="315">
        <f>'Antenna Gain'!E41</f>
        <v>7</v>
      </c>
      <c r="F74" s="313" t="str">
        <f>'Antenna Gain'!F41</f>
        <v>Other (User Defined)</v>
      </c>
      <c r="G74" s="183"/>
      <c r="H74" s="143"/>
      <c r="I74" s="143"/>
      <c r="J74" s="143" t="s">
        <v>60</v>
      </c>
      <c r="K74" s="279" t="str">
        <f>'Antenna Gain'!K41</f>
        <v>RHCP</v>
      </c>
      <c r="L74" s="180"/>
      <c r="M74" s="3"/>
      <c r="N74" s="3"/>
      <c r="O74" s="403" t="s">
        <v>295</v>
      </c>
      <c r="P74" s="3"/>
      <c r="Q74" s="3"/>
      <c r="R74" s="393" t="s">
        <v>141</v>
      </c>
      <c r="S74" s="32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5"/>
      <c r="C75" s="143"/>
      <c r="D75" s="143"/>
      <c r="E75" s="143"/>
      <c r="F75" s="143" t="s">
        <v>817</v>
      </c>
      <c r="G75" s="143"/>
      <c r="H75" s="143"/>
      <c r="I75" s="143"/>
      <c r="J75" s="143"/>
      <c r="K75" s="143"/>
      <c r="L75" s="180"/>
      <c r="M75" s="3"/>
      <c r="N75" s="3"/>
      <c r="O75" s="404" t="s">
        <v>296</v>
      </c>
      <c r="P75" s="3"/>
      <c r="Q75" s="3"/>
      <c r="R75" s="234" t="s">
        <v>817</v>
      </c>
      <c r="S75" s="236"/>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9">
        <v>1</v>
      </c>
      <c r="C76" s="140" t="s">
        <v>95</v>
      </c>
      <c r="D76" s="140"/>
      <c r="E76" s="140"/>
      <c r="F76" s="140"/>
      <c r="G76" s="140" t="s">
        <v>59</v>
      </c>
      <c r="H76" s="140">
        <f>'Antenna Gain'!H43</f>
        <v>2.15</v>
      </c>
      <c r="I76" s="140" t="s">
        <v>63</v>
      </c>
      <c r="J76" s="140" t="s">
        <v>61</v>
      </c>
      <c r="K76" s="140">
        <f>'Antenna Gain'!L43</f>
        <v>156.19999999999999</v>
      </c>
      <c r="L76" s="141" t="s">
        <v>4</v>
      </c>
      <c r="M76" s="125"/>
      <c r="N76" s="126"/>
      <c r="O76" s="402" t="s">
        <v>302</v>
      </c>
      <c r="P76" s="605" t="s">
        <v>665</v>
      </c>
      <c r="Q76" s="606"/>
      <c r="R76" s="320">
        <f>IF(G85&lt;100,-10*LOG10(COS(RADIANS(90-G85))),"No Signal")</f>
        <v>4.6594831535448265</v>
      </c>
      <c r="S76" s="321" t="s">
        <v>859</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2">
        <v>2</v>
      </c>
      <c r="C77" s="143" t="s">
        <v>96</v>
      </c>
      <c r="D77" s="143"/>
      <c r="E77" s="143"/>
      <c r="F77" s="143"/>
      <c r="G77" s="143" t="s">
        <v>59</v>
      </c>
      <c r="H77" s="143">
        <f>'Antenna Gain'!H44</f>
        <v>2.15</v>
      </c>
      <c r="I77" s="143" t="s">
        <v>63</v>
      </c>
      <c r="J77" s="143" t="s">
        <v>61</v>
      </c>
      <c r="K77" s="143">
        <f>'Antenna Gain'!L44</f>
        <v>156.19999999999999</v>
      </c>
      <c r="L77" s="145" t="s">
        <v>4</v>
      </c>
      <c r="M77" s="125"/>
      <c r="N77" s="126"/>
      <c r="O77" s="401" t="s">
        <v>301</v>
      </c>
      <c r="P77" s="605" t="s">
        <v>666</v>
      </c>
      <c r="Q77" s="606"/>
      <c r="R77" s="316">
        <f>IF(G85&lt;90.001,-10*LOG10(COS(RADIANS(G85))),-10*LOG(-COS(RADIANS(G85))))</f>
        <v>0.27014183557063515</v>
      </c>
      <c r="S77" s="180" t="s">
        <v>859</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6">
        <v>3</v>
      </c>
      <c r="C78" s="100" t="s">
        <v>97</v>
      </c>
      <c r="D78" s="100"/>
      <c r="E78" s="100"/>
      <c r="F78" s="100"/>
      <c r="G78" s="100" t="s">
        <v>59</v>
      </c>
      <c r="H78" s="299">
        <f>'Antenna Gain'!H45</f>
        <v>2</v>
      </c>
      <c r="I78" s="100" t="s">
        <v>886</v>
      </c>
      <c r="J78" s="100" t="s">
        <v>61</v>
      </c>
      <c r="K78" s="100">
        <f>'Antenna Gain'!L45</f>
        <v>180</v>
      </c>
      <c r="L78" s="101" t="s">
        <v>4</v>
      </c>
      <c r="M78" s="125"/>
      <c r="N78" s="126"/>
      <c r="O78" s="400" t="s">
        <v>298</v>
      </c>
      <c r="P78" s="605" t="s">
        <v>667</v>
      </c>
      <c r="Q78" s="606"/>
      <c r="R78" s="406">
        <f>IF(K74=K95, 0.00075*(G85)^2, 0.00075*(180-G85)^2)</f>
        <v>0.3</v>
      </c>
      <c r="S78" s="202" t="s">
        <v>859</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2">
        <v>4</v>
      </c>
      <c r="C79" s="143" t="s">
        <v>98</v>
      </c>
      <c r="D79" s="143"/>
      <c r="E79" s="190" t="s">
        <v>67</v>
      </c>
      <c r="F79" s="143" t="s">
        <v>68</v>
      </c>
      <c r="G79" s="143" t="s">
        <v>59</v>
      </c>
      <c r="H79" s="300">
        <f>'Antenna Gain'!H46</f>
        <v>4</v>
      </c>
      <c r="I79" s="143" t="s">
        <v>886</v>
      </c>
      <c r="J79" s="143" t="s">
        <v>61</v>
      </c>
      <c r="K79" s="143">
        <f>'Antenna Gain'!L46</f>
        <v>150</v>
      </c>
      <c r="L79" s="145" t="s">
        <v>4</v>
      </c>
      <c r="M79" s="125"/>
      <c r="N79" s="126"/>
      <c r="O79" s="401" t="s">
        <v>300</v>
      </c>
      <c r="P79" s="605" t="s">
        <v>668</v>
      </c>
      <c r="Q79" s="606"/>
      <c r="R79" s="317">
        <f>1.5*((4-10*LOG10(1.256*(1+COS(RADIANS(G85))))))</f>
        <v>0.19916170492455665</v>
      </c>
      <c r="S79" s="236" t="s">
        <v>859</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6">
        <v>5</v>
      </c>
      <c r="C80" s="100" t="s">
        <v>99</v>
      </c>
      <c r="D80" s="100"/>
      <c r="E80" s="732" t="s">
        <v>136</v>
      </c>
      <c r="F80" s="100"/>
      <c r="G80" s="100" t="s">
        <v>59</v>
      </c>
      <c r="H80" s="733">
        <f>'Antenna Gain'!H47</f>
        <v>6</v>
      </c>
      <c r="I80" s="100" t="s">
        <v>36</v>
      </c>
      <c r="J80" s="100" t="s">
        <v>61</v>
      </c>
      <c r="K80" s="731">
        <f>'Antenna Gain'!L47</f>
        <v>90</v>
      </c>
      <c r="L80" s="101" t="s">
        <v>4</v>
      </c>
      <c r="M80" s="120"/>
      <c r="N80" s="121"/>
      <c r="O80" s="400" t="s">
        <v>299</v>
      </c>
      <c r="P80" s="605" t="str">
        <f>E80</f>
        <v>Patch (Example)</v>
      </c>
      <c r="Q80" s="606"/>
      <c r="R80" s="373">
        <f>-10*LOG10(3282.81*((SIN(RADIANS(G85*1.7724))^2)/((G85*1.7724)^2)))</f>
        <v>0.56135879700097513</v>
      </c>
      <c r="S80" s="286" t="s">
        <v>859</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2">
        <v>6</v>
      </c>
      <c r="C81" s="729" t="s">
        <v>92</v>
      </c>
      <c r="D81" s="143"/>
      <c r="E81" s="738" t="s">
        <v>971</v>
      </c>
      <c r="F81" s="143"/>
      <c r="G81" s="143" t="s">
        <v>59</v>
      </c>
      <c r="H81" s="282">
        <f>'Antenna Gain'!H48</f>
        <v>31.471772877584332</v>
      </c>
      <c r="I81" s="143" t="s">
        <v>199</v>
      </c>
      <c r="J81" s="143" t="s">
        <v>61</v>
      </c>
      <c r="K81" s="370">
        <f>'Antenna Gain'!L48</f>
        <v>4.3532338308457712</v>
      </c>
      <c r="L81" s="145" t="s">
        <v>4</v>
      </c>
      <c r="M81" s="125"/>
      <c r="N81" s="125"/>
      <c r="O81" s="742" t="s">
        <v>970</v>
      </c>
      <c r="P81" s="743" t="s">
        <v>974</v>
      </c>
      <c r="Q81" s="606"/>
      <c r="R81" s="370">
        <f>-10*LOG10(3282.1*((SIN(RADIANS(U81))^2/(U81^2))))</f>
        <v>35.176256602909071</v>
      </c>
      <c r="S81" s="737" t="s">
        <v>859</v>
      </c>
      <c r="T81" s="3"/>
      <c r="U81" s="740">
        <f>2*(G85*(79.76/K81))</f>
        <v>732.88045714285715</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817</v>
      </c>
      <c r="B82" s="196">
        <v>7</v>
      </c>
      <c r="C82" s="302" t="s">
        <v>99</v>
      </c>
      <c r="D82" s="194"/>
      <c r="E82" s="739" t="s">
        <v>972</v>
      </c>
      <c r="F82" s="194"/>
      <c r="G82" s="194" t="s">
        <v>59</v>
      </c>
      <c r="H82" s="301">
        <f>'Antenna Gain'!H49</f>
        <v>12</v>
      </c>
      <c r="I82" s="194" t="s">
        <v>36</v>
      </c>
      <c r="J82" s="194" t="s">
        <v>61</v>
      </c>
      <c r="K82" s="302">
        <f>'Antenna Gain'!L49</f>
        <v>30</v>
      </c>
      <c r="L82" s="195" t="s">
        <v>4</v>
      </c>
      <c r="M82" s="125"/>
      <c r="N82" s="125"/>
      <c r="O82" s="741" t="s">
        <v>200</v>
      </c>
      <c r="P82" s="743" t="s">
        <v>975</v>
      </c>
      <c r="Q82" s="606"/>
      <c r="R82" s="373">
        <v>0</v>
      </c>
      <c r="S82" s="286" t="s">
        <v>859</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4"/>
      <c r="C83" s="305"/>
      <c r="D83" s="305"/>
      <c r="E83" s="305"/>
      <c r="F83" s="305"/>
      <c r="G83" s="305"/>
      <c r="H83" s="305"/>
      <c r="I83" s="305"/>
      <c r="J83" s="305"/>
      <c r="K83" s="305"/>
      <c r="L83" s="306"/>
      <c r="M83" s="3"/>
      <c r="N83" s="3"/>
      <c r="O83" s="3"/>
      <c r="P83" s="3"/>
      <c r="Q83" s="3"/>
      <c r="R83" s="84"/>
      <c r="S83" s="86"/>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7"/>
      <c r="C84" s="294" t="s">
        <v>501</v>
      </c>
      <c r="D84" s="294"/>
      <c r="E84" s="294"/>
      <c r="F84" s="294"/>
      <c r="G84" s="295"/>
      <c r="H84" s="295"/>
      <c r="I84" s="308" t="s">
        <v>138</v>
      </c>
      <c r="J84" s="308"/>
      <c r="K84" s="295"/>
      <c r="L84" s="309"/>
      <c r="M84" s="3"/>
      <c r="N84" s="3"/>
      <c r="O84" s="3"/>
      <c r="P84" s="3"/>
      <c r="Q84" s="3"/>
      <c r="R84" s="87"/>
      <c r="S84" s="89"/>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7"/>
      <c r="C85" s="294" t="s">
        <v>283</v>
      </c>
      <c r="D85" s="294"/>
      <c r="E85" s="294"/>
      <c r="F85" s="294"/>
      <c r="G85" s="319">
        <v>20</v>
      </c>
      <c r="H85" s="286" t="s">
        <v>4</v>
      </c>
      <c r="I85" s="308" t="s">
        <v>139</v>
      </c>
      <c r="J85" s="308"/>
      <c r="K85" s="284">
        <f>INDEX(R76:R82,E74, 1)</f>
        <v>0</v>
      </c>
      <c r="L85" s="303" t="s">
        <v>859</v>
      </c>
      <c r="M85" s="3"/>
      <c r="N85" s="3"/>
      <c r="O85" s="3"/>
      <c r="P85" s="3" t="s">
        <v>817</v>
      </c>
      <c r="Q85" s="3"/>
      <c r="R85" s="87"/>
      <c r="S85" s="89"/>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0"/>
      <c r="C86" s="311"/>
      <c r="D86" s="311"/>
      <c r="E86" s="311"/>
      <c r="F86" s="311"/>
      <c r="G86" s="314"/>
      <c r="H86" s="311"/>
      <c r="I86" s="311"/>
      <c r="J86" s="311"/>
      <c r="K86" s="311"/>
      <c r="L86" s="312"/>
      <c r="M86" s="3"/>
      <c r="N86" s="3" t="s">
        <v>817</v>
      </c>
      <c r="O86" s="3"/>
      <c r="P86" s="3"/>
      <c r="Q86" s="3"/>
      <c r="R86" s="87"/>
      <c r="S86" s="89"/>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7"/>
      <c r="S87" s="89"/>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7"/>
      <c r="S88" s="89"/>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817</v>
      </c>
      <c r="C89" s="3"/>
      <c r="D89" s="3"/>
      <c r="E89" s="3"/>
      <c r="F89" s="3"/>
      <c r="G89" s="3"/>
      <c r="H89" s="3"/>
      <c r="I89" s="3"/>
      <c r="J89" s="3"/>
      <c r="K89" s="3"/>
      <c r="L89" s="3"/>
      <c r="M89" s="3"/>
      <c r="N89" s="3"/>
      <c r="O89" s="3"/>
      <c r="P89" s="3"/>
      <c r="Q89" s="3"/>
      <c r="R89" s="87"/>
      <c r="S89" s="89"/>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7"/>
      <c r="S90" s="89"/>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5" t="s">
        <v>94</v>
      </c>
      <c r="C91" s="192"/>
      <c r="D91" s="178"/>
      <c r="E91" s="178"/>
      <c r="F91" s="178"/>
      <c r="G91" s="178" t="s">
        <v>817</v>
      </c>
      <c r="H91" s="178"/>
      <c r="I91" s="178"/>
      <c r="J91" s="178" t="s">
        <v>817</v>
      </c>
      <c r="K91" s="178"/>
      <c r="L91" s="179"/>
      <c r="M91" s="3"/>
      <c r="N91" s="3"/>
      <c r="O91" s="3"/>
      <c r="P91" s="3"/>
      <c r="Q91" s="3"/>
      <c r="R91" s="395"/>
      <c r="S91" s="89"/>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6" t="s">
        <v>817</v>
      </c>
      <c r="C92" s="210"/>
      <c r="D92" s="212" t="s">
        <v>14</v>
      </c>
      <c r="E92" s="211" t="s">
        <v>855</v>
      </c>
      <c r="F92" s="242">
        <f>'Antenna Gain'!F55</f>
        <v>2412</v>
      </c>
      <c r="G92" s="143" t="s">
        <v>856</v>
      </c>
      <c r="H92" s="143"/>
      <c r="I92" s="143"/>
      <c r="J92" s="143" t="s">
        <v>87</v>
      </c>
      <c r="K92" s="243">
        <f>'Antenna Gain'!K55</f>
        <v>0.12429519071310116</v>
      </c>
      <c r="L92" s="180" t="s">
        <v>857</v>
      </c>
      <c r="M92" s="3"/>
      <c r="N92" s="3"/>
      <c r="O92" s="3"/>
      <c r="P92" s="3"/>
      <c r="Q92" s="3"/>
      <c r="R92" s="87"/>
      <c r="S92" s="89"/>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5"/>
      <c r="C93" s="143"/>
      <c r="D93" s="143"/>
      <c r="E93" s="143"/>
      <c r="F93" s="143"/>
      <c r="G93" s="143"/>
      <c r="H93" s="143"/>
      <c r="I93" s="143"/>
      <c r="J93" s="143"/>
      <c r="K93" s="143"/>
      <c r="L93" s="180"/>
      <c r="M93" s="3"/>
      <c r="N93" s="3"/>
      <c r="O93" s="3"/>
      <c r="P93" s="3"/>
      <c r="Q93" s="3"/>
      <c r="R93" s="87"/>
      <c r="S93" s="89"/>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5"/>
      <c r="C94" s="143"/>
      <c r="D94" s="143"/>
      <c r="E94" s="143"/>
      <c r="F94" s="198" t="s">
        <v>286</v>
      </c>
      <c r="G94" s="143"/>
      <c r="H94" s="143"/>
      <c r="I94" s="143"/>
      <c r="J94" s="143"/>
      <c r="K94" s="143"/>
      <c r="L94" s="180"/>
      <c r="M94" s="3"/>
      <c r="N94" s="3"/>
      <c r="O94" s="3"/>
      <c r="P94" s="3"/>
      <c r="Q94" s="3"/>
      <c r="R94" s="87"/>
      <c r="S94" s="89"/>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6" t="s">
        <v>817</v>
      </c>
      <c r="C95" s="143"/>
      <c r="D95" s="143"/>
      <c r="E95" s="278">
        <f>'Antenna Gain'!E58</f>
        <v>4</v>
      </c>
      <c r="F95" s="182" t="str">
        <f>'Antenna Gain'!F58</f>
        <v xml:space="preserve">User Defined </v>
      </c>
      <c r="G95" s="183"/>
      <c r="H95" s="143"/>
      <c r="I95" s="143"/>
      <c r="J95" s="143" t="s">
        <v>60</v>
      </c>
      <c r="K95" s="279" t="str">
        <f>'Antenna Gain'!K58</f>
        <v>RHCP</v>
      </c>
      <c r="L95" s="180"/>
      <c r="M95" s="3"/>
      <c r="N95" s="3"/>
      <c r="O95" s="3"/>
      <c r="P95" s="3"/>
      <c r="Q95" s="3"/>
      <c r="R95" s="87"/>
      <c r="S95" s="89"/>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7"/>
      <c r="C96" s="147"/>
      <c r="D96" s="147"/>
      <c r="E96" s="147"/>
      <c r="F96" s="147"/>
      <c r="G96" s="147"/>
      <c r="H96" s="147"/>
      <c r="I96" s="147"/>
      <c r="J96" s="147"/>
      <c r="K96" s="147"/>
      <c r="L96" s="181"/>
      <c r="M96" s="3"/>
      <c r="N96" s="3"/>
      <c r="O96" s="3"/>
      <c r="P96" s="3"/>
      <c r="Q96" s="3"/>
      <c r="R96" s="90"/>
      <c r="S96" s="92"/>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8">
        <v>1</v>
      </c>
      <c r="C97" s="149" t="s">
        <v>77</v>
      </c>
      <c r="D97" s="264"/>
      <c r="E97" s="149"/>
      <c r="F97" s="267" t="s">
        <v>76</v>
      </c>
      <c r="G97" s="276">
        <f>'Antenna Gain'!N60</f>
        <v>14.05</v>
      </c>
      <c r="H97" s="149" t="s">
        <v>886</v>
      </c>
      <c r="I97" s="264" t="s">
        <v>61</v>
      </c>
      <c r="J97" s="272">
        <f>'Antenna Gain'!Q60</f>
        <v>39.676193136730106</v>
      </c>
      <c r="K97" s="149" t="s">
        <v>4</v>
      </c>
      <c r="L97" s="154"/>
      <c r="M97" s="3"/>
      <c r="N97" s="3"/>
      <c r="O97" s="3"/>
      <c r="P97" s="3"/>
      <c r="Q97" s="3"/>
      <c r="R97" s="397">
        <f>2*(F102*(79.76/INDEX(J97:J100,E95,1)))</f>
        <v>39.880000000000003</v>
      </c>
      <c r="S97" s="265"/>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69">
        <v>2</v>
      </c>
      <c r="C98" s="156" t="s">
        <v>91</v>
      </c>
      <c r="D98" s="265"/>
      <c r="E98" s="156"/>
      <c r="F98" s="265" t="s">
        <v>59</v>
      </c>
      <c r="G98" s="275">
        <f>'Antenna Gain'!N61</f>
        <v>15.952205667976569</v>
      </c>
      <c r="H98" s="156" t="s">
        <v>886</v>
      </c>
      <c r="I98" s="265" t="s">
        <v>61</v>
      </c>
      <c r="J98" s="274">
        <f>'Antenna Gain'!Q61</f>
        <v>70.979540982562284</v>
      </c>
      <c r="K98" s="156" t="s">
        <v>4</v>
      </c>
      <c r="L98" s="162"/>
      <c r="M98" s="3"/>
      <c r="N98" s="3"/>
      <c r="O98" s="3"/>
      <c r="P98" s="3"/>
      <c r="Q98" s="3"/>
      <c r="R98" s="103"/>
      <c r="S98" s="10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0">
        <v>3</v>
      </c>
      <c r="C99" s="164" t="s">
        <v>92</v>
      </c>
      <c r="D99" s="266"/>
      <c r="E99" s="164"/>
      <c r="F99" s="266" t="s">
        <v>59</v>
      </c>
      <c r="G99" s="277">
        <f>'Antenna Gain'!N62</f>
        <v>31.849658486478329</v>
      </c>
      <c r="H99" s="164" t="s">
        <v>886</v>
      </c>
      <c r="I99" s="266" t="s">
        <v>61</v>
      </c>
      <c r="J99" s="273">
        <f>'Antenna Gain'!Q62</f>
        <v>4.3532338308457712</v>
      </c>
      <c r="K99" s="164" t="s">
        <v>4</v>
      </c>
      <c r="L99" s="168"/>
      <c r="M99" s="3"/>
      <c r="N99" s="3"/>
      <c r="O99" s="3"/>
      <c r="P99" s="3"/>
      <c r="Q99" s="3"/>
      <c r="R99" s="103"/>
      <c r="S99" s="10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0">
        <v>4</v>
      </c>
      <c r="C100" s="143" t="s">
        <v>93</v>
      </c>
      <c r="D100" s="179"/>
      <c r="E100" s="143"/>
      <c r="F100" s="180" t="s">
        <v>59</v>
      </c>
      <c r="G100" s="281">
        <v>18.5</v>
      </c>
      <c r="H100" s="143" t="s">
        <v>886</v>
      </c>
      <c r="I100" s="180" t="s">
        <v>61</v>
      </c>
      <c r="J100" s="282">
        <f>'Antenna Gain'!Q63</f>
        <v>20</v>
      </c>
      <c r="K100" s="143" t="s">
        <v>4</v>
      </c>
      <c r="L100" s="283"/>
      <c r="M100" s="3"/>
      <c r="N100" s="3"/>
      <c r="O100" s="3"/>
      <c r="P100" s="3"/>
      <c r="Q100" s="3"/>
      <c r="R100" s="103"/>
      <c r="S100" s="10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0"/>
      <c r="C101" s="291"/>
      <c r="D101" s="291"/>
      <c r="E101" s="291"/>
      <c r="F101" s="291"/>
      <c r="G101" s="291"/>
      <c r="H101" s="291"/>
      <c r="I101" s="291"/>
      <c r="J101" s="291"/>
      <c r="K101" s="291"/>
      <c r="L101" s="292"/>
      <c r="M101" s="3"/>
      <c r="N101" s="3"/>
      <c r="O101" s="3"/>
      <c r="P101" s="3"/>
      <c r="Q101" s="3"/>
      <c r="R101" s="103"/>
      <c r="S101" s="10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3" t="s">
        <v>817</v>
      </c>
      <c r="C102" s="294" t="s">
        <v>284</v>
      </c>
      <c r="D102" s="295"/>
      <c r="E102" s="295"/>
      <c r="F102" s="285">
        <v>5</v>
      </c>
      <c r="G102" s="286" t="s">
        <v>135</v>
      </c>
      <c r="H102" s="294" t="s">
        <v>133</v>
      </c>
      <c r="I102" s="295"/>
      <c r="J102" s="295"/>
      <c r="K102" s="284">
        <f>-10*LOG10(3282.81*((SIN(RADIANS(R97))^2/(R97^2))))</f>
        <v>0.71302177034341041</v>
      </c>
      <c r="L102" s="183" t="s">
        <v>859</v>
      </c>
      <c r="M102" s="3"/>
      <c r="N102" s="3"/>
      <c r="O102" s="3"/>
      <c r="P102" s="3"/>
      <c r="Q102" s="3"/>
      <c r="R102" s="103"/>
      <c r="S102" s="10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6"/>
      <c r="C103" s="297"/>
      <c r="D103" s="297"/>
      <c r="E103" s="297"/>
      <c r="F103" s="297"/>
      <c r="G103" s="297"/>
      <c r="H103" s="297"/>
      <c r="I103" s="297"/>
      <c r="J103" s="297"/>
      <c r="K103" s="297"/>
      <c r="L103" s="298"/>
      <c r="M103" s="3"/>
      <c r="N103" s="3"/>
      <c r="O103" s="3"/>
      <c r="P103" s="3"/>
      <c r="Q103" s="3"/>
      <c r="R103" s="103"/>
      <c r="S103" s="10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Normal="100" workbookViewId="0">
      <selection activeCell="L52" sqref="L52"/>
    </sheetView>
  </sheetViews>
  <sheetFormatPr defaultColWidth="8.81640625" defaultRowHeight="12.5"/>
  <cols>
    <col min="7" max="7" width="9.36328125" customWidth="1"/>
    <col min="10" max="10" width="9.81640625" customWidth="1"/>
    <col min="15" max="15" width="11.36328125" customWidth="1"/>
  </cols>
  <sheetData>
    <row r="1" spans="1:22" ht="18.5" thickBot="1">
      <c r="A1" s="127" t="s">
        <v>276</v>
      </c>
      <c r="B1" s="127"/>
      <c r="C1" s="128"/>
      <c r="D1" s="128"/>
      <c r="E1" s="128"/>
      <c r="F1" s="128"/>
      <c r="G1" s="128"/>
      <c r="H1" s="129"/>
      <c r="I1" s="129"/>
      <c r="J1" s="681" t="str">
        <f>'Title Page'!F3</f>
        <v>OreSat - CS0 (DxWiFi)</v>
      </c>
      <c r="K1" s="129"/>
      <c r="L1" s="129"/>
      <c r="M1" s="129"/>
      <c r="N1" s="680" t="str">
        <f>'Title Page'!F23</f>
        <v>2019 February 1</v>
      </c>
      <c r="O1" s="129"/>
      <c r="P1" s="129"/>
      <c r="Q1" s="129"/>
      <c r="R1" s="129"/>
      <c r="S1" s="129"/>
      <c r="T1" s="129"/>
      <c r="U1" s="129"/>
      <c r="V1" s="129"/>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3" t="s">
        <v>989</v>
      </c>
      <c r="F3" s="3"/>
      <c r="G3" s="3"/>
      <c r="H3" s="3"/>
      <c r="I3" s="3"/>
      <c r="J3" s="3"/>
      <c r="K3" s="3"/>
      <c r="L3" s="532" t="s">
        <v>817</v>
      </c>
      <c r="M3" s="3"/>
      <c r="N3" s="3"/>
      <c r="O3" s="3"/>
      <c r="P3" s="3"/>
      <c r="Q3" s="3"/>
      <c r="R3" s="3"/>
      <c r="S3" s="3"/>
      <c r="T3" s="3"/>
      <c r="U3" s="3"/>
      <c r="V3" s="3"/>
    </row>
    <row r="4" spans="1:22">
      <c r="A4" s="3"/>
      <c r="B4" s="96" t="s">
        <v>991</v>
      </c>
      <c r="C4" s="3"/>
      <c r="D4" s="3"/>
      <c r="E4" s="3"/>
      <c r="F4" s="3"/>
      <c r="G4" s="3"/>
      <c r="H4" s="3"/>
      <c r="I4" s="3"/>
      <c r="J4" s="3"/>
      <c r="K4" s="3"/>
      <c r="L4" s="3"/>
      <c r="M4" s="3"/>
      <c r="N4" s="3"/>
      <c r="O4" s="3"/>
      <c r="P4" s="3"/>
      <c r="Q4" s="3"/>
      <c r="R4" s="3"/>
      <c r="S4" s="3"/>
      <c r="T4" s="3"/>
      <c r="U4" s="3"/>
      <c r="V4" s="3"/>
    </row>
    <row r="5" spans="1:22" ht="13">
      <c r="A5" s="3"/>
      <c r="B5" s="3"/>
      <c r="C5" s="3"/>
      <c r="D5" s="3"/>
      <c r="E5" s="123" t="s">
        <v>990</v>
      </c>
      <c r="F5" s="3"/>
      <c r="G5" s="3"/>
      <c r="H5" s="3"/>
      <c r="I5" s="3"/>
      <c r="J5" s="3"/>
      <c r="K5" s="4" t="s">
        <v>988</v>
      </c>
      <c r="L5" s="3"/>
      <c r="M5" s="3"/>
      <c r="N5" s="4" t="s">
        <v>978</v>
      </c>
      <c r="O5" s="3"/>
      <c r="P5" s="3"/>
      <c r="Q5" s="4" t="s">
        <v>979</v>
      </c>
      <c r="R5" s="3"/>
      <c r="S5" s="3"/>
      <c r="T5" s="3"/>
      <c r="U5" s="3"/>
      <c r="V5" s="3"/>
    </row>
    <row r="6" spans="1:22">
      <c r="A6" s="3"/>
      <c r="B6" s="345" t="s">
        <v>140</v>
      </c>
      <c r="C6" s="3"/>
      <c r="D6" s="3"/>
      <c r="E6" s="3"/>
      <c r="F6" s="3"/>
      <c r="G6" s="3"/>
      <c r="H6" s="3"/>
      <c r="I6" s="3"/>
      <c r="J6" s="3"/>
      <c r="K6" s="3" t="s">
        <v>1006</v>
      </c>
      <c r="L6" s="3"/>
      <c r="M6" s="3"/>
      <c r="N6" s="3" t="s">
        <v>1006</v>
      </c>
      <c r="O6" s="3"/>
      <c r="P6" s="3"/>
      <c r="Q6" s="3" t="s">
        <v>1007</v>
      </c>
      <c r="R6" s="3"/>
      <c r="S6" s="3"/>
      <c r="T6" s="3"/>
      <c r="U6" s="3"/>
      <c r="V6" s="3"/>
    </row>
    <row r="7" spans="1:22">
      <c r="A7" s="3"/>
      <c r="B7" s="3"/>
      <c r="C7" s="3"/>
      <c r="D7" s="3"/>
      <c r="E7" s="3"/>
      <c r="F7" s="3"/>
      <c r="G7" s="3"/>
      <c r="H7" s="3"/>
      <c r="I7" s="3"/>
      <c r="J7" s="3"/>
      <c r="K7" s="3"/>
      <c r="L7" s="3"/>
      <c r="M7" s="3"/>
      <c r="N7" s="3" t="s">
        <v>817</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986</v>
      </c>
      <c r="R10" s="3"/>
      <c r="S10" s="3"/>
      <c r="T10" s="3"/>
      <c r="U10" s="3"/>
      <c r="V10" s="3"/>
    </row>
    <row r="11" spans="1:22" ht="13">
      <c r="A11" s="3"/>
      <c r="B11" s="3"/>
      <c r="C11" s="3"/>
      <c r="D11" s="3"/>
      <c r="E11" s="3"/>
      <c r="F11" s="3"/>
      <c r="G11" s="3"/>
      <c r="H11" s="4" t="s">
        <v>980</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987</v>
      </c>
      <c r="R20" s="3"/>
      <c r="S20" s="3"/>
      <c r="T20" s="3"/>
      <c r="U20" s="3"/>
      <c r="V20" s="3"/>
    </row>
    <row r="21" spans="1:22" ht="13">
      <c r="A21" s="3"/>
      <c r="B21" s="3"/>
      <c r="C21" s="3"/>
      <c r="D21" s="3"/>
      <c r="E21" s="3"/>
      <c r="F21" s="3"/>
      <c r="G21" s="3"/>
      <c r="H21" s="4" t="s">
        <v>985</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4"/>
      <c r="L28" s="85"/>
      <c r="M28" s="85"/>
      <c r="N28" s="86"/>
      <c r="O28" s="3"/>
      <c r="P28" s="3"/>
      <c r="Q28" s="3"/>
      <c r="R28" s="3"/>
      <c r="S28" s="3"/>
      <c r="T28" s="3"/>
      <c r="U28" s="3"/>
      <c r="V28" s="3"/>
    </row>
    <row r="29" spans="1:22" ht="13.5" thickBot="1">
      <c r="A29" s="3"/>
      <c r="B29" s="228" t="s">
        <v>119</v>
      </c>
      <c r="C29" s="231" t="s">
        <v>125</v>
      </c>
      <c r="D29" s="3"/>
      <c r="E29" s="3"/>
      <c r="F29" s="3"/>
      <c r="G29" s="3"/>
      <c r="H29" s="3"/>
      <c r="I29" s="3"/>
      <c r="J29" s="3"/>
      <c r="K29" s="87"/>
      <c r="L29" s="88"/>
      <c r="M29" s="88"/>
      <c r="N29" s="89"/>
      <c r="O29" s="3"/>
      <c r="P29" s="3"/>
      <c r="Q29" s="3"/>
      <c r="R29" s="3"/>
      <c r="S29" s="3"/>
      <c r="T29" s="3"/>
      <c r="U29" s="3"/>
      <c r="V29" s="3"/>
    </row>
    <row r="30" spans="1:22" ht="13">
      <c r="A30" s="3"/>
      <c r="B30" s="383" t="s">
        <v>817</v>
      </c>
      <c r="C30" s="97" t="s">
        <v>1005</v>
      </c>
      <c r="D30" s="97"/>
      <c r="E30" s="82"/>
      <c r="F30" s="82"/>
      <c r="G30" s="98"/>
      <c r="H30" s="3"/>
      <c r="I30" s="3"/>
      <c r="J30" s="3"/>
      <c r="K30" s="87"/>
      <c r="L30" s="88"/>
      <c r="M30" s="88"/>
      <c r="N30" s="89"/>
      <c r="O30" s="3"/>
      <c r="P30" s="3"/>
      <c r="Q30" s="3"/>
      <c r="R30" s="3"/>
      <c r="S30" s="3"/>
      <c r="T30" s="3"/>
      <c r="U30" s="3"/>
      <c r="V30" s="3"/>
    </row>
    <row r="31" spans="1:22" ht="13">
      <c r="A31" s="3"/>
      <c r="B31" s="99" t="s">
        <v>1004</v>
      </c>
      <c r="C31" s="100"/>
      <c r="D31" s="100"/>
      <c r="E31" s="100"/>
      <c r="F31" s="100"/>
      <c r="G31" s="101"/>
      <c r="H31" s="3"/>
      <c r="I31" s="3"/>
      <c r="J31" s="3"/>
      <c r="K31" s="87"/>
      <c r="L31" s="88"/>
      <c r="M31" s="88"/>
      <c r="N31" s="89"/>
      <c r="O31" s="3"/>
      <c r="P31" s="3"/>
      <c r="Q31" s="3"/>
      <c r="R31" s="3"/>
      <c r="S31" s="3"/>
      <c r="T31" s="3"/>
      <c r="U31" s="3"/>
      <c r="V31" s="3"/>
    </row>
    <row r="32" spans="1:22">
      <c r="A32" s="3"/>
      <c r="B32" s="102"/>
      <c r="C32" s="103"/>
      <c r="D32" s="103"/>
      <c r="E32" s="104" t="s">
        <v>213</v>
      </c>
      <c r="F32" s="130">
        <v>1</v>
      </c>
      <c r="G32" s="105" t="s">
        <v>964</v>
      </c>
      <c r="H32" s="3"/>
      <c r="I32" s="3"/>
      <c r="J32" s="3"/>
      <c r="K32" s="87"/>
      <c r="L32" s="88"/>
      <c r="M32" s="88"/>
      <c r="N32" s="89"/>
      <c r="O32" s="3"/>
      <c r="P32" s="84" t="s">
        <v>1008</v>
      </c>
      <c r="Q32" s="85"/>
      <c r="R32" s="85"/>
      <c r="S32" s="86"/>
      <c r="T32" s="3"/>
      <c r="U32" s="3"/>
      <c r="V32" s="3"/>
    </row>
    <row r="33" spans="1:22">
      <c r="A33" s="3"/>
      <c r="B33" s="102"/>
      <c r="C33" s="103"/>
      <c r="D33" s="103"/>
      <c r="E33" s="104" t="s">
        <v>1001</v>
      </c>
      <c r="F33" s="106">
        <f>10^(F32/20)</f>
        <v>1.1220184543019636</v>
      </c>
      <c r="G33" s="105" t="s">
        <v>965</v>
      </c>
      <c r="H33" s="3"/>
      <c r="I33" s="3"/>
      <c r="J33" s="3"/>
      <c r="K33" s="87"/>
      <c r="L33" s="88"/>
      <c r="M33" s="88"/>
      <c r="N33" s="89"/>
      <c r="O33" s="3"/>
      <c r="P33" s="87" t="s">
        <v>1009</v>
      </c>
      <c r="Q33" s="88"/>
      <c r="R33" s="88"/>
      <c r="S33" s="89"/>
      <c r="T33" s="3"/>
      <c r="U33" s="3"/>
      <c r="V33" s="3"/>
    </row>
    <row r="34" spans="1:22">
      <c r="A34" s="3"/>
      <c r="B34" s="102"/>
      <c r="C34" s="103"/>
      <c r="D34" s="103"/>
      <c r="E34" s="104" t="s">
        <v>1002</v>
      </c>
      <c r="F34" s="130">
        <v>1</v>
      </c>
      <c r="G34" s="105" t="s">
        <v>964</v>
      </c>
      <c r="H34" s="3"/>
      <c r="I34" s="3"/>
      <c r="J34" s="3"/>
      <c r="K34" s="87"/>
      <c r="L34" s="88"/>
      <c r="M34" s="88"/>
      <c r="N34" s="89"/>
      <c r="O34" s="3"/>
      <c r="P34" s="90" t="s">
        <v>0</v>
      </c>
      <c r="Q34" s="91"/>
      <c r="R34" s="91"/>
      <c r="S34" s="92"/>
      <c r="T34" s="3"/>
      <c r="U34" s="3"/>
      <c r="V34" s="3"/>
    </row>
    <row r="35" spans="1:22">
      <c r="A35" s="3"/>
      <c r="B35" s="102"/>
      <c r="C35" s="103"/>
      <c r="D35" s="103"/>
      <c r="E35" s="104" t="s">
        <v>1003</v>
      </c>
      <c r="F35" s="106">
        <f>10^(F34/20)</f>
        <v>1.1220184543019636</v>
      </c>
      <c r="G35" s="105" t="s">
        <v>965</v>
      </c>
      <c r="H35" s="3"/>
      <c r="I35" s="3"/>
      <c r="J35" s="3"/>
      <c r="K35" s="87"/>
      <c r="L35" s="88"/>
      <c r="M35" s="88"/>
      <c r="N35" s="89"/>
      <c r="O35" s="3"/>
      <c r="P35" s="3"/>
      <c r="Q35" s="3"/>
      <c r="R35" s="3"/>
      <c r="S35" s="3"/>
      <c r="T35" s="3"/>
      <c r="U35" s="3"/>
      <c r="V35" s="3"/>
    </row>
    <row r="36" spans="1:22">
      <c r="A36" s="3"/>
      <c r="B36" s="102"/>
      <c r="C36" s="103"/>
      <c r="D36" s="103"/>
      <c r="E36" s="104" t="s">
        <v>212</v>
      </c>
      <c r="F36" s="131">
        <v>90</v>
      </c>
      <c r="G36" s="105" t="s">
        <v>966</v>
      </c>
      <c r="H36" s="3"/>
      <c r="I36" s="3"/>
      <c r="J36" s="3"/>
      <c r="K36" s="87"/>
      <c r="L36" s="88"/>
      <c r="M36" s="88"/>
      <c r="N36" s="89"/>
      <c r="O36" s="3"/>
      <c r="P36" s="3" t="s">
        <v>817</v>
      </c>
      <c r="Q36" s="3"/>
      <c r="R36" s="3"/>
      <c r="S36" s="3"/>
      <c r="T36" s="3"/>
      <c r="U36" s="3"/>
      <c r="V36" s="3"/>
    </row>
    <row r="37" spans="1:22">
      <c r="A37" s="3"/>
      <c r="B37" s="102"/>
      <c r="C37" s="103"/>
      <c r="D37" s="103"/>
      <c r="E37" s="104" t="s">
        <v>212</v>
      </c>
      <c r="F37" s="83">
        <f>RADIANS(F36)</f>
        <v>1.5707963267948966</v>
      </c>
      <c r="G37" s="105" t="s">
        <v>967</v>
      </c>
      <c r="H37" s="3"/>
      <c r="I37" s="3"/>
      <c r="J37" s="3"/>
      <c r="K37" s="87"/>
      <c r="L37" s="88"/>
      <c r="M37" s="88"/>
      <c r="N37" s="89"/>
      <c r="O37" s="3"/>
      <c r="P37" s="3"/>
      <c r="Q37" s="3"/>
      <c r="R37" s="3"/>
      <c r="S37" s="3"/>
      <c r="T37" s="3"/>
      <c r="U37" s="3"/>
      <c r="V37" s="3"/>
    </row>
    <row r="38" spans="1:22">
      <c r="A38" s="3"/>
      <c r="B38" s="102"/>
      <c r="C38" s="103"/>
      <c r="D38" s="103"/>
      <c r="E38" s="103"/>
      <c r="F38" s="33"/>
      <c r="G38" s="107"/>
      <c r="H38" s="3"/>
      <c r="I38" s="3"/>
      <c r="J38" s="3"/>
      <c r="K38" s="90"/>
      <c r="L38" s="91"/>
      <c r="M38" s="91"/>
      <c r="N38" s="92"/>
      <c r="O38" s="3"/>
      <c r="P38" s="3"/>
      <c r="Q38" s="3"/>
      <c r="R38" s="3"/>
      <c r="S38" s="3"/>
      <c r="T38" s="3"/>
      <c r="U38" s="3"/>
      <c r="V38" s="3"/>
    </row>
    <row r="39" spans="1:22" ht="13" thickBot="1">
      <c r="A39" s="3"/>
      <c r="B39" s="102"/>
      <c r="C39" s="103"/>
      <c r="D39" s="103"/>
      <c r="E39" s="104" t="s">
        <v>968</v>
      </c>
      <c r="F39" s="108">
        <f>0.5*(1+((1-F33^2)*(1-F35^2)*COS(2*F37)+4*F33*F35)/((1+F33^2)*(1+F35^2)))</f>
        <v>0.98686150654198734</v>
      </c>
      <c r="G39" s="105" t="s">
        <v>965</v>
      </c>
      <c r="H39" s="3"/>
      <c r="I39" s="3"/>
      <c r="J39" s="3"/>
      <c r="K39" s="3"/>
      <c r="L39" s="3"/>
      <c r="M39" s="3"/>
      <c r="N39" s="3"/>
      <c r="O39" s="3"/>
      <c r="P39" s="3"/>
      <c r="Q39" s="3"/>
      <c r="R39" s="3"/>
      <c r="S39" s="3"/>
      <c r="T39" s="3"/>
      <c r="U39" s="3"/>
      <c r="V39" s="3"/>
    </row>
    <row r="40" spans="1:22" ht="13.5" thickBot="1">
      <c r="A40" s="3"/>
      <c r="B40" s="102"/>
      <c r="C40" s="103"/>
      <c r="D40" s="103"/>
      <c r="E40" s="104" t="s">
        <v>969</v>
      </c>
      <c r="F40" s="94">
        <f>-10*LOG(F39)</f>
        <v>5.7437907597720189E-2</v>
      </c>
      <c r="G40" s="105" t="s">
        <v>964</v>
      </c>
      <c r="H40" s="3"/>
      <c r="I40" s="3"/>
      <c r="J40" s="3"/>
      <c r="K40" s="3"/>
      <c r="L40" s="4" t="s">
        <v>999</v>
      </c>
      <c r="M40" s="3"/>
      <c r="N40" s="3"/>
      <c r="O40" s="3"/>
      <c r="P40" s="3"/>
      <c r="Q40" s="3"/>
      <c r="R40" s="3"/>
      <c r="S40" s="3"/>
      <c r="T40" s="3"/>
      <c r="U40" s="3"/>
      <c r="V40" s="3"/>
    </row>
    <row r="41" spans="1:22">
      <c r="A41" s="3"/>
      <c r="B41" s="102"/>
      <c r="C41" s="103"/>
      <c r="D41" s="103"/>
      <c r="E41" s="104"/>
      <c r="F41" s="109"/>
      <c r="G41" s="105"/>
      <c r="H41" s="3"/>
      <c r="I41" s="3"/>
      <c r="J41" s="3"/>
      <c r="K41" s="3"/>
      <c r="L41" s="3"/>
      <c r="M41" s="3"/>
      <c r="N41" s="3"/>
      <c r="O41" s="3"/>
      <c r="P41" s="3"/>
      <c r="Q41" s="3"/>
      <c r="R41" s="3"/>
      <c r="S41" s="3"/>
      <c r="T41" s="3"/>
      <c r="U41" s="3"/>
      <c r="V41" s="3"/>
    </row>
    <row r="42" spans="1:22" ht="13">
      <c r="A42" s="3"/>
      <c r="B42" s="99" t="s">
        <v>1010</v>
      </c>
      <c r="C42" s="100"/>
      <c r="D42" s="100"/>
      <c r="E42" s="110"/>
      <c r="F42" s="111"/>
      <c r="G42" s="112"/>
      <c r="H42" s="3"/>
      <c r="I42" s="4" t="s">
        <v>120</v>
      </c>
      <c r="J42" s="229" t="s">
        <v>121</v>
      </c>
      <c r="K42" s="3"/>
      <c r="L42" s="3"/>
      <c r="M42" s="3"/>
      <c r="N42" s="3"/>
      <c r="O42" s="3"/>
      <c r="P42" s="3"/>
      <c r="Q42" s="3"/>
      <c r="R42" s="3"/>
      <c r="S42" s="3"/>
      <c r="T42" s="3"/>
      <c r="U42" s="3"/>
      <c r="V42" s="3"/>
    </row>
    <row r="43" spans="1:22">
      <c r="A43" s="3"/>
      <c r="B43" s="102"/>
      <c r="C43" s="103" t="s">
        <v>992</v>
      </c>
      <c r="D43" s="103"/>
      <c r="E43" s="104"/>
      <c r="F43" s="903">
        <f>1-F39</f>
        <v>1.3138493458012657E-2</v>
      </c>
      <c r="G43" s="105"/>
      <c r="H43" s="3"/>
      <c r="I43" s="3"/>
      <c r="J43" s="3"/>
      <c r="K43" s="3"/>
      <c r="L43" s="3"/>
      <c r="M43" s="3"/>
      <c r="N43" s="3"/>
      <c r="O43" s="3"/>
      <c r="P43" s="3"/>
      <c r="Q43" s="3"/>
      <c r="R43" s="3"/>
      <c r="S43" s="3"/>
      <c r="T43" s="3"/>
      <c r="U43" s="3"/>
      <c r="V43" s="3"/>
    </row>
    <row r="44" spans="1:22">
      <c r="A44" s="3"/>
      <c r="B44" s="102"/>
      <c r="C44" s="103" t="s">
        <v>992</v>
      </c>
      <c r="D44" s="103"/>
      <c r="E44" s="103"/>
      <c r="F44" s="904">
        <f>10*LOG10(1-F39)</f>
        <v>-18.814544308479665</v>
      </c>
      <c r="G44" s="105" t="s">
        <v>964</v>
      </c>
      <c r="H44" s="911"/>
      <c r="I44" s="3"/>
      <c r="J44" s="3"/>
      <c r="K44" s="3"/>
      <c r="L44" s="3"/>
      <c r="M44" s="3"/>
      <c r="N44" s="3"/>
      <c r="O44" s="3"/>
      <c r="P44" s="3"/>
      <c r="Q44" s="3"/>
      <c r="R44" s="3"/>
      <c r="S44" s="3"/>
      <c r="T44" s="3"/>
      <c r="U44" s="3"/>
      <c r="V44" s="3"/>
    </row>
    <row r="45" spans="1:22" ht="13" thickBot="1">
      <c r="A45" s="3"/>
      <c r="B45" s="102"/>
      <c r="C45" s="103" t="s">
        <v>993</v>
      </c>
      <c r="D45" s="103"/>
      <c r="E45" s="103"/>
      <c r="F45" s="902">
        <f>F40-F44</f>
        <v>18.871982216077384</v>
      </c>
      <c r="G45" s="105" t="s">
        <v>964</v>
      </c>
      <c r="H45" s="3"/>
      <c r="I45" s="3" t="s">
        <v>817</v>
      </c>
      <c r="J45" s="3"/>
      <c r="K45" s="3"/>
      <c r="L45" s="3"/>
      <c r="M45" s="3"/>
      <c r="N45" s="3"/>
      <c r="O45" s="3"/>
      <c r="P45" s="3"/>
      <c r="Q45" s="3"/>
      <c r="R45" s="3"/>
      <c r="S45" s="3"/>
      <c r="T45" s="3"/>
      <c r="U45" s="3"/>
      <c r="V45" s="3"/>
    </row>
    <row r="46" spans="1:22" ht="13" thickBot="1">
      <c r="A46" s="3"/>
      <c r="B46" s="113"/>
      <c r="C46" s="114"/>
      <c r="D46" s="114"/>
      <c r="E46" s="114"/>
      <c r="F46" s="114" t="s">
        <v>817</v>
      </c>
      <c r="G46" s="115"/>
      <c r="H46" s="3"/>
      <c r="I46" s="3"/>
      <c r="J46" s="3"/>
      <c r="K46" s="3"/>
      <c r="L46" s="3"/>
      <c r="M46" s="3"/>
      <c r="N46" s="3"/>
      <c r="O46" s="3"/>
      <c r="P46" s="3"/>
      <c r="Q46" s="3"/>
      <c r="R46" s="3"/>
      <c r="S46" s="3"/>
      <c r="T46" s="3"/>
      <c r="U46" s="3"/>
      <c r="V46" s="3"/>
    </row>
    <row r="47" spans="1:22">
      <c r="A47" s="3"/>
      <c r="B47" s="3"/>
      <c r="C47" s="3"/>
      <c r="D47" s="3"/>
      <c r="E47" s="3"/>
      <c r="F47" s="3"/>
      <c r="G47" s="3"/>
      <c r="H47" s="3"/>
      <c r="I47" s="3" t="s">
        <v>1000</v>
      </c>
      <c r="J47" s="3" t="s">
        <v>817</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5" t="s">
        <v>123</v>
      </c>
      <c r="C49" s="184"/>
      <c r="D49" s="231" t="s">
        <v>125</v>
      </c>
      <c r="E49" s="3"/>
      <c r="F49" s="3"/>
      <c r="G49" s="3"/>
      <c r="H49" s="3"/>
      <c r="I49" s="3"/>
      <c r="J49" s="3"/>
      <c r="K49" s="3"/>
      <c r="L49" s="3"/>
      <c r="M49" s="3"/>
      <c r="N49" s="3"/>
      <c r="O49" s="3"/>
      <c r="P49" s="3"/>
      <c r="Q49" s="3"/>
      <c r="R49" s="3"/>
      <c r="S49" s="3"/>
      <c r="T49" s="3"/>
      <c r="U49" s="3"/>
      <c r="V49" s="3"/>
    </row>
    <row r="50" spans="1:22" ht="13">
      <c r="A50" s="3"/>
      <c r="B50" s="383" t="s">
        <v>817</v>
      </c>
      <c r="C50" s="97" t="s">
        <v>1005</v>
      </c>
      <c r="D50" s="97"/>
      <c r="E50" s="82"/>
      <c r="F50" s="82"/>
      <c r="G50" s="98"/>
      <c r="H50" s="3"/>
      <c r="I50" s="3"/>
      <c r="J50" s="3"/>
      <c r="K50" s="3"/>
      <c r="L50" s="3"/>
      <c r="M50" s="3"/>
      <c r="N50" s="3"/>
      <c r="O50" s="3"/>
      <c r="P50" s="3"/>
      <c r="Q50" s="3"/>
      <c r="R50" s="3"/>
      <c r="S50" s="3"/>
      <c r="T50" s="3"/>
      <c r="U50" s="3"/>
      <c r="V50" s="3"/>
    </row>
    <row r="51" spans="1:22" ht="13">
      <c r="A51" s="3"/>
      <c r="B51" s="99" t="s">
        <v>1004</v>
      </c>
      <c r="C51" s="100"/>
      <c r="D51" s="100"/>
      <c r="E51" s="100"/>
      <c r="F51" s="100"/>
      <c r="G51" s="101"/>
      <c r="H51" s="3"/>
      <c r="I51" s="3"/>
      <c r="J51" s="3"/>
      <c r="K51" s="3"/>
      <c r="L51" s="3"/>
      <c r="M51" s="3"/>
      <c r="N51" s="3"/>
      <c r="O51" s="3"/>
      <c r="P51" s="3"/>
      <c r="Q51" s="3"/>
      <c r="R51" s="3"/>
      <c r="S51" s="3"/>
      <c r="T51" s="3"/>
      <c r="U51" s="3"/>
      <c r="V51" s="3"/>
    </row>
    <row r="52" spans="1:22">
      <c r="A52" s="3"/>
      <c r="B52" s="102"/>
      <c r="C52" s="103"/>
      <c r="D52" s="103"/>
      <c r="E52" s="104" t="s">
        <v>213</v>
      </c>
      <c r="F52" s="130">
        <v>1</v>
      </c>
      <c r="G52" s="105" t="s">
        <v>964</v>
      </c>
      <c r="H52" s="3"/>
      <c r="I52" s="3"/>
      <c r="J52" s="3"/>
      <c r="K52" s="3"/>
      <c r="L52" s="3"/>
      <c r="M52" s="3"/>
      <c r="N52" s="3"/>
      <c r="O52" s="3"/>
      <c r="P52" s="3"/>
      <c r="Q52" s="3"/>
      <c r="R52" s="3"/>
      <c r="S52" s="3"/>
      <c r="T52" s="3"/>
      <c r="U52" s="3"/>
      <c r="V52" s="3"/>
    </row>
    <row r="53" spans="1:22">
      <c r="A53" s="3"/>
      <c r="B53" s="102"/>
      <c r="C53" s="103"/>
      <c r="D53" s="103"/>
      <c r="E53" s="104" t="s">
        <v>1001</v>
      </c>
      <c r="F53" s="106">
        <f>10^(F52/20)</f>
        <v>1.1220184543019636</v>
      </c>
      <c r="G53" s="105" t="s">
        <v>965</v>
      </c>
      <c r="H53" s="3"/>
      <c r="I53" s="3"/>
      <c r="J53" s="3"/>
      <c r="K53" s="3"/>
      <c r="L53" s="3"/>
      <c r="M53" s="3"/>
      <c r="N53" s="3"/>
      <c r="O53" s="3"/>
      <c r="P53" s="3"/>
      <c r="Q53" s="3"/>
      <c r="R53" s="3"/>
      <c r="S53" s="3"/>
      <c r="T53" s="3"/>
      <c r="U53" s="3"/>
      <c r="V53" s="3"/>
    </row>
    <row r="54" spans="1:22">
      <c r="A54" s="3"/>
      <c r="B54" s="102"/>
      <c r="C54" s="103"/>
      <c r="D54" s="103"/>
      <c r="E54" s="104" t="s">
        <v>1002</v>
      </c>
      <c r="F54" s="130">
        <v>1</v>
      </c>
      <c r="G54" s="105" t="s">
        <v>964</v>
      </c>
      <c r="H54" s="3"/>
      <c r="I54" s="3"/>
      <c r="J54" s="3"/>
      <c r="K54" s="3"/>
      <c r="L54" s="3"/>
      <c r="M54" s="3" t="s">
        <v>817</v>
      </c>
      <c r="N54" s="3"/>
      <c r="O54" s="3"/>
      <c r="P54" s="3"/>
      <c r="Q54" s="3"/>
      <c r="R54" s="3"/>
      <c r="S54" s="3"/>
      <c r="T54" s="3"/>
      <c r="U54" s="3"/>
      <c r="V54" s="3"/>
    </row>
    <row r="55" spans="1:22">
      <c r="A55" s="3"/>
      <c r="B55" s="102"/>
      <c r="C55" s="103"/>
      <c r="D55" s="103"/>
      <c r="E55" s="104" t="s">
        <v>1003</v>
      </c>
      <c r="F55" s="106">
        <f>10^(F54/20)</f>
        <v>1.1220184543019636</v>
      </c>
      <c r="G55" s="105" t="s">
        <v>965</v>
      </c>
      <c r="H55" s="3"/>
      <c r="I55" s="3"/>
      <c r="J55" s="3"/>
      <c r="K55" s="3"/>
      <c r="L55" s="3"/>
      <c r="M55" s="3"/>
      <c r="N55" s="3"/>
      <c r="O55" s="3"/>
      <c r="P55" s="3"/>
      <c r="Q55" s="3"/>
      <c r="R55" s="3"/>
      <c r="S55" s="3"/>
      <c r="T55" s="3"/>
      <c r="U55" s="3"/>
      <c r="V55" s="3"/>
    </row>
    <row r="56" spans="1:22">
      <c r="A56" s="3"/>
      <c r="B56" s="102"/>
      <c r="C56" s="103"/>
      <c r="D56" s="103"/>
      <c r="E56" s="104" t="s">
        <v>212</v>
      </c>
      <c r="F56" s="131">
        <v>90</v>
      </c>
      <c r="G56" s="105" t="s">
        <v>966</v>
      </c>
      <c r="H56" s="3"/>
      <c r="I56" s="3"/>
      <c r="J56" s="3"/>
      <c r="K56" s="3"/>
      <c r="L56" s="3"/>
      <c r="M56" s="3"/>
      <c r="N56" s="3"/>
      <c r="O56" s="3"/>
      <c r="P56" s="3"/>
      <c r="Q56" s="3"/>
      <c r="R56" s="3"/>
      <c r="S56" s="3"/>
      <c r="T56" s="3"/>
      <c r="U56" s="3"/>
      <c r="V56" s="3"/>
    </row>
    <row r="57" spans="1:22">
      <c r="A57" s="3"/>
      <c r="B57" s="102"/>
      <c r="C57" s="103"/>
      <c r="D57" s="103"/>
      <c r="E57" s="104" t="s">
        <v>212</v>
      </c>
      <c r="F57" s="83">
        <f>RADIANS(F56)</f>
        <v>1.5707963267948966</v>
      </c>
      <c r="G57" s="105" t="s">
        <v>967</v>
      </c>
      <c r="H57" s="3"/>
      <c r="I57" s="3"/>
      <c r="J57" s="3"/>
      <c r="K57" s="3"/>
      <c r="L57" s="3"/>
      <c r="M57" s="3"/>
      <c r="N57" s="3"/>
      <c r="O57" s="3"/>
      <c r="P57" s="3"/>
      <c r="Q57" s="3"/>
      <c r="R57" s="3"/>
      <c r="S57" s="3"/>
      <c r="T57" s="3"/>
      <c r="U57" s="3"/>
      <c r="V57" s="3"/>
    </row>
    <row r="58" spans="1:22">
      <c r="A58" s="3"/>
      <c r="B58" s="102"/>
      <c r="C58" s="103"/>
      <c r="D58" s="103"/>
      <c r="E58" s="103"/>
      <c r="F58" s="33"/>
      <c r="G58" s="107"/>
      <c r="H58" s="3"/>
      <c r="I58" s="3"/>
      <c r="J58" s="3"/>
      <c r="K58" s="3"/>
      <c r="L58" s="3"/>
      <c r="M58" s="3"/>
      <c r="N58" s="3"/>
      <c r="O58" s="3"/>
      <c r="P58" s="3"/>
      <c r="Q58" s="3"/>
      <c r="R58" s="3"/>
      <c r="S58" s="3"/>
      <c r="T58" s="3"/>
      <c r="U58" s="3"/>
      <c r="V58" s="3"/>
    </row>
    <row r="59" spans="1:22" ht="13" thickBot="1">
      <c r="A59" s="3"/>
      <c r="B59" s="102"/>
      <c r="C59" s="103"/>
      <c r="D59" s="103"/>
      <c r="E59" s="104" t="s">
        <v>968</v>
      </c>
      <c r="F59" s="108">
        <f>0.5*(1+((1-F53^2)*(1-F55^2)*COS(2*F57)+4*F53*F55)/((1+F53^2)*(1+F55^2)))</f>
        <v>0.98686150654198734</v>
      </c>
      <c r="G59" s="105" t="s">
        <v>965</v>
      </c>
      <c r="H59" s="3"/>
      <c r="I59" s="3"/>
      <c r="J59" s="3"/>
      <c r="K59" s="3"/>
      <c r="L59" s="3"/>
      <c r="M59" s="3"/>
      <c r="N59" s="3"/>
      <c r="O59" s="3"/>
      <c r="P59" s="3"/>
      <c r="Q59" s="3"/>
      <c r="R59" s="3"/>
      <c r="S59" s="3"/>
      <c r="T59" s="3"/>
      <c r="U59" s="3"/>
      <c r="V59" s="3"/>
    </row>
    <row r="60" spans="1:22" ht="13" thickBot="1">
      <c r="A60" s="3"/>
      <c r="B60" s="102"/>
      <c r="C60" s="103"/>
      <c r="D60" s="103"/>
      <c r="E60" s="104" t="s">
        <v>969</v>
      </c>
      <c r="F60" s="94">
        <f>-10*LOG(F59)</f>
        <v>5.7437907597720189E-2</v>
      </c>
      <c r="G60" s="105" t="s">
        <v>964</v>
      </c>
      <c r="H60" s="3"/>
      <c r="I60" s="3"/>
      <c r="J60" s="3"/>
      <c r="K60" s="3"/>
      <c r="L60" s="3"/>
      <c r="M60" s="3"/>
      <c r="N60" s="3"/>
      <c r="O60" s="3"/>
      <c r="P60" s="3"/>
      <c r="Q60" s="3"/>
      <c r="R60" s="3"/>
      <c r="S60" s="3"/>
      <c r="T60" s="3"/>
      <c r="U60" s="3"/>
      <c r="V60" s="3"/>
    </row>
    <row r="61" spans="1:22">
      <c r="A61" s="3"/>
      <c r="B61" s="102"/>
      <c r="C61" s="103"/>
      <c r="D61" s="103"/>
      <c r="E61" s="104"/>
      <c r="F61" s="109"/>
      <c r="G61" s="105"/>
      <c r="H61" s="3"/>
      <c r="I61" s="3"/>
      <c r="J61" s="3"/>
      <c r="K61" s="3"/>
      <c r="L61" s="3"/>
      <c r="M61" s="3"/>
      <c r="N61" s="3"/>
      <c r="O61" s="3"/>
      <c r="P61" s="3"/>
      <c r="Q61" s="3"/>
      <c r="R61" s="3"/>
      <c r="S61" s="3"/>
      <c r="T61" s="3"/>
      <c r="U61" s="3"/>
      <c r="V61" s="3"/>
    </row>
    <row r="62" spans="1:22" ht="13">
      <c r="A62" s="3"/>
      <c r="B62" s="99" t="s">
        <v>1010</v>
      </c>
      <c r="C62" s="100"/>
      <c r="D62" s="100"/>
      <c r="E62" s="110"/>
      <c r="F62" s="111"/>
      <c r="G62" s="112"/>
      <c r="H62" s="3"/>
      <c r="I62" s="3"/>
      <c r="J62" s="3"/>
      <c r="K62" s="3"/>
      <c r="L62" s="3"/>
      <c r="M62" s="3"/>
      <c r="N62" s="3"/>
      <c r="O62" s="3"/>
      <c r="P62" s="3"/>
      <c r="Q62" s="3"/>
      <c r="R62" s="3"/>
      <c r="S62" s="3"/>
      <c r="T62" s="3"/>
      <c r="U62" s="3"/>
      <c r="V62" s="3"/>
    </row>
    <row r="63" spans="1:22">
      <c r="A63" s="3"/>
      <c r="B63" s="102"/>
      <c r="C63" s="103" t="s">
        <v>992</v>
      </c>
      <c r="D63" s="103"/>
      <c r="E63" s="104"/>
      <c r="F63" s="953">
        <f>1-F59</f>
        <v>1.3138493458012657E-2</v>
      </c>
      <c r="G63" s="105"/>
      <c r="H63" s="3"/>
      <c r="I63" s="3"/>
      <c r="J63" s="3"/>
      <c r="K63" s="3"/>
      <c r="L63" s="3"/>
      <c r="M63" s="3"/>
      <c r="N63" s="3"/>
      <c r="O63" s="3"/>
      <c r="P63" s="3"/>
      <c r="Q63" s="3"/>
      <c r="R63" s="3"/>
      <c r="S63" s="3"/>
      <c r="T63" s="3"/>
      <c r="U63" s="3"/>
      <c r="V63" s="3"/>
    </row>
    <row r="64" spans="1:22" ht="13" thickBot="1">
      <c r="A64" s="3"/>
      <c r="B64" s="102"/>
      <c r="C64" s="103" t="s">
        <v>992</v>
      </c>
      <c r="D64" s="103"/>
      <c r="E64" s="103"/>
      <c r="F64" s="954">
        <f>10*LOG10(1-F59)</f>
        <v>-18.814544308479665</v>
      </c>
      <c r="G64" s="105" t="s">
        <v>964</v>
      </c>
      <c r="H64" s="3"/>
      <c r="I64" s="3"/>
      <c r="J64" s="3"/>
      <c r="K64" s="3"/>
      <c r="L64" s="3"/>
      <c r="M64" s="3"/>
      <c r="N64" s="3"/>
      <c r="O64" s="3"/>
      <c r="P64" s="3"/>
      <c r="Q64" s="3"/>
      <c r="R64" s="3"/>
      <c r="S64" s="3"/>
      <c r="T64" s="3"/>
      <c r="U64" s="3"/>
      <c r="V64" s="3"/>
    </row>
    <row r="65" spans="1:22" ht="13" thickBot="1">
      <c r="A65" s="3"/>
      <c r="B65" s="102"/>
      <c r="C65" s="103" t="s">
        <v>993</v>
      </c>
      <c r="D65" s="103"/>
      <c r="E65" s="103"/>
      <c r="F65" s="95">
        <f>F60-F64</f>
        <v>18.871982216077384</v>
      </c>
      <c r="G65" s="105" t="s">
        <v>964</v>
      </c>
      <c r="H65" s="3"/>
      <c r="I65" s="3"/>
      <c r="J65" s="3"/>
      <c r="K65" s="3"/>
      <c r="L65" s="3"/>
      <c r="M65" s="3"/>
      <c r="N65" s="3"/>
      <c r="O65" s="3"/>
      <c r="P65" s="3"/>
      <c r="Q65" s="3"/>
      <c r="R65" s="3"/>
      <c r="S65" s="3"/>
      <c r="T65" s="3"/>
      <c r="U65" s="3"/>
      <c r="V65" s="3"/>
    </row>
    <row r="66" spans="1:22" ht="13" thickBot="1">
      <c r="A66" s="3"/>
      <c r="B66" s="113"/>
      <c r="C66" s="114"/>
      <c r="D66" s="114"/>
      <c r="E66" s="114"/>
      <c r="F66" s="114" t="s">
        <v>817</v>
      </c>
      <c r="G66" s="115"/>
      <c r="H66" s="3"/>
      <c r="I66" s="3"/>
      <c r="J66" s="3"/>
      <c r="K66" s="3"/>
      <c r="L66" s="3"/>
      <c r="M66" s="3"/>
      <c r="N66" s="3"/>
      <c r="O66" s="3"/>
      <c r="P66" s="3"/>
      <c r="Q66" s="3"/>
      <c r="R66" s="3"/>
      <c r="S66" s="3"/>
      <c r="T66" s="3"/>
      <c r="U66" s="3"/>
      <c r="V66" s="3"/>
    </row>
    <row r="67" spans="1:22">
      <c r="A67" s="3"/>
      <c r="B67" s="103"/>
      <c r="C67" s="103"/>
      <c r="D67" s="103"/>
      <c r="E67" s="103"/>
      <c r="F67" s="103"/>
      <c r="G67" s="103"/>
      <c r="H67" s="3"/>
      <c r="I67" s="3"/>
      <c r="J67" s="3"/>
      <c r="K67" s="3"/>
      <c r="L67" s="3"/>
      <c r="M67" s="3"/>
      <c r="N67" s="3"/>
      <c r="O67" s="3"/>
      <c r="P67" s="3"/>
      <c r="Q67" s="3"/>
      <c r="R67" s="3"/>
      <c r="S67" s="3"/>
      <c r="T67" s="3"/>
      <c r="U67" s="3"/>
      <c r="V67" s="3"/>
    </row>
    <row r="68" spans="1:22">
      <c r="A68" s="3"/>
      <c r="B68" s="103"/>
      <c r="C68" s="103"/>
      <c r="D68" s="103"/>
      <c r="E68" s="103"/>
      <c r="F68" s="103"/>
      <c r="G68" s="103"/>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634"/>
      <c r="C70" s="634"/>
      <c r="D70" s="634"/>
      <c r="E70" s="634"/>
      <c r="F70" s="635" t="s">
        <v>1011</v>
      </c>
      <c r="G70" s="636"/>
      <c r="H70" s="636"/>
      <c r="I70" s="636" t="s">
        <v>817</v>
      </c>
      <c r="J70" s="636"/>
      <c r="K70" s="3"/>
      <c r="L70" s="3"/>
      <c r="M70" s="3"/>
      <c r="N70" s="3"/>
      <c r="O70" s="3"/>
      <c r="P70" s="3"/>
      <c r="Q70" s="3"/>
      <c r="R70" s="3"/>
      <c r="S70" s="3"/>
      <c r="T70" s="3"/>
      <c r="U70" s="3"/>
      <c r="V70" s="3"/>
    </row>
    <row r="71" spans="1:22" ht="13">
      <c r="A71" s="3"/>
      <c r="B71" s="25"/>
      <c r="C71" s="25"/>
      <c r="D71" s="49" t="s">
        <v>1012</v>
      </c>
      <c r="E71" s="25"/>
      <c r="F71" s="49" t="s">
        <v>1013</v>
      </c>
      <c r="G71" s="25"/>
      <c r="H71" s="632" t="s">
        <v>1014</v>
      </c>
      <c r="I71" s="25"/>
      <c r="J71" s="633" t="s">
        <v>996</v>
      </c>
      <c r="K71" s="3"/>
      <c r="L71" s="3"/>
      <c r="M71" s="3"/>
      <c r="N71" s="3"/>
      <c r="O71" s="3"/>
      <c r="P71" s="3"/>
      <c r="Q71" s="3"/>
      <c r="R71" s="3"/>
      <c r="S71" s="3"/>
      <c r="T71" s="3"/>
      <c r="U71" s="3"/>
      <c r="V71" s="3"/>
    </row>
    <row r="72" spans="1:22" ht="13">
      <c r="A72" s="3"/>
      <c r="B72" s="25"/>
      <c r="C72" s="25"/>
      <c r="D72" s="633" t="s">
        <v>994</v>
      </c>
      <c r="E72" s="633"/>
      <c r="F72" s="633" t="s">
        <v>995</v>
      </c>
      <c r="G72" s="633"/>
      <c r="H72" s="633" t="s">
        <v>998</v>
      </c>
      <c r="I72" s="25"/>
      <c r="J72" s="633" t="s">
        <v>997</v>
      </c>
      <c r="K72" s="3"/>
      <c r="L72" s="3"/>
      <c r="M72" s="3"/>
      <c r="N72" s="3"/>
      <c r="O72" s="3"/>
      <c r="P72" s="3"/>
      <c r="Q72" s="3"/>
      <c r="R72" s="3"/>
      <c r="S72" s="3"/>
      <c r="T72" s="3"/>
      <c r="U72" s="3"/>
      <c r="V72" s="3"/>
    </row>
    <row r="73" spans="1:22" ht="13">
      <c r="A73" s="3"/>
      <c r="B73" s="25"/>
      <c r="C73" s="25"/>
      <c r="D73" s="633" t="s">
        <v>997</v>
      </c>
      <c r="E73" s="633"/>
      <c r="F73" s="633" t="s">
        <v>997</v>
      </c>
      <c r="G73" s="633"/>
      <c r="H73" s="633"/>
      <c r="I73" s="25"/>
      <c r="J73" s="633"/>
      <c r="K73" s="3"/>
      <c r="L73" s="3"/>
      <c r="M73" s="3"/>
      <c r="N73" s="3"/>
      <c r="O73" s="3"/>
      <c r="P73" s="3"/>
      <c r="Q73" s="3"/>
      <c r="R73" s="3"/>
      <c r="S73" s="3"/>
      <c r="T73" s="3"/>
      <c r="U73" s="3"/>
      <c r="V73" s="3"/>
    </row>
    <row r="74" spans="1:22">
      <c r="A74" s="3"/>
      <c r="B74" s="25"/>
      <c r="C74" s="25"/>
      <c r="D74" s="25"/>
      <c r="E74" s="25"/>
      <c r="F74" s="25"/>
      <c r="G74" s="25"/>
      <c r="H74" s="25"/>
      <c r="I74" s="25"/>
      <c r="J74" s="25"/>
      <c r="K74" s="3"/>
      <c r="L74" s="3"/>
      <c r="M74" s="3"/>
      <c r="N74" s="3"/>
      <c r="O74" s="3"/>
      <c r="P74" s="3"/>
      <c r="Q74" s="3"/>
      <c r="R74" s="3"/>
      <c r="S74" s="3"/>
      <c r="T74" s="3"/>
      <c r="U74" s="3"/>
      <c r="V74" s="3"/>
    </row>
    <row r="75" spans="1:22" ht="13">
      <c r="A75" s="3"/>
      <c r="B75" s="628" t="s">
        <v>1020</v>
      </c>
      <c r="C75" s="629"/>
      <c r="D75" s="277">
        <v>0</v>
      </c>
      <c r="E75" s="277"/>
      <c r="F75" s="277">
        <v>0</v>
      </c>
      <c r="G75" s="277"/>
      <c r="H75" s="277">
        <v>90</v>
      </c>
      <c r="I75" s="277"/>
      <c r="J75" s="952">
        <v>0</v>
      </c>
      <c r="K75" s="3"/>
      <c r="L75" s="3"/>
      <c r="M75" s="3"/>
      <c r="N75" s="3"/>
      <c r="O75" s="3"/>
      <c r="P75" s="3"/>
      <c r="Q75" s="3"/>
      <c r="R75" s="3"/>
      <c r="S75" s="3"/>
      <c r="T75" s="3"/>
      <c r="U75" s="3"/>
      <c r="V75" s="3"/>
    </row>
    <row r="76" spans="1:22" ht="13">
      <c r="A76" s="3"/>
      <c r="B76" s="628" t="s">
        <v>1019</v>
      </c>
      <c r="C76" s="629"/>
      <c r="D76" s="277">
        <v>0</v>
      </c>
      <c r="E76" s="277"/>
      <c r="F76" s="277">
        <v>1</v>
      </c>
      <c r="G76" s="277"/>
      <c r="H76" s="277">
        <v>90</v>
      </c>
      <c r="I76" s="277"/>
      <c r="J76" s="952">
        <v>-0.01</v>
      </c>
      <c r="K76" s="3"/>
      <c r="L76" s="3"/>
      <c r="M76" s="3"/>
      <c r="N76" s="3"/>
      <c r="O76" s="3"/>
      <c r="P76" s="3"/>
      <c r="Q76" s="3"/>
      <c r="R76" s="3"/>
      <c r="S76" s="3"/>
      <c r="T76" s="3"/>
      <c r="U76" s="3"/>
      <c r="V76" s="3"/>
    </row>
    <row r="77" spans="1:22">
      <c r="A77" s="3"/>
      <c r="B77" s="629"/>
      <c r="C77" s="629"/>
      <c r="D77" s="277">
        <v>0</v>
      </c>
      <c r="E77" s="277"/>
      <c r="F77" s="277">
        <v>2</v>
      </c>
      <c r="G77" s="277"/>
      <c r="H77" s="277">
        <v>90</v>
      </c>
      <c r="I77" s="277"/>
      <c r="J77" s="952">
        <v>-0.06</v>
      </c>
      <c r="K77" s="3"/>
      <c r="L77" s="3"/>
      <c r="M77" s="3"/>
      <c r="N77" s="3"/>
      <c r="O77" s="3"/>
      <c r="P77" s="3"/>
      <c r="Q77" s="3"/>
      <c r="R77" s="3"/>
      <c r="S77" s="3"/>
      <c r="T77" s="3"/>
      <c r="U77" s="3"/>
      <c r="V77" s="3"/>
    </row>
    <row r="78" spans="1:22" ht="13">
      <c r="A78" s="3"/>
      <c r="B78" s="629"/>
      <c r="C78" s="629"/>
      <c r="D78" s="277">
        <v>0</v>
      </c>
      <c r="E78" s="277"/>
      <c r="F78" s="277">
        <v>3</v>
      </c>
      <c r="G78" s="277"/>
      <c r="H78" s="277">
        <v>90</v>
      </c>
      <c r="I78" s="630"/>
      <c r="J78" s="952">
        <v>-0.13</v>
      </c>
      <c r="K78" s="3"/>
      <c r="L78" s="3"/>
      <c r="M78" s="3"/>
      <c r="N78" s="3"/>
      <c r="O78" s="3"/>
      <c r="P78" s="3"/>
      <c r="Q78" s="3"/>
      <c r="R78" s="3"/>
      <c r="S78" s="3"/>
      <c r="T78" s="3"/>
      <c r="U78" s="3"/>
      <c r="V78" s="3"/>
    </row>
    <row r="79" spans="1:22" ht="13">
      <c r="A79" s="3"/>
      <c r="B79" s="629"/>
      <c r="C79" s="629"/>
      <c r="D79" s="277">
        <v>0</v>
      </c>
      <c r="E79" s="277"/>
      <c r="F79" s="277">
        <v>6</v>
      </c>
      <c r="G79" s="277"/>
      <c r="H79" s="277">
        <v>90</v>
      </c>
      <c r="I79" s="630"/>
      <c r="J79" s="952">
        <v>-0.45</v>
      </c>
      <c r="K79" s="3"/>
      <c r="L79" s="3"/>
      <c r="M79" s="3"/>
      <c r="N79" s="3"/>
      <c r="O79" s="3"/>
      <c r="P79" s="3"/>
      <c r="Q79" s="3"/>
      <c r="R79" s="3"/>
      <c r="S79" s="3"/>
      <c r="T79" s="3"/>
      <c r="U79" s="3"/>
      <c r="V79" s="3"/>
    </row>
    <row r="80" spans="1:22">
      <c r="A80" s="3"/>
      <c r="B80" s="629"/>
      <c r="C80" s="629"/>
      <c r="D80" s="277">
        <v>0</v>
      </c>
      <c r="E80" s="277"/>
      <c r="F80" s="277">
        <v>10</v>
      </c>
      <c r="G80" s="277"/>
      <c r="H80" s="277">
        <v>90</v>
      </c>
      <c r="I80" s="277"/>
      <c r="J80" s="952">
        <v>-1.04</v>
      </c>
      <c r="K80" s="3"/>
      <c r="L80" s="3"/>
      <c r="M80" s="3"/>
      <c r="N80" s="3"/>
      <c r="O80" s="3"/>
      <c r="P80" s="3"/>
      <c r="Q80" s="3"/>
      <c r="R80" s="3"/>
      <c r="S80" s="3"/>
      <c r="T80" s="3"/>
      <c r="U80" s="3"/>
      <c r="V80" s="3"/>
    </row>
    <row r="81" spans="1:22">
      <c r="A81" s="3"/>
      <c r="B81" s="629"/>
      <c r="C81" s="629"/>
      <c r="D81" s="277">
        <v>0</v>
      </c>
      <c r="E81" s="277"/>
      <c r="F81" s="277">
        <v>30</v>
      </c>
      <c r="G81" s="277"/>
      <c r="H81" s="277">
        <v>90</v>
      </c>
      <c r="I81" s="277"/>
      <c r="J81" s="952">
        <v>-2.74</v>
      </c>
      <c r="K81" s="3"/>
      <c r="L81" s="116" t="s">
        <v>1017</v>
      </c>
      <c r="M81" s="117"/>
      <c r="N81" s="117"/>
      <c r="O81" s="118"/>
      <c r="P81" s="3"/>
      <c r="Q81" s="3"/>
      <c r="R81" s="3"/>
      <c r="S81" s="3"/>
      <c r="T81" s="3"/>
      <c r="U81" s="3"/>
      <c r="V81" s="3"/>
    </row>
    <row r="82" spans="1:22">
      <c r="A82" s="3"/>
      <c r="B82" s="629"/>
      <c r="C82" s="629"/>
      <c r="D82" s="277">
        <v>0</v>
      </c>
      <c r="E82" s="277"/>
      <c r="F82" s="277">
        <v>30</v>
      </c>
      <c r="G82" s="277"/>
      <c r="H82" s="277">
        <v>0</v>
      </c>
      <c r="I82" s="277"/>
      <c r="J82" s="952">
        <v>-2.74</v>
      </c>
      <c r="K82" s="3"/>
      <c r="L82" s="119" t="s">
        <v>1016</v>
      </c>
      <c r="M82" s="120"/>
      <c r="N82" s="120"/>
      <c r="O82" s="121"/>
      <c r="P82" s="3"/>
      <c r="Q82" s="3"/>
      <c r="R82" s="3"/>
      <c r="S82" s="3"/>
      <c r="T82" s="3"/>
      <c r="U82" s="3"/>
      <c r="V82" s="3"/>
    </row>
    <row r="83" spans="1:22">
      <c r="A83" s="3"/>
      <c r="B83" s="629"/>
      <c r="C83" s="629"/>
      <c r="D83" s="277"/>
      <c r="E83" s="277"/>
      <c r="F83" s="277"/>
      <c r="G83" s="277"/>
      <c r="H83" s="277"/>
      <c r="I83" s="277"/>
      <c r="J83" s="277"/>
      <c r="K83" s="3"/>
      <c r="L83" s="3"/>
      <c r="M83" s="3"/>
      <c r="N83" s="3"/>
      <c r="O83" s="3"/>
      <c r="P83" s="3"/>
      <c r="Q83" s="3"/>
      <c r="R83" s="3"/>
      <c r="S83" s="3"/>
      <c r="T83" s="3"/>
      <c r="U83" s="3"/>
      <c r="V83" s="3"/>
    </row>
    <row r="84" spans="1:22">
      <c r="A84" s="3"/>
      <c r="B84" s="629"/>
      <c r="C84" s="629"/>
      <c r="D84" s="277"/>
      <c r="E84" s="277"/>
      <c r="F84" s="277"/>
      <c r="G84" s="277"/>
      <c r="H84" s="277"/>
      <c r="I84" s="277" t="s">
        <v>817</v>
      </c>
      <c r="J84" s="277"/>
      <c r="K84" s="3"/>
      <c r="L84" s="3"/>
      <c r="M84" s="3"/>
      <c r="N84" s="3"/>
      <c r="O84" s="3"/>
      <c r="P84" s="3"/>
      <c r="Q84" s="3"/>
      <c r="R84" s="3"/>
      <c r="S84" s="3"/>
      <c r="T84" s="3"/>
      <c r="U84" s="3"/>
      <c r="V84" s="3"/>
    </row>
    <row r="85" spans="1:22" ht="13">
      <c r="A85" s="3"/>
      <c r="B85" s="628" t="s">
        <v>1015</v>
      </c>
      <c r="C85" s="629"/>
      <c r="D85" s="277">
        <v>3</v>
      </c>
      <c r="E85" s="277"/>
      <c r="F85" s="277">
        <v>3</v>
      </c>
      <c r="G85" s="277"/>
      <c r="H85" s="277">
        <v>0</v>
      </c>
      <c r="I85" s="277"/>
      <c r="J85" s="952">
        <v>0</v>
      </c>
      <c r="K85" s="3"/>
      <c r="L85" s="3"/>
      <c r="M85" s="3"/>
      <c r="N85" s="3"/>
      <c r="O85" s="3"/>
      <c r="P85" s="3"/>
      <c r="Q85" s="3"/>
      <c r="R85" s="3"/>
      <c r="S85" s="3"/>
      <c r="T85" s="3"/>
      <c r="U85" s="3"/>
      <c r="V85" s="3"/>
    </row>
    <row r="86" spans="1:22">
      <c r="A86" s="3"/>
      <c r="B86" s="629"/>
      <c r="C86" s="629"/>
      <c r="D86" s="277">
        <v>3</v>
      </c>
      <c r="E86" s="277"/>
      <c r="F86" s="277">
        <v>3</v>
      </c>
      <c r="G86" s="277"/>
      <c r="H86" s="277">
        <v>45</v>
      </c>
      <c r="I86" s="277"/>
      <c r="J86" s="952">
        <v>-0.25</v>
      </c>
      <c r="K86" s="3"/>
      <c r="L86" s="124" t="s">
        <v>1023</v>
      </c>
      <c r="M86" s="125"/>
      <c r="N86" s="125"/>
      <c r="O86" s="126"/>
      <c r="P86" s="3"/>
      <c r="Q86" s="3"/>
      <c r="R86" s="3"/>
      <c r="S86" s="3"/>
      <c r="T86" s="3"/>
      <c r="U86" s="3"/>
      <c r="V86" s="3"/>
    </row>
    <row r="87" spans="1:22">
      <c r="A87" s="3"/>
      <c r="B87" s="629"/>
      <c r="C87" s="629"/>
      <c r="D87" s="277">
        <v>3</v>
      </c>
      <c r="E87" s="277"/>
      <c r="F87" s="277">
        <v>3</v>
      </c>
      <c r="G87" s="277"/>
      <c r="H87" s="277">
        <v>90</v>
      </c>
      <c r="I87" s="277"/>
      <c r="J87" s="952">
        <v>-0.51</v>
      </c>
      <c r="K87" s="3"/>
      <c r="L87" s="3"/>
      <c r="M87" s="3"/>
      <c r="N87" s="3"/>
      <c r="O87" s="3"/>
      <c r="P87" s="3"/>
      <c r="Q87" s="3"/>
      <c r="R87" s="3"/>
      <c r="S87" s="3"/>
      <c r="T87" s="3"/>
      <c r="U87" s="3"/>
      <c r="V87" s="3"/>
    </row>
    <row r="88" spans="1:22">
      <c r="A88" s="3"/>
      <c r="B88" s="629"/>
      <c r="C88" s="629"/>
      <c r="D88" s="631"/>
      <c r="E88" s="631"/>
      <c r="F88" s="631"/>
      <c r="G88" s="631"/>
      <c r="H88" s="631"/>
      <c r="I88" s="631"/>
      <c r="J88" s="631"/>
      <c r="K88" s="3"/>
      <c r="L88" s="3"/>
      <c r="M88" s="3"/>
      <c r="N88" s="3"/>
      <c r="O88" s="3"/>
      <c r="P88" s="3"/>
      <c r="Q88" s="3"/>
      <c r="R88" s="3"/>
      <c r="S88" s="3"/>
      <c r="T88" s="3"/>
      <c r="U88" s="3"/>
      <c r="V88" s="3"/>
    </row>
    <row r="89" spans="1:22">
      <c r="A89" s="3"/>
      <c r="B89" s="629"/>
      <c r="C89" s="629"/>
      <c r="D89" s="631"/>
      <c r="E89" s="631"/>
      <c r="F89" s="631"/>
      <c r="G89" s="631"/>
      <c r="H89" s="631"/>
      <c r="I89" s="631"/>
      <c r="J89" s="631"/>
      <c r="K89" s="3"/>
      <c r="L89" s="3"/>
      <c r="M89" s="3"/>
      <c r="N89" s="3"/>
      <c r="O89" s="3"/>
      <c r="P89" s="3"/>
      <c r="Q89" s="3"/>
      <c r="R89" s="3"/>
      <c r="S89" s="3"/>
      <c r="T89" s="3"/>
      <c r="U89" s="3"/>
      <c r="V89" s="3"/>
    </row>
    <row r="90" spans="1:22">
      <c r="A90" s="3"/>
      <c r="B90" s="629" t="s">
        <v>1018</v>
      </c>
      <c r="C90" s="629"/>
      <c r="D90" s="277">
        <v>30</v>
      </c>
      <c r="E90" s="277"/>
      <c r="F90" s="277">
        <v>30</v>
      </c>
      <c r="G90" s="277"/>
      <c r="H90" s="277">
        <v>0</v>
      </c>
      <c r="I90" s="277"/>
      <c r="J90" s="952">
        <v>0</v>
      </c>
      <c r="K90" s="3"/>
      <c r="L90" s="3"/>
      <c r="M90" s="3"/>
      <c r="N90" s="3"/>
      <c r="O90" s="3"/>
      <c r="P90" s="3"/>
      <c r="Q90" s="3"/>
      <c r="R90" s="3"/>
      <c r="S90" s="3"/>
      <c r="T90" s="3"/>
      <c r="U90" s="3"/>
      <c r="V90" s="3"/>
    </row>
    <row r="91" spans="1:22">
      <c r="A91" s="3"/>
      <c r="B91" s="629"/>
      <c r="C91" s="629"/>
      <c r="D91" s="277">
        <v>30</v>
      </c>
      <c r="E91" s="277"/>
      <c r="F91" s="277">
        <v>30</v>
      </c>
      <c r="G91" s="277"/>
      <c r="H91" s="277">
        <v>30</v>
      </c>
      <c r="I91" s="277"/>
      <c r="J91" s="952">
        <v>-1.24</v>
      </c>
      <c r="K91" s="3"/>
      <c r="L91" s="3"/>
      <c r="M91" s="3"/>
      <c r="N91" s="3"/>
      <c r="O91" s="3"/>
      <c r="P91" s="3"/>
      <c r="Q91" s="3"/>
      <c r="R91" s="3"/>
      <c r="S91" s="3"/>
      <c r="T91" s="3"/>
      <c r="U91" s="3"/>
      <c r="V91" s="3"/>
    </row>
    <row r="92" spans="1:22">
      <c r="A92" s="3"/>
      <c r="B92" s="629"/>
      <c r="C92" s="629"/>
      <c r="D92" s="277">
        <v>30</v>
      </c>
      <c r="E92" s="277"/>
      <c r="F92" s="277">
        <v>30</v>
      </c>
      <c r="G92" s="277"/>
      <c r="H92" s="277">
        <v>45</v>
      </c>
      <c r="I92" s="277"/>
      <c r="J92" s="952">
        <v>-2.99</v>
      </c>
      <c r="K92" s="3"/>
      <c r="L92" s="3"/>
      <c r="M92" s="3"/>
      <c r="N92" s="3"/>
      <c r="O92" s="3"/>
      <c r="P92" s="3"/>
      <c r="Q92" s="3"/>
      <c r="R92" s="3"/>
      <c r="S92" s="3"/>
      <c r="T92" s="3"/>
      <c r="U92" s="3"/>
      <c r="V92" s="3"/>
    </row>
    <row r="93" spans="1:22">
      <c r="A93" s="3"/>
      <c r="B93" s="629"/>
      <c r="C93" s="629"/>
      <c r="D93" s="277">
        <v>30</v>
      </c>
      <c r="E93" s="277"/>
      <c r="F93" s="277">
        <v>30</v>
      </c>
      <c r="G93" s="277"/>
      <c r="H93" s="277">
        <v>60</v>
      </c>
      <c r="I93" s="277"/>
      <c r="J93" s="952">
        <v>-5.97</v>
      </c>
      <c r="K93" s="3"/>
      <c r="L93" s="3"/>
      <c r="M93" s="3"/>
      <c r="N93" s="3"/>
      <c r="O93" s="3"/>
      <c r="P93" s="3"/>
      <c r="Q93" s="3"/>
      <c r="R93" s="3"/>
      <c r="S93" s="3"/>
      <c r="T93" s="3"/>
      <c r="U93" s="3"/>
      <c r="V93" s="3"/>
    </row>
    <row r="94" spans="1:22">
      <c r="A94" s="3"/>
      <c r="B94" s="629"/>
      <c r="C94" s="629"/>
      <c r="D94" s="277">
        <v>30</v>
      </c>
      <c r="E94" s="277"/>
      <c r="F94" s="277">
        <v>30</v>
      </c>
      <c r="G94" s="277"/>
      <c r="H94" s="277">
        <v>90</v>
      </c>
      <c r="I94" s="277"/>
      <c r="J94" s="952">
        <v>-23.99</v>
      </c>
      <c r="K94" s="3"/>
      <c r="L94" s="3"/>
      <c r="M94" s="3"/>
      <c r="N94" s="3"/>
      <c r="O94" s="3"/>
      <c r="P94" s="3"/>
      <c r="Q94" s="3"/>
      <c r="R94" s="3"/>
      <c r="S94" s="3"/>
      <c r="T94" s="3"/>
      <c r="U94" s="3"/>
      <c r="V94" s="3"/>
    </row>
    <row r="95" spans="1:22">
      <c r="A95" s="3"/>
      <c r="B95" s="629"/>
      <c r="C95" s="629"/>
      <c r="D95" s="277"/>
      <c r="E95" s="277"/>
      <c r="F95" s="277"/>
      <c r="G95" s="277"/>
      <c r="H95" s="277"/>
      <c r="I95" s="277"/>
      <c r="J95" s="277"/>
      <c r="K95" s="3"/>
      <c r="L95" s="3"/>
      <c r="M95" s="3"/>
      <c r="N95" s="3"/>
      <c r="O95" s="3"/>
      <c r="P95" s="3"/>
      <c r="Q95" s="3"/>
      <c r="R95" s="3"/>
      <c r="S95" s="3"/>
      <c r="T95" s="3"/>
      <c r="U95" s="3"/>
      <c r="V95" s="3"/>
    </row>
    <row r="96" spans="1:22" ht="13">
      <c r="A96" s="3"/>
      <c r="B96" s="628" t="s">
        <v>1021</v>
      </c>
      <c r="C96" s="628"/>
      <c r="D96" s="277">
        <v>2</v>
      </c>
      <c r="E96" s="277"/>
      <c r="F96" s="277">
        <v>30</v>
      </c>
      <c r="G96" s="277"/>
      <c r="H96" s="277">
        <v>0</v>
      </c>
      <c r="I96" s="277"/>
      <c r="J96" s="952">
        <v>-1.91</v>
      </c>
      <c r="K96" s="3"/>
      <c r="L96" s="3" t="s">
        <v>817</v>
      </c>
      <c r="M96" s="3"/>
      <c r="N96" s="3"/>
      <c r="O96" s="3"/>
      <c r="P96" s="3"/>
      <c r="Q96" s="3"/>
      <c r="R96" s="3"/>
      <c r="S96" s="3"/>
      <c r="T96" s="3"/>
      <c r="U96" s="3"/>
      <c r="V96" s="3"/>
    </row>
    <row r="97" spans="1:22" ht="13">
      <c r="A97" s="3"/>
      <c r="B97" s="628" t="s">
        <v>1022</v>
      </c>
      <c r="C97" s="628"/>
      <c r="D97" s="277">
        <v>2</v>
      </c>
      <c r="E97" s="277"/>
      <c r="F97" s="277">
        <v>30</v>
      </c>
      <c r="G97" s="277"/>
      <c r="H97" s="277">
        <v>45</v>
      </c>
      <c r="I97" s="277"/>
      <c r="J97" s="952">
        <v>-2.75</v>
      </c>
      <c r="K97" s="3"/>
      <c r="L97" s="124" t="s">
        <v>124</v>
      </c>
      <c r="M97" s="125"/>
      <c r="N97" s="125"/>
      <c r="O97" s="125"/>
      <c r="P97" s="126"/>
      <c r="Q97" s="3"/>
      <c r="R97" s="3"/>
      <c r="S97" s="3"/>
      <c r="T97" s="3"/>
      <c r="U97" s="3"/>
      <c r="V97" s="3"/>
    </row>
    <row r="98" spans="1:22" ht="13">
      <c r="A98" s="3"/>
      <c r="B98" s="628"/>
      <c r="C98" s="628"/>
      <c r="D98" s="277">
        <v>2</v>
      </c>
      <c r="E98" s="277"/>
      <c r="F98" s="277">
        <v>30</v>
      </c>
      <c r="G98" s="277"/>
      <c r="H98" s="277">
        <v>90</v>
      </c>
      <c r="I98" s="277"/>
      <c r="J98" s="952">
        <v>-3.79</v>
      </c>
      <c r="K98" s="3"/>
      <c r="L98" s="3"/>
      <c r="M98" s="3"/>
      <c r="N98" s="3"/>
      <c r="O98" s="3"/>
      <c r="P98" s="3"/>
      <c r="Q98" s="3"/>
      <c r="R98" s="3"/>
      <c r="S98" s="3"/>
      <c r="T98" s="3"/>
      <c r="U98" s="3"/>
      <c r="V98" s="3"/>
    </row>
    <row r="99" spans="1:22">
      <c r="A99" s="3"/>
      <c r="B99" s="93"/>
      <c r="C99" s="93"/>
      <c r="D99" s="432"/>
      <c r="E99" s="432"/>
      <c r="F99" s="432"/>
      <c r="G99" s="432"/>
      <c r="H99" s="432"/>
      <c r="I99" s="432"/>
      <c r="J99" s="432"/>
      <c r="K99" s="3"/>
      <c r="L99" s="3"/>
      <c r="M99" s="3"/>
      <c r="N99" s="3"/>
      <c r="O99" s="3"/>
      <c r="P99" s="3"/>
      <c r="Q99" s="3"/>
      <c r="R99" s="3"/>
      <c r="S99" s="3"/>
      <c r="T99" s="3"/>
      <c r="U99" s="3"/>
      <c r="V99" s="3"/>
    </row>
    <row r="100" spans="1:22">
      <c r="A100" s="3"/>
      <c r="B100" s="3"/>
      <c r="C100" s="3"/>
      <c r="D100" s="81"/>
      <c r="E100" s="81"/>
      <c r="F100" s="81"/>
      <c r="G100" s="81"/>
      <c r="H100" s="81"/>
      <c r="I100" s="81"/>
      <c r="J100" s="81"/>
      <c r="K100" s="3"/>
      <c r="L100" s="3"/>
      <c r="M100" s="3"/>
      <c r="N100" s="3"/>
      <c r="O100" s="3"/>
      <c r="P100" s="3"/>
      <c r="Q100" s="3"/>
      <c r="R100" s="3"/>
      <c r="S100" s="3"/>
      <c r="T100" s="3"/>
      <c r="U100" s="3"/>
      <c r="V100" s="3"/>
    </row>
    <row r="101" spans="1:22" ht="13">
      <c r="A101" s="3"/>
      <c r="B101" s="230"/>
      <c r="C101" s="3"/>
      <c r="D101" s="81"/>
      <c r="E101" s="81"/>
      <c r="F101" s="81"/>
      <c r="G101" s="81"/>
      <c r="H101" s="81"/>
      <c r="I101" s="81"/>
      <c r="J101" s="81"/>
      <c r="K101" s="3"/>
      <c r="L101" s="3"/>
      <c r="M101" s="3"/>
      <c r="N101" s="3"/>
      <c r="O101" s="3"/>
      <c r="P101" s="3"/>
      <c r="Q101" s="3"/>
      <c r="R101" s="3"/>
      <c r="S101" s="3"/>
      <c r="T101" s="3"/>
      <c r="U101" s="3"/>
      <c r="V101" s="3"/>
    </row>
    <row r="102" spans="1:22" ht="13">
      <c r="A102" s="3"/>
      <c r="B102" s="230"/>
      <c r="C102" s="3"/>
      <c r="D102" s="81"/>
      <c r="E102" s="81"/>
      <c r="F102" s="81"/>
      <c r="G102" s="81"/>
      <c r="H102" s="81"/>
      <c r="I102" s="81"/>
      <c r="J102" s="81"/>
      <c r="K102" s="3"/>
      <c r="L102" s="3"/>
      <c r="M102" s="3"/>
      <c r="N102" s="3"/>
      <c r="O102" s="3"/>
      <c r="P102" s="3"/>
      <c r="Q102" s="3"/>
      <c r="R102" s="3"/>
      <c r="S102" s="3"/>
      <c r="T102" s="3"/>
      <c r="U102" s="3"/>
      <c r="V102" s="3"/>
    </row>
    <row r="103" spans="1:22">
      <c r="A103" s="3"/>
      <c r="B103" s="3"/>
      <c r="C103" s="3"/>
      <c r="D103" s="81"/>
      <c r="E103" s="81"/>
      <c r="F103" s="81"/>
      <c r="G103" s="81"/>
      <c r="H103" s="81"/>
      <c r="I103" s="81"/>
      <c r="J103" s="81"/>
      <c r="K103" s="3"/>
      <c r="L103" s="3"/>
      <c r="M103" s="3"/>
      <c r="N103" s="3"/>
      <c r="O103" s="3"/>
      <c r="P103" s="3"/>
      <c r="Q103" s="3"/>
      <c r="R103" s="3"/>
      <c r="S103" s="3"/>
      <c r="T103" s="3"/>
      <c r="U103" s="3"/>
      <c r="V103" s="3"/>
    </row>
    <row r="104" spans="1:22">
      <c r="A104" s="3"/>
      <c r="B104" s="3"/>
      <c r="C104" s="3"/>
      <c r="D104" s="81"/>
      <c r="E104" s="81"/>
      <c r="F104" s="81"/>
      <c r="G104" s="81"/>
      <c r="H104" s="81"/>
      <c r="I104" s="81"/>
      <c r="J104" s="81"/>
      <c r="K104" s="3"/>
      <c r="L104" s="3"/>
      <c r="M104" s="3"/>
      <c r="N104" s="3"/>
      <c r="O104" s="3"/>
      <c r="P104" s="3"/>
      <c r="Q104" s="3"/>
      <c r="R104" s="3"/>
      <c r="S104" s="3"/>
      <c r="T104" s="3"/>
      <c r="U104" s="3"/>
      <c r="V104" s="3"/>
    </row>
    <row r="105" spans="1:22">
      <c r="A105" s="3"/>
      <c r="B105" s="3"/>
      <c r="C105" s="3"/>
      <c r="D105" s="81"/>
      <c r="E105" s="81"/>
      <c r="F105" s="81"/>
      <c r="G105" s="81"/>
      <c r="H105" s="81"/>
      <c r="I105" s="81"/>
      <c r="J105" s="81"/>
      <c r="K105" s="3"/>
      <c r="L105" s="3"/>
      <c r="M105" s="3"/>
      <c r="N105" s="3"/>
      <c r="O105" s="3"/>
      <c r="P105" s="3"/>
      <c r="Q105" s="3"/>
      <c r="R105" s="3"/>
      <c r="S105" s="3"/>
      <c r="T105" s="3"/>
      <c r="U105" s="3"/>
      <c r="V105" s="3"/>
    </row>
    <row r="106" spans="1:22">
      <c r="A106" s="3"/>
      <c r="B106" s="3"/>
      <c r="C106" s="3"/>
      <c r="D106" s="81"/>
      <c r="E106" s="81"/>
      <c r="F106" s="81"/>
      <c r="G106" s="81"/>
      <c r="H106" s="81"/>
      <c r="I106" s="81"/>
      <c r="J106" s="81"/>
      <c r="K106" s="3"/>
      <c r="L106" s="3"/>
      <c r="M106" s="3"/>
      <c r="N106" s="3"/>
      <c r="O106" s="3"/>
      <c r="P106" s="3"/>
      <c r="Q106" s="3"/>
      <c r="R106" s="3"/>
      <c r="S106" s="3"/>
      <c r="T106" s="3"/>
      <c r="U106" s="3"/>
      <c r="V106" s="3"/>
    </row>
    <row r="107" spans="1:22">
      <c r="A107" s="3"/>
      <c r="B107" s="3"/>
      <c r="C107" s="3"/>
      <c r="D107" s="81"/>
      <c r="E107" s="81"/>
      <c r="F107" s="81"/>
      <c r="G107" s="81"/>
      <c r="H107" s="81"/>
      <c r="I107" s="81"/>
      <c r="J107" s="81"/>
      <c r="K107" s="3"/>
      <c r="L107" s="3"/>
      <c r="M107" s="3"/>
      <c r="N107" s="3"/>
      <c r="O107" s="3"/>
      <c r="P107" s="3"/>
      <c r="Q107" s="3"/>
      <c r="R107" s="3"/>
      <c r="S107" s="3"/>
      <c r="T107" s="3"/>
      <c r="U107" s="3"/>
      <c r="V107" s="3"/>
    </row>
    <row r="108" spans="1:22">
      <c r="A108" s="3"/>
      <c r="B108" s="3"/>
      <c r="C108" s="3"/>
      <c r="D108" s="81"/>
      <c r="E108" s="81"/>
      <c r="F108" s="81"/>
      <c r="G108" s="81"/>
      <c r="H108" s="81"/>
      <c r="I108" s="81"/>
      <c r="J108" s="81"/>
      <c r="K108" s="3"/>
      <c r="L108" s="3"/>
      <c r="M108" s="3"/>
      <c r="N108" s="3"/>
      <c r="O108" s="3"/>
      <c r="P108" s="3"/>
      <c r="Q108" s="3"/>
      <c r="R108" s="3"/>
      <c r="S108" s="3"/>
      <c r="T108" s="3"/>
      <c r="U108" s="3"/>
      <c r="V108" s="3"/>
    </row>
    <row r="109" spans="1:22">
      <c r="A109" s="3"/>
      <c r="B109" s="3"/>
      <c r="C109" s="3"/>
      <c r="D109" s="81"/>
      <c r="E109" s="81"/>
      <c r="F109" s="81"/>
      <c r="G109" s="81"/>
      <c r="H109" s="81"/>
      <c r="I109" s="81"/>
      <c r="J109" s="81"/>
      <c r="K109" s="3"/>
      <c r="L109" s="3"/>
      <c r="M109" s="3"/>
      <c r="N109" s="3"/>
      <c r="O109" s="3"/>
      <c r="P109" s="3"/>
      <c r="Q109" s="3"/>
      <c r="R109" s="3"/>
      <c r="S109" s="3"/>
      <c r="T109" s="3"/>
      <c r="U109" s="3"/>
      <c r="V109" s="3"/>
    </row>
    <row r="110" spans="1:22">
      <c r="A110" s="3"/>
      <c r="B110" s="3"/>
      <c r="C110" s="3"/>
      <c r="D110" s="81"/>
      <c r="E110" s="81"/>
      <c r="F110" s="81"/>
      <c r="G110" s="81"/>
      <c r="H110" s="81"/>
      <c r="I110" s="81"/>
      <c r="J110" s="81"/>
      <c r="K110" s="3"/>
      <c r="L110" s="3"/>
      <c r="M110" s="3"/>
      <c r="N110" s="3"/>
      <c r="O110" s="3"/>
      <c r="P110" s="3"/>
      <c r="Q110" s="3"/>
      <c r="R110" s="3"/>
      <c r="S110" s="3"/>
      <c r="T110" s="3"/>
      <c r="U110" s="3"/>
      <c r="V110" s="3"/>
    </row>
    <row r="111" spans="1:22">
      <c r="A111" s="3"/>
      <c r="B111" s="3"/>
      <c r="C111" s="3"/>
      <c r="D111" s="81"/>
      <c r="E111" s="81"/>
      <c r="F111" s="81"/>
      <c r="G111" s="81"/>
      <c r="H111" s="81"/>
      <c r="I111" s="81"/>
      <c r="J111" s="81"/>
      <c r="K111" s="3"/>
      <c r="L111" s="3"/>
      <c r="M111" s="3"/>
      <c r="N111" s="3"/>
      <c r="O111" s="3"/>
      <c r="P111" s="3"/>
      <c r="Q111" s="3"/>
      <c r="R111" s="3"/>
      <c r="S111" s="3"/>
      <c r="T111" s="3"/>
      <c r="U111" s="3"/>
      <c r="V111" s="3"/>
    </row>
    <row r="112" spans="1:22">
      <c r="A112" s="3"/>
      <c r="B112" s="3"/>
      <c r="C112" s="3"/>
      <c r="D112" s="81"/>
      <c r="E112" s="81"/>
      <c r="F112" s="81"/>
      <c r="G112" s="81"/>
      <c r="H112" s="81"/>
      <c r="I112" s="81"/>
      <c r="J112" s="81"/>
      <c r="K112" s="3"/>
      <c r="L112" s="3"/>
      <c r="M112" s="3"/>
      <c r="N112" s="3"/>
      <c r="O112" s="3"/>
      <c r="P112" s="3"/>
      <c r="Q112" s="3"/>
      <c r="R112" s="3"/>
      <c r="S112" s="3"/>
      <c r="T112" s="3"/>
      <c r="U112" s="3"/>
      <c r="V112" s="3"/>
    </row>
    <row r="113" spans="1:22">
      <c r="A113" s="3"/>
      <c r="B113" s="3"/>
      <c r="C113" s="3"/>
      <c r="D113" s="81"/>
      <c r="E113" s="81"/>
      <c r="F113" s="81"/>
      <c r="G113" s="81"/>
      <c r="H113" s="81"/>
      <c r="I113" s="81"/>
      <c r="J113" s="81"/>
      <c r="K113" s="3"/>
      <c r="L113" s="3"/>
      <c r="M113" s="3"/>
      <c r="N113" s="3"/>
      <c r="O113" s="3"/>
      <c r="P113" s="3"/>
      <c r="Q113" s="3"/>
      <c r="R113" s="3"/>
      <c r="S113" s="3"/>
      <c r="T113" s="3"/>
      <c r="U113" s="3"/>
      <c r="V113" s="3"/>
    </row>
    <row r="114" spans="1:22">
      <c r="A114" s="3"/>
      <c r="B114" s="3"/>
      <c r="C114" s="3"/>
      <c r="D114" s="81"/>
      <c r="E114" s="81"/>
      <c r="F114" s="81"/>
      <c r="G114" s="81"/>
      <c r="H114" s="81"/>
      <c r="I114" s="81"/>
      <c r="J114" s="81"/>
      <c r="K114" s="3"/>
      <c r="L114" s="3"/>
      <c r="M114" s="3"/>
      <c r="N114" s="3"/>
      <c r="O114" s="3"/>
      <c r="P114" s="3"/>
      <c r="Q114" s="3"/>
      <c r="R114" s="3"/>
      <c r="S114" s="3"/>
      <c r="T114" s="3"/>
      <c r="U114" s="3"/>
      <c r="V114" s="3"/>
    </row>
    <row r="115" spans="1:22">
      <c r="D115" s="20"/>
      <c r="E115" s="20"/>
      <c r="F115" s="20"/>
      <c r="G115" s="20"/>
      <c r="H115" s="20"/>
      <c r="I115" s="20"/>
      <c r="J115" s="20"/>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2006-10-22T18:34:31Z</cp:lastPrinted>
  <dcterms:created xsi:type="dcterms:W3CDTF">2003-03-25T04:05:57Z</dcterms:created>
  <dcterms:modified xsi:type="dcterms:W3CDTF">2019-02-01T21:53:18Z</dcterms:modified>
</cp:coreProperties>
</file>