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613559B2-7C51-4864-83AC-DB095AA17B5C}"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9" i="12" l="1"/>
  <c r="K81" i="12"/>
  <c r="H81" i="12"/>
  <c r="K63" i="12"/>
  <c r="J123" i="15"/>
  <c r="J53" i="15" l="1"/>
  <c r="I36" i="14"/>
  <c r="I78" i="14" l="1"/>
  <c r="G54" i="23" l="1"/>
  <c r="D109" i="23"/>
  <c r="L105" i="23"/>
  <c r="G97" i="23"/>
  <c r="G91" i="23"/>
  <c r="G89" i="23"/>
  <c r="O88" i="23"/>
  <c r="G87" i="23"/>
  <c r="G78" i="23"/>
  <c r="G77" i="23"/>
  <c r="O71" i="23"/>
  <c r="O69" i="23"/>
  <c r="G67" i="23"/>
  <c r="B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X142" i="15"/>
  <c r="Y62" i="15"/>
  <c r="J126" i="15"/>
  <c r="T135" i="15"/>
  <c r="Z144" i="15"/>
  <c r="X141" i="15"/>
  <c r="Y141" i="15" s="1"/>
  <c r="Z62" i="15"/>
  <c r="AA62" i="15" s="1"/>
  <c r="W63" i="15"/>
  <c r="Y63" i="15" s="1"/>
  <c r="Y66" i="15"/>
  <c r="W64" i="15"/>
  <c r="W65" i="15" s="1"/>
  <c r="W66" i="15" s="1"/>
  <c r="W67" i="15" s="1"/>
  <c r="Z65" i="15"/>
  <c r="Z64" i="15"/>
  <c r="X65" i="15"/>
  <c r="Y65" i="15" s="1"/>
  <c r="X69" i="15"/>
  <c r="I60" i="14"/>
  <c r="Z142" i="15" l="1"/>
  <c r="AA142" i="15" s="1"/>
  <c r="Y142" i="15"/>
  <c r="Y146" i="15"/>
  <c r="Y148" i="15"/>
  <c r="Z147" i="15"/>
  <c r="Z143" i="15"/>
  <c r="Y143" i="15"/>
  <c r="Z146" i="15"/>
  <c r="Y147" i="15"/>
  <c r="Z145" i="15"/>
  <c r="Y145" i="15"/>
  <c r="Z148" i="15"/>
  <c r="Y144" i="15"/>
  <c r="Y149" i="15"/>
  <c r="J128" i="15"/>
  <c r="J149" i="15" s="1"/>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N10" i="23" l="1"/>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N45" i="23" s="1"/>
  <c r="J55" i="15"/>
  <c r="G51" i="23" s="1"/>
  <c r="F55" i="9" l="1"/>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<sst xmlns="http://schemas.openxmlformats.org/spreadsheetml/2006/main" count="2752" uniqueCount="1064">
  <si>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</si>
  <si>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</si>
  <si>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</si>
  <si>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</si>
  <si>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</si>
  <si>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</si>
  <si>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</si>
  <si>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</si>
  <si>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</si>
  <si>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</si>
  <si>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</si>
  <si>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</si>
  <si>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</si>
  <si>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</si>
  <si>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</si>
  <si>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</si>
  <si>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</si>
  <si>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</si>
  <si>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</si>
  <si>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</si>
  <si>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</si>
  <si>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</si>
  <si>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</si>
  <si>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</si>
  <si>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</si>
  <si>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</si>
  <si>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</si>
  <si>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</si>
  <si>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</si>
  <si>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</si>
  <si>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</si>
  <si>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</si>
  <si>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</si>
  <si>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</si>
  <si>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</si>
  <si>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</si>
  <si>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</si>
  <si>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</si>
  <si>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</si>
  <si>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</si>
  <si>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</si>
  <si>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</si>
  <si>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</si>
  <si>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</si>
  <si>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</si>
  <si>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</si>
  <si>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</si>
  <si>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</si>
  <si>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</si>
  <si>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</si>
  <si>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</si>
  <si>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</si>
  <si>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</si>
  <si>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</si>
  <si>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</si>
  <si>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</si>
  <si>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</si>
  <si>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</si>
  <si>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</si>
  <si>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</si>
  <si>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</si>
  <si>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</si>
  <si>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</si>
  <si>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</si>
  <si>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</si>
  <si>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</si>
  <si>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</si>
  <si>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</si>
  <si>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</si>
  <si>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</si>
  <si>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</si>
  <si>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</si>
  <si>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</si>
  <si>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</si>
  <si>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</si>
  <si>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</si>
  <si>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</si>
  <si>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</si>
  <si>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</si>
  <si>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</si>
  <si>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</si>
  <si>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</si>
  <si>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</si>
  <si>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</si>
  <si>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</si>
  <si>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</si>
  <si>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</si>
  <si>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</si>
  <si>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</si>
  <si>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</si>
  <si>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</si>
  <si>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</si>
  <si>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</si>
  <si>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</si>
  <si>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</si>
  <si>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</si>
  <si>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</si>
  <si>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</si>
  <si>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</si>
  <si>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</si>
  <si>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</si>
  <si>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</si>
  <si>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</si>
  <si>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</si>
  <si>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</si>
  <si>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</si>
  <si>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</si>
  <si>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</si>
  <si>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</si>
  <si>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</si>
  <si>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</si>
  <si>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</si>
  <si>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</si>
  <si>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</si>
  <si>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</si>
  <si>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</si>
  <si>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</si>
  <si>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</si>
  <si>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</si>
  <si>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</si>
  <si>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</si>
  <si>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</si>
  <si>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</si>
  <si>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</si>
  <si>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</si>
  <si>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</si>
  <si>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</si>
  <si>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</si>
  <si>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</si>
  <si>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</si>
  <si>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</si>
  <si>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</si>
  <si>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</si>
  <si>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</si>
  <si>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</si>
  <si>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</si>
  <si>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</si>
  <si>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</si>
  <si>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</si>
  <si>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</si>
  <si>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</si>
  <si>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</si>
  <si>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</si>
  <si>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</si>
  <si>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</si>
  <si>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</si>
  <si>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</si>
  <si>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</si>
  <si>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</si>
  <si>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</si>
  <si>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</si>
  <si>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</si>
  <si>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</si>
  <si>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</si>
  <si>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</si>
  <si>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</si>
  <si>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</si>
  <si>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</si>
  <si>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</si>
  <si>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</si>
  <si>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</si>
  <si>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</si>
  <si>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</si>
  <si>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</si>
  <si>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</si>
  <si>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</si>
  <si>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</si>
  <si>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</si>
  <si>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</si>
  <si>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</si>
  <si>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</si>
  <si>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</si>
  <si>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</si>
  <si>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</si>
  <si>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</si>
  <si>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</si>
  <si>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</si>
  <si>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</si>
  <si>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</si>
  <si>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</si>
  <si>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</si>
  <si>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</si>
  <si>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</si>
  <si>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</si>
  <si>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</si>
  <si>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</si>
  <si>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</si>
  <si>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</si>
  <si>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</si>
  <si>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</si>
  <si>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</si>
  <si>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</si>
  <si>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</si>
  <si>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</si>
  <si>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</si>
  <si>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</si>
  <si>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</si>
  <si>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</si>
  <si>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</si>
  <si>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</si>
  <si>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</si>
  <si>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</si>
  <si>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</si>
  <si>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</si>
  <si>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</si>
  <si>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</si>
  <si>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</si>
  <si>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</si>
  <si>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</si>
  <si>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</si>
  <si>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</si>
  <si>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</si>
  <si>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</si>
  <si>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</si>
  <si>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</si>
  <si>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</si>
  <si>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</si>
  <si>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</si>
  <si>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</si>
  <si>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</si>
  <si>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</si>
  <si>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</si>
  <si>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</si>
  <si>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</si>
  <si>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</si>
  <si>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</si>
  <si>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</si>
  <si>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</si>
  <si>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</si>
  <si>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</si>
  <si>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</si>
  <si>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</si>
  <si>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</si>
  <si>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</si>
  <si>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</si>
  <si>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</si>
  <si>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</si>
  <si>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</si>
  <si>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</si>
  <si>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</si>
  <si>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</si>
  <si>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</si>
  <si>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</si>
  <si>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</si>
  <si>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</si>
  <si>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</si>
  <si>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</si>
  <si>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</si>
  <si>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</si>
  <si>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</si>
  <si>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</si>
  <si>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</si>
  <si>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</si>
  <si>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</si>
  <si>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</si>
  <si>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</si>
  <si>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</si>
  <si>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</si>
  <si>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</si>
  <si>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</si>
  <si>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</si>
  <si>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</si>
  <si>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</si>
  <si>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</si>
  <si>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</si>
  <si>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</si>
  <si>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</si>
  <si>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</si>
  <si>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</si>
  <si>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</si>
  <si>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</si>
  <si>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</si>
  <si>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</si>
  <si>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</si>
  <si>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</si>
  <si>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</si>
  <si>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</si>
  <si>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</si>
  <si>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</si>
  <si>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</si>
  <si>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</si>
  <si>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</si>
  <si>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</si>
  <si>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</si>
  <si>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</si>
  <si>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</si>
  <si>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</si>
  <si>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</si>
  <si>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</si>
  <si>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</si>
  <si>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</si>
  <si>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</si>
  <si>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</si>
  <si>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</si>
  <si>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</si>
  <si>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</si>
  <si>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</si>
  <si>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</si>
  <si>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</si>
  <si>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</si>
  <si>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</si>
  <si>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</si>
  <si>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</si>
  <si>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</si>
  <si>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</si>
  <si>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</si>
  <si>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</si>
  <si>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</si>
  <si>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</si>
  <si>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</si>
  <si>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</si>
  <si>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</si>
  <si>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</si>
  <si>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</si>
  <si>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</si>
  <si>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</si>
  <si>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</si>
  <si>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</si>
  <si>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</si>
  <si>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</si>
  <si>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</si>
  <si>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</si>
  <si>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</si>
  <si>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</si>
  <si>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</si>
  <si>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</si>
  <si>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</si>
  <si>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</si>
  <si>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</si>
  <si>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</si>
  <si>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</si>
  <si>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</si>
  <si>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</si>
  <si>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</si>
  <si>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</si>
  <si>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</si>
  <si>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</si>
  <si>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</si>
  <si>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</si>
  <si>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</si>
  <si>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</si>
  <si>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</si>
  <si>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</si>
  <si>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</si>
  <si>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</si>
  <si>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</si>
  <si>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</si>
  <si>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</si>
  <si>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</si>
  <si>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</si>
  <si>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</si>
  <si>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</si>
  <si>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</si>
  <si>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</si>
  <si>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</si>
  <si>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</si>
  <si>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</si>
  <si>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</si>
  <si>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</si>
  <si>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</si>
  <si>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</si>
  <si>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</si>
  <si>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</si>
  <si>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</si>
  <si>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</si>
  <si>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</si>
  <si>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</si>
  <si>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</si>
  <si>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</si>
  <si>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</si>
  <si>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</si>
  <si>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</si>
  <si>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</si>
  <si>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</si>
  <si>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</si>
  <si>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</si>
  <si>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</si>
  <si>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</si>
  <si>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</si>
  <si>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</si>
  <si>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</si>
  <si>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</si>
  <si>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</si>
  <si>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</si>
  <si>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</si>
  <si>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</si>
  <si>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</si>
  <si>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</si>
  <si>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</si>
  <si>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</si>
  <si>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</si>
  <si>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</si>
  <si>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</si>
  <si>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</si>
  <si>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</si>
  <si>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</si>
  <si>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</si>
  <si>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</si>
  <si>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</si>
  <si>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</si>
  <si>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</si>
  <si>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</si>
  <si>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</si>
  <si>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</si>
  <si>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</si>
  <si>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</si>
  <si>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</si>
  <si>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</si>
  <si>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</si>
  <si>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</si>
  <si>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</si>
  <si>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</si>
  <si>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</si>
  <si>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</si>
  <si>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</si>
  <si>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</si>
  <si>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</si>
  <si>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</si>
  <si>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</si>
  <si>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</si>
  <si>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</si>
  <si>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</si>
  <si>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</si>
  <si>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</si>
  <si>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</si>
  <si>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</si>
  <si>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</si>
  <si>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</si>
  <si>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</si>
  <si>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</si>
  <si>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</si>
  <si>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</si>
  <si>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</si>
  <si>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</si>
  <si>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</si>
  <si>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</si>
  <si>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</si>
  <si>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</si>
  <si>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</si>
  <si>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</si>
  <si>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</si>
  <si>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</si>
  <si>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</si>
  <si>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</si>
  <si>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</si>
  <si>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</si>
  <si>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</si>
  <si>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</si>
  <si>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</si>
  <si>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</si>
  <si>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</si>
  <si>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</si>
  <si>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</si>
  <si>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</si>
  <si>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</si>
  <si>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</si>
  <si>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</si>
  <si>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</si>
  <si>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</si>
  <si>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</si>
  <si>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</si>
  <si>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</si>
  <si>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</si>
  <si>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</si>
  <si>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</si>
  <si>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</si>
  <si>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</si>
  <si>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</si>
  <si>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</si>
  <si>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</si>
  <si>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</si>
  <si>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</si>
  <si>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</si>
  <si>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</si>
  <si>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</si>
  <si>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</si>
  <si>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</si>
  <si>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</si>
  <si>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</si>
  <si>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</si>
  <si>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</si>
  <si>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</si>
  <si>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</si>
  <si>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</si>
  <si>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</si>
  <si>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</si>
  <si>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</si>
  <si>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</si>
  <si>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</si>
  <si>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</si>
  <si>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</si>
  <si>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</si>
  <si>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</si>
  <si>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</si>
  <si>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</si>
  <si>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</si>
  <si>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</si>
  <si>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</si>
  <si>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</si>
  <si>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</si>
  <si>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</si>
  <si>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</si>
  <si>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</si>
  <si>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</si>
  <si>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</si>
  <si>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</si>
  <si>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</si>
  <si>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</si>
  <si>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</si>
  <si>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</si>
  <si>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</si>
  <si>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</si>
  <si>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</si>
  <si>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</si>
  <si>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</si>
  <si>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</si>
  <si>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</si>
  <si>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</si>
  <si>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</si>
  <si>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</si>
  <si>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</si>
  <si>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</si>
  <si>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</si>
  <si>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</si>
  <si>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</si>
  <si>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</si>
  <si>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</si>
  <si>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</si>
  <si>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</si>
  <si>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</si>
  <si>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</si>
  <si>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</si>
  <si>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</si>
  <si>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</si>
  <si>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</si>
  <si>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</si>
  <si>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</si>
  <si>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</si>
  <si>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</si>
  <si>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</si>
  <si>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</si>
  <si>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</si>
  <si>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</si>
  <si>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</si>
  <si>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</si>
  <si>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</si>
  <si>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</si>
  <si>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</si>
  <si>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</si>
  <si>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</si>
  <si>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</si>
  <si>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</si>
  <si>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</si>
  <si>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</si>
  <si>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</si>
  <si>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</si>
  <si>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</si>
  <si>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</si>
  <si>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</si>
  <si>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</si>
  <si>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</si>
  <si>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</si>
  <si>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</si>
  <si>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</si>
  <si>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</si>
  <si>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</si>
  <si>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</si>
  <si>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</si>
  <si>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</si>
  <si>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</si>
  <si>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</si>
  <si>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</si>
  <si>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</si>
  <si>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</si>
  <si>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</si>
  <si>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</si>
  <si>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</si>
  <si>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</si>
  <si>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</si>
  <si>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</si>
  <si>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</si>
  <si>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</si>
  <si>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</si>
  <si>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</si>
  <si>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</si>
  <si>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</si>
  <si>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</si>
  <si>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</si>
  <si>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</si>
  <si>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</si>
  <si>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</si>
  <si>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</si>
  <si>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</si>
  <si>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</si>
  <si>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</si>
  <si>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</si>
  <si>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</si>
  <si>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</si>
  <si>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</si>
  <si>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</si>
  <si>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</si>
  <si>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</si>
  <si>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</si>
  <si>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</si>
  <si>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</si>
  <si>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</si>
  <si>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</si>
  <si>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</si>
  <si>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</si>
  <si>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</si>
  <si>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</si>
  <si>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</si>
  <si>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</si>
  <si>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</si>
  <si>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</si>
  <si>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</si>
  <si>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</si>
  <si>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</si>
  <si>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</si>
  <si>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</si>
  <si>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</si>
  <si>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</si>
  <si>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</si>
  <si>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</si>
  <si>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</si>
  <si>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</si>
  <si>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</si>
  <si>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</si>
  <si>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</si>
  <si>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</si>
  <si>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</si>
  <si>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</si>
  <si>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</si>
  <si>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</si>
  <si>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</si>
  <si>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</si>
  <si>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</si>
  <si>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</si>
  <si>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</si>
  <si>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</si>
  <si>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</si>
  <si>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</si>
  <si>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</si>
  <si>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</si>
  <si>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</si>
  <si>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</si>
  <si>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</si>
  <si>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</si>
  <si>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</si>
  <si>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</si>
  <si>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</si>
  <si>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</si>
  <si>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</si>
  <si>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</si>
  <si>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</si>
  <si>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</si>
  <si>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</si>
  <si>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</si>
  <si>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</si>
  <si>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</si>
  <si>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</si>
  <si>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</si>
  <si>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</si>
  <si>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</si>
  <si>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</si>
  <si>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</si>
  <si>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</si>
  <si>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</si>
  <si>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</si>
  <si>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</si>
  <si>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</si>
  <si>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</si>
  <si>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</si>
  <si>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</si>
  <si>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</si>
  <si>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</si>
  <si>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</si>
  <si>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</si>
  <si>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</si>
  <si>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</si>
  <si>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</si>
  <si>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</si>
  <si>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</si>
  <si>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</si>
  <si>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</si>
  <si>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</si>
  <si>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</si>
  <si>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</si>
  <si>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</si>
  <si>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</si>
  <si>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</si>
  <si>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</si>
  <si>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</si>
  <si>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</si>
  <si>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</si>
  <si>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</si>
  <si>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</si>
  <si>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</si>
  <si>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</si>
  <si>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</si>
  <si>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</si>
  <si>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</si>
  <si>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</si>
  <si>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</si>
  <si>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</si>
  <si>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</si>
  <si>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</si>
  <si>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</si>
  <si>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</si>
  <si>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</si>
  <si>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</si>
  <si>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</si>
  <si>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</si>
  <si>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</si>
  <si>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</si>
  <si>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</si>
  <si>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</si>
  <si>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</si>
  <si>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</si>
  <si>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</si>
  <si>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</si>
  <si>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</si>
  <si>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</si>
  <si>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</si>
  <si>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</si>
  <si>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</si>
  <si>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</si>
  <si>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</si>
  <si>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</si>
  <si>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</si>
  <si>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</si>
  <si>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</si>
  <si>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</si>
  <si>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</si>
  <si>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</si>
  <si>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</si>
  <si>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</si>
  <si>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</si>
  <si>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</si>
  <si>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</si>
  <si>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</si>
  <si>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</si>
  <si>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</si>
  <si>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</si>
  <si>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</si>
  <si>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</si>
  <si>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</si>
  <si>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</si>
  <si>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</si>
  <si>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</si>
  <si>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</si>
  <si>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</si>
  <si>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</si>
  <si>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</si>
  <si>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</si>
  <si>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</si>
  <si>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</si>
  <si>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</si>
  <si>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</si>
  <si>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</si>
  <si>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</si>
  <si>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</si>
  <si>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</si>
  <si>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</si>
  <si>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</si>
  <si>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</si>
  <si>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</si>
  <si>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</si>
  <si>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</si>
  <si>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</si>
  <si>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</si>
  <si>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</si>
  <si>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</si>
  <si>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</si>
  <si>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</si>
  <si>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</si>
  <si>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</si>
  <si>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</si>
  <si>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</si>
  <si>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</si>
  <si>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</si>
  <si>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</si>
  <si>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</si>
  <si>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</si>
  <si>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</si>
  <si>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</si>
  <si>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</si>
  <si>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</si>
  <si>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</si>
  <si>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</si>
  <si>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</si>
  <si>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</si>
  <si>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</si>
  <si>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</si>
  <si>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</si>
  <si>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</si>
  <si>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</si>
  <si>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</si>
  <si>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</si>
  <si>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</si>
  <si>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</si>
  <si>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</si>
  <si>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</si>
  <si>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</si>
  <si>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</si>
  <si>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</si>
  <si>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</si>
  <si>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</si>
  <si>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</si>
  <si>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</si>
  <si>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</si>
  <si>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</si>
  <si>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</si>
  <si>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</si>
  <si>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</si>
  <si>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</si>
  <si>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</si>
  <si>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</si>
  <si>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</si>
  <si>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</si>
  <si>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</si>
  <si>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</si>
  <si>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</si>
  <si>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</si>
  <si>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</si>
  <si>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</si>
  <si>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</si>
  <si>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</si>
  <si>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</si>
  <si>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</si>
  <si>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</si>
  <si>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</si>
  <si>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</si>
  <si>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</si>
  <si>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</si>
  <si>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</si>
  <si>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</si>
  <si>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</si>
  <si>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</si>
  <si>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</si>
  <si>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</si>
  <si>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</si>
  <si>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</si>
  <si>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</si>
  <si>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</si>
  <si>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</si>
  <si>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</si>
  <si>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</si>
  <si>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</si>
  <si>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</si>
  <si>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</si>
  <si>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</si>
  <si>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</si>
  <si>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</si>
  <si>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</si>
  <si>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</si>
  <si>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</si>
  <si>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</si>
  <si>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</si>
  <si>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</si>
  <si>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</si>
  <si>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</si>
  <si>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</si>
  <si>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</si>
  <si>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</si>
  <si>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</si>
  <si>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</si>
  <si>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</si>
  <si>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</si>
  <si>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</si>
  <si>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</si>
  <si>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</si>
  <si>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</si>
  <si>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</si>
  <si>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</si>
  <si>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</si>
  <si>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</si>
  <si>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</si>
  <si>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</si>
  <si>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</si>
  <si>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</si>
  <si>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</si>
  <si>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</si>
  <si>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</si>
  <si>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</si>
  <si>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</si>
  <si>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</si>
  <si>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</si>
  <si>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</si>
  <si>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</si>
  <si>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</si>
  <si>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</si>
  <si>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</si>
  <si>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</si>
  <si>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</si>
  <si>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</si>
  <si>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</si>
  <si>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</si>
  <si>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</si>
  <si>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</si>
  <si>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</si>
  <si>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</si>
  <si>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</si>
  <si>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</si>
  <si>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</si>
  <si>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</si>
  <si>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</si>
  <si>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</si>
  <si>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</si>
  <si>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</si>
  <si>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</si>
  <si>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</si>
  <si>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</si>
  <si>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</si>
  <si>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</si>
  <si>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</si>
  <si>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</si>
  <si>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</si>
  <si>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</si>
  <si>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</si>
  <si>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</si>
  <si>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</si>
  <si>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</si>
  <si>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</si>
  <si>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</si>
  <si>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</si>
  <si>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</si>
  <si>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</si>
  <si>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</si>
  <si>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</si>
  <si>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</si>
  <si>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</si>
  <si>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</si>
  <si>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</si>
  <si>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</si>
  <si>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</si>
  <si>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</si>
  <si>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</si>
  <si>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</si>
  <si>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</si>
  <si>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</si>
  <si>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</si>
  <si>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</si>
  <si>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</si>
  <si>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</si>
  <si>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</si>
  <si>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</si>
  <si>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</si>
  <si>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</si>
  <si>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</si>
  <si>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</si>
  <si>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</si>
  <si>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</si>
  <si>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</si>
  <si>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</si>
  <si>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</si>
  <si>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</si>
  <si>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</si>
  <si>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</si>
  <si>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</si>
  <si>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</si>
  <si>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</si>
  <si>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</si>
  <si>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</si>
  <si>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</si>
  <si>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</si>
  <si>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</si>
  <si>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</si>
  <si>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</si>
  <si>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</si>
  <si>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</si>
  <si>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</si>
  <si>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</si>
  <si>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</si>
  <si>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</si>
  <si>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</si>
  <si>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</si>
  <si>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</si>
  <si>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</si>
  <si>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</si>
  <si>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</si>
  <si>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</si>
  <si>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</si>
  <si>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</si>
  <si>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</si>
  <si>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</si>
  <si>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</si>
  <si>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</si>
  <si>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</si>
  <si>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</si>
  <si>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</si>
  <si>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</si>
  <si>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</si>
  <si>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</si>
  <si>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</si>
  <si>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</si>
  <si>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</si>
  <si>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</si>
  <si>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</si>
  <si>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</si>
  <si>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</si>
  <si>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</si>
  <si>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</si>
  <si>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</si>
  <si>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</si>
  <si>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</si>
  <si>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</si>
  <si>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</si>
  <si>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</si>
  <si>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</si>
  <si>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</si>
  <si>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</si>
  <si>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</si>
  <si>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</si>
  <si>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</si>
  <si>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</si>
  <si>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</si>
  <si>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</si>
  <si>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</si>
  <si>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</si>
  <si>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</si>
  <si>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</si>
  <si>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</si>
  <si>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</si>
  <si>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</si>
  <si>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</si>
  <si>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</si>
  <si>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</si>
  <si>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</si>
  <si>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</si>
  <si>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</si>
  <si>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</si>
  <si>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</si>
  <si>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</si>
  <si>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</si>
  <si>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</si>
  <si>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</si>
  <si>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</si>
  <si>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</si>
  <si>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</si>
  <si>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</si>
  <si>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</si>
  <si>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</si>
  <si>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</si>
  <si>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</si>
  <si>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</si>
  <si>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</si>
  <si>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</si>
  <si>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</si>
  <si>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</si>
  <si>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</si>
  <si>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</si>
  <si>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</si>
  <si>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</si>
  <si>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</si>
  <si>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</si>
  <si>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</si>
  <si>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</si>
  <si>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Switch (QPC 1022)</t>
  </si>
  <si>
    <t>5W Max</t>
  </si>
  <si>
    <t>OreSat Quad Helix</t>
  </si>
  <si>
    <t>S Band 802.11 Mission Data Uplink (UniClOGS) &amp; Downlink (Handheld)</t>
  </si>
  <si>
    <t>2019 May 28</t>
  </si>
  <si>
    <t>Atheros AR9271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</si>
</sst>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7</xdr:col>
      <xdr:colOff>497226</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320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208878</xdr:colOff>
      <xdr:row>84</xdr:row>
      <xdr:rowOff>53394</xdr:rowOff>
    </xdr:from>
    <xdr:to>
      <xdr:col>8</xdr:col>
      <xdr:colOff>259290</xdr:colOff>
      <xdr:row>87</xdr:row>
      <xdr:rowOff>88321</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532651" y="13879076"/>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0" t="s">
        <v>932</v>
      </c>
      <c r="H1" s="1051"/>
      <c r="I1" s="1047" t="s">
        <v>951</v>
      </c>
      <c r="J1" s="1048"/>
      <c r="K1" s="1048"/>
      <c r="L1" s="1048"/>
      <c r="M1" s="1049"/>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1061</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1001</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1062</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1014</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D21" sqref="D21"/>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May 28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60</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2">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2">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48" sqref="E48"/>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May 28</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12</v>
      </c>
      <c r="F3" s="652" t="str">
        <f>INDEX(C6:C24,E3,1)</f>
        <v>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10.1</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966</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966</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967</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967</v>
      </c>
      <c r="D24" s="69" t="s">
        <v>852</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0.5</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12</v>
      </c>
      <c r="F31" s="652" t="str">
        <f>INDEX(C34:C53,E31,1)</f>
        <v>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10.1</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966</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966</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967</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967</v>
      </c>
      <c r="D53" s="69" t="s">
        <v>852</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0.5</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May 28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5</v>
      </c>
      <c r="C6" s="91" t="s">
        <v>780</v>
      </c>
      <c r="D6" s="419" t="s">
        <v>384</v>
      </c>
      <c r="E6" s="419"/>
      <c r="F6" s="419"/>
      <c r="G6" s="419"/>
      <c r="H6" s="419"/>
      <c r="I6" s="419"/>
      <c r="J6" s="420" t="s">
        <v>413</v>
      </c>
      <c r="K6" s="411"/>
      <c r="L6" s="410"/>
      <c r="M6" s="91"/>
      <c r="N6" s="91"/>
      <c r="O6" s="91"/>
      <c r="P6" s="91"/>
      <c r="Q6" s="91"/>
      <c r="R6" s="91"/>
    </row>
    <row r="7" spans="1:18">
      <c r="A7" s="424" t="s">
        <v>786</v>
      </c>
      <c r="B7" s="132">
        <f>10*LOG10(B6)</f>
        <v>6.9897000433601884</v>
      </c>
      <c r="C7" s="91" t="s">
        <v>781</v>
      </c>
      <c r="D7" s="419" t="s">
        <v>375</v>
      </c>
      <c r="E7" s="419"/>
      <c r="F7" s="419"/>
      <c r="G7" s="419"/>
      <c r="H7" s="419"/>
      <c r="I7" s="419"/>
      <c r="J7" s="91"/>
      <c r="K7" s="91"/>
      <c r="L7" s="91"/>
      <c r="M7" s="91"/>
      <c r="N7" s="91"/>
      <c r="O7" s="91"/>
      <c r="P7" s="91"/>
      <c r="Q7" s="91"/>
      <c r="R7" s="91"/>
    </row>
    <row r="8" spans="1:18">
      <c r="A8" s="424" t="s">
        <v>787</v>
      </c>
      <c r="B8" s="347">
        <f>B7+30</f>
        <v>36.989700043360187</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28.949700043360188</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153.47076228927926</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-125.69152192386019</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2</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3.47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287.88563793404467</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-26.06219999294283</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76.846278083196978</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16.846278083196978</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1.0000000000000001E-5</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0.5</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9.6</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10.1</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6.7462780831969784</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2</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3.47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287.88563793404467</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-26.06219999294283</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-127.16152192386019</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-130.5835731988351</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3.4220512749749048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10.1</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-6.6779487250250948</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May 28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v>
      </c>
      <c r="C6" s="91" t="s">
        <v>780</v>
      </c>
      <c r="D6" s="419" t="s">
        <v>383</v>
      </c>
      <c r="E6" s="419"/>
      <c r="F6" s="419"/>
      <c r="G6" s="419"/>
      <c r="H6" s="419"/>
      <c r="I6" s="419"/>
      <c r="J6" s="419"/>
      <c r="K6" s="91"/>
      <c r="L6" s="420" t="s">
        <v>379</v>
      </c>
      <c r="M6" s="411"/>
      <c r="N6" s="411"/>
      <c r="O6" s="411"/>
      <c r="P6" s="411"/>
      <c r="Q6" s="410"/>
      <c r="R6" s="91"/>
    </row>
    <row r="7" spans="1:18">
      <c r="A7" s="424" t="s">
        <v>786</v>
      </c>
      <c r="B7" s="132">
        <f>10*LOG10(B6)</f>
        <v>0</v>
      </c>
      <c r="C7" s="91" t="s">
        <v>781</v>
      </c>
      <c r="D7" s="419" t="s">
        <v>375</v>
      </c>
      <c r="E7" s="419"/>
      <c r="F7" s="419"/>
      <c r="G7" s="419"/>
      <c r="H7" s="419"/>
      <c r="I7" s="419"/>
      <c r="J7" s="419"/>
      <c r="K7" s="91"/>
      <c r="L7" s="91"/>
      <c r="M7" s="91"/>
      <c r="N7" s="91"/>
      <c r="O7" s="91"/>
      <c r="P7" s="91"/>
      <c r="Q7" s="91"/>
      <c r="R7" s="91"/>
    </row>
    <row r="8" spans="1:18">
      <c r="A8" s="424" t="s">
        <v>787</v>
      </c>
      <c r="B8" s="347">
        <f>B7+30</f>
        <v>30</v>
      </c>
      <c r="C8" s="91" t="s">
        <v>782</v>
      </c>
      <c r="D8" s="419" t="s">
        <v>376</v>
      </c>
      <c r="E8" s="419"/>
      <c r="F8" s="419"/>
      <c r="G8" s="419"/>
      <c r="H8" s="419"/>
      <c r="I8" s="419"/>
      <c r="J8" s="419"/>
      <c r="K8" s="91"/>
      <c r="L8" s="91"/>
      <c r="M8" s="91"/>
      <c r="N8" s="91"/>
      <c r="O8" s="91"/>
      <c r="P8" s="91"/>
      <c r="Q8" s="91"/>
      <c r="R8" s="91"/>
    </row>
    <row r="9" spans="1:18">
      <c r="A9" s="91" t="s">
        <v>276</v>
      </c>
      <c r="B9" s="428">
        <f>Transmitters!I85</f>
        <v>1.3444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10.6556</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153.47076228927926</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-143.27260019687699</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0.41902802902494984</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18</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0.15</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548.56408261749721</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-9.5422736865006463</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75.366098087597393</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15.366098087597393</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1.0000000000000001E-5</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0.5</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9.6</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10.1</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5.2660980875973937</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0.41902802902494984</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18</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0.15</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548.56408261749721</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-9.5422736865006463</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-125.84162822590194</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-127.78349950527726</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1.9418712793753201</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10.1</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-8.1581287206246795</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O111" sqref="O111"/>
    </sheetView>
  </sheetViews>
  <sheetFormatPr defaultColWidth="8.81640625" defaultRowHeight="12.5"/>
  <cols>
    <col min="1" max="1" width="12.54296875" style="977" customWidth="1"/>
    <col min="2" max="2" width="8.81640625" style="977"/>
    <col min="3" max="3" width="9.453125" style="977" customWidth="1"/>
    <col min="4" max="4" width="12.36328125" style="977" bestFit="1" customWidth="1"/>
    <col min="5" max="5" width="10.1796875" style="977" customWidth="1"/>
    <col min="6" max="6" width="12.453125" style="977" customWidth="1"/>
    <col min="7" max="7" width="14.26953125" style="977" bestFit="1" customWidth="1"/>
    <col min="8" max="8" width="3.54296875" style="977" customWidth="1"/>
    <col min="9" max="9" width="3.81640625" style="977" customWidth="1"/>
    <col min="10" max="10" width="9.453125" style="977" customWidth="1"/>
    <col min="11" max="11" width="10.453125" style="977" customWidth="1"/>
    <col min="12" max="12" width="12.36328125" style="977" bestFit="1" customWidth="1"/>
    <col min="13" max="13" width="10.453125" style="977" customWidth="1"/>
    <col min="14" max="14" width="12.1796875" style="977" customWidth="1"/>
    <col min="15" max="15" width="12.453125" style="977" bestFit="1" customWidth="1"/>
    <col min="16" max="16384" width="8.81640625" style="977"/>
  </cols>
  <sheetData>
    <row r="1" spans="1:17" ht="18.5" thickBot="1">
      <c r="A1" s="972" t="s">
        <v>415</v>
      </c>
      <c r="B1" s="973"/>
      <c r="C1" s="973"/>
      <c r="D1" s="973"/>
      <c r="E1" s="973"/>
      <c r="F1" s="973"/>
      <c r="G1" s="974" t="str">
        <f>'Title Page'!F3</f>
        <v>OreSat - CS0</v>
      </c>
      <c r="H1" s="973"/>
      <c r="I1" s="975"/>
      <c r="J1" s="975"/>
      <c r="K1" s="975"/>
      <c r="L1" s="976" t="str">
        <f>'Title Page'!F23</f>
        <v>2019 May 28</v>
      </c>
      <c r="M1" s="975"/>
      <c r="N1" s="975"/>
      <c r="O1" s="975"/>
      <c r="P1" s="975"/>
      <c r="Q1" s="975"/>
    </row>
    <row r="2" spans="1:17" ht="13">
      <c r="A2" s="978"/>
      <c r="B2" s="1068" t="s">
        <v>1002</v>
      </c>
      <c r="C2" s="1068"/>
      <c r="D2" s="979"/>
      <c r="E2" s="979"/>
      <c r="F2" s="979"/>
      <c r="G2" s="979" t="s">
        <v>714</v>
      </c>
      <c r="H2" s="980"/>
      <c r="I2" s="981"/>
      <c r="J2" s="1068" t="s">
        <v>1003</v>
      </c>
      <c r="K2" s="1068"/>
      <c r="L2" s="979"/>
      <c r="M2" s="979"/>
      <c r="N2" s="979"/>
      <c r="O2" s="979"/>
      <c r="P2" s="979"/>
      <c r="Q2" s="980"/>
    </row>
    <row r="3" spans="1:17" ht="15" customHeight="1">
      <c r="A3" s="982"/>
      <c r="B3" s="1069" t="s">
        <v>1004</v>
      </c>
      <c r="C3" s="1070"/>
      <c r="D3" s="983"/>
      <c r="E3" s="984" t="s">
        <v>752</v>
      </c>
      <c r="F3" s="985">
        <f>Frequency!M10</f>
        <v>2422</v>
      </c>
      <c r="G3" s="983"/>
      <c r="H3" s="986"/>
      <c r="I3" s="982"/>
      <c r="J3" s="1069" t="s">
        <v>422</v>
      </c>
      <c r="K3" s="1071"/>
      <c r="L3" s="983"/>
      <c r="M3" s="984" t="s">
        <v>752</v>
      </c>
      <c r="N3" s="985">
        <f>Frequency!M16</f>
        <v>2422</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1015</v>
      </c>
      <c r="B5" s="988" t="s">
        <v>1016</v>
      </c>
      <c r="C5" s="989">
        <f>'Uplink Budget'!B30</f>
        <v>16.846278083196978</v>
      </c>
      <c r="D5" s="983"/>
      <c r="E5" s="990" t="s">
        <v>417</v>
      </c>
      <c r="F5" s="991">
        <f>'Uplink Budget'!B43</f>
        <v>6.7462780831969784</v>
      </c>
      <c r="G5" s="992" t="str">
        <f>IF(F5&lt;0,"NO LINK !",IF(F5&lt;6,"MARGINAL LINK",IF(F5&gt;6,"LINK CLOSES")))</f>
        <v>LINK CLOSES</v>
      </c>
      <c r="H5" s="986"/>
      <c r="I5" s="982"/>
      <c r="J5" s="983"/>
      <c r="K5" s="988" t="s">
        <v>1005</v>
      </c>
      <c r="L5" s="993">
        <f>'Downlink Budget'!B28</f>
        <v>1000000</v>
      </c>
      <c r="M5" s="983"/>
      <c r="N5" s="983"/>
      <c r="O5" s="983"/>
      <c r="P5" s="983"/>
      <c r="Q5" s="986"/>
    </row>
    <row r="6" spans="1:17" ht="13" thickBot="1">
      <c r="A6" s="982"/>
      <c r="B6" s="983"/>
      <c r="C6" s="983"/>
      <c r="D6" s="983"/>
      <c r="E6" s="983"/>
      <c r="F6" s="983"/>
      <c r="G6" s="994" t="s">
        <v>714</v>
      </c>
      <c r="H6" s="986"/>
      <c r="I6" s="982"/>
      <c r="J6" s="983"/>
      <c r="K6" s="983"/>
      <c r="L6" s="983"/>
      <c r="M6" s="983"/>
      <c r="N6" s="1054" t="s">
        <v>1006</v>
      </c>
      <c r="O6" s="1055"/>
      <c r="P6" s="983"/>
      <c r="Q6" s="986"/>
    </row>
    <row r="7" spans="1:17" ht="13.5" thickBot="1">
      <c r="A7" s="987" t="s">
        <v>420</v>
      </c>
      <c r="B7" s="988" t="s">
        <v>1007</v>
      </c>
      <c r="C7" s="989">
        <f>'Uplink Budget'!B61</f>
        <v>3.4220512749749048</v>
      </c>
      <c r="D7" s="983"/>
      <c r="E7" s="990" t="s">
        <v>417</v>
      </c>
      <c r="F7" s="991">
        <f>'Uplink Budget'!B65</f>
        <v>-6.6779487250250948</v>
      </c>
      <c r="G7" s="992" t="str">
        <f>IF(F7&lt;0,"NO LINK !",IF(F7&lt;6,"MARGINAL LINK",IF(F7&gt;6,"LINK CLOSES")))</f>
        <v>NO LINK !</v>
      </c>
      <c r="H7" s="986"/>
      <c r="I7" s="982"/>
      <c r="J7" s="983"/>
      <c r="K7" s="995"/>
      <c r="L7" s="983"/>
      <c r="M7" s="983"/>
      <c r="N7" s="1058" t="str">
        <f>'Downlink Budget'!B32</f>
        <v>BPSK</v>
      </c>
      <c r="O7" s="1059"/>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54" t="s">
        <v>1008</v>
      </c>
      <c r="O9" s="1055"/>
      <c r="P9" s="983"/>
      <c r="Q9" s="986"/>
    </row>
    <row r="10" spans="1:17">
      <c r="A10" s="982"/>
      <c r="B10" s="983"/>
      <c r="C10" s="988" t="s">
        <v>1005</v>
      </c>
      <c r="D10" s="993">
        <f>'Uplink Budget'!B28</f>
        <v>1000000</v>
      </c>
      <c r="E10" s="983"/>
      <c r="F10" s="983"/>
      <c r="G10" s="983"/>
      <c r="H10" s="986"/>
      <c r="I10" s="982"/>
      <c r="J10" s="983"/>
      <c r="K10" s="983"/>
      <c r="L10" s="983"/>
      <c r="M10" s="983"/>
      <c r="N10" s="1058" t="str">
        <f>'Downlink Budget'!B33</f>
        <v>None</v>
      </c>
      <c r="O10" s="1059"/>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714</v>
      </c>
      <c r="E13" s="983"/>
      <c r="F13" s="1054" t="s">
        <v>1009</v>
      </c>
      <c r="G13" s="1055"/>
      <c r="H13" s="986"/>
      <c r="I13" s="982"/>
      <c r="J13" s="983"/>
      <c r="K13" s="983"/>
      <c r="L13" s="983"/>
      <c r="M13" s="983"/>
      <c r="N13" s="999" t="s">
        <v>1017</v>
      </c>
      <c r="O13" s="1000">
        <v>0.28000000000000003</v>
      </c>
      <c r="P13" s="983"/>
      <c r="Q13" s="986"/>
    </row>
    <row r="14" spans="1:17">
      <c r="A14" s="982"/>
      <c r="B14" s="983"/>
      <c r="C14" s="983"/>
      <c r="D14" s="983"/>
      <c r="E14" s="983"/>
      <c r="F14" s="1058" t="str">
        <f>'Uplink Budget'!B33</f>
        <v>None</v>
      </c>
      <c r="G14" s="1059"/>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1042</v>
      </c>
      <c r="O15" s="1040">
        <f>O19/O13</f>
        <v>3.5714285714285712</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714</v>
      </c>
      <c r="K17" s="983"/>
      <c r="L17" s="983"/>
      <c r="M17" s="983"/>
      <c r="N17" s="1038" t="s">
        <v>1041</v>
      </c>
      <c r="O17" s="1040">
        <f>O15-O19</f>
        <v>2.5714285714285712</v>
      </c>
      <c r="P17" s="983"/>
      <c r="Q17" s="986"/>
    </row>
    <row r="18" spans="1:17">
      <c r="A18" s="982"/>
      <c r="B18" s="983"/>
      <c r="C18" s="983"/>
      <c r="D18" s="983"/>
      <c r="E18" s="983"/>
      <c r="F18" s="1002" t="s">
        <v>421</v>
      </c>
      <c r="G18" s="1003">
        <f>'Uplink Budget'!B35</f>
        <v>1.0000000000000001E-5</v>
      </c>
      <c r="H18" s="986"/>
      <c r="I18" s="982"/>
      <c r="J18" s="983"/>
      <c r="K18" s="983"/>
      <c r="L18" s="983"/>
      <c r="M18" s="983"/>
      <c r="N18" s="983"/>
      <c r="O18" s="1004"/>
      <c r="P18" s="983"/>
      <c r="Q18" s="986"/>
    </row>
    <row r="19" spans="1:17">
      <c r="A19" s="982"/>
      <c r="B19" s="983"/>
      <c r="C19" s="983"/>
      <c r="D19" s="983"/>
      <c r="E19" s="983"/>
      <c r="F19" s="1054" t="s">
        <v>1010</v>
      </c>
      <c r="G19" s="1055"/>
      <c r="H19" s="986"/>
      <c r="I19" s="982"/>
      <c r="J19" s="983"/>
      <c r="K19" s="983"/>
      <c r="L19" s="983"/>
      <c r="M19" s="983"/>
      <c r="N19" s="1013" t="s">
        <v>1040</v>
      </c>
      <c r="O19" s="1039">
        <f>Transmitters!E60</f>
        <v>1</v>
      </c>
      <c r="P19" s="983"/>
      <c r="Q19" s="986"/>
    </row>
    <row r="20" spans="1:17">
      <c r="A20" s="982"/>
      <c r="B20" s="983"/>
      <c r="C20" s="983"/>
      <c r="D20" s="983"/>
      <c r="E20" s="983"/>
      <c r="F20" s="1058" t="str">
        <f>'Uplink Budget'!B32</f>
        <v>BPSK</v>
      </c>
      <c r="G20" s="1059"/>
      <c r="H20" s="986"/>
      <c r="I20" s="982"/>
      <c r="J20" s="983"/>
      <c r="K20" s="983"/>
      <c r="L20" s="983"/>
      <c r="M20" s="983"/>
      <c r="N20" s="983"/>
      <c r="O20" s="983"/>
      <c r="P20" s="983"/>
      <c r="Q20" s="986"/>
    </row>
    <row r="21" spans="1:17">
      <c r="A21" s="982"/>
      <c r="B21" s="983"/>
      <c r="C21" s="983"/>
      <c r="D21" s="983"/>
      <c r="E21" s="983"/>
      <c r="F21" s="1005" t="s">
        <v>333</v>
      </c>
      <c r="G21" s="1006">
        <f>'Uplink Budget'!B41</f>
        <v>10.1</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714</v>
      </c>
      <c r="K23" s="983"/>
      <c r="L23" s="983"/>
      <c r="M23" s="983"/>
      <c r="N23" s="988" t="s">
        <v>1018</v>
      </c>
      <c r="O23" s="1007">
        <f>Transmitters!I74</f>
        <v>4.4400000000000002E-2</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1019</v>
      </c>
      <c r="G25" s="1008">
        <f>'Uplink Budget'!B57</f>
        <v>22000000</v>
      </c>
      <c r="H25" s="986"/>
      <c r="I25" s="982"/>
      <c r="J25" s="983"/>
      <c r="K25" s="983"/>
      <c r="L25" s="983"/>
      <c r="M25" s="983"/>
      <c r="N25" s="988" t="s">
        <v>1020</v>
      </c>
      <c r="O25" s="1009">
        <f>Transmitters!I78</f>
        <v>0.6</v>
      </c>
      <c r="P25" s="983"/>
      <c r="Q25" s="986"/>
    </row>
    <row r="26" spans="1:17">
      <c r="A26" s="982"/>
      <c r="B26" s="983"/>
      <c r="C26" s="983"/>
      <c r="D26" s="983"/>
      <c r="E26" s="983"/>
      <c r="F26" s="1063" t="s">
        <v>419</v>
      </c>
      <c r="G26" s="1053"/>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1021</v>
      </c>
      <c r="O27" s="1009">
        <f>SUM(Transmitters!I79:I81)</f>
        <v>0.52</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1011</v>
      </c>
      <c r="O29" s="1009">
        <f>Transmitters!I83</f>
        <v>0.18</v>
      </c>
      <c r="P29" s="983"/>
      <c r="Q29" s="986"/>
    </row>
    <row r="30" spans="1:17">
      <c r="A30" s="982"/>
      <c r="B30" s="983"/>
      <c r="C30" s="983"/>
      <c r="D30" s="983"/>
      <c r="E30" s="983"/>
      <c r="F30" s="983"/>
      <c r="G30" s="983"/>
      <c r="H30" s="986"/>
      <c r="I30" s="982"/>
      <c r="J30" s="1001" t="s">
        <v>714</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1022</v>
      </c>
      <c r="O32" s="1010">
        <f>Transmitters!I85</f>
        <v>1.3444</v>
      </c>
      <c r="P32" s="983"/>
      <c r="Q32" s="986"/>
    </row>
    <row r="33" spans="1:17" ht="13">
      <c r="A33" s="982"/>
      <c r="B33" s="983"/>
      <c r="C33" s="983"/>
      <c r="D33" s="983"/>
      <c r="E33" s="983"/>
      <c r="F33" s="1011" t="s">
        <v>418</v>
      </c>
      <c r="G33" s="1012">
        <f>'Uplink Budget'!B26</f>
        <v>-26.06219999294283</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1012</v>
      </c>
      <c r="O34" s="1014">
        <f>Transmitters!I87+30</f>
        <v>28.6556</v>
      </c>
      <c r="P34" s="983"/>
      <c r="Q34" s="986"/>
    </row>
    <row r="35" spans="1:17">
      <c r="A35" s="982"/>
      <c r="B35" s="983"/>
      <c r="C35" s="983"/>
      <c r="D35" s="983"/>
      <c r="E35" s="983"/>
      <c r="F35" s="1011" t="s">
        <v>1023</v>
      </c>
      <c r="G35" s="1015">
        <f>'Uplink Budget'!B25</f>
        <v>287.88563793404467</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875</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1024</v>
      </c>
      <c r="O38" s="1018">
        <f>'Downlink Budget'!B10</f>
        <v>12</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983</v>
      </c>
      <c r="G40" s="1020">
        <f>Receivers!J67</f>
        <v>738.95882877736869</v>
      </c>
      <c r="H40" s="986"/>
      <c r="I40" s="982"/>
      <c r="J40" s="1064" t="str">
        <f>'Antenna Gain'!F41</f>
        <v>OreSat Helix</v>
      </c>
      <c r="K40" s="1064"/>
      <c r="L40" s="983"/>
      <c r="M40" s="983"/>
      <c r="N40" s="1002" t="s">
        <v>1025</v>
      </c>
      <c r="O40" s="1021">
        <f>'Antenna Pointing Losses'!G85</f>
        <v>5</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1026</v>
      </c>
      <c r="O42" s="1023">
        <f>'Downlink Budget'!B11+30</f>
        <v>40.6556</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54" t="s">
        <v>1013</v>
      </c>
      <c r="O44" s="1065"/>
      <c r="P44" s="983"/>
      <c r="Q44" s="986"/>
    </row>
    <row r="45" spans="1:17" ht="13">
      <c r="A45" s="982"/>
      <c r="B45" s="983"/>
      <c r="C45" s="983"/>
      <c r="D45" s="983"/>
      <c r="E45" s="983"/>
      <c r="F45" s="1024" t="s">
        <v>1027</v>
      </c>
      <c r="G45" s="989">
        <f>Receivers!F65</f>
        <v>15.6</v>
      </c>
      <c r="H45" s="986"/>
      <c r="I45" s="982"/>
      <c r="J45" s="983"/>
      <c r="K45" s="983"/>
      <c r="L45" s="983"/>
      <c r="M45" s="983"/>
      <c r="N45" s="1066">
        <f>SUM('Downlink Budget'!B13:B18)+'Downlink Budget'!B22</f>
        <v>154.34722822590194</v>
      </c>
      <c r="O45" s="1067"/>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1028</v>
      </c>
      <c r="G47" s="1020">
        <f>Receivers!J63</f>
        <v>45</v>
      </c>
      <c r="H47" s="986"/>
      <c r="I47" s="982"/>
      <c r="J47" s="983"/>
      <c r="K47" s="983"/>
      <c r="L47" s="983"/>
      <c r="M47" s="983"/>
      <c r="N47" s="988" t="s">
        <v>1029</v>
      </c>
      <c r="O47" s="1025">
        <f>'Downlink Budget'!B19+30</f>
        <v>-113.27260019687699</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64" t="str">
        <f>'Antenna Gain'!F58</f>
        <v>OreSat Quad Helix</v>
      </c>
      <c r="K49" s="1064"/>
      <c r="L49" s="983"/>
      <c r="M49" s="983"/>
      <c r="N49" s="988" t="s">
        <v>1030</v>
      </c>
      <c r="O49" s="1026">
        <f>'Downlink Budget'!B23</f>
        <v>18</v>
      </c>
      <c r="P49" s="983"/>
      <c r="Q49" s="986"/>
    </row>
    <row r="50" spans="1:17">
      <c r="A50" s="982"/>
      <c r="B50" s="983"/>
      <c r="C50" s="983"/>
      <c r="D50" s="983"/>
      <c r="E50" s="983"/>
      <c r="F50" s="983"/>
      <c r="G50" s="983"/>
      <c r="H50" s="986"/>
      <c r="I50" s="982"/>
      <c r="J50" s="983"/>
      <c r="K50" s="983"/>
      <c r="L50" s="983"/>
      <c r="M50" s="983"/>
      <c r="N50" s="1002" t="s">
        <v>60</v>
      </c>
      <c r="O50" s="1019" t="str">
        <f>'Antenna Gain'!K58</f>
        <v>RHCP</v>
      </c>
      <c r="P50" s="983"/>
      <c r="Q50" s="986"/>
    </row>
    <row r="51" spans="1:17">
      <c r="A51" s="982"/>
      <c r="B51" s="983"/>
      <c r="C51" s="983"/>
      <c r="D51" s="983"/>
      <c r="E51" s="983"/>
      <c r="F51" s="988" t="s">
        <v>1031</v>
      </c>
      <c r="G51" s="1027">
        <f>Receivers!J55</f>
        <v>3.47</v>
      </c>
      <c r="H51" s="986"/>
      <c r="I51" s="982"/>
      <c r="J51" s="983"/>
      <c r="K51" s="983"/>
      <c r="L51" s="983"/>
      <c r="M51" s="983"/>
      <c r="N51" s="1002" t="s">
        <v>1025</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880</v>
      </c>
      <c r="N53" s="983"/>
      <c r="O53" s="983"/>
      <c r="P53" s="983"/>
      <c r="Q53" s="986"/>
    </row>
    <row r="54" spans="1:17">
      <c r="A54" s="982"/>
      <c r="B54" s="983"/>
      <c r="C54" s="983"/>
      <c r="D54" s="983"/>
      <c r="E54" s="983"/>
      <c r="F54" s="988" t="s">
        <v>1021</v>
      </c>
      <c r="G54" s="1009">
        <f>SUM(Receivers!J50:J52)</f>
        <v>2.52</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1032</v>
      </c>
      <c r="O55" s="1020">
        <f>Receivers!J130</f>
        <v>500</v>
      </c>
      <c r="P55" s="983"/>
      <c r="Q55" s="986"/>
    </row>
    <row r="56" spans="1:17">
      <c r="A56" s="982"/>
      <c r="B56" s="983"/>
      <c r="C56" s="983"/>
      <c r="D56" s="983"/>
      <c r="E56" s="983"/>
      <c r="F56" s="988" t="s">
        <v>1020</v>
      </c>
      <c r="G56" s="1009">
        <f>Receivers!J53</f>
        <v>0.6</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1018</v>
      </c>
      <c r="G58" s="1007">
        <f>SUM(Receivers!J47:J49)</f>
        <v>0.35</v>
      </c>
      <c r="H58" s="986"/>
      <c r="I58" s="982"/>
      <c r="J58" s="983"/>
      <c r="K58" s="983"/>
      <c r="L58" s="983"/>
      <c r="M58" s="983"/>
      <c r="N58" s="988" t="s">
        <v>1018</v>
      </c>
      <c r="O58" s="1007">
        <f>SUM(Receivers!J118:J120)</f>
        <v>0</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1020</v>
      </c>
      <c r="O60" s="1009">
        <f>Receivers!J123</f>
        <v>0.15</v>
      </c>
      <c r="P60" s="983"/>
      <c r="Q60" s="986"/>
    </row>
    <row r="61" spans="1:17">
      <c r="A61" s="982"/>
      <c r="B61" s="983"/>
      <c r="C61" s="983"/>
      <c r="D61" s="983"/>
      <c r="E61" s="983"/>
      <c r="F61" s="988" t="s">
        <v>1032</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1021</v>
      </c>
      <c r="O62" s="1009">
        <f>SUM(Receivers!J121:J122)</f>
        <v>0</v>
      </c>
      <c r="P62" s="983"/>
      <c r="Q62" s="986"/>
    </row>
    <row r="63" spans="1:17" ht="13">
      <c r="A63" s="982"/>
      <c r="B63" s="983"/>
      <c r="C63" s="983"/>
      <c r="D63" s="983"/>
      <c r="E63" s="1016" t="s">
        <v>880</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1030</v>
      </c>
      <c r="G65" s="1026">
        <f>'Uplink Budget'!B23</f>
        <v>2</v>
      </c>
      <c r="H65" s="986"/>
      <c r="I65" s="982"/>
      <c r="J65" s="983"/>
      <c r="K65" s="983"/>
      <c r="L65" s="983"/>
      <c r="M65" s="983"/>
      <c r="N65" s="988" t="s">
        <v>1031</v>
      </c>
      <c r="O65" s="1027">
        <f>Receivers!J126</f>
        <v>0.15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62" t="str">
        <f>'Antenna Gain'!F24</f>
        <v>Canted Turnstyle</v>
      </c>
      <c r="C67" s="1062"/>
      <c r="D67" s="983"/>
      <c r="E67" s="983"/>
      <c r="F67" s="1002" t="s">
        <v>1025</v>
      </c>
      <c r="G67" s="1021">
        <f>'Antenna Pointing Losses'!G63</f>
        <v>5</v>
      </c>
      <c r="H67" s="986"/>
      <c r="I67" s="982"/>
      <c r="J67" s="983"/>
      <c r="K67" s="983"/>
      <c r="L67" s="983"/>
      <c r="M67" s="983"/>
      <c r="N67" s="983"/>
      <c r="O67" s="983"/>
      <c r="P67" s="983"/>
      <c r="Q67" s="986"/>
    </row>
    <row r="68" spans="1:17">
      <c r="A68" s="982"/>
      <c r="B68" s="983"/>
      <c r="C68" s="983"/>
      <c r="D68" s="983"/>
      <c r="E68" s="983"/>
      <c r="F68" s="983" t="s">
        <v>714</v>
      </c>
      <c r="G68" s="983"/>
      <c r="H68" s="986"/>
      <c r="I68" s="982"/>
      <c r="J68" s="983"/>
      <c r="K68" s="983"/>
      <c r="L68" s="983"/>
      <c r="M68" s="983"/>
      <c r="N68" s="983"/>
      <c r="O68" s="983"/>
      <c r="P68" s="983"/>
      <c r="Q68" s="986"/>
    </row>
    <row r="69" spans="1:17" ht="15.5">
      <c r="A69" s="982"/>
      <c r="B69" s="983"/>
      <c r="C69" s="983"/>
      <c r="D69" s="983"/>
      <c r="E69" s="983"/>
      <c r="F69" s="988" t="s">
        <v>1033</v>
      </c>
      <c r="G69" s="1025">
        <f>'Uplink Budget'!B19+30</f>
        <v>-95.691521923860194</v>
      </c>
      <c r="H69" s="986"/>
      <c r="I69" s="982"/>
      <c r="J69" s="983"/>
      <c r="K69" s="983"/>
      <c r="L69" s="983"/>
      <c r="M69" s="983"/>
      <c r="N69" s="1024" t="s">
        <v>1028</v>
      </c>
      <c r="O69" s="1020">
        <f>Receivers!J134</f>
        <v>50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54" t="s">
        <v>1013</v>
      </c>
      <c r="G71" s="1055"/>
      <c r="H71" s="986"/>
      <c r="I71" s="982"/>
      <c r="J71" s="983"/>
      <c r="K71" s="983"/>
      <c r="L71" s="983"/>
      <c r="M71" s="983"/>
      <c r="N71" s="1024" t="s">
        <v>1027</v>
      </c>
      <c r="O71" s="989">
        <f>Receivers!F136</f>
        <v>18</v>
      </c>
      <c r="P71" s="983"/>
      <c r="Q71" s="986"/>
    </row>
    <row r="72" spans="1:17" ht="13">
      <c r="A72" s="982"/>
      <c r="B72" s="983"/>
      <c r="C72" s="983"/>
      <c r="D72" s="983"/>
      <c r="E72" s="983"/>
      <c r="F72" s="1060">
        <f>SUM('Uplink Budget'!B13:B18)+'Uplink Budget'!B22</f>
        <v>154.64122196722039</v>
      </c>
      <c r="G72" s="1061"/>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1034</v>
      </c>
      <c r="G74" s="1029">
        <f>'Uplink Budget'!B11+30</f>
        <v>58.949700043360188</v>
      </c>
      <c r="H74" s="986"/>
      <c r="I74" s="982"/>
      <c r="J74" s="983"/>
      <c r="K74" s="983"/>
      <c r="L74" s="983"/>
      <c r="M74" s="983"/>
      <c r="N74" s="983"/>
      <c r="O74" s="983"/>
      <c r="P74" s="983"/>
      <c r="Q74" s="986"/>
    </row>
    <row r="75" spans="1:17">
      <c r="A75" s="982"/>
      <c r="B75" s="1052" t="str">
        <f>'Antenna Gain'!F11</f>
        <v>Parabolic Reflector</v>
      </c>
      <c r="C75" s="1052"/>
      <c r="D75" s="983"/>
      <c r="E75" s="983"/>
      <c r="F75" s="983"/>
      <c r="G75" s="983"/>
      <c r="H75" s="986"/>
      <c r="I75" s="982"/>
      <c r="J75" s="983"/>
      <c r="K75" s="983"/>
      <c r="L75" s="983"/>
      <c r="M75" s="983"/>
      <c r="N75" s="983"/>
      <c r="O75" s="983"/>
      <c r="P75" s="983"/>
      <c r="Q75" s="986"/>
    </row>
    <row r="76" spans="1:17">
      <c r="A76" s="982"/>
      <c r="B76" s="983"/>
      <c r="C76" s="983"/>
      <c r="D76" s="983"/>
      <c r="E76" s="983"/>
      <c r="F76" s="988" t="s">
        <v>1035</v>
      </c>
      <c r="G76" s="1026">
        <f>'Uplink Budget'!B10</f>
        <v>22.9</v>
      </c>
      <c r="H76" s="986"/>
      <c r="I76" s="982"/>
      <c r="J76" s="983"/>
      <c r="K76" s="983"/>
      <c r="L76" s="983"/>
      <c r="M76" s="983"/>
      <c r="N76" s="988" t="s">
        <v>983</v>
      </c>
      <c r="O76" s="1020">
        <f>Receivers!J146</f>
        <v>359.22913018481842</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1025</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875</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1023</v>
      </c>
      <c r="O81" s="1015">
        <f>Receivers!J149</f>
        <v>548.56408261749721</v>
      </c>
      <c r="P81" s="983"/>
      <c r="Q81" s="986"/>
    </row>
    <row r="82" spans="1:17" ht="15.5">
      <c r="A82" s="982"/>
      <c r="B82" s="983"/>
      <c r="C82" s="983"/>
      <c r="D82" s="983"/>
      <c r="E82" s="983"/>
      <c r="F82" s="1013" t="s">
        <v>1012</v>
      </c>
      <c r="G82" s="1014">
        <f>Transmitters!I45+30</f>
        <v>36.04970004336019</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418</v>
      </c>
      <c r="O83" s="1012">
        <f>'Downlink Budget'!B26</f>
        <v>-9.5422736865006463</v>
      </c>
      <c r="P83" s="983"/>
      <c r="Q83" s="986"/>
    </row>
    <row r="84" spans="1:17">
      <c r="A84" s="982"/>
      <c r="B84" s="983"/>
      <c r="C84" s="983"/>
      <c r="D84" s="983"/>
      <c r="E84" s="983"/>
      <c r="F84" s="988" t="s">
        <v>1022</v>
      </c>
      <c r="G84" s="1010">
        <f>Transmitters!I43</f>
        <v>0.94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1011</v>
      </c>
      <c r="G87" s="1009">
        <f>Transmitters!I41</f>
        <v>0.18</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1036</v>
      </c>
      <c r="O88" s="1030">
        <f>'Downlink Budget'!B56</f>
        <v>22000000</v>
      </c>
      <c r="P88" s="983"/>
      <c r="Q88" s="986"/>
    </row>
    <row r="89" spans="1:17">
      <c r="A89" s="982"/>
      <c r="B89" s="983"/>
      <c r="C89" s="983"/>
      <c r="D89" s="983"/>
      <c r="E89" s="983"/>
      <c r="F89" s="988" t="s">
        <v>1021</v>
      </c>
      <c r="G89" s="1009">
        <f>SUM(Transmitters!I37:I39)</f>
        <v>0.26</v>
      </c>
      <c r="H89" s="986"/>
      <c r="I89" s="982"/>
      <c r="J89" s="983"/>
      <c r="K89" s="983"/>
      <c r="L89" s="983"/>
      <c r="M89" s="983"/>
      <c r="N89" s="1053" t="s">
        <v>426</v>
      </c>
      <c r="O89" s="1053"/>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1020</v>
      </c>
      <c r="G91" s="1009">
        <f>Transmitters!I36</f>
        <v>0.3</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1018</v>
      </c>
      <c r="G93" s="1007">
        <f>Transmitters!I32</f>
        <v>0.2</v>
      </c>
      <c r="H93" s="986"/>
      <c r="I93" s="982"/>
      <c r="J93" s="983"/>
      <c r="K93" s="983"/>
      <c r="L93" s="983"/>
      <c r="M93" s="983"/>
      <c r="N93" s="1031" t="s">
        <v>421</v>
      </c>
      <c r="O93" s="1003">
        <f>'Downlink Budget'!B35</f>
        <v>1.0000000000000001E-5</v>
      </c>
      <c r="P93" s="983"/>
      <c r="Q93" s="986"/>
    </row>
    <row r="94" spans="1:17">
      <c r="A94" s="982"/>
      <c r="B94" s="983"/>
      <c r="C94" s="983"/>
      <c r="D94" s="983"/>
      <c r="E94" s="983"/>
      <c r="F94" s="983" t="s">
        <v>714</v>
      </c>
      <c r="G94" s="983"/>
      <c r="H94" s="986"/>
      <c r="I94" s="982"/>
      <c r="J94" s="983"/>
      <c r="K94" s="983"/>
      <c r="L94" s="983"/>
      <c r="M94" s="983"/>
      <c r="N94" s="1054" t="s">
        <v>1010</v>
      </c>
      <c r="O94" s="1055"/>
      <c r="P94" s="983"/>
      <c r="Q94" s="986"/>
    </row>
    <row r="95" spans="1:17">
      <c r="A95" s="982"/>
      <c r="B95" s="983"/>
      <c r="C95" s="983"/>
      <c r="D95" s="983"/>
      <c r="E95" s="983"/>
      <c r="F95" s="983" t="s">
        <v>714</v>
      </c>
      <c r="G95" s="983"/>
      <c r="H95" s="986"/>
      <c r="I95" s="982"/>
      <c r="J95" s="983"/>
      <c r="K95" s="983"/>
      <c r="L95" s="983"/>
      <c r="M95" s="983"/>
      <c r="N95" s="1058" t="str">
        <f>'Downlink Budget'!B32</f>
        <v>BPSK</v>
      </c>
      <c r="O95" s="1059"/>
      <c r="P95" s="983"/>
      <c r="Q95" s="986"/>
    </row>
    <row r="96" spans="1:17">
      <c r="A96" s="982"/>
      <c r="B96" s="983"/>
      <c r="C96" s="983"/>
      <c r="D96" s="983"/>
      <c r="E96" s="983"/>
      <c r="F96" s="983" t="s">
        <v>714</v>
      </c>
      <c r="G96" s="983"/>
      <c r="H96" s="986"/>
      <c r="I96" s="982"/>
      <c r="J96" s="983"/>
      <c r="K96" s="983"/>
      <c r="L96" s="983"/>
      <c r="M96" s="983"/>
      <c r="N96" s="1032" t="s">
        <v>333</v>
      </c>
      <c r="O96" s="1006">
        <f>'Downlink Budget'!B41</f>
        <v>10.1</v>
      </c>
      <c r="P96" s="983"/>
      <c r="Q96" s="986"/>
    </row>
    <row r="97" spans="1:17">
      <c r="A97" s="982"/>
      <c r="B97" s="983"/>
      <c r="C97" s="983"/>
      <c r="D97" s="983"/>
      <c r="E97" s="983"/>
      <c r="F97" s="1013" t="s">
        <v>1039</v>
      </c>
      <c r="G97" s="1037">
        <f>Transmitters!E16</f>
        <v>5</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54" t="s">
        <v>1009</v>
      </c>
      <c r="O100" s="1055"/>
      <c r="P100" s="983"/>
      <c r="Q100" s="986"/>
    </row>
    <row r="101" spans="1:17">
      <c r="A101" s="982"/>
      <c r="B101" s="983"/>
      <c r="C101" s="983"/>
      <c r="D101" s="983"/>
      <c r="E101" s="983"/>
      <c r="F101" s="983"/>
      <c r="G101" s="983"/>
      <c r="H101" s="986"/>
      <c r="I101" s="982"/>
      <c r="J101" s="983"/>
      <c r="K101" s="983"/>
      <c r="L101" s="983"/>
      <c r="M101" s="983"/>
      <c r="N101" s="1058" t="str">
        <f>'Downlink Budget'!B33</f>
        <v>None</v>
      </c>
      <c r="O101" s="1059"/>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54" t="s">
        <v>1006</v>
      </c>
      <c r="G103" s="1055"/>
      <c r="H103" s="986"/>
      <c r="I103" s="982"/>
      <c r="J103" s="983"/>
      <c r="K103" s="983"/>
      <c r="L103" s="983"/>
      <c r="M103" s="983"/>
      <c r="N103" s="983"/>
      <c r="O103" s="983"/>
      <c r="P103" s="983"/>
      <c r="Q103" s="986"/>
    </row>
    <row r="104" spans="1:17">
      <c r="A104" s="982"/>
      <c r="B104" s="983"/>
      <c r="C104" s="983"/>
      <c r="D104" s="983"/>
      <c r="E104" s="983"/>
      <c r="F104" s="1058" t="str">
        <f>'Uplink Budget'!B32</f>
        <v>BPSK</v>
      </c>
      <c r="G104" s="1059"/>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1005</v>
      </c>
      <c r="L105" s="1030">
        <f>'Downlink Budget'!B28</f>
        <v>1000000</v>
      </c>
      <c r="M105" s="983"/>
      <c r="N105" s="983"/>
      <c r="O105" s="983" t="s">
        <v>714</v>
      </c>
      <c r="P105" s="983" t="s">
        <v>714</v>
      </c>
      <c r="Q105" s="986"/>
    </row>
    <row r="106" spans="1:17" ht="13" thickBot="1">
      <c r="A106" s="982"/>
      <c r="B106" s="983"/>
      <c r="C106" s="983"/>
      <c r="D106" s="983"/>
      <c r="E106" s="983"/>
      <c r="F106" s="1054" t="s">
        <v>1008</v>
      </c>
      <c r="G106" s="1055"/>
      <c r="H106" s="986"/>
      <c r="I106" s="982"/>
      <c r="J106" s="983"/>
      <c r="K106" s="983"/>
      <c r="L106" s="983"/>
      <c r="M106" s="983"/>
      <c r="N106" s="983"/>
      <c r="O106" s="983"/>
      <c r="P106" s="983"/>
      <c r="Q106" s="986"/>
    </row>
    <row r="107" spans="1:17" ht="13.5" thickBot="1">
      <c r="A107" s="982"/>
      <c r="B107" s="983"/>
      <c r="C107" s="983"/>
      <c r="D107" s="983"/>
      <c r="E107" s="983"/>
      <c r="F107" s="1058" t="str">
        <f>'Uplink Budget'!B33</f>
        <v>None</v>
      </c>
      <c r="G107" s="1059"/>
      <c r="H107" s="986"/>
      <c r="I107" s="1056" t="s">
        <v>1037</v>
      </c>
      <c r="J107" s="1057"/>
      <c r="K107" s="988" t="s">
        <v>1038</v>
      </c>
      <c r="L107" s="989">
        <f>'Downlink Budget'!B30</f>
        <v>15.366098087597393</v>
      </c>
      <c r="M107" s="983"/>
      <c r="N107" s="1033" t="s">
        <v>417</v>
      </c>
      <c r="O107" s="991">
        <f>'Downlink Budget'!B43</f>
        <v>5.2660980875973937</v>
      </c>
      <c r="P107" s="992" t="str">
        <f>IF(O107&lt;0,"NO LINK !",IF(O107&lt;6,"MARGINAL LINK",IF(O107&gt;6,"LINK CLOSES")))</f>
        <v>MARGINAL LINK</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416</v>
      </c>
      <c r="D109" s="993">
        <f>'Uplink Budget'!B28</f>
        <v>1000000</v>
      </c>
      <c r="E109" s="983"/>
      <c r="F109" s="983"/>
      <c r="G109" s="983"/>
      <c r="H109" s="986"/>
      <c r="I109" s="1056" t="s">
        <v>420</v>
      </c>
      <c r="J109" s="1057"/>
      <c r="K109" s="988" t="s">
        <v>1007</v>
      </c>
      <c r="L109" s="989">
        <f>'Downlink Budget'!B60</f>
        <v>1.9418712793753201</v>
      </c>
      <c r="M109" s="983"/>
      <c r="N109" s="1033" t="s">
        <v>428</v>
      </c>
      <c r="O109" s="991">
        <f>'Downlink Budget'!B64</f>
        <v>-8.1581287206246795</v>
      </c>
      <c r="P109" s="992" t="str">
        <f>IF(O109&lt;0,"NO LINK !",IF(O109&lt;6,"MARGINAL LINK",IF(O109&gt;6,"LINK CLOSES")))</f>
        <v>NO LINK !</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ht="12.5" customHeight="1">
      <c r="A111" s="982"/>
      <c r="B111" s="983"/>
      <c r="C111" s="983"/>
      <c r="D111" s="983"/>
      <c r="E111" s="983"/>
      <c r="F111" s="983"/>
      <c r="G111" s="983"/>
      <c r="H111" s="986"/>
      <c r="I111" s="983"/>
      <c r="J111" s="983"/>
      <c r="K111" s="983"/>
      <c r="L111" s="983"/>
      <c r="M111" s="983"/>
      <c r="N111" s="983"/>
      <c r="O111" s="983"/>
      <c r="P111" s="983"/>
      <c r="Q111" s="986"/>
    </row>
    <row r="112" spans="1:17" ht="12.5" customHeight="1">
      <c r="A112" s="982"/>
      <c r="B112" s="983"/>
      <c r="C112" s="983"/>
      <c r="D112" s="983"/>
      <c r="E112" s="983"/>
      <c r="F112" s="983"/>
      <c r="G112" s="983"/>
      <c r="H112" s="986"/>
      <c r="I112" s="983"/>
      <c r="J112" s="983"/>
      <c r="K112" s="983"/>
      <c r="L112" s="983"/>
      <c r="M112" s="983"/>
      <c r="N112" s="983"/>
      <c r="O112" s="983"/>
      <c r="P112" s="983"/>
      <c r="Q112" s="986"/>
    </row>
    <row r="113" spans="1:17">
      <c r="A113" s="982"/>
      <c r="B113" s="983"/>
      <c r="C113" s="983"/>
      <c r="D113" s="983"/>
      <c r="E113" s="983"/>
      <c r="F113" s="983"/>
      <c r="G113" s="983"/>
      <c r="H113" s="986"/>
      <c r="I113" s="983"/>
      <c r="J113" s="983"/>
      <c r="K113" s="983"/>
      <c r="L113" s="983"/>
      <c r="M113" s="983"/>
      <c r="N113" s="983"/>
      <c r="O113" s="983"/>
      <c r="P113" s="983"/>
      <c r="Q113" s="986"/>
    </row>
    <row r="114" spans="1:17">
      <c r="A114" s="982"/>
      <c r="B114" s="983"/>
      <c r="C114" s="983"/>
      <c r="D114" s="983"/>
      <c r="E114" s="983"/>
      <c r="F114" s="983"/>
      <c r="G114" s="983"/>
      <c r="H114" s="986"/>
      <c r="I114" s="983"/>
      <c r="J114" s="983"/>
      <c r="K114" s="983"/>
      <c r="L114" s="983"/>
      <c r="M114" s="983"/>
      <c r="N114" s="983"/>
      <c r="O114" s="983" t="s">
        <v>714</v>
      </c>
      <c r="P114" s="983"/>
      <c r="Q114" s="986"/>
    </row>
    <row r="115" spans="1:17" ht="13" thickBot="1">
      <c r="A115" s="1034"/>
      <c r="B115" s="1035"/>
      <c r="C115" s="1035"/>
      <c r="D115" s="1035"/>
      <c r="E115" s="1035"/>
      <c r="F115" s="1035"/>
      <c r="G115" s="1035"/>
      <c r="H115" s="1036"/>
      <c r="I115" s="1035"/>
      <c r="J115" s="1035"/>
      <c r="K115" s="1035"/>
      <c r="L115" s="1035"/>
      <c r="M115" s="1035"/>
      <c r="N115" s="1035"/>
      <c r="O115" s="1035"/>
      <c r="P115" s="1035"/>
      <c r="Q115" s="1036"/>
    </row>
  </sheetData>
  <mergeCells count="32">
    <mergeCell ref="N7:O7"/>
    <mergeCell ref="B2:C2"/>
    <mergeCell ref="J2:K2"/>
    <mergeCell ref="B3:C3"/>
    <mergeCell ref="J3:K3"/>
    <mergeCell ref="N6:O6"/>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May 28</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May 28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May 28</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463.65570103835586</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463.65570103835586</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60</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463.65570103835586</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15.366098087597393</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16.846278083196978</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463.65570103835586</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129.06242999277771</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138.60684066030524</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147.86266997701205</v>
      </c>
      <c r="H12" s="3" t="s">
        <v>756</v>
      </c>
      <c r="I12" s="3" t="s">
        <v>90</v>
      </c>
      <c r="J12" s="3"/>
      <c r="K12" s="3"/>
      <c r="L12" s="3"/>
      <c r="M12" s="760">
        <f>INDEX(G10:G13,L10,1)</f>
        <v>153.47076228927926</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153.47076228927926</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129.06242999277771</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138.60584793047525</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153.4095811273356</v>
      </c>
      <c r="H18" s="3" t="s">
        <v>756</v>
      </c>
      <c r="I18" s="3" t="s">
        <v>90</v>
      </c>
      <c r="J18" s="3"/>
      <c r="K18" s="3"/>
      <c r="L18" s="3"/>
      <c r="M18" s="760">
        <f>INDEX(G16:G19,L16,1)</f>
        <v>153.47076228927926</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153.47076228927926</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May 28</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965</v>
      </c>
      <c r="D16" s="331"/>
      <c r="E16" s="342">
        <v>5</v>
      </c>
      <c r="F16" s="331" t="s">
        <v>160</v>
      </c>
      <c r="G16" s="402">
        <f>10*LOG10(E16)</f>
        <v>6.9897000433601884</v>
      </c>
      <c r="H16" s="331" t="s">
        <v>161</v>
      </c>
      <c r="I16" s="328">
        <f>G16+30</f>
        <v>36.989700043360187</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949</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968</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970</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950</v>
      </c>
      <c r="G27" s="631">
        <f>Frequency!$M$10</f>
        <v>2422</v>
      </c>
      <c r="H27" s="331" t="s">
        <v>172</v>
      </c>
      <c r="I27" s="968">
        <f>I19*E27</f>
        <v>0.2</v>
      </c>
      <c r="J27" s="331" t="s">
        <v>756</v>
      </c>
      <c r="K27" s="323"/>
      <c r="L27" s="3"/>
      <c r="M27" s="3"/>
      <c r="N27" s="3"/>
      <c r="O27" s="3"/>
      <c r="P27" s="3"/>
    </row>
    <row r="28" spans="1:16">
      <c r="A28" s="3"/>
      <c r="B28" s="3"/>
      <c r="C28" s="330"/>
      <c r="D28" s="899" t="s">
        <v>945</v>
      </c>
      <c r="E28" s="906"/>
      <c r="F28" s="907" t="s">
        <v>950</v>
      </c>
      <c r="G28" s="631">
        <f>Frequency!$M$10</f>
        <v>2422</v>
      </c>
      <c r="H28" s="331" t="s">
        <v>172</v>
      </c>
      <c r="I28" s="968">
        <f>I20*E28</f>
        <v>0</v>
      </c>
      <c r="J28" s="331" t="s">
        <v>756</v>
      </c>
      <c r="K28" s="323"/>
      <c r="L28" s="3"/>
      <c r="M28" s="3"/>
      <c r="N28" s="3"/>
      <c r="O28" s="3"/>
      <c r="P28" s="3"/>
    </row>
    <row r="29" spans="1:16">
      <c r="A29" s="3"/>
      <c r="B29" s="3"/>
      <c r="C29" s="330"/>
      <c r="D29" s="899" t="s">
        <v>946</v>
      </c>
      <c r="E29" s="906"/>
      <c r="F29" s="907" t="s">
        <v>950</v>
      </c>
      <c r="G29" s="631">
        <f>Frequency!$M$10</f>
        <v>2422</v>
      </c>
      <c r="H29" s="331" t="s">
        <v>172</v>
      </c>
      <c r="I29" s="968">
        <f>I21*E29</f>
        <v>0</v>
      </c>
      <c r="J29" s="331" t="s">
        <v>756</v>
      </c>
      <c r="K29" s="323"/>
      <c r="L29" s="3"/>
      <c r="M29" s="3"/>
      <c r="N29" s="3"/>
      <c r="O29" s="3"/>
      <c r="P29" s="3"/>
    </row>
    <row r="30" spans="1:16">
      <c r="A30" s="3"/>
      <c r="B30" s="3"/>
      <c r="C30" s="330"/>
      <c r="D30" s="913" t="s">
        <v>969</v>
      </c>
      <c r="E30" s="906"/>
      <c r="F30" s="907" t="s">
        <v>950</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971</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1048</v>
      </c>
      <c r="G36" s="331"/>
      <c r="H36" s="331"/>
      <c r="I36" s="903">
        <f>E36*0.15</f>
        <v>0.3</v>
      </c>
      <c r="J36" s="331" t="s">
        <v>756</v>
      </c>
      <c r="K36" s="922"/>
      <c r="L36" s="79"/>
      <c r="M36" s="3"/>
      <c r="N36" s="3"/>
      <c r="O36" s="3"/>
      <c r="P36" s="3"/>
    </row>
    <row r="37" spans="1:16">
      <c r="A37" s="3"/>
      <c r="B37" s="3"/>
      <c r="C37" s="330"/>
      <c r="D37" s="331" t="s">
        <v>171</v>
      </c>
      <c r="E37" s="334" t="s">
        <v>183</v>
      </c>
      <c r="F37" s="459" t="s">
        <v>1058</v>
      </c>
      <c r="G37" s="366"/>
      <c r="H37" s="331"/>
      <c r="I37" s="342">
        <v>0.26</v>
      </c>
      <c r="J37" s="331" t="s">
        <v>756</v>
      </c>
      <c r="K37" s="912" t="s">
        <v>1059</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1043</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6.049700043360188</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965</v>
      </c>
      <c r="D60" s="141"/>
      <c r="E60" s="128">
        <v>1</v>
      </c>
      <c r="F60" s="141" t="s">
        <v>160</v>
      </c>
      <c r="G60" s="402">
        <f>10*LOG10(E60)</f>
        <v>0</v>
      </c>
      <c r="H60" s="141" t="s">
        <v>161</v>
      </c>
      <c r="I60" s="328">
        <f>G60+30</f>
        <v>30</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1046</v>
      </c>
      <c r="F63" s="901"/>
      <c r="G63" s="141"/>
      <c r="H63" s="141"/>
      <c r="I63" s="916">
        <v>6.0000000000000001E-3</v>
      </c>
      <c r="J63" s="141" t="s">
        <v>754</v>
      </c>
      <c r="K63" s="1041"/>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950</v>
      </c>
      <c r="G70" s="407">
        <f>Frequency!$M$16</f>
        <v>2422</v>
      </c>
      <c r="H70" s="141" t="s">
        <v>172</v>
      </c>
      <c r="I70" s="969">
        <f>I63*E70</f>
        <v>4.4400000000000002E-2</v>
      </c>
      <c r="J70" s="141" t="s">
        <v>756</v>
      </c>
      <c r="K70" s="182"/>
      <c r="L70" s="3"/>
      <c r="M70" s="3"/>
      <c r="N70" s="3"/>
      <c r="O70" s="3"/>
      <c r="P70" s="3"/>
    </row>
    <row r="71" spans="1:16">
      <c r="A71" s="3"/>
      <c r="B71" s="3"/>
      <c r="C71" s="177"/>
      <c r="D71" s="141" t="s">
        <v>945</v>
      </c>
      <c r="E71" s="917"/>
      <c r="F71" s="192" t="s">
        <v>950</v>
      </c>
      <c r="G71" s="407">
        <f>Frequency!$M$16</f>
        <v>2422</v>
      </c>
      <c r="H71" s="141" t="s">
        <v>172</v>
      </c>
      <c r="I71" s="969">
        <f t="shared" ref="I71:I72" si="0">I64*E71</f>
        <v>0</v>
      </c>
      <c r="J71" s="141" t="s">
        <v>756</v>
      </c>
      <c r="K71" s="182"/>
      <c r="L71" s="3"/>
      <c r="M71" s="3"/>
      <c r="N71" s="3"/>
      <c r="O71" s="3"/>
      <c r="P71" s="3"/>
    </row>
    <row r="72" spans="1:16">
      <c r="A72" s="3"/>
      <c r="B72" s="3"/>
      <c r="C72" s="177"/>
      <c r="D72" s="141" t="s">
        <v>946</v>
      </c>
      <c r="E72" s="917"/>
      <c r="F72" s="192" t="s">
        <v>950</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4</v>
      </c>
      <c r="F78" s="659" t="s">
        <v>1045</v>
      </c>
      <c r="G78" s="141"/>
      <c r="H78" s="141"/>
      <c r="I78" s="902">
        <f>E78*0.15</f>
        <v>0.6</v>
      </c>
      <c r="J78" s="141" t="s">
        <v>756</v>
      </c>
      <c r="K78" s="1041" t="s">
        <v>1044</v>
      </c>
      <c r="L78" s="3"/>
      <c r="M78" s="3"/>
      <c r="N78" s="3"/>
      <c r="O78" s="3"/>
      <c r="P78" s="3"/>
    </row>
    <row r="79" spans="1:16">
      <c r="A79" s="3"/>
      <c r="B79" s="3"/>
      <c r="C79" s="177"/>
      <c r="D79" s="141" t="s">
        <v>171</v>
      </c>
      <c r="E79" s="142" t="s">
        <v>183</v>
      </c>
      <c r="F79" s="890" t="s">
        <v>1055</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0.18</v>
      </c>
      <c r="J83" s="141" t="s">
        <v>756</v>
      </c>
      <c r="K83" s="1041" t="s">
        <v>1043</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1.3444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-1.3444</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May 28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978</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1051</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950</v>
      </c>
      <c r="J43" s="904">
        <f>Frequency!$M$10</f>
        <v>2422</v>
      </c>
      <c r="K43" s="331" t="s">
        <v>753</v>
      </c>
      <c r="L43" s="331"/>
      <c r="M43" s="922" t="s">
        <v>1047</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950</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950</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985</v>
      </c>
      <c r="R49" s="297"/>
      <c r="S49" s="297"/>
      <c r="T49" s="683" t="s">
        <v>986</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1052</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1049</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987</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4</v>
      </c>
      <c r="I53" s="913" t="s">
        <v>1050</v>
      </c>
      <c r="J53" s="910">
        <f>H53*0.15</f>
        <v>0.6</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3.47</v>
      </c>
      <c r="K55" s="331" t="s">
        <v>756</v>
      </c>
      <c r="L55" s="331"/>
      <c r="M55" s="323"/>
      <c r="N55" s="3"/>
      <c r="O55" s="295"/>
      <c r="P55" s="297"/>
      <c r="Q55" s="358" t="s">
        <v>229</v>
      </c>
      <c r="R55" s="129">
        <v>500</v>
      </c>
      <c r="S55" s="297" t="s">
        <v>784</v>
      </c>
      <c r="T55" s="358" t="s">
        <v>988</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0.44977985489328792</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964</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952</v>
      </c>
      <c r="P61" s="930" t="s">
        <v>953</v>
      </c>
      <c r="Q61" s="931"/>
      <c r="R61" s="929" t="s">
        <v>954</v>
      </c>
      <c r="S61" s="929" t="s">
        <v>955</v>
      </c>
      <c r="T61" s="929"/>
      <c r="U61" s="929" t="s">
        <v>956</v>
      </c>
      <c r="V61" s="929" t="s">
        <v>957</v>
      </c>
      <c r="W61" s="929" t="s">
        <v>958</v>
      </c>
      <c r="X61" s="929" t="s">
        <v>959</v>
      </c>
      <c r="Y61" s="929" t="s">
        <v>960</v>
      </c>
      <c r="Z61" s="929" t="s">
        <v>961</v>
      </c>
      <c r="AA61" s="929" t="s">
        <v>962</v>
      </c>
    </row>
    <row r="62" spans="1:27">
      <c r="A62" s="3"/>
      <c r="B62" s="3"/>
      <c r="C62" s="330"/>
      <c r="D62" s="331"/>
      <c r="E62" s="331"/>
      <c r="F62" s="331"/>
      <c r="G62" s="331"/>
      <c r="H62" s="331"/>
      <c r="I62" s="331"/>
      <c r="J62" s="331"/>
      <c r="K62" s="331"/>
      <c r="L62" s="331"/>
      <c r="M62" s="323"/>
      <c r="N62" s="3"/>
      <c r="O62" s="932">
        <v>1</v>
      </c>
      <c r="P62" s="1044" t="s">
        <v>1052</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3" t="s">
        <v>1063</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1056</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983</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287.88563793404467</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963</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978</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c r="I114" s="192" t="s">
        <v>950</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950</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950</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991</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992</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993</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994</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995</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1</v>
      </c>
      <c r="I123" s="659" t="s">
        <v>1053</v>
      </c>
      <c r="J123" s="911">
        <f>H123*0.15</f>
        <v>0.15</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0.15</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996</v>
      </c>
      <c r="J128" s="961">
        <f>10^-(J126/10)</f>
        <v>0.96605087898981334</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997</v>
      </c>
      <c r="J130" s="962">
        <v>500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986</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998</v>
      </c>
      <c r="J134" s="962">
        <v>50</v>
      </c>
      <c r="K134" s="141" t="s">
        <v>784</v>
      </c>
      <c r="L134" s="141"/>
      <c r="M134" s="1041" t="s">
        <v>1047</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18</v>
      </c>
      <c r="G136" s="141" t="s">
        <v>756</v>
      </c>
      <c r="H136" s="141"/>
      <c r="I136" s="141" t="s">
        <v>999</v>
      </c>
      <c r="J136" s="302">
        <f>10^(F136/10)</f>
        <v>63.095734448019364</v>
      </c>
      <c r="K136" s="141"/>
      <c r="L136" s="141"/>
      <c r="M136" s="1041" t="s">
        <v>1047</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1057</v>
      </c>
      <c r="N138" s="3"/>
      <c r="O138" s="923" t="s">
        <v>964</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952</v>
      </c>
      <c r="P140" s="930" t="s">
        <v>953</v>
      </c>
      <c r="Q140" s="931"/>
      <c r="R140" s="929" t="s">
        <v>954</v>
      </c>
      <c r="S140" s="929" t="s">
        <v>955</v>
      </c>
      <c r="T140" s="929"/>
      <c r="U140" s="929" t="s">
        <v>956</v>
      </c>
      <c r="V140" s="929" t="s">
        <v>957</v>
      </c>
      <c r="W140" s="929" t="s">
        <v>958</v>
      </c>
      <c r="X140" s="929" t="s">
        <v>959</v>
      </c>
      <c r="Y140" s="929" t="s">
        <v>960</v>
      </c>
      <c r="Z140" s="929" t="s">
        <v>961</v>
      </c>
      <c r="AA140" s="929" t="s">
        <v>962</v>
      </c>
    </row>
    <row r="141" spans="1:27">
      <c r="A141" s="3"/>
      <c r="B141" s="3"/>
      <c r="C141" s="177"/>
      <c r="D141" s="141"/>
      <c r="E141" s="141"/>
      <c r="F141" s="964"/>
      <c r="G141" s="141"/>
      <c r="H141" s="141"/>
      <c r="I141" s="141"/>
      <c r="J141" s="302"/>
      <c r="K141" s="141"/>
      <c r="L141" s="141"/>
      <c r="M141" s="182"/>
      <c r="N141" s="3"/>
      <c r="O141" s="932">
        <v>1</v>
      </c>
      <c r="P141" s="1043" t="s">
        <v>1063</v>
      </c>
      <c r="Q141" s="938"/>
      <c r="R141" s="934"/>
      <c r="S141" s="934">
        <v>3.5</v>
      </c>
      <c r="T141" s="935"/>
      <c r="U141" s="936" t="str">
        <f>IF(R141,10^(R141/10), "")</f>
        <v/>
      </c>
      <c r="V141" s="936">
        <f>IF(S141,10^(S141/10), "")</f>
        <v>2.2387211385683394</v>
      </c>
      <c r="W141" s="936">
        <f>IF(S141,1,"")</f>
        <v>1</v>
      </c>
      <c r="X141" s="935">
        <f>IF(S141,290*(V141-1), "")</f>
        <v>359.22913018481842</v>
      </c>
      <c r="Y141" s="935">
        <f t="shared" ref="Y141:Y150" si="8">IF(S141,X141/W141, "")</f>
        <v>359.22913018481842</v>
      </c>
      <c r="Z141" s="936">
        <f>IF(S141,(V141-1)/W141, "")</f>
        <v>1.2387211385683394</v>
      </c>
      <c r="AA141" s="936">
        <f>IF(S141,Z141+1, "")</f>
        <v>2.2387211385683394</v>
      </c>
    </row>
    <row r="142" spans="1:27">
      <c r="A142" s="3"/>
      <c r="B142" s="3"/>
      <c r="C142" s="177"/>
      <c r="D142" s="141" t="s">
        <v>667</v>
      </c>
      <c r="E142" s="141"/>
      <c r="F142" s="964"/>
      <c r="G142" s="141"/>
      <c r="H142" s="141"/>
      <c r="I142" s="141"/>
      <c r="J142" s="965"/>
      <c r="K142" s="659"/>
      <c r="L142" s="141"/>
      <c r="M142" s="182"/>
      <c r="N142" s="3"/>
      <c r="O142" s="932">
        <v>2</v>
      </c>
      <c r="P142" s="937"/>
      <c r="Q142" s="938"/>
      <c r="R142" s="934"/>
      <c r="S142" s="934"/>
      <c r="T142" s="935"/>
      <c r="U142" s="936" t="str">
        <f t="shared" ref="U142:V150" si="9">IF(R142,10^(R142/10), "")</f>
        <v/>
      </c>
      <c r="V142" s="936" t="str">
        <f t="shared" si="9"/>
        <v/>
      </c>
      <c r="W142" s="936" t="str">
        <f t="shared" ref="W142:W150" si="10">IF(S142,W141*U141, "")</f>
        <v/>
      </c>
      <c r="X142" s="935" t="str">
        <f t="shared" ref="X142:X150" si="11">IF(S142,290*(V142-1), "")</f>
        <v/>
      </c>
      <c r="Y142" s="935" t="str">
        <f t="shared" si="8"/>
        <v/>
      </c>
      <c r="Z142" s="936" t="str">
        <f t="shared" ref="Z142:Z150" si="12">IF(S142,(V142-1)/W142, "")</f>
        <v/>
      </c>
      <c r="AA142" s="936" t="str">
        <f>IF(S142, AA141+Z142, "")</f>
        <v/>
      </c>
    </row>
    <row r="143" spans="1:27">
      <c r="A143" s="3"/>
      <c r="B143" s="3"/>
      <c r="C143" s="177"/>
      <c r="D143" s="141"/>
      <c r="E143" s="141"/>
      <c r="F143" s="964"/>
      <c r="G143" s="141"/>
      <c r="H143" s="141"/>
      <c r="I143" s="141"/>
      <c r="J143" s="302"/>
      <c r="K143" s="141"/>
      <c r="L143" s="141"/>
      <c r="M143" s="182"/>
      <c r="N143" s="3"/>
      <c r="O143" s="932">
        <v>3</v>
      </c>
      <c r="P143" s="937"/>
      <c r="Q143" s="938"/>
      <c r="R143" s="934"/>
      <c r="S143" s="934"/>
      <c r="T143" s="935"/>
      <c r="U143" s="936" t="str">
        <f t="shared" si="9"/>
        <v/>
      </c>
      <c r="V143" s="936" t="str">
        <f t="shared" si="9"/>
        <v/>
      </c>
      <c r="W143" s="936" t="str">
        <f t="shared" si="10"/>
        <v/>
      </c>
      <c r="X143" s="935" t="str">
        <f t="shared" si="11"/>
        <v/>
      </c>
      <c r="Y143" s="935" t="str">
        <f t="shared" si="8"/>
        <v/>
      </c>
      <c r="Z143" s="936" t="str">
        <f t="shared" si="12"/>
        <v/>
      </c>
      <c r="AA143" s="936" t="str">
        <f t="shared" ref="AA143:AA150" si="13">IF(S143, AA142+Z143, "")</f>
        <v/>
      </c>
    </row>
    <row r="144" spans="1:27">
      <c r="A144" s="3"/>
      <c r="B144" s="3"/>
      <c r="C144" s="177"/>
      <c r="D144" s="141" t="s">
        <v>668</v>
      </c>
      <c r="E144" s="141"/>
      <c r="F144" s="964"/>
      <c r="G144" s="141"/>
      <c r="H144" s="141"/>
      <c r="I144" s="141"/>
      <c r="J144" s="966">
        <f>J138*J142</f>
        <v>0</v>
      </c>
      <c r="K144" s="141" t="s">
        <v>756</v>
      </c>
      <c r="L144" s="141"/>
      <c r="M144" s="182"/>
      <c r="N144" s="3"/>
      <c r="O144" s="932">
        <v>4</v>
      </c>
      <c r="P144" s="937"/>
      <c r="Q144" s="938"/>
      <c r="R144" s="934"/>
      <c r="S144" s="934"/>
      <c r="T144" s="935"/>
      <c r="U144" s="936" t="str">
        <f t="shared" si="9"/>
        <v/>
      </c>
      <c r="V144" s="936" t="str">
        <f t="shared" si="9"/>
        <v/>
      </c>
      <c r="W144" s="936" t="str">
        <f t="shared" si="10"/>
        <v/>
      </c>
      <c r="X144" s="935" t="str">
        <f t="shared" si="11"/>
        <v/>
      </c>
      <c r="Y144" s="935" t="str">
        <f t="shared" si="8"/>
        <v/>
      </c>
      <c r="Z144" s="936" t="str">
        <f t="shared" si="12"/>
        <v/>
      </c>
      <c r="AA144" s="936" t="str">
        <f t="shared" si="13"/>
        <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983</v>
      </c>
      <c r="J146" s="374">
        <f>Y152</f>
        <v>359.22913018481842</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1000</v>
      </c>
      <c r="J149" s="374">
        <f>J130*J128+J132*(1-J128)+J134+(J146/(J136/(10^(J144/10))))</f>
        <v>548.56408261749721</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963</v>
      </c>
      <c r="Y152" s="954">
        <f>SUM(Y141:Y150)</f>
        <v>359.22913018481842</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46" zoomScale="120" zoomScaleNormal="120" workbookViewId="0">
      <selection activeCell="B63" sqref="B6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May 28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5"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6"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2</v>
      </c>
      <c r="I32" s="195" t="s">
        <v>36</v>
      </c>
      <c r="J32" s="195"/>
      <c r="K32" s="195" t="s">
        <v>61</v>
      </c>
      <c r="L32" s="624">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1054</v>
      </c>
      <c r="C49" s="195"/>
      <c r="D49" s="288"/>
      <c r="E49" s="195"/>
      <c r="F49" s="195"/>
      <c r="G49" s="195" t="s">
        <v>59</v>
      </c>
      <c r="H49" s="647">
        <v>12</v>
      </c>
      <c r="I49" s="195" t="s">
        <v>36</v>
      </c>
      <c r="J49" s="195"/>
      <c r="K49" s="195" t="s">
        <v>61</v>
      </c>
      <c r="L49" s="624">
        <v>30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OreSat Quad Helix</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5" t="s">
        <v>1060</v>
      </c>
      <c r="C63" s="146"/>
      <c r="D63" s="146"/>
      <c r="E63" s="624"/>
      <c r="F63" s="889"/>
      <c r="G63" s="624"/>
      <c r="H63" s="898"/>
      <c r="I63" s="898"/>
      <c r="J63" s="898"/>
      <c r="K63" s="147"/>
      <c r="L63" s="146"/>
      <c r="M63" s="146" t="s">
        <v>59</v>
      </c>
      <c r="N63" s="148">
        <v>18</v>
      </c>
      <c r="O63" s="146" t="s">
        <v>783</v>
      </c>
      <c r="P63" s="146" t="s">
        <v>61</v>
      </c>
      <c r="Q63" s="149">
        <v>26</v>
      </c>
      <c r="R63" s="146" t="s">
        <v>4</v>
      </c>
      <c r="S63" s="681" t="s">
        <v>465</v>
      </c>
      <c r="T63" s="146"/>
      <c r="U63" s="1046"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9" sqref="E29"/>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May 28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10.597039916698797</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1.6557739825009406E-2</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1.8749999999999999E-2</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1.2111942513925777E-2</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3.4655126310997937E-2</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22.044264853190001</v>
      </c>
      <c r="S59" s="667" t="s">
        <v>756</v>
      </c>
      <c r="T59" s="3"/>
      <c r="U59" s="670">
        <f>2*(G63*(79.76/K59))</f>
        <v>496.74528000000009</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2</v>
      </c>
      <c r="I60" s="195" t="s">
        <v>36</v>
      </c>
      <c r="J60" s="195" t="s">
        <v>61</v>
      </c>
      <c r="K60" s="304">
        <f>'Antenna Gain'!L32</f>
        <v>120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5</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30</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OreSat Quad Helix</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30.676923076923078</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26</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0.41902802902494984</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May 28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2019-05-27T17:20:22Z</dcterms:modified>
</cp:coreProperties>
</file>