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74645119-57F5-4602-99F6-712D7603E94E}" xr6:coauthVersionLast="43" xr6:coauthVersionMax="43"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9" i="12" l="1"/>
  <c r="K81" i="12"/>
  <c r="H81" i="12"/>
  <c r="K63" i="12"/>
  <c r="J123" i="15"/>
  <c r="J53" i="15" l="1"/>
  <c r="I36" i="14"/>
  <c r="I78" i="14" l="1"/>
  <c r="G54" i="23" l="1"/>
  <c r="D109" i="23"/>
  <c r="L105" i="23"/>
  <c r="G97" i="23"/>
  <c r="G91" i="23"/>
  <c r="G89" i="23"/>
  <c r="O88" i="23"/>
  <c r="G87" i="23"/>
  <c r="G78" i="23"/>
  <c r="G77" i="23"/>
  <c r="O71" i="23"/>
  <c r="O69" i="23"/>
  <c r="G67" i="23"/>
  <c r="B67" i="23"/>
  <c r="G66" i="23"/>
  <c r="O62" i="23"/>
  <c r="G61" i="23"/>
  <c r="O60" i="23"/>
  <c r="G56" i="23"/>
  <c r="O55" i="23"/>
  <c r="O51" i="23"/>
  <c r="O50" i="23"/>
  <c r="G47" i="23"/>
  <c r="G45" i="23"/>
  <c r="O40" i="23"/>
  <c r="O39" i="23"/>
  <c r="O29" i="23"/>
  <c r="O27" i="23"/>
  <c r="O25" i="23"/>
  <c r="G25" i="23"/>
  <c r="O19" i="23"/>
  <c r="O15" i="23" s="1"/>
  <c r="O17" i="23" s="1"/>
  <c r="D10" i="23"/>
  <c r="L5" i="23"/>
  <c r="L1" i="23"/>
  <c r="G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Z142" i="15"/>
  <c r="AA142" i="15" s="1"/>
  <c r="X142" i="15"/>
  <c r="Y142" i="15" s="1"/>
  <c r="Y62" i="15"/>
  <c r="J126" i="15"/>
  <c r="T135" i="15"/>
  <c r="Z144" i="15"/>
  <c r="X141" i="15"/>
  <c r="Y141" i="15" s="1"/>
  <c r="Z62" i="15"/>
  <c r="AA62" i="15" s="1"/>
  <c r="W63" i="15"/>
  <c r="Y63" i="15" s="1"/>
  <c r="Y66" i="15"/>
  <c r="W64" i="15"/>
  <c r="W65" i="15" s="1"/>
  <c r="W66" i="15" s="1"/>
  <c r="W67" i="15" s="1"/>
  <c r="Z65" i="15"/>
  <c r="Z64" i="15"/>
  <c r="X65" i="15"/>
  <c r="Y65" i="15" s="1"/>
  <c r="X69" i="15"/>
  <c r="I60" i="14"/>
  <c r="Y146" i="15" l="1"/>
  <c r="Y148" i="15"/>
  <c r="Z147" i="15"/>
  <c r="Z143" i="15"/>
  <c r="Y143" i="15"/>
  <c r="Z146" i="15"/>
  <c r="Y147" i="15"/>
  <c r="Z145" i="15"/>
  <c r="Y145" i="15"/>
  <c r="Z148" i="15"/>
  <c r="Y144" i="15"/>
  <c r="Y149" i="15"/>
  <c r="J128" i="15"/>
  <c r="O65" i="23"/>
  <c r="I87" i="14"/>
  <c r="O34" i="23" s="1"/>
  <c r="AA143" i="15"/>
  <c r="AA144" i="15" s="1"/>
  <c r="AA145" i="15" s="1"/>
  <c r="AA146" i="15" s="1"/>
  <c r="AA147" i="15" s="1"/>
  <c r="AA148" i="15" s="1"/>
  <c r="AA149" i="15" s="1"/>
  <c r="Z63" i="15"/>
  <c r="AA63" i="15" s="1"/>
  <c r="AA64" i="15" s="1"/>
  <c r="Y67" i="15"/>
  <c r="W68" i="15"/>
  <c r="Z66" i="15"/>
  <c r="AA65" i="15"/>
  <c r="Y64" i="15"/>
  <c r="Z67" i="15"/>
  <c r="Y152" i="15" l="1"/>
  <c r="J146" i="15" s="1"/>
  <c r="J149"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23"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N10" i="23" l="1"/>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N45" i="23" s="1"/>
  <c r="J55" i="15"/>
  <c r="G51" i="23" s="1"/>
  <c r="F55" i="9" l="1"/>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K55" i="9" l="1"/>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<sst xmlns="http://schemas.openxmlformats.org/spreadsheetml/2006/main" count="2756" uniqueCount="1066">
  <si>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</si>
  <si>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</si>
  <si>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</si>
  <si>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</si>
  <si>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</si>
  <si>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</si>
  <si>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</si>
  <si>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</si>
  <si>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</si>
  <si>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</si>
  <si>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</si>
  <si>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</si>
  <si>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</si>
  <si>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</si>
  <si>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</si>
  <si>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</si>
  <si>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</si>
  <si>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</si>
  <si>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</si>
  <si>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</si>
  <si>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</si>
  <si>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</si>
  <si>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</si>
  <si>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</si>
  <si>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</si>
  <si>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</si>
  <si>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</si>
  <si>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</si>
  <si>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</si>
  <si>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</si>
  <si>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</si>
  <si>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</si>
  <si>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</si>
  <si>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</si>
  <si>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</si>
  <si>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</si>
  <si>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</si>
  <si>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</si>
  <si>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</si>
  <si>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</si>
  <si>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</si>
  <si>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</si>
  <si>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</si>
  <si>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</si>
  <si>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</si>
  <si>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</si>
  <si>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</si>
  <si>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</si>
  <si>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</si>
  <si>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</si>
  <si>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</si>
  <si>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</si>
  <si>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</si>
  <si>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</si>
  <si>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</si>
  <si>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</si>
  <si>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</si>
  <si>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</si>
  <si>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</si>
  <si>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</si>
  <si>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</si>
  <si>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</si>
  <si>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</si>
  <si>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</si>
  <si>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</si>
  <si>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</si>
  <si>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</si>
  <si>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</si>
  <si>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</si>
  <si>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</si>
  <si>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</si>
  <si>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</si>
  <si>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</si>
  <si>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</si>
  <si>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</si>
  <si>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</si>
  <si>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</si>
  <si>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</si>
  <si>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</si>
  <si>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</si>
  <si>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</si>
  <si>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</si>
  <si>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</si>
  <si>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</si>
  <si>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</si>
  <si>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</si>
  <si>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</si>
  <si>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</si>
  <si>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</si>
  <si>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</si>
  <si>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</si>
  <si>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</si>
  <si>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</si>
  <si>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</si>
  <si>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</si>
  <si>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</si>
  <si>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</si>
  <si>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</si>
  <si>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</si>
  <si>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</si>
  <si>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</si>
  <si>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</si>
  <si>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</si>
  <si>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</si>
  <si>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</si>
  <si>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</si>
  <si>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</si>
  <si>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</si>
  <si>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</si>
  <si>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</si>
  <si>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</si>
  <si>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</si>
  <si>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</si>
  <si>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</si>
  <si>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</si>
  <si>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</si>
  <si>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</si>
  <si>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</si>
  <si>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</si>
  <si>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</si>
  <si>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</si>
  <si>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</si>
  <si>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</si>
  <si>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</si>
  <si>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</si>
  <si>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</si>
  <si>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</si>
  <si>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</si>
  <si>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</si>
  <si>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</si>
  <si>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</si>
  <si>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</si>
  <si>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</si>
  <si>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</si>
  <si>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</si>
  <si>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</si>
  <si>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</si>
  <si>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</si>
  <si>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</si>
  <si>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</si>
  <si>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</si>
  <si>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</si>
  <si>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</si>
  <si>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</si>
  <si>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</si>
  <si>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</si>
  <si>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</si>
  <si>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</si>
  <si>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</si>
  <si>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</si>
  <si>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</si>
  <si>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</si>
  <si>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</si>
  <si>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</si>
  <si>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</si>
  <si>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</si>
  <si>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</si>
  <si>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</si>
  <si>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</si>
  <si>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</si>
  <si>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</si>
  <si>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</si>
  <si>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</si>
  <si>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</si>
  <si>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</si>
  <si>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</si>
  <si>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</si>
  <si>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</si>
  <si>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</si>
  <si>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</si>
  <si>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</si>
  <si>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</si>
  <si>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</si>
  <si>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</si>
  <si>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</si>
  <si>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</si>
  <si>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</si>
  <si>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</si>
  <si>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</si>
  <si>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</si>
  <si>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</si>
  <si>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</si>
  <si>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</si>
  <si>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</si>
  <si>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</si>
  <si>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</si>
  <si>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</si>
  <si>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</si>
  <si>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</si>
  <si>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</si>
  <si>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</si>
  <si>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</si>
  <si>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</si>
  <si>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</si>
  <si>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</si>
  <si>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</si>
  <si>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</si>
  <si>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</si>
  <si>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</si>
  <si>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</si>
  <si>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</si>
  <si>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</si>
  <si>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</si>
  <si>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</si>
  <si>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</si>
  <si>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</si>
  <si>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</si>
  <si>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</si>
  <si>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</si>
  <si>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</si>
  <si>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</si>
  <si>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</si>
  <si>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</si>
  <si>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</si>
  <si>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</si>
  <si>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</si>
  <si>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</si>
  <si>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</si>
  <si>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</si>
  <si>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</si>
  <si>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</si>
  <si>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</si>
  <si>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</si>
  <si>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</si>
  <si>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</si>
  <si>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</si>
  <si>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</si>
  <si>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</si>
  <si>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</si>
  <si>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</si>
  <si>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</si>
  <si>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</si>
  <si>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</si>
  <si>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</si>
  <si>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</si>
  <si>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</si>
  <si>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</si>
  <si>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</si>
  <si>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</si>
  <si>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</si>
  <si>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</si>
  <si>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</si>
  <si>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</si>
  <si>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</si>
  <si>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</si>
  <si>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</si>
  <si>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</si>
  <si>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</si>
  <si>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</si>
  <si>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</si>
  <si>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</si>
  <si>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</si>
  <si>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</si>
  <si>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</si>
  <si>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</si>
  <si>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</si>
  <si>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</si>
  <si>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</si>
  <si>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</si>
  <si>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</si>
  <si>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</si>
  <si>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</si>
  <si>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</si>
  <si>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</si>
  <si>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</si>
  <si>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</si>
  <si>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</si>
  <si>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</si>
  <si>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</si>
  <si>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</si>
  <si>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</si>
  <si>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</si>
  <si>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</si>
  <si>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</si>
  <si>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</si>
  <si>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</si>
  <si>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</si>
  <si>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</si>
  <si>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</si>
  <si>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</si>
  <si>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</si>
  <si>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</si>
  <si>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</si>
  <si>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</si>
  <si>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</si>
  <si>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</si>
  <si>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</si>
  <si>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</si>
  <si>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</si>
  <si>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</si>
  <si>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</si>
  <si>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</si>
  <si>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</si>
  <si>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</si>
  <si>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</si>
  <si>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</si>
  <si>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</si>
  <si>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</si>
  <si>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</si>
  <si>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</si>
  <si>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</si>
  <si>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</si>
  <si>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</si>
  <si>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</si>
  <si>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</si>
  <si>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</si>
  <si>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</si>
  <si>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</si>
  <si>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</si>
  <si>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</si>
  <si>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</si>
  <si>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</si>
  <si>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</si>
  <si>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</si>
  <si>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</si>
  <si>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</si>
  <si>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</si>
  <si>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</si>
  <si>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</si>
  <si>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</si>
  <si>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</si>
  <si>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</si>
  <si>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</si>
  <si>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</si>
  <si>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</si>
  <si>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</si>
  <si>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</si>
  <si>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</si>
  <si>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</si>
  <si>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</si>
  <si>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</si>
  <si>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</si>
  <si>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</si>
  <si>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</si>
  <si>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</si>
  <si>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</si>
  <si>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</si>
  <si>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</si>
  <si>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</si>
  <si>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</si>
  <si>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</si>
  <si>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</si>
  <si>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</si>
  <si>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</si>
  <si>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</si>
  <si>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</si>
  <si>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</si>
  <si>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</si>
  <si>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</si>
  <si>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</si>
  <si>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</si>
  <si>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</si>
  <si>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</si>
  <si>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</si>
  <si>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</si>
  <si>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</si>
  <si>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</si>
  <si>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</si>
  <si>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</si>
  <si>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</si>
  <si>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</si>
  <si>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</si>
  <si>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</si>
  <si>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</si>
  <si>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</si>
  <si>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</si>
  <si>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</si>
  <si>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</si>
  <si>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</si>
  <si>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</si>
  <si>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</si>
  <si>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</si>
  <si>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</si>
  <si>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</si>
  <si>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</si>
  <si>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</si>
  <si>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</si>
  <si>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</si>
  <si>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</si>
  <si>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</si>
  <si>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</si>
  <si>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</si>
  <si>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</si>
  <si>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</si>
  <si>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</si>
  <si>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</si>
  <si>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</si>
  <si>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</si>
  <si>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</si>
  <si>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</si>
  <si>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</si>
  <si>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</si>
  <si>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</si>
  <si>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</si>
  <si>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</si>
  <si>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</si>
  <si>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</si>
  <si>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</si>
  <si>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</si>
  <si>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</si>
  <si>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</si>
  <si>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</si>
  <si>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</si>
  <si>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</si>
  <si>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</si>
  <si>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</si>
  <si>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</si>
  <si>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</si>
  <si>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</si>
  <si>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</si>
  <si>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</si>
  <si>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</si>
  <si>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</si>
  <si>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</si>
  <si>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</si>
  <si>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</si>
  <si>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</si>
  <si>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</si>
  <si>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</si>
  <si>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</si>
  <si>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</si>
  <si>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</si>
  <si>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</si>
  <si>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</si>
  <si>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</si>
  <si>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</si>
  <si>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</si>
  <si>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</si>
  <si>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</si>
  <si>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</si>
  <si>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</si>
  <si>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</si>
  <si>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</si>
  <si>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</si>
  <si>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</si>
  <si>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</si>
  <si>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</si>
  <si>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</si>
  <si>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</si>
  <si>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</si>
  <si>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</si>
  <si>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</si>
  <si>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</si>
  <si>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</si>
  <si>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</si>
  <si>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</si>
  <si>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</si>
  <si>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</si>
  <si>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</si>
  <si>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</si>
  <si>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</si>
  <si>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</si>
  <si>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</si>
  <si>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</si>
  <si>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</si>
  <si>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</si>
  <si>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</si>
  <si>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</si>
  <si>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</si>
  <si>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</si>
  <si>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</si>
  <si>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</si>
  <si>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</si>
  <si>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</si>
  <si>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</si>
  <si>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</si>
  <si>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</si>
  <si>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</si>
  <si>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</si>
  <si>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</si>
  <si>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</si>
  <si>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</si>
  <si>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</si>
  <si>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</si>
  <si>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</si>
  <si>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</si>
  <si>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</si>
  <si>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</si>
  <si>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</si>
  <si>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</si>
  <si>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</si>
  <si>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</si>
  <si>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</si>
  <si>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</si>
  <si>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</si>
  <si>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</si>
  <si>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</si>
  <si>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</si>
  <si>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</si>
  <si>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</si>
  <si>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</si>
  <si>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</si>
  <si>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</si>
  <si>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</si>
  <si>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</si>
  <si>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</si>
  <si>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</si>
  <si>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</si>
  <si>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</si>
  <si>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</si>
  <si>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</si>
  <si>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</si>
  <si>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</si>
  <si>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</si>
  <si>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</si>
  <si>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</si>
  <si>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</si>
  <si>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</si>
  <si>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</si>
  <si>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</si>
  <si>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</si>
  <si>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</si>
  <si>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</si>
  <si>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</si>
  <si>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</si>
  <si>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</si>
  <si>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</si>
  <si>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</si>
  <si>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</si>
  <si>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</si>
  <si>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</si>
  <si>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</si>
  <si>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</si>
  <si>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</si>
  <si>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</si>
  <si>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</si>
  <si>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</si>
  <si>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</si>
  <si>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</si>
  <si>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</si>
  <si>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</si>
  <si>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</si>
  <si>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</si>
  <si>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</si>
  <si>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</si>
  <si>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</si>
  <si>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</si>
  <si>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</si>
  <si>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</si>
  <si>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</si>
  <si>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</si>
  <si>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</si>
  <si>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</si>
  <si>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</si>
  <si>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</si>
  <si>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</si>
  <si>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</si>
  <si>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</si>
  <si>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</si>
  <si>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</si>
  <si>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</si>
  <si>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</si>
  <si>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</si>
  <si>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</si>
  <si>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</si>
  <si>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</si>
  <si>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</si>
  <si>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</si>
  <si>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</si>
  <si>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</si>
  <si>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</si>
  <si>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</si>
  <si>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</si>
  <si>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</si>
  <si>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</si>
  <si>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</si>
  <si>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</si>
  <si>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</si>
  <si>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</si>
  <si>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</si>
  <si>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</si>
  <si>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</si>
  <si>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</si>
  <si>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</si>
  <si>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</si>
  <si>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</si>
  <si>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</si>
  <si>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</si>
  <si>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</si>
  <si>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</si>
  <si>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</si>
  <si>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</si>
  <si>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</si>
  <si>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</si>
  <si>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</si>
  <si>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</si>
  <si>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</si>
  <si>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</si>
  <si>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</si>
  <si>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</si>
  <si>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</si>
  <si>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</si>
  <si>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</si>
  <si>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</si>
  <si>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</si>
  <si>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</si>
  <si>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</si>
  <si>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</si>
  <si>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</si>
  <si>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</si>
  <si>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</si>
  <si>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</si>
  <si>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</si>
  <si>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</si>
  <si>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</si>
  <si>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</si>
  <si>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</si>
  <si>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</si>
  <si>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</si>
  <si>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</si>
  <si>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</si>
  <si>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</si>
  <si>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</si>
  <si>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</si>
  <si>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</si>
  <si>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</si>
  <si>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</si>
  <si>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</si>
  <si>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</si>
  <si>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</si>
  <si>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</si>
  <si>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</si>
  <si>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</si>
  <si>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</si>
  <si>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</si>
  <si>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</si>
  <si>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</si>
  <si>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</si>
  <si>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</si>
  <si>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</si>
  <si>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</si>
  <si>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</si>
  <si>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</si>
  <si>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</si>
  <si>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</si>
  <si>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</si>
  <si>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</si>
  <si>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</si>
  <si>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</si>
  <si>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</si>
  <si>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</si>
  <si>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</si>
  <si>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</si>
  <si>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</si>
  <si>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</si>
  <si>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</si>
  <si>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</si>
  <si>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</si>
  <si>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</si>
  <si>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</si>
  <si>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</si>
  <si>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</si>
  <si>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</si>
  <si>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</si>
  <si>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</si>
  <si>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</si>
  <si>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</si>
  <si>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</si>
  <si>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</si>
  <si>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</si>
  <si>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</si>
  <si>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</si>
  <si>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</si>
  <si>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</si>
  <si>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</si>
  <si>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</si>
  <si>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</si>
  <si>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</si>
  <si>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</si>
  <si>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</si>
  <si>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</si>
  <si>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</si>
  <si>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</si>
  <si>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</si>
  <si>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</si>
  <si>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</si>
  <si>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</si>
  <si>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</si>
  <si>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</si>
  <si>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</si>
  <si>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</si>
  <si>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</si>
  <si>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</si>
  <si>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</si>
  <si>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</si>
  <si>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</si>
  <si>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</si>
  <si>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</si>
  <si>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</si>
  <si>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</si>
  <si>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</si>
  <si>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</si>
  <si>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</si>
  <si>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</si>
  <si>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</si>
  <si>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</si>
  <si>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</si>
  <si>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</si>
  <si>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</si>
  <si>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</si>
  <si>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</si>
  <si>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</si>
  <si>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</si>
  <si>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</si>
  <si>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</si>
  <si>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</si>
  <si>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</si>
  <si>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</si>
  <si>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</si>
  <si>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</si>
  <si>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</si>
  <si>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</si>
  <si>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</si>
  <si>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</si>
  <si>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</si>
  <si>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</si>
  <si>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</si>
  <si>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</si>
  <si>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</si>
  <si>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</si>
  <si>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</si>
  <si>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</si>
  <si>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</si>
  <si>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</si>
  <si>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</si>
  <si>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</si>
  <si>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</si>
  <si>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</si>
  <si>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</si>
  <si>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</si>
  <si>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</si>
  <si>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</si>
  <si>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</si>
  <si>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</si>
  <si>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</si>
  <si>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</si>
  <si>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</si>
  <si>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</si>
  <si>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</si>
  <si>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</si>
  <si>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</si>
  <si>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</si>
  <si>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</si>
  <si>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</si>
  <si>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</si>
  <si>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</si>
  <si>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</si>
  <si>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</si>
  <si>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</si>
  <si>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</si>
  <si>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</si>
  <si>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</si>
  <si>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</si>
  <si>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</si>
  <si>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</si>
  <si>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</si>
  <si>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</si>
  <si>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</si>
  <si>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</si>
  <si>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</si>
  <si>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</si>
  <si>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</si>
  <si>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</si>
  <si>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</si>
  <si>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</si>
  <si>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</si>
  <si>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</si>
  <si>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</si>
  <si>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</si>
  <si>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</si>
  <si>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</si>
  <si>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</si>
  <si>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</si>
  <si>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</si>
  <si>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</si>
  <si>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</si>
  <si>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</si>
  <si>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</si>
  <si>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</si>
  <si>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</si>
  <si>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</si>
  <si>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</si>
  <si>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</si>
  <si>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</si>
  <si>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</si>
  <si>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</si>
  <si>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</si>
  <si>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</si>
  <si>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</si>
  <si>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</si>
  <si>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</si>
  <si>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</si>
  <si>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</si>
  <si>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</si>
  <si>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</si>
  <si>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</si>
  <si>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</si>
  <si>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</si>
  <si>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</si>
  <si>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</si>
  <si>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</si>
  <si>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</si>
  <si>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</si>
  <si>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</si>
  <si>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</si>
  <si>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</si>
  <si>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</si>
  <si>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</si>
  <si>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</si>
  <si>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</si>
  <si>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</si>
  <si>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</si>
  <si>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</si>
  <si>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</si>
  <si>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</si>
  <si>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</si>
  <si>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</si>
  <si>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</si>
  <si>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</si>
  <si>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</si>
  <si>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</si>
  <si>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</si>
  <si>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</si>
  <si>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</si>
  <si>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</si>
  <si>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</si>
  <si>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</si>
  <si>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</si>
  <si>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</si>
  <si>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</si>
  <si>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</si>
  <si>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</si>
  <si>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</si>
  <si>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</si>
  <si>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</si>
  <si>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</si>
  <si>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</si>
  <si>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</si>
  <si>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</si>
  <si>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</si>
  <si>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</si>
  <si>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</si>
  <si>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</si>
  <si>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</si>
  <si>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</si>
  <si>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</si>
  <si>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</si>
  <si>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</si>
  <si>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</si>
  <si>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</si>
  <si>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</si>
  <si>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</si>
  <si>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</si>
  <si>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</si>
  <si>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</si>
  <si>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</si>
  <si>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</si>
  <si>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</si>
  <si>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</si>
  <si>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</si>
  <si>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</si>
  <si>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</si>
  <si>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</si>
  <si>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</si>
  <si>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</si>
  <si>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</si>
  <si>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</si>
  <si>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</si>
  <si>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</si>
  <si>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</si>
  <si>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</si>
  <si>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</si>
  <si>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</si>
  <si>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</si>
  <si>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</si>
  <si>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</si>
  <si>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</si>
  <si>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</si>
  <si>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</si>
  <si>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</si>
  <si>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</si>
  <si>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</si>
  <si>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</si>
  <si>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</si>
  <si>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</si>
  <si>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</si>
  <si>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</si>
  <si>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</si>
  <si>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</si>
  <si>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</si>
  <si>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</si>
  <si>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</si>
  <si>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</si>
  <si>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</si>
  <si>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</si>
  <si>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</si>
  <si>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</si>
  <si>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</si>
  <si>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</si>
  <si>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</si>
  <si>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</si>
  <si>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</si>
  <si>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</si>
  <si>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</si>
  <si>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</si>
  <si>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</si>
  <si>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</si>
  <si>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</si>
  <si>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</si>
  <si>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</si>
  <si>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</si>
  <si>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</si>
  <si>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</si>
  <si>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</si>
  <si>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</si>
  <si>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</si>
  <si>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</si>
  <si>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</si>
  <si>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</si>
  <si>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</si>
  <si>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</si>
  <si>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</si>
  <si>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</si>
  <si>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</si>
  <si>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</si>
  <si>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</si>
  <si>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</si>
  <si>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</si>
  <si>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</si>
  <si>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</si>
  <si>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</si>
  <si>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</si>
  <si>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</si>
  <si>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</si>
  <si>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</si>
  <si>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</si>
  <si>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</si>
  <si>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</si>
  <si>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</si>
  <si>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</si>
  <si>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</si>
  <si>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</si>
  <si>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</si>
  <si>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</si>
  <si>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</si>
  <si>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</si>
  <si>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</si>
  <si>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</si>
  <si>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</si>
  <si>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</si>
  <si>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</si>
  <si>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</si>
  <si>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</si>
  <si>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</si>
  <si>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</si>
  <si>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</si>
  <si>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</si>
  <si>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</si>
  <si>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</si>
  <si>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</si>
  <si>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</si>
  <si>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</si>
  <si>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</si>
  <si>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</si>
  <si>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</si>
  <si>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</si>
  <si>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</si>
  <si>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</si>
  <si>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</si>
  <si>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</si>
  <si>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</si>
  <si>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</si>
  <si>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</si>
  <si>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</si>
  <si>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</si>
  <si>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</si>
  <si>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</si>
  <si>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</si>
  <si>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</si>
  <si>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</si>
  <si>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</si>
  <si>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</si>
  <si>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</si>
  <si>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</si>
  <si>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</si>
  <si>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</si>
  <si>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</si>
  <si>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</si>
  <si>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</si>
  <si>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</si>
  <si>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</si>
  <si>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</si>
  <si>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</si>
  <si>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</si>
  <si>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</si>
  <si>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</si>
  <si>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</si>
  <si>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</si>
  <si>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</si>
  <si>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</si>
  <si>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</si>
  <si>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</si>
  <si>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</si>
  <si>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COMMAND</t>
  </si>
  <si>
    <t>TELEMETRY</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</si>
  <si>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</si>
  <si>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</si>
  <si>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</si>
  <si>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</si>
  <si>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</si>
  <si>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</si>
  <si>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</si>
  <si>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</si>
  <si>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</si>
  <si>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Total Link Losses:</t>
  </si>
  <si>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</si>
  <si>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</si>
  <si>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</si>
  <si>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</si>
  <si>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</si>
  <si>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</si>
  <si>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</si>
  <si>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</si>
  <si>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</si>
  <si>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</si>
  <si>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</si>
  <si>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</si>
  <si>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</si>
  <si>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</si>
  <si>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</si>
  <si>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</si>
  <si>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</si>
  <si>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</si>
  <si>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</si>
  <si>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</si>
  <si>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</si>
  <si>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</si>
  <si>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</si>
  <si>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</si>
  <si>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</si>
  <si>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</si>
  <si>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</si>
  <si>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</si>
  <si>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</si>
  <si>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</si>
  <si>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</si>
  <si>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</si>
  <si>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</si>
  <si>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</si>
  <si>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</si>
  <si>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</si>
  <si>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</si>
  <si>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</si>
  <si>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</si>
  <si>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</si>
  <si>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</si>
  <si>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</si>
  <si>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Qorvo TQP3M9035</t>
  </si>
  <si>
    <t>Not used</t>
  </si>
  <si>
    <t>BAW</t>
  </si>
  <si>
    <t>Long line + conn.</t>
  </si>
  <si>
    <t>Switch (QPC 1022)</t>
  </si>
  <si>
    <t>S Band 802.11 Mission Data Uplink &amp; Downlink using UniClOGS</t>
  </si>
  <si>
    <t>5W Max</t>
  </si>
  <si>
    <t>2019 May 28</t>
  </si>
  <si>
    <t>Atheros AR9271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</si>
</sst>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3">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173" fontId="87" fillId="4" borderId="19" xfId="8" applyNumberFormat="1" applyFont="1" applyFill="1" applyBorder="1" applyAlignment="1">
      <alignment horizontal="center"/>
    </xf>
    <xf numFmtId="173" fontId="87" fillId="4" borderId="21" xfId="8" applyNumberFormat="1" applyFont="1"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434206</xdr:colOff>
      <xdr:row>84</xdr:row>
      <xdr:rowOff>50704</xdr:rowOff>
    </xdr:from>
    <xdr:to>
      <xdr:col>9</xdr:col>
      <xdr:colOff>83702</xdr:colOff>
      <xdr:row>87</xdr:row>
      <xdr:rowOff>85631</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5456479" y="13876386"/>
          <a:ext cx="642405"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273052</xdr:colOff>
      <xdr:row>79</xdr:row>
      <xdr:rowOff>113047</xdr:rowOff>
    </xdr:from>
    <xdr:to>
      <xdr:col>8</xdr:col>
      <xdr:colOff>727114</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596825"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10</xdr:col>
      <xdr:colOff>355023</xdr:colOff>
      <xdr:row>83</xdr:row>
      <xdr:rowOff>132289</xdr:rowOff>
    </xdr:from>
    <xdr:to>
      <xdr:col>11</xdr:col>
      <xdr:colOff>21649</xdr:colOff>
      <xdr:row>88</xdr:row>
      <xdr:rowOff>66036</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7068705" y="13796334"/>
          <a:ext cx="284308" cy="741929"/>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6</xdr:col>
      <xdr:colOff>148065</xdr:colOff>
      <xdr:row>83</xdr:row>
      <xdr:rowOff>75048</xdr:rowOff>
    </xdr:from>
    <xdr:to>
      <xdr:col>7</xdr:col>
      <xdr:colOff>284108</xdr:colOff>
      <xdr:row>88</xdr:row>
      <xdr:rowOff>72930</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3827987" y="13765262"/>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5</xdr:col>
      <xdr:colOff>69369</xdr:colOff>
      <xdr:row>84</xdr:row>
      <xdr:rowOff>49929</xdr:rowOff>
    </xdr:from>
    <xdr:to>
      <xdr:col>5</xdr:col>
      <xdr:colOff>578424</xdr:colOff>
      <xdr:row>87</xdr:row>
      <xdr:rowOff>87742</xdr:rowOff>
    </xdr:to>
    <xdr:sp macro="" textlink="">
      <xdr:nvSpPr>
        <xdr:cNvPr id="59" name="Rectangle 1">
          <a:extLst>
            <a:ext uri="{FF2B5EF4-FFF2-40B4-BE49-F238E27FC236}">
              <a16:creationId xmlns:a16="http://schemas.microsoft.com/office/drawing/2014/main" id="{4669A793-FFEF-4C9E-B56F-D80844207260}"/>
            </a:ext>
          </a:extLst>
        </xdr:cNvPr>
        <xdr:cNvSpPr>
          <a:spLocks noChangeArrowheads="1"/>
        </xdr:cNvSpPr>
      </xdr:nvSpPr>
      <xdr:spPr bwMode="auto">
        <a:xfrm>
          <a:off x="3157778" y="13875611"/>
          <a:ext cx="509055"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3</xdr:col>
      <xdr:colOff>484909</xdr:colOff>
      <xdr:row>84</xdr:row>
      <xdr:rowOff>45694</xdr:rowOff>
    </xdr:from>
    <xdr:to>
      <xdr:col>4</xdr:col>
      <xdr:colOff>479907</xdr:colOff>
      <xdr:row>87</xdr:row>
      <xdr:rowOff>83507</xdr:rowOff>
    </xdr:to>
    <xdr:sp macro="" textlink="">
      <xdr:nvSpPr>
        <xdr:cNvPr id="60" name="Rectangle 1">
          <a:extLst>
            <a:ext uri="{FF2B5EF4-FFF2-40B4-BE49-F238E27FC236}">
              <a16:creationId xmlns:a16="http://schemas.microsoft.com/office/drawing/2014/main" id="{6A483871-7420-47D0-B065-29045F64DF0D}"/>
            </a:ext>
          </a:extLst>
        </xdr:cNvPr>
        <xdr:cNvSpPr>
          <a:spLocks noChangeArrowheads="1"/>
        </xdr:cNvSpPr>
      </xdr:nvSpPr>
      <xdr:spPr bwMode="auto">
        <a:xfrm>
          <a:off x="2337954" y="13871376"/>
          <a:ext cx="612680"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7</xdr:col>
      <xdr:colOff>430064</xdr:colOff>
      <xdr:row>84</xdr:row>
      <xdr:rowOff>53392</xdr:rowOff>
    </xdr:from>
    <xdr:to>
      <xdr:col>8</xdr:col>
      <xdr:colOff>239561</xdr:colOff>
      <xdr:row>87</xdr:row>
      <xdr:rowOff>88319</xdr:rowOff>
    </xdr:to>
    <xdr:sp macro="" textlink="">
      <xdr:nvSpPr>
        <xdr:cNvPr id="61" name="Rectangle 1">
          <a:extLst>
            <a:ext uri="{FF2B5EF4-FFF2-40B4-BE49-F238E27FC236}">
              <a16:creationId xmlns:a16="http://schemas.microsoft.com/office/drawing/2014/main" id="{B9E35FD8-873F-4ACC-AE8B-0BD7F963DDC8}"/>
            </a:ext>
          </a:extLst>
        </xdr:cNvPr>
        <xdr:cNvSpPr>
          <a:spLocks noChangeArrowheads="1"/>
        </xdr:cNvSpPr>
      </xdr:nvSpPr>
      <xdr:spPr bwMode="auto">
        <a:xfrm>
          <a:off x="4753837" y="13879074"/>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oneCellAnchor>
    <xdr:from>
      <xdr:col>9</xdr:col>
      <xdr:colOff>219752</xdr:colOff>
      <xdr:row>84</xdr:row>
      <xdr:rowOff>91980</xdr:rowOff>
    </xdr:from>
    <xdr:ext cx="797398" cy="239809"/>
    <xdr:sp macro="" textlink="">
      <xdr:nvSpPr>
        <xdr:cNvPr id="62" name="TextBox 61">
          <a:extLst>
            <a:ext uri="{FF2B5EF4-FFF2-40B4-BE49-F238E27FC236}">
              <a16:creationId xmlns:a16="http://schemas.microsoft.com/office/drawing/2014/main" id="{D98C3265-4B14-4DA1-ABE5-340D756E8E27}"/>
            </a:ext>
          </a:extLst>
        </xdr:cNvPr>
        <xdr:cNvSpPr txBox="1"/>
      </xdr:nvSpPr>
      <xdr:spPr>
        <a:xfrm>
          <a:off x="6234934" y="13917662"/>
          <a:ext cx="79739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Long Line</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3" sqref="F2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1" t="s">
        <v>932</v>
      </c>
      <c r="H1" s="1052"/>
      <c r="I1" s="1048" t="s">
        <v>952</v>
      </c>
      <c r="J1" s="1049"/>
      <c r="K1" s="1049"/>
      <c r="L1" s="1049"/>
      <c r="M1" s="1050"/>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1062</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1002</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1064</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1015</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D21" sqref="D21"/>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May 28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60</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43">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43">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48" sqref="E48"/>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May 28</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12</v>
      </c>
      <c r="F3" s="652" t="str">
        <f>INDEX(C6:C24,E3,1)</f>
        <v>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10.1</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967</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967</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968</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968</v>
      </c>
      <c r="D24" s="69" t="s">
        <v>852</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0.5</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12</v>
      </c>
      <c r="F31" s="652" t="str">
        <f>INDEX(C34:C53,E31,1)</f>
        <v>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10.1</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967</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967</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968</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968</v>
      </c>
      <c r="D53" s="69" t="s">
        <v>852</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0.5</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May 28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5</v>
      </c>
      <c r="C6" s="91" t="s">
        <v>780</v>
      </c>
      <c r="D6" s="419" t="s">
        <v>384</v>
      </c>
      <c r="E6" s="419"/>
      <c r="F6" s="419"/>
      <c r="G6" s="419"/>
      <c r="H6" s="419"/>
      <c r="I6" s="419"/>
      <c r="J6" s="420" t="s">
        <v>413</v>
      </c>
      <c r="K6" s="411"/>
      <c r="L6" s="410"/>
      <c r="M6" s="91"/>
      <c r="N6" s="91"/>
      <c r="O6" s="91"/>
      <c r="P6" s="91"/>
      <c r="Q6" s="91"/>
      <c r="R6" s="91"/>
    </row>
    <row r="7" spans="1:18">
      <c r="A7" s="424" t="s">
        <v>786</v>
      </c>
      <c r="B7" s="132">
        <f>10*LOG10(B6)</f>
        <v>6.9897000433601884</v>
      </c>
      <c r="C7" s="91" t="s">
        <v>781</v>
      </c>
      <c r="D7" s="419" t="s">
        <v>375</v>
      </c>
      <c r="E7" s="419"/>
      <c r="F7" s="419"/>
      <c r="G7" s="419"/>
      <c r="H7" s="419"/>
      <c r="I7" s="419"/>
      <c r="J7" s="91"/>
      <c r="K7" s="91"/>
      <c r="L7" s="91"/>
      <c r="M7" s="91"/>
      <c r="N7" s="91"/>
      <c r="O7" s="91"/>
      <c r="P7" s="91"/>
      <c r="Q7" s="91"/>
      <c r="R7" s="91"/>
    </row>
    <row r="8" spans="1:18">
      <c r="A8" s="424" t="s">
        <v>787</v>
      </c>
      <c r="B8" s="347">
        <f>B7+30</f>
        <v>36.989700043360187</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28.949700043360188</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153.47076228927926</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-125.69152192386019</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2</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3.47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287.88563793404467</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-26.06219999294283</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76.846278083196978</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16.846278083196978</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1.0000000000000001E-5</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0.5</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9.6</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10.1</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6.7462780831969784</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2</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3.47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287.88563793404467</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-26.06219999294283</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-127.16152192386019</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22000000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-130.5835731988351</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3.4220512749749048</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10.1</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-6.6779487250250948</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May 28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v>
      </c>
      <c r="C6" s="91" t="s">
        <v>780</v>
      </c>
      <c r="D6" s="419" t="s">
        <v>383</v>
      </c>
      <c r="E6" s="419"/>
      <c r="F6" s="419"/>
      <c r="G6" s="419"/>
      <c r="H6" s="419"/>
      <c r="I6" s="419"/>
      <c r="J6" s="419"/>
      <c r="K6" s="91"/>
      <c r="L6" s="420" t="s">
        <v>379</v>
      </c>
      <c r="M6" s="411"/>
      <c r="N6" s="411"/>
      <c r="O6" s="411"/>
      <c r="P6" s="411"/>
      <c r="Q6" s="410"/>
      <c r="R6" s="91"/>
    </row>
    <row r="7" spans="1:18">
      <c r="A7" s="424" t="s">
        <v>786</v>
      </c>
      <c r="B7" s="132">
        <f>10*LOG10(B6)</f>
        <v>0</v>
      </c>
      <c r="C7" s="91" t="s">
        <v>781</v>
      </c>
      <c r="D7" s="419" t="s">
        <v>375</v>
      </c>
      <c r="E7" s="419"/>
      <c r="F7" s="419"/>
      <c r="G7" s="419"/>
      <c r="H7" s="419"/>
      <c r="I7" s="419"/>
      <c r="J7" s="419"/>
      <c r="K7" s="91"/>
      <c r="L7" s="91"/>
      <c r="M7" s="91"/>
      <c r="N7" s="91"/>
      <c r="O7" s="91"/>
      <c r="P7" s="91"/>
      <c r="Q7" s="91"/>
      <c r="R7" s="91"/>
    </row>
    <row r="8" spans="1:18">
      <c r="A8" s="424" t="s">
        <v>787</v>
      </c>
      <c r="B8" s="347">
        <f>B7+30</f>
        <v>30</v>
      </c>
      <c r="C8" s="91" t="s">
        <v>782</v>
      </c>
      <c r="D8" s="419" t="s">
        <v>376</v>
      </c>
      <c r="E8" s="419"/>
      <c r="F8" s="419"/>
      <c r="G8" s="419"/>
      <c r="H8" s="419"/>
      <c r="I8" s="419"/>
      <c r="J8" s="419"/>
      <c r="K8" s="91"/>
      <c r="L8" s="91"/>
      <c r="M8" s="91"/>
      <c r="N8" s="91"/>
      <c r="O8" s="91"/>
      <c r="P8" s="91"/>
      <c r="Q8" s="91"/>
      <c r="R8" s="91"/>
    </row>
    <row r="9" spans="1:18">
      <c r="A9" s="91" t="s">
        <v>276</v>
      </c>
      <c r="B9" s="428">
        <f>Transmitters!I85</f>
        <v>1.3444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10.6556</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153.47076228927926</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-143.27260019687699</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0.71302177034341041</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22.9</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3.06</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478.50476100078777</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-6.9588626325410381</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77.655515400238556</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17.655515400238556</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1.0000000000000001E-5</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0.5</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9.6</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10.1</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7.5555154002385567</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0.71302177034341041</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22.9</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3.06</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478.50476100078777</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-6.9588626325410381</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-124.14562196722041</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22000000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-128.37691055923688</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4.2312885920164689</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10.1</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-5.8687114079835307</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P3" sqref="P3"/>
    </sheetView>
  </sheetViews>
  <sheetFormatPr defaultColWidth="8.81640625" defaultRowHeight="12.5"/>
  <cols>
    <col min="1" max="1" width="12.54296875" style="978" customWidth="1"/>
    <col min="2" max="2" width="8.81640625" style="978"/>
    <col min="3" max="3" width="9.453125" style="978" customWidth="1"/>
    <col min="4" max="4" width="12.36328125" style="978" bestFit="1" customWidth="1"/>
    <col min="5" max="5" width="10.1796875" style="978" customWidth="1"/>
    <col min="6" max="6" width="12.453125" style="978" customWidth="1"/>
    <col min="7" max="7" width="14.26953125" style="978" bestFit="1" customWidth="1"/>
    <col min="8" max="8" width="3.54296875" style="978" customWidth="1"/>
    <col min="9" max="9" width="3.81640625" style="978" customWidth="1"/>
    <col min="10" max="10" width="9.453125" style="978" customWidth="1"/>
    <col min="11" max="11" width="10.453125" style="978" customWidth="1"/>
    <col min="12" max="12" width="12.36328125" style="978" bestFit="1" customWidth="1"/>
    <col min="13" max="13" width="10.453125" style="978" customWidth="1"/>
    <col min="14" max="14" width="12.1796875" style="978" customWidth="1"/>
    <col min="15" max="15" width="12.453125" style="978" bestFit="1" customWidth="1"/>
    <col min="16" max="16384" width="8.81640625" style="978"/>
  </cols>
  <sheetData>
    <row r="1" spans="1:17" ht="18.5" thickBot="1">
      <c r="A1" s="973" t="s">
        <v>415</v>
      </c>
      <c r="B1" s="974"/>
      <c r="C1" s="974"/>
      <c r="D1" s="974"/>
      <c r="E1" s="974"/>
      <c r="F1" s="974"/>
      <c r="G1" s="975" t="str">
        <f>'Title Page'!F3</f>
        <v>OreSat - CS0</v>
      </c>
      <c r="H1" s="974"/>
      <c r="I1" s="976"/>
      <c r="J1" s="976"/>
      <c r="K1" s="976"/>
      <c r="L1" s="977" t="str">
        <f>'Title Page'!F23</f>
        <v>2019 May 28</v>
      </c>
      <c r="M1" s="976"/>
      <c r="N1" s="976"/>
      <c r="O1" s="976"/>
      <c r="P1" s="976"/>
      <c r="Q1" s="976"/>
    </row>
    <row r="2" spans="1:17" ht="13">
      <c r="A2" s="979"/>
      <c r="B2" s="1055" t="s">
        <v>1003</v>
      </c>
      <c r="C2" s="1055"/>
      <c r="D2" s="980"/>
      <c r="E2" s="980"/>
      <c r="F2" s="980"/>
      <c r="G2" s="980" t="s">
        <v>714</v>
      </c>
      <c r="H2" s="981"/>
      <c r="I2" s="982"/>
      <c r="J2" s="1055" t="s">
        <v>1004</v>
      </c>
      <c r="K2" s="1055"/>
      <c r="L2" s="980"/>
      <c r="M2" s="980"/>
      <c r="N2" s="980"/>
      <c r="O2" s="980"/>
      <c r="P2" s="980"/>
      <c r="Q2" s="981"/>
    </row>
    <row r="3" spans="1:17" ht="15" customHeight="1">
      <c r="A3" s="983"/>
      <c r="B3" s="1056" t="s">
        <v>1005</v>
      </c>
      <c r="C3" s="1057"/>
      <c r="D3" s="984"/>
      <c r="E3" s="985" t="s">
        <v>752</v>
      </c>
      <c r="F3" s="986">
        <f>Frequency!M10</f>
        <v>2422</v>
      </c>
      <c r="G3" s="984"/>
      <c r="H3" s="987"/>
      <c r="I3" s="983"/>
      <c r="J3" s="1056" t="s">
        <v>422</v>
      </c>
      <c r="K3" s="1058"/>
      <c r="L3" s="984"/>
      <c r="M3" s="985" t="s">
        <v>752</v>
      </c>
      <c r="N3" s="986">
        <f>Frequency!M16</f>
        <v>2422</v>
      </c>
      <c r="O3" s="984"/>
      <c r="P3" s="984"/>
      <c r="Q3" s="987"/>
    </row>
    <row r="4" spans="1:17" ht="13" thickBot="1">
      <c r="A4" s="983"/>
      <c r="B4" s="984"/>
      <c r="C4" s="984"/>
      <c r="D4" s="984"/>
      <c r="E4" s="984"/>
      <c r="F4" s="984"/>
      <c r="G4" s="984"/>
      <c r="H4" s="987"/>
      <c r="I4" s="983"/>
      <c r="J4" s="984"/>
      <c r="K4" s="984"/>
      <c r="L4" s="984"/>
      <c r="M4" s="984"/>
      <c r="N4" s="984"/>
      <c r="O4" s="984"/>
      <c r="P4" s="984"/>
      <c r="Q4" s="987"/>
    </row>
    <row r="5" spans="1:17" ht="13.5" thickBot="1">
      <c r="A5" s="988" t="s">
        <v>1016</v>
      </c>
      <c r="B5" s="989" t="s">
        <v>1017</v>
      </c>
      <c r="C5" s="990">
        <f>'Uplink Budget'!B30</f>
        <v>16.846278083196978</v>
      </c>
      <c r="D5" s="984"/>
      <c r="E5" s="991" t="s">
        <v>417</v>
      </c>
      <c r="F5" s="992">
        <f>'Uplink Budget'!B43</f>
        <v>6.7462780831969784</v>
      </c>
      <c r="G5" s="993" t="str">
        <f>IF(F5&lt;0,"NO LINK !",IF(F5&lt;6,"MARGINAL LINK",IF(F5&gt;6,"LINK CLOSES")))</f>
        <v>LINK CLOSES</v>
      </c>
      <c r="H5" s="987"/>
      <c r="I5" s="983"/>
      <c r="J5" s="984"/>
      <c r="K5" s="989" t="s">
        <v>1006</v>
      </c>
      <c r="L5" s="994">
        <f>'Downlink Budget'!B28</f>
        <v>1000000</v>
      </c>
      <c r="M5" s="984"/>
      <c r="N5" s="984"/>
      <c r="O5" s="984"/>
      <c r="P5" s="984"/>
      <c r="Q5" s="987"/>
    </row>
    <row r="6" spans="1:17" ht="13" thickBot="1">
      <c r="A6" s="983"/>
      <c r="B6" s="984"/>
      <c r="C6" s="984"/>
      <c r="D6" s="984"/>
      <c r="E6" s="984"/>
      <c r="F6" s="984"/>
      <c r="G6" s="995" t="s">
        <v>714</v>
      </c>
      <c r="H6" s="987"/>
      <c r="I6" s="983"/>
      <c r="J6" s="984"/>
      <c r="K6" s="984"/>
      <c r="L6" s="984"/>
      <c r="M6" s="984"/>
      <c r="N6" s="1059" t="s">
        <v>1007</v>
      </c>
      <c r="O6" s="1060"/>
      <c r="P6" s="984"/>
      <c r="Q6" s="987"/>
    </row>
    <row r="7" spans="1:17" ht="13.5" thickBot="1">
      <c r="A7" s="988" t="s">
        <v>420</v>
      </c>
      <c r="B7" s="989" t="s">
        <v>1008</v>
      </c>
      <c r="C7" s="990">
        <f>'Uplink Budget'!B61</f>
        <v>3.4220512749749048</v>
      </c>
      <c r="D7" s="984"/>
      <c r="E7" s="991" t="s">
        <v>417</v>
      </c>
      <c r="F7" s="992">
        <f>'Uplink Budget'!B65</f>
        <v>-6.6779487250250948</v>
      </c>
      <c r="G7" s="993" t="str">
        <f>IF(F7&lt;0,"NO LINK !",IF(F7&lt;6,"MARGINAL LINK",IF(F7&gt;6,"LINK CLOSES")))</f>
        <v>NO LINK !</v>
      </c>
      <c r="H7" s="987"/>
      <c r="I7" s="983"/>
      <c r="J7" s="984"/>
      <c r="K7" s="996"/>
      <c r="L7" s="984"/>
      <c r="M7" s="984"/>
      <c r="N7" s="1053" t="str">
        <f>'Downlink Budget'!B32</f>
        <v>BPSK</v>
      </c>
      <c r="O7" s="1054"/>
      <c r="P7" s="984"/>
      <c r="Q7" s="987"/>
    </row>
    <row r="8" spans="1:17" ht="13">
      <c r="A8" s="983"/>
      <c r="B8" s="984"/>
      <c r="C8" s="997"/>
      <c r="D8" s="984"/>
      <c r="E8" s="984"/>
      <c r="F8" s="998"/>
      <c r="G8" s="984"/>
      <c r="H8" s="987"/>
      <c r="I8" s="983"/>
      <c r="J8" s="984"/>
      <c r="K8" s="996"/>
      <c r="L8" s="984"/>
      <c r="M8" s="984"/>
      <c r="N8" s="984"/>
      <c r="O8" s="984"/>
      <c r="P8" s="984"/>
      <c r="Q8" s="987"/>
    </row>
    <row r="9" spans="1:17" ht="13">
      <c r="A9" s="999" t="s">
        <v>140</v>
      </c>
      <c r="B9" s="984"/>
      <c r="C9" s="997"/>
      <c r="D9" s="984"/>
      <c r="E9" s="984"/>
      <c r="F9" s="998"/>
      <c r="G9" s="984"/>
      <c r="H9" s="987"/>
      <c r="I9" s="983"/>
      <c r="J9" s="984"/>
      <c r="K9" s="996"/>
      <c r="L9" s="984"/>
      <c r="M9" s="984"/>
      <c r="N9" s="1059" t="s">
        <v>1009</v>
      </c>
      <c r="O9" s="1060"/>
      <c r="P9" s="984"/>
      <c r="Q9" s="987"/>
    </row>
    <row r="10" spans="1:17">
      <c r="A10" s="983"/>
      <c r="B10" s="984"/>
      <c r="C10" s="989" t="s">
        <v>1006</v>
      </c>
      <c r="D10" s="994">
        <f>'Uplink Budget'!B28</f>
        <v>1000000</v>
      </c>
      <c r="E10" s="984"/>
      <c r="F10" s="984"/>
      <c r="G10" s="984"/>
      <c r="H10" s="987"/>
      <c r="I10" s="983"/>
      <c r="J10" s="984"/>
      <c r="K10" s="984"/>
      <c r="L10" s="984"/>
      <c r="M10" s="984"/>
      <c r="N10" s="1053" t="str">
        <f>'Downlink Budget'!B33</f>
        <v>None</v>
      </c>
      <c r="O10" s="1054"/>
      <c r="P10" s="984"/>
      <c r="Q10" s="987"/>
    </row>
    <row r="11" spans="1:17">
      <c r="A11" s="983"/>
      <c r="B11" s="984"/>
      <c r="C11" s="984"/>
      <c r="D11" s="984"/>
      <c r="E11" s="984"/>
      <c r="F11" s="984"/>
      <c r="G11" s="984"/>
      <c r="H11" s="987"/>
      <c r="I11" s="983"/>
      <c r="J11" s="984"/>
      <c r="K11" s="984"/>
      <c r="L11" s="984"/>
      <c r="M11" s="984"/>
      <c r="N11" s="984"/>
      <c r="O11" s="984"/>
      <c r="P11" s="984"/>
      <c r="Q11" s="987"/>
    </row>
    <row r="12" spans="1:17">
      <c r="A12" s="983"/>
      <c r="B12" s="984"/>
      <c r="C12" s="984"/>
      <c r="D12" s="984"/>
      <c r="E12" s="984"/>
      <c r="F12" s="984"/>
      <c r="G12" s="984"/>
      <c r="H12" s="987"/>
      <c r="I12" s="983"/>
      <c r="J12" s="984"/>
      <c r="K12" s="984"/>
      <c r="L12" s="984"/>
      <c r="M12" s="984"/>
      <c r="N12" s="984"/>
      <c r="O12" s="984"/>
      <c r="P12" s="984"/>
      <c r="Q12" s="987"/>
    </row>
    <row r="13" spans="1:17" ht="15.5">
      <c r="A13" s="983"/>
      <c r="B13" s="984"/>
      <c r="C13" s="984"/>
      <c r="D13" s="984" t="s">
        <v>714</v>
      </c>
      <c r="E13" s="984"/>
      <c r="F13" s="1059" t="s">
        <v>1010</v>
      </c>
      <c r="G13" s="1060"/>
      <c r="H13" s="987"/>
      <c r="I13" s="983"/>
      <c r="J13" s="984"/>
      <c r="K13" s="984"/>
      <c r="L13" s="984"/>
      <c r="M13" s="984"/>
      <c r="N13" s="1000" t="s">
        <v>1018</v>
      </c>
      <c r="O13" s="1001">
        <v>0.28000000000000003</v>
      </c>
      <c r="P13" s="984"/>
      <c r="Q13" s="987"/>
    </row>
    <row r="14" spans="1:17">
      <c r="A14" s="983"/>
      <c r="B14" s="984"/>
      <c r="C14" s="984"/>
      <c r="D14" s="984"/>
      <c r="E14" s="984"/>
      <c r="F14" s="1053" t="str">
        <f>'Uplink Budget'!B33</f>
        <v>None</v>
      </c>
      <c r="G14" s="1054"/>
      <c r="H14" s="987"/>
      <c r="I14" s="983"/>
      <c r="J14" s="984"/>
      <c r="K14" s="984"/>
      <c r="L14" s="984"/>
      <c r="M14" s="984"/>
      <c r="N14" s="984"/>
      <c r="O14" s="984"/>
      <c r="P14" s="984"/>
      <c r="Q14" s="987"/>
    </row>
    <row r="15" spans="1:17" ht="15.5">
      <c r="A15" s="983"/>
      <c r="B15" s="984"/>
      <c r="C15" s="984"/>
      <c r="D15" s="984"/>
      <c r="E15" s="984"/>
      <c r="F15" s="984"/>
      <c r="G15" s="984"/>
      <c r="H15" s="987"/>
      <c r="I15" s="983"/>
      <c r="J15" s="984"/>
      <c r="K15" s="984"/>
      <c r="L15" s="984"/>
      <c r="M15" s="984"/>
      <c r="N15" s="989" t="s">
        <v>1043</v>
      </c>
      <c r="O15" s="1041">
        <f>O19/O13</f>
        <v>3.5714285714285712</v>
      </c>
      <c r="P15" s="984"/>
      <c r="Q15" s="987"/>
    </row>
    <row r="16" spans="1:17">
      <c r="A16" s="983"/>
      <c r="B16" s="984"/>
      <c r="C16" s="984"/>
      <c r="D16" s="984"/>
      <c r="E16" s="984"/>
      <c r="F16" s="984"/>
      <c r="G16" s="984"/>
      <c r="H16" s="987"/>
      <c r="I16" s="983"/>
      <c r="J16" s="984"/>
      <c r="K16" s="984"/>
      <c r="L16" s="984"/>
      <c r="M16" s="984"/>
      <c r="N16" s="984"/>
      <c r="O16" s="984"/>
      <c r="P16" s="984"/>
      <c r="Q16" s="987"/>
    </row>
    <row r="17" spans="1:17" ht="13.5">
      <c r="A17" s="983"/>
      <c r="B17" s="984"/>
      <c r="C17" s="984"/>
      <c r="D17" s="984"/>
      <c r="E17" s="984"/>
      <c r="F17" s="984"/>
      <c r="G17" s="984"/>
      <c r="H17" s="987"/>
      <c r="I17" s="983"/>
      <c r="J17" s="1002" t="s">
        <v>714</v>
      </c>
      <c r="K17" s="984"/>
      <c r="L17" s="984"/>
      <c r="M17" s="984"/>
      <c r="N17" s="1039" t="s">
        <v>1042</v>
      </c>
      <c r="O17" s="1041">
        <f>O15-O19</f>
        <v>2.5714285714285712</v>
      </c>
      <c r="P17" s="984"/>
      <c r="Q17" s="987"/>
    </row>
    <row r="18" spans="1:17">
      <c r="A18" s="983"/>
      <c r="B18" s="984"/>
      <c r="C18" s="984"/>
      <c r="D18" s="984"/>
      <c r="E18" s="984"/>
      <c r="F18" s="1003" t="s">
        <v>421</v>
      </c>
      <c r="G18" s="1004">
        <f>'Uplink Budget'!B35</f>
        <v>1.0000000000000001E-5</v>
      </c>
      <c r="H18" s="987"/>
      <c r="I18" s="983"/>
      <c r="J18" s="984"/>
      <c r="K18" s="984"/>
      <c r="L18" s="984"/>
      <c r="M18" s="984"/>
      <c r="N18" s="984"/>
      <c r="O18" s="1005"/>
      <c r="P18" s="984"/>
      <c r="Q18" s="987"/>
    </row>
    <row r="19" spans="1:17">
      <c r="A19" s="983"/>
      <c r="B19" s="984"/>
      <c r="C19" s="984"/>
      <c r="D19" s="984"/>
      <c r="E19" s="984"/>
      <c r="F19" s="1059" t="s">
        <v>1011</v>
      </c>
      <c r="G19" s="1060"/>
      <c r="H19" s="987"/>
      <c r="I19" s="983"/>
      <c r="J19" s="984"/>
      <c r="K19" s="984"/>
      <c r="L19" s="984"/>
      <c r="M19" s="984"/>
      <c r="N19" s="1014" t="s">
        <v>1041</v>
      </c>
      <c r="O19" s="1040">
        <f>Transmitters!E60</f>
        <v>1</v>
      </c>
      <c r="P19" s="984"/>
      <c r="Q19" s="987"/>
    </row>
    <row r="20" spans="1:17">
      <c r="A20" s="983"/>
      <c r="B20" s="984"/>
      <c r="C20" s="984"/>
      <c r="D20" s="984"/>
      <c r="E20" s="984"/>
      <c r="F20" s="1053" t="str">
        <f>'Uplink Budget'!B32</f>
        <v>BPSK</v>
      </c>
      <c r="G20" s="1054"/>
      <c r="H20" s="987"/>
      <c r="I20" s="983"/>
      <c r="J20" s="984"/>
      <c r="K20" s="984"/>
      <c r="L20" s="984"/>
      <c r="M20" s="984"/>
      <c r="N20" s="984"/>
      <c r="O20" s="984"/>
      <c r="P20" s="984"/>
      <c r="Q20" s="987"/>
    </row>
    <row r="21" spans="1:17">
      <c r="A21" s="983"/>
      <c r="B21" s="984"/>
      <c r="C21" s="984"/>
      <c r="D21" s="984"/>
      <c r="E21" s="984"/>
      <c r="F21" s="1006" t="s">
        <v>333</v>
      </c>
      <c r="G21" s="1007">
        <f>'Uplink Budget'!B41</f>
        <v>10.1</v>
      </c>
      <c r="H21" s="987"/>
      <c r="I21" s="983"/>
      <c r="J21" s="984"/>
      <c r="K21" s="984"/>
      <c r="L21" s="984"/>
      <c r="M21" s="984"/>
      <c r="N21" s="984"/>
      <c r="O21" s="984"/>
      <c r="P21" s="984"/>
      <c r="Q21" s="987"/>
    </row>
    <row r="22" spans="1:17">
      <c r="A22" s="983"/>
      <c r="B22" s="984"/>
      <c r="C22" s="984"/>
      <c r="D22" s="984"/>
      <c r="E22" s="984"/>
      <c r="F22" s="984"/>
      <c r="G22" s="984"/>
      <c r="H22" s="987"/>
      <c r="I22" s="983"/>
      <c r="J22" s="984"/>
      <c r="K22" s="984"/>
      <c r="L22" s="984"/>
      <c r="M22" s="984"/>
      <c r="N22" s="984"/>
      <c r="O22" s="984"/>
      <c r="P22" s="984"/>
      <c r="Q22" s="987"/>
    </row>
    <row r="23" spans="1:17">
      <c r="A23" s="983"/>
      <c r="B23" s="984"/>
      <c r="C23" s="984"/>
      <c r="D23" s="984"/>
      <c r="E23" s="984"/>
      <c r="F23" s="984"/>
      <c r="G23" s="984"/>
      <c r="H23" s="987"/>
      <c r="I23" s="983"/>
      <c r="J23" s="1002" t="s">
        <v>714</v>
      </c>
      <c r="K23" s="984"/>
      <c r="L23" s="984"/>
      <c r="M23" s="984"/>
      <c r="N23" s="989" t="s">
        <v>1019</v>
      </c>
      <c r="O23" s="1008">
        <f>Transmitters!I74</f>
        <v>4.4400000000000002E-2</v>
      </c>
      <c r="P23" s="984"/>
      <c r="Q23" s="987"/>
    </row>
    <row r="24" spans="1:17">
      <c r="A24" s="983"/>
      <c r="B24" s="984"/>
      <c r="C24" s="984"/>
      <c r="D24" s="984"/>
      <c r="E24" s="984"/>
      <c r="F24" s="984"/>
      <c r="G24" s="984"/>
      <c r="H24" s="987"/>
      <c r="I24" s="983"/>
      <c r="J24" s="984"/>
      <c r="K24" s="984"/>
      <c r="L24" s="984"/>
      <c r="M24" s="984"/>
      <c r="N24" s="984"/>
      <c r="O24" s="984"/>
      <c r="P24" s="984"/>
      <c r="Q24" s="987"/>
    </row>
    <row r="25" spans="1:17">
      <c r="A25" s="983"/>
      <c r="B25" s="984"/>
      <c r="C25" s="984"/>
      <c r="D25" s="984"/>
      <c r="E25" s="984"/>
      <c r="F25" s="989" t="s">
        <v>1020</v>
      </c>
      <c r="G25" s="1009">
        <f>'Uplink Budget'!B57</f>
        <v>22000000</v>
      </c>
      <c r="H25" s="987"/>
      <c r="I25" s="983"/>
      <c r="J25" s="984"/>
      <c r="K25" s="984"/>
      <c r="L25" s="984"/>
      <c r="M25" s="984"/>
      <c r="N25" s="989" t="s">
        <v>1021</v>
      </c>
      <c r="O25" s="1010">
        <f>Transmitters!I78</f>
        <v>0.6</v>
      </c>
      <c r="P25" s="984"/>
      <c r="Q25" s="987"/>
    </row>
    <row r="26" spans="1:17">
      <c r="A26" s="983"/>
      <c r="B26" s="984"/>
      <c r="C26" s="984"/>
      <c r="D26" s="984"/>
      <c r="E26" s="984"/>
      <c r="F26" s="1064" t="s">
        <v>419</v>
      </c>
      <c r="G26" s="1065"/>
      <c r="H26" s="987"/>
      <c r="I26" s="983"/>
      <c r="J26" s="984"/>
      <c r="K26" s="984"/>
      <c r="L26" s="984"/>
      <c r="M26" s="984"/>
      <c r="N26" s="984"/>
      <c r="O26" s="984"/>
      <c r="P26" s="984"/>
      <c r="Q26" s="987"/>
    </row>
    <row r="27" spans="1:17">
      <c r="A27" s="983"/>
      <c r="B27" s="984"/>
      <c r="C27" s="984"/>
      <c r="D27" s="984"/>
      <c r="E27" s="984"/>
      <c r="F27" s="984"/>
      <c r="G27" s="984"/>
      <c r="H27" s="987"/>
      <c r="I27" s="983"/>
      <c r="J27" s="984"/>
      <c r="K27" s="984"/>
      <c r="L27" s="984"/>
      <c r="M27" s="984"/>
      <c r="N27" s="989" t="s">
        <v>1022</v>
      </c>
      <c r="O27" s="1010">
        <f>SUM(Transmitters!I79:I81)</f>
        <v>0.52</v>
      </c>
      <c r="P27" s="984"/>
      <c r="Q27" s="987"/>
    </row>
    <row r="28" spans="1:17">
      <c r="A28" s="983"/>
      <c r="B28" s="984"/>
      <c r="C28" s="984"/>
      <c r="D28" s="984"/>
      <c r="E28" s="984"/>
      <c r="F28" s="984"/>
      <c r="G28" s="984"/>
      <c r="H28" s="987"/>
      <c r="I28" s="983"/>
      <c r="J28" s="984"/>
      <c r="K28" s="984"/>
      <c r="L28" s="984"/>
      <c r="M28" s="984"/>
      <c r="N28" s="984"/>
      <c r="O28" s="984"/>
      <c r="P28" s="984"/>
      <c r="Q28" s="987"/>
    </row>
    <row r="29" spans="1:17" ht="15.5">
      <c r="A29" s="983"/>
      <c r="B29" s="984"/>
      <c r="C29" s="984"/>
      <c r="D29" s="984"/>
      <c r="E29" s="984"/>
      <c r="F29" s="984"/>
      <c r="G29" s="984"/>
      <c r="H29" s="987"/>
      <c r="I29" s="983"/>
      <c r="J29" s="984"/>
      <c r="K29" s="984"/>
      <c r="L29" s="984"/>
      <c r="M29" s="984"/>
      <c r="N29" s="989" t="s">
        <v>1012</v>
      </c>
      <c r="O29" s="1010">
        <f>Transmitters!I83</f>
        <v>0.18</v>
      </c>
      <c r="P29" s="984"/>
      <c r="Q29" s="987"/>
    </row>
    <row r="30" spans="1:17">
      <c r="A30" s="983"/>
      <c r="B30" s="984"/>
      <c r="C30" s="984"/>
      <c r="D30" s="984"/>
      <c r="E30" s="984"/>
      <c r="F30" s="984"/>
      <c r="G30" s="984"/>
      <c r="H30" s="987"/>
      <c r="I30" s="983"/>
      <c r="J30" s="1002" t="s">
        <v>714</v>
      </c>
      <c r="K30" s="984"/>
      <c r="L30" s="984"/>
      <c r="M30" s="984"/>
      <c r="N30" s="984"/>
      <c r="O30" s="984"/>
      <c r="P30" s="984"/>
      <c r="Q30" s="987"/>
    </row>
    <row r="31" spans="1:17">
      <c r="A31" s="983"/>
      <c r="B31" s="984"/>
      <c r="C31" s="984"/>
      <c r="D31" s="984"/>
      <c r="E31" s="984"/>
      <c r="F31" s="984"/>
      <c r="G31" s="984"/>
      <c r="H31" s="987"/>
      <c r="I31" s="983"/>
      <c r="J31" s="984"/>
      <c r="K31" s="984"/>
      <c r="L31" s="984"/>
      <c r="M31" s="984"/>
      <c r="N31" s="984"/>
      <c r="O31" s="984"/>
      <c r="P31" s="984"/>
      <c r="Q31" s="987"/>
    </row>
    <row r="32" spans="1:17">
      <c r="A32" s="983"/>
      <c r="B32" s="984"/>
      <c r="C32" s="984"/>
      <c r="D32" s="984"/>
      <c r="E32" s="984"/>
      <c r="F32" s="984"/>
      <c r="G32" s="984"/>
      <c r="H32" s="987"/>
      <c r="I32" s="983"/>
      <c r="J32" s="984"/>
      <c r="K32" s="984"/>
      <c r="L32" s="984"/>
      <c r="M32" s="984"/>
      <c r="N32" s="989" t="s">
        <v>1023</v>
      </c>
      <c r="O32" s="1011">
        <f>Transmitters!I85</f>
        <v>1.3444</v>
      </c>
      <c r="P32" s="984"/>
      <c r="Q32" s="987"/>
    </row>
    <row r="33" spans="1:17" ht="13">
      <c r="A33" s="983"/>
      <c r="B33" s="984"/>
      <c r="C33" s="984"/>
      <c r="D33" s="984"/>
      <c r="E33" s="984"/>
      <c r="F33" s="1012" t="s">
        <v>418</v>
      </c>
      <c r="G33" s="1013">
        <f>'Uplink Budget'!B26</f>
        <v>-26.06219999294283</v>
      </c>
      <c r="H33" s="987"/>
      <c r="I33" s="983"/>
      <c r="J33" s="984"/>
      <c r="K33" s="984"/>
      <c r="L33" s="984"/>
      <c r="M33" s="984"/>
      <c r="N33" s="984"/>
      <c r="O33" s="984"/>
      <c r="P33" s="984"/>
      <c r="Q33" s="987"/>
    </row>
    <row r="34" spans="1:17" ht="15.5">
      <c r="A34" s="983"/>
      <c r="B34" s="984"/>
      <c r="C34" s="984"/>
      <c r="D34" s="984"/>
      <c r="E34" s="984"/>
      <c r="F34" s="984"/>
      <c r="G34" s="984"/>
      <c r="H34" s="987"/>
      <c r="I34" s="983"/>
      <c r="J34" s="984"/>
      <c r="K34" s="984"/>
      <c r="L34" s="984"/>
      <c r="M34" s="984"/>
      <c r="N34" s="1014" t="s">
        <v>1013</v>
      </c>
      <c r="O34" s="1015">
        <f>Transmitters!I87+30</f>
        <v>28.6556</v>
      </c>
      <c r="P34" s="984"/>
      <c r="Q34" s="987"/>
    </row>
    <row r="35" spans="1:17">
      <c r="A35" s="983"/>
      <c r="B35" s="984"/>
      <c r="C35" s="984"/>
      <c r="D35" s="984"/>
      <c r="E35" s="984"/>
      <c r="F35" s="1012" t="s">
        <v>1024</v>
      </c>
      <c r="G35" s="1016">
        <f>'Uplink Budget'!B25</f>
        <v>287.88563793404467</v>
      </c>
      <c r="H35" s="987"/>
      <c r="I35" s="983"/>
      <c r="J35" s="984"/>
      <c r="K35" s="984"/>
      <c r="L35" s="984"/>
      <c r="M35" s="984"/>
      <c r="N35" s="984"/>
      <c r="O35" s="984"/>
      <c r="P35" s="984"/>
      <c r="Q35" s="987"/>
    </row>
    <row r="36" spans="1:17" ht="13">
      <c r="A36" s="983"/>
      <c r="B36" s="984"/>
      <c r="C36" s="984"/>
      <c r="D36" s="984"/>
      <c r="E36" s="984"/>
      <c r="F36" s="984"/>
      <c r="G36" s="984"/>
      <c r="H36" s="987"/>
      <c r="I36" s="983"/>
      <c r="J36" s="984"/>
      <c r="K36" s="984"/>
      <c r="L36" s="984"/>
      <c r="M36" s="1017" t="s">
        <v>875</v>
      </c>
      <c r="N36" s="984"/>
      <c r="O36" s="984"/>
      <c r="P36" s="984"/>
      <c r="Q36" s="987"/>
    </row>
    <row r="37" spans="1:17">
      <c r="A37" s="983"/>
      <c r="B37" s="984"/>
      <c r="C37" s="984"/>
      <c r="D37" s="984"/>
      <c r="E37" s="984"/>
      <c r="F37" s="984"/>
      <c r="G37" s="984"/>
      <c r="H37" s="987"/>
      <c r="I37" s="983"/>
      <c r="J37" s="984"/>
      <c r="K37" s="984"/>
      <c r="L37" s="984"/>
      <c r="M37" s="984"/>
      <c r="N37" s="984"/>
      <c r="O37" s="984"/>
      <c r="P37" s="984"/>
      <c r="Q37" s="987"/>
    </row>
    <row r="38" spans="1:17">
      <c r="A38" s="983"/>
      <c r="B38" s="984"/>
      <c r="C38" s="984"/>
      <c r="D38" s="984"/>
      <c r="E38" s="984"/>
      <c r="F38" s="984"/>
      <c r="G38" s="984"/>
      <c r="H38" s="987"/>
      <c r="I38" s="983"/>
      <c r="J38" s="984"/>
      <c r="K38" s="984"/>
      <c r="L38" s="984"/>
      <c r="M38" s="984"/>
      <c r="N38" s="1018" t="s">
        <v>1025</v>
      </c>
      <c r="O38" s="1019">
        <f>'Downlink Budget'!B10</f>
        <v>12</v>
      </c>
      <c r="P38" s="984"/>
      <c r="Q38" s="987"/>
    </row>
    <row r="39" spans="1:17">
      <c r="A39" s="983"/>
      <c r="B39" s="984"/>
      <c r="C39" s="984"/>
      <c r="D39" s="984"/>
      <c r="E39" s="984"/>
      <c r="F39" s="984"/>
      <c r="G39" s="984"/>
      <c r="H39" s="987"/>
      <c r="I39" s="983"/>
      <c r="J39" s="984"/>
      <c r="K39" s="984"/>
      <c r="L39" s="984"/>
      <c r="M39" s="984"/>
      <c r="N39" s="1003" t="s">
        <v>60</v>
      </c>
      <c r="O39" s="1020" t="str">
        <f>'Antenna Gain'!K41</f>
        <v>RHCP</v>
      </c>
      <c r="P39" s="984"/>
      <c r="Q39" s="987"/>
    </row>
    <row r="40" spans="1:17">
      <c r="A40" s="983"/>
      <c r="B40" s="984"/>
      <c r="C40" s="984"/>
      <c r="D40" s="984"/>
      <c r="E40" s="984"/>
      <c r="F40" s="989" t="s">
        <v>984</v>
      </c>
      <c r="G40" s="1021">
        <f>Receivers!J67</f>
        <v>738.95882877736869</v>
      </c>
      <c r="H40" s="987"/>
      <c r="I40" s="983"/>
      <c r="J40" s="1066" t="str">
        <f>'Antenna Gain'!F41</f>
        <v>OreSat Helix</v>
      </c>
      <c r="K40" s="1066"/>
      <c r="L40" s="984"/>
      <c r="M40" s="984"/>
      <c r="N40" s="1003" t="s">
        <v>1026</v>
      </c>
      <c r="O40" s="1022">
        <f>'Antenna Pointing Losses'!G85</f>
        <v>5</v>
      </c>
      <c r="P40" s="984"/>
      <c r="Q40" s="987"/>
    </row>
    <row r="41" spans="1:17">
      <c r="A41" s="983"/>
      <c r="B41" s="984"/>
      <c r="C41" s="984"/>
      <c r="D41" s="984"/>
      <c r="E41" s="984"/>
      <c r="F41" s="984"/>
      <c r="G41" s="984"/>
      <c r="H41" s="987"/>
      <c r="I41" s="983"/>
      <c r="J41" s="984"/>
      <c r="K41" s="984"/>
      <c r="L41" s="984"/>
      <c r="M41" s="984"/>
      <c r="N41" s="984"/>
      <c r="O41" s="984"/>
      <c r="P41" s="984"/>
      <c r="Q41" s="987"/>
    </row>
    <row r="42" spans="1:17" ht="13">
      <c r="A42" s="983"/>
      <c r="B42" s="984"/>
      <c r="C42" s="984"/>
      <c r="D42" s="984"/>
      <c r="E42" s="984"/>
      <c r="F42" s="984"/>
      <c r="G42" s="984"/>
      <c r="H42" s="987"/>
      <c r="I42" s="983"/>
      <c r="J42" s="984"/>
      <c r="K42" s="984"/>
      <c r="L42" s="984"/>
      <c r="M42" s="984"/>
      <c r="N42" s="1023" t="s">
        <v>1027</v>
      </c>
      <c r="O42" s="1024">
        <f>'Downlink Budget'!B11+30</f>
        <v>40.6556</v>
      </c>
      <c r="P42" s="984"/>
      <c r="Q42" s="987"/>
    </row>
    <row r="43" spans="1:17">
      <c r="A43" s="983"/>
      <c r="B43" s="984"/>
      <c r="C43" s="984"/>
      <c r="D43" s="984"/>
      <c r="E43" s="984"/>
      <c r="F43" s="984"/>
      <c r="G43" s="984"/>
      <c r="H43" s="987"/>
      <c r="I43" s="983"/>
      <c r="J43" s="984"/>
      <c r="K43" s="984"/>
      <c r="L43" s="984"/>
      <c r="M43" s="984"/>
      <c r="N43" s="984"/>
      <c r="O43" s="984"/>
      <c r="P43" s="984"/>
      <c r="Q43" s="987"/>
    </row>
    <row r="44" spans="1:17">
      <c r="A44" s="983"/>
      <c r="B44" s="984"/>
      <c r="C44" s="984"/>
      <c r="D44" s="984"/>
      <c r="E44" s="984"/>
      <c r="F44" s="984"/>
      <c r="G44" s="984"/>
      <c r="H44" s="987"/>
      <c r="I44" s="983"/>
      <c r="J44" s="984"/>
      <c r="K44" s="984"/>
      <c r="L44" s="984"/>
      <c r="M44" s="984"/>
      <c r="N44" s="1059" t="s">
        <v>1014</v>
      </c>
      <c r="O44" s="1067"/>
      <c r="P44" s="984"/>
      <c r="Q44" s="987"/>
    </row>
    <row r="45" spans="1:17" ht="13">
      <c r="A45" s="983"/>
      <c r="B45" s="984"/>
      <c r="C45" s="984"/>
      <c r="D45" s="984"/>
      <c r="E45" s="984"/>
      <c r="F45" s="1025" t="s">
        <v>1028</v>
      </c>
      <c r="G45" s="990">
        <f>Receivers!F65</f>
        <v>15.6</v>
      </c>
      <c r="H45" s="987"/>
      <c r="I45" s="983"/>
      <c r="J45" s="984"/>
      <c r="K45" s="984"/>
      <c r="L45" s="984"/>
      <c r="M45" s="984"/>
      <c r="N45" s="1068">
        <f>SUM('Downlink Budget'!B13:B18)+'Downlink Budget'!B22</f>
        <v>154.64122196722039</v>
      </c>
      <c r="O45" s="1069"/>
      <c r="P45" s="984"/>
      <c r="Q45" s="987"/>
    </row>
    <row r="46" spans="1:17">
      <c r="A46" s="983"/>
      <c r="B46" s="984"/>
      <c r="C46" s="984"/>
      <c r="D46" s="984"/>
      <c r="E46" s="984"/>
      <c r="F46" s="984"/>
      <c r="G46" s="984"/>
      <c r="H46" s="987"/>
      <c r="I46" s="983"/>
      <c r="J46" s="984"/>
      <c r="K46" s="984"/>
      <c r="L46" s="984"/>
      <c r="M46" s="984"/>
      <c r="N46" s="984"/>
      <c r="O46" s="984"/>
      <c r="P46" s="984"/>
      <c r="Q46" s="987"/>
    </row>
    <row r="47" spans="1:17" ht="15.5">
      <c r="A47" s="983"/>
      <c r="B47" s="984"/>
      <c r="C47" s="984"/>
      <c r="D47" s="984"/>
      <c r="E47" s="984"/>
      <c r="F47" s="1025" t="s">
        <v>1029</v>
      </c>
      <c r="G47" s="1021">
        <f>Receivers!J63</f>
        <v>45</v>
      </c>
      <c r="H47" s="987"/>
      <c r="I47" s="983"/>
      <c r="J47" s="984"/>
      <c r="K47" s="984"/>
      <c r="L47" s="984"/>
      <c r="M47" s="984"/>
      <c r="N47" s="989" t="s">
        <v>1030</v>
      </c>
      <c r="O47" s="1026">
        <f>'Downlink Budget'!B19+30</f>
        <v>-113.27260019687699</v>
      </c>
      <c r="P47" s="984"/>
      <c r="Q47" s="987"/>
    </row>
    <row r="48" spans="1:17">
      <c r="A48" s="983"/>
      <c r="B48" s="984"/>
      <c r="C48" s="984"/>
      <c r="D48" s="984"/>
      <c r="E48" s="984"/>
      <c r="F48" s="984"/>
      <c r="G48" s="984"/>
      <c r="H48" s="987"/>
      <c r="I48" s="983"/>
      <c r="J48" s="984"/>
      <c r="K48" s="984"/>
      <c r="L48" s="984"/>
      <c r="M48" s="984"/>
      <c r="N48" s="984"/>
      <c r="O48" s="984"/>
      <c r="P48" s="984"/>
      <c r="Q48" s="987"/>
    </row>
    <row r="49" spans="1:17">
      <c r="A49" s="983"/>
      <c r="B49" s="984"/>
      <c r="C49" s="984"/>
      <c r="D49" s="984"/>
      <c r="E49" s="984"/>
      <c r="F49" s="984"/>
      <c r="G49" s="984"/>
      <c r="H49" s="987"/>
      <c r="I49" s="983"/>
      <c r="J49" s="1066" t="str">
        <f>'Antenna Gain'!F58</f>
        <v>Parabolic Reflector</v>
      </c>
      <c r="K49" s="1066"/>
      <c r="L49" s="984"/>
      <c r="M49" s="984"/>
      <c r="N49" s="989" t="s">
        <v>1031</v>
      </c>
      <c r="O49" s="1027">
        <f>'Downlink Budget'!B23</f>
        <v>22.9</v>
      </c>
      <c r="P49" s="984"/>
      <c r="Q49" s="987"/>
    </row>
    <row r="50" spans="1:17">
      <c r="A50" s="983"/>
      <c r="B50" s="984"/>
      <c r="C50" s="984"/>
      <c r="D50" s="984"/>
      <c r="E50" s="984"/>
      <c r="F50" s="984"/>
      <c r="G50" s="984"/>
      <c r="H50" s="987"/>
      <c r="I50" s="983"/>
      <c r="J50" s="984"/>
      <c r="K50" s="984"/>
      <c r="L50" s="984"/>
      <c r="M50" s="984"/>
      <c r="N50" s="1003" t="s">
        <v>60</v>
      </c>
      <c r="O50" s="1020" t="str">
        <f>'Antenna Gain'!K58</f>
        <v>RHCP</v>
      </c>
      <c r="P50" s="984"/>
      <c r="Q50" s="987"/>
    </row>
    <row r="51" spans="1:17">
      <c r="A51" s="983"/>
      <c r="B51" s="984"/>
      <c r="C51" s="984"/>
      <c r="D51" s="984"/>
      <c r="E51" s="984"/>
      <c r="F51" s="989" t="s">
        <v>1032</v>
      </c>
      <c r="G51" s="1028">
        <f>Receivers!J55</f>
        <v>3.47</v>
      </c>
      <c r="H51" s="987"/>
      <c r="I51" s="983"/>
      <c r="J51" s="984"/>
      <c r="K51" s="984"/>
      <c r="L51" s="984"/>
      <c r="M51" s="984"/>
      <c r="N51" s="1003" t="s">
        <v>1026</v>
      </c>
      <c r="O51" s="1022">
        <f>'Antenna Pointing Losses'!F102</f>
        <v>5</v>
      </c>
      <c r="P51" s="984"/>
      <c r="Q51" s="987"/>
    </row>
    <row r="52" spans="1:17">
      <c r="A52" s="983"/>
      <c r="B52" s="984"/>
      <c r="C52" s="984"/>
      <c r="D52" s="984"/>
      <c r="E52" s="984"/>
      <c r="F52" s="984"/>
      <c r="G52" s="984"/>
      <c r="H52" s="987"/>
      <c r="I52" s="983"/>
      <c r="J52" s="984"/>
      <c r="K52" s="984"/>
      <c r="L52" s="984"/>
      <c r="M52" s="984"/>
      <c r="N52" s="984"/>
      <c r="O52" s="984"/>
      <c r="P52" s="984"/>
      <c r="Q52" s="987"/>
    </row>
    <row r="53" spans="1:17" ht="13">
      <c r="A53" s="983"/>
      <c r="B53" s="984"/>
      <c r="C53" s="984"/>
      <c r="D53" s="984"/>
      <c r="E53" s="984"/>
      <c r="F53" s="984"/>
      <c r="G53" s="984"/>
      <c r="H53" s="987"/>
      <c r="I53" s="983"/>
      <c r="J53" s="984"/>
      <c r="K53" s="984"/>
      <c r="L53" s="984"/>
      <c r="M53" s="1017" t="s">
        <v>880</v>
      </c>
      <c r="N53" s="984"/>
      <c r="O53" s="984"/>
      <c r="P53" s="984"/>
      <c r="Q53" s="987"/>
    </row>
    <row r="54" spans="1:17">
      <c r="A54" s="983"/>
      <c r="B54" s="984"/>
      <c r="C54" s="984"/>
      <c r="D54" s="984"/>
      <c r="E54" s="984"/>
      <c r="F54" s="989" t="s">
        <v>1022</v>
      </c>
      <c r="G54" s="1010">
        <f>SUM(Receivers!J50:J52)</f>
        <v>2.52</v>
      </c>
      <c r="H54" s="987"/>
      <c r="I54" s="983"/>
      <c r="J54" s="984"/>
      <c r="K54" s="984"/>
      <c r="L54" s="984"/>
      <c r="M54" s="984"/>
      <c r="N54" s="984"/>
      <c r="O54" s="984"/>
      <c r="P54" s="984"/>
      <c r="Q54" s="987"/>
    </row>
    <row r="55" spans="1:17">
      <c r="A55" s="983"/>
      <c r="B55" s="984"/>
      <c r="C55" s="984"/>
      <c r="D55" s="984"/>
      <c r="E55" s="984"/>
      <c r="F55" s="984"/>
      <c r="G55" s="984"/>
      <c r="H55" s="987"/>
      <c r="I55" s="983"/>
      <c r="J55" s="984"/>
      <c r="K55" s="984"/>
      <c r="L55" s="984"/>
      <c r="M55" s="984"/>
      <c r="N55" s="989" t="s">
        <v>1033</v>
      </c>
      <c r="O55" s="1021">
        <f>Receivers!J130</f>
        <v>500</v>
      </c>
      <c r="P55" s="984"/>
      <c r="Q55" s="987"/>
    </row>
    <row r="56" spans="1:17">
      <c r="A56" s="983"/>
      <c r="B56" s="984"/>
      <c r="C56" s="984"/>
      <c r="D56" s="984"/>
      <c r="E56" s="984"/>
      <c r="F56" s="989" t="s">
        <v>1021</v>
      </c>
      <c r="G56" s="1010">
        <f>Receivers!J53</f>
        <v>0.6</v>
      </c>
      <c r="H56" s="987"/>
      <c r="I56" s="983"/>
      <c r="J56" s="984"/>
      <c r="K56" s="984"/>
      <c r="L56" s="984"/>
      <c r="M56" s="984"/>
      <c r="N56" s="984"/>
      <c r="O56" s="984"/>
      <c r="P56" s="984"/>
      <c r="Q56" s="987"/>
    </row>
    <row r="57" spans="1:17">
      <c r="A57" s="983"/>
      <c r="B57" s="984"/>
      <c r="C57" s="984"/>
      <c r="D57" s="984"/>
      <c r="E57" s="984"/>
      <c r="F57" s="984"/>
      <c r="G57" s="984"/>
      <c r="H57" s="987"/>
      <c r="I57" s="983"/>
      <c r="J57" s="984"/>
      <c r="K57" s="984"/>
      <c r="L57" s="984"/>
      <c r="M57" s="984"/>
      <c r="N57" s="984"/>
      <c r="O57" s="984"/>
      <c r="P57" s="984"/>
      <c r="Q57" s="987"/>
    </row>
    <row r="58" spans="1:17">
      <c r="A58" s="983"/>
      <c r="B58" s="984"/>
      <c r="C58" s="984"/>
      <c r="D58" s="984"/>
      <c r="E58" s="984"/>
      <c r="F58" s="989" t="s">
        <v>1019</v>
      </c>
      <c r="G58" s="1008">
        <f>SUM(Receivers!J47:J49)</f>
        <v>0.35</v>
      </c>
      <c r="H58" s="987"/>
      <c r="I58" s="983"/>
      <c r="J58" s="984"/>
      <c r="K58" s="984"/>
      <c r="L58" s="984"/>
      <c r="M58" s="984"/>
      <c r="N58" s="989" t="s">
        <v>1019</v>
      </c>
      <c r="O58" s="1008">
        <f>SUM(Receivers!J118:J120)</f>
        <v>0.2</v>
      </c>
      <c r="P58" s="984"/>
      <c r="Q58" s="987"/>
    </row>
    <row r="59" spans="1:17">
      <c r="A59" s="983"/>
      <c r="B59" s="984"/>
      <c r="C59" s="984"/>
      <c r="D59" s="984"/>
      <c r="E59" s="984"/>
      <c r="F59" s="984"/>
      <c r="G59" s="984"/>
      <c r="H59" s="987"/>
      <c r="I59" s="983"/>
      <c r="J59" s="984"/>
      <c r="K59" s="984"/>
      <c r="L59" s="984"/>
      <c r="M59" s="984"/>
      <c r="N59" s="984"/>
      <c r="O59" s="984"/>
      <c r="P59" s="984"/>
      <c r="Q59" s="987"/>
    </row>
    <row r="60" spans="1:17">
      <c r="A60" s="983"/>
      <c r="B60" s="984"/>
      <c r="C60" s="984"/>
      <c r="D60" s="984"/>
      <c r="E60" s="984"/>
      <c r="F60" s="984"/>
      <c r="G60" s="984"/>
      <c r="H60" s="987"/>
      <c r="I60" s="983"/>
      <c r="J60" s="984"/>
      <c r="K60" s="984"/>
      <c r="L60" s="984"/>
      <c r="M60" s="984"/>
      <c r="N60" s="989" t="s">
        <v>1021</v>
      </c>
      <c r="O60" s="1010">
        <f>Receivers!J123</f>
        <v>0.6</v>
      </c>
      <c r="P60" s="984"/>
      <c r="Q60" s="987"/>
    </row>
    <row r="61" spans="1:17">
      <c r="A61" s="983"/>
      <c r="B61" s="984"/>
      <c r="C61" s="984"/>
      <c r="D61" s="984"/>
      <c r="E61" s="984"/>
      <c r="F61" s="989" t="s">
        <v>1033</v>
      </c>
      <c r="G61" s="1021">
        <f>Receivers!J59</f>
        <v>140</v>
      </c>
      <c r="H61" s="987"/>
      <c r="I61" s="983"/>
      <c r="J61" s="984"/>
      <c r="K61" s="984"/>
      <c r="L61" s="984"/>
      <c r="M61" s="984"/>
      <c r="N61" s="984"/>
      <c r="O61" s="984"/>
      <c r="P61" s="984"/>
      <c r="Q61" s="987"/>
    </row>
    <row r="62" spans="1:17">
      <c r="A62" s="983"/>
      <c r="B62" s="984"/>
      <c r="C62" s="984"/>
      <c r="D62" s="984"/>
      <c r="E62" s="984"/>
      <c r="F62" s="984"/>
      <c r="G62" s="984"/>
      <c r="H62" s="987"/>
      <c r="I62" s="983"/>
      <c r="J62" s="984"/>
      <c r="K62" s="984"/>
      <c r="L62" s="984"/>
      <c r="M62" s="984"/>
      <c r="N62" s="989" t="s">
        <v>1022</v>
      </c>
      <c r="O62" s="1010">
        <f>SUM(Receivers!J121:J122)</f>
        <v>2.2599999999999998</v>
      </c>
      <c r="P62" s="984"/>
      <c r="Q62" s="987"/>
    </row>
    <row r="63" spans="1:17" ht="13">
      <c r="A63" s="983"/>
      <c r="B63" s="984"/>
      <c r="C63" s="984"/>
      <c r="D63" s="984"/>
      <c r="E63" s="1017" t="s">
        <v>880</v>
      </c>
      <c r="F63" s="984"/>
      <c r="G63" s="984"/>
      <c r="H63" s="987"/>
      <c r="I63" s="983"/>
      <c r="J63" s="984"/>
      <c r="K63" s="984"/>
      <c r="L63" s="984"/>
      <c r="M63" s="984"/>
      <c r="N63" s="984"/>
      <c r="O63" s="984"/>
      <c r="P63" s="984"/>
      <c r="Q63" s="987"/>
    </row>
    <row r="64" spans="1:17">
      <c r="A64" s="983"/>
      <c r="B64" s="984"/>
      <c r="C64" s="984"/>
      <c r="D64" s="984"/>
      <c r="E64" s="984"/>
      <c r="F64" s="984"/>
      <c r="G64" s="984"/>
      <c r="H64" s="987"/>
      <c r="I64" s="983"/>
      <c r="J64" s="984"/>
      <c r="K64" s="984"/>
      <c r="L64" s="984"/>
      <c r="M64" s="984"/>
      <c r="N64" s="984"/>
      <c r="O64" s="984"/>
      <c r="P64" s="984"/>
      <c r="Q64" s="987"/>
    </row>
    <row r="65" spans="1:17">
      <c r="A65" s="983"/>
      <c r="B65" s="984"/>
      <c r="C65" s="984"/>
      <c r="D65" s="984"/>
      <c r="E65" s="984"/>
      <c r="F65" s="989" t="s">
        <v>1031</v>
      </c>
      <c r="G65" s="1027">
        <f>'Uplink Budget'!B23</f>
        <v>2</v>
      </c>
      <c r="H65" s="987"/>
      <c r="I65" s="983"/>
      <c r="J65" s="984"/>
      <c r="K65" s="984"/>
      <c r="L65" s="984"/>
      <c r="M65" s="984"/>
      <c r="N65" s="989" t="s">
        <v>1032</v>
      </c>
      <c r="O65" s="1028">
        <f>Receivers!J126</f>
        <v>3.06</v>
      </c>
      <c r="P65" s="984"/>
      <c r="Q65" s="987"/>
    </row>
    <row r="66" spans="1:17">
      <c r="A66" s="983"/>
      <c r="B66" s="984"/>
      <c r="C66" s="984"/>
      <c r="D66" s="984"/>
      <c r="E66" s="984"/>
      <c r="F66" s="1003" t="s">
        <v>60</v>
      </c>
      <c r="G66" s="1029" t="str">
        <f>'Antenna Gain'!K11</f>
        <v>RHCP</v>
      </c>
      <c r="H66" s="987"/>
      <c r="I66" s="983"/>
      <c r="J66" s="984"/>
      <c r="K66" s="984"/>
      <c r="L66" s="984"/>
      <c r="M66" s="984"/>
      <c r="N66" s="984"/>
      <c r="O66" s="984"/>
      <c r="P66" s="984"/>
      <c r="Q66" s="987"/>
    </row>
    <row r="67" spans="1:17">
      <c r="A67" s="983"/>
      <c r="B67" s="1063" t="str">
        <f>'Antenna Gain'!F24</f>
        <v>Canted Turnstyle</v>
      </c>
      <c r="C67" s="1063"/>
      <c r="D67" s="984"/>
      <c r="E67" s="984"/>
      <c r="F67" s="1003" t="s">
        <v>1026</v>
      </c>
      <c r="G67" s="1022">
        <f>'Antenna Pointing Losses'!G63</f>
        <v>5</v>
      </c>
      <c r="H67" s="987"/>
      <c r="I67" s="983"/>
      <c r="J67" s="984"/>
      <c r="K67" s="984"/>
      <c r="L67" s="984"/>
      <c r="M67" s="984"/>
      <c r="N67" s="984"/>
      <c r="O67" s="984"/>
      <c r="P67" s="984"/>
      <c r="Q67" s="987"/>
    </row>
    <row r="68" spans="1:17">
      <c r="A68" s="983"/>
      <c r="B68" s="984"/>
      <c r="C68" s="984"/>
      <c r="D68" s="984"/>
      <c r="E68" s="984"/>
      <c r="F68" s="984" t="s">
        <v>714</v>
      </c>
      <c r="G68" s="984"/>
      <c r="H68" s="987"/>
      <c r="I68" s="983"/>
      <c r="J68" s="984"/>
      <c r="K68" s="984"/>
      <c r="L68" s="984"/>
      <c r="M68" s="984"/>
      <c r="N68" s="984"/>
      <c r="O68" s="984"/>
      <c r="P68" s="984"/>
      <c r="Q68" s="987"/>
    </row>
    <row r="69" spans="1:17" ht="15.5">
      <c r="A69" s="983"/>
      <c r="B69" s="984"/>
      <c r="C69" s="984"/>
      <c r="D69" s="984"/>
      <c r="E69" s="984"/>
      <c r="F69" s="989" t="s">
        <v>1034</v>
      </c>
      <c r="G69" s="1026">
        <f>'Uplink Budget'!B19+30</f>
        <v>-95.691521923860194</v>
      </c>
      <c r="H69" s="987"/>
      <c r="I69" s="983"/>
      <c r="J69" s="984"/>
      <c r="K69" s="984"/>
      <c r="L69" s="984"/>
      <c r="M69" s="984"/>
      <c r="N69" s="1025" t="s">
        <v>1029</v>
      </c>
      <c r="O69" s="1021">
        <f>Receivers!J134</f>
        <v>45</v>
      </c>
      <c r="P69" s="984"/>
      <c r="Q69" s="987"/>
    </row>
    <row r="70" spans="1:17">
      <c r="A70" s="983"/>
      <c r="B70" s="984"/>
      <c r="C70" s="984"/>
      <c r="D70" s="984"/>
      <c r="E70" s="984"/>
      <c r="F70" s="984"/>
      <c r="G70" s="984"/>
      <c r="H70" s="987"/>
      <c r="I70" s="983"/>
      <c r="J70" s="984"/>
      <c r="K70" s="984"/>
      <c r="L70" s="984"/>
      <c r="M70" s="984"/>
      <c r="N70" s="984"/>
      <c r="O70" s="984"/>
      <c r="P70" s="984"/>
      <c r="Q70" s="987"/>
    </row>
    <row r="71" spans="1:17">
      <c r="A71" s="983"/>
      <c r="B71" s="984"/>
      <c r="C71" s="984"/>
      <c r="D71" s="984"/>
      <c r="E71" s="984"/>
      <c r="F71" s="1059" t="s">
        <v>1014</v>
      </c>
      <c r="G71" s="1060"/>
      <c r="H71" s="987"/>
      <c r="I71" s="983"/>
      <c r="J71" s="984"/>
      <c r="K71" s="984"/>
      <c r="L71" s="984"/>
      <c r="M71" s="984"/>
      <c r="N71" s="1025" t="s">
        <v>1028</v>
      </c>
      <c r="O71" s="990">
        <f>Receivers!F136</f>
        <v>15.6</v>
      </c>
      <c r="P71" s="984"/>
      <c r="Q71" s="987"/>
    </row>
    <row r="72" spans="1:17" ht="13">
      <c r="A72" s="983"/>
      <c r="B72" s="984"/>
      <c r="C72" s="984"/>
      <c r="D72" s="984"/>
      <c r="E72" s="984"/>
      <c r="F72" s="1061">
        <f>SUM('Uplink Budget'!B13:B18)+'Uplink Budget'!B22</f>
        <v>154.64122196722039</v>
      </c>
      <c r="G72" s="1062"/>
      <c r="H72" s="987"/>
      <c r="I72" s="983"/>
      <c r="J72" s="984"/>
      <c r="K72" s="984"/>
      <c r="L72" s="984"/>
      <c r="M72" s="984"/>
      <c r="N72" s="984"/>
      <c r="O72" s="984"/>
      <c r="P72" s="984"/>
      <c r="Q72" s="987"/>
    </row>
    <row r="73" spans="1:17">
      <c r="A73" s="983"/>
      <c r="B73" s="984"/>
      <c r="C73" s="984"/>
      <c r="D73" s="984"/>
      <c r="E73" s="984"/>
      <c r="F73" s="984"/>
      <c r="G73" s="984"/>
      <c r="H73" s="987"/>
      <c r="I73" s="983"/>
      <c r="J73" s="984"/>
      <c r="K73" s="984"/>
      <c r="L73" s="984"/>
      <c r="M73" s="984"/>
      <c r="N73" s="984"/>
      <c r="O73" s="984"/>
      <c r="P73" s="984"/>
      <c r="Q73" s="987"/>
    </row>
    <row r="74" spans="1:17" ht="13">
      <c r="A74" s="983"/>
      <c r="B74" s="984"/>
      <c r="C74" s="984"/>
      <c r="D74" s="984"/>
      <c r="E74" s="984"/>
      <c r="F74" s="1014" t="s">
        <v>1035</v>
      </c>
      <c r="G74" s="1030">
        <f>'Uplink Budget'!B11+30</f>
        <v>58.949700043360188</v>
      </c>
      <c r="H74" s="987"/>
      <c r="I74" s="983"/>
      <c r="J74" s="984"/>
      <c r="K74" s="984"/>
      <c r="L74" s="984"/>
      <c r="M74" s="984"/>
      <c r="N74" s="984"/>
      <c r="O74" s="984"/>
      <c r="P74" s="984"/>
      <c r="Q74" s="987"/>
    </row>
    <row r="75" spans="1:17">
      <c r="A75" s="983"/>
      <c r="B75" s="1070" t="str">
        <f>'Antenna Gain'!F11</f>
        <v>Parabolic Reflector</v>
      </c>
      <c r="C75" s="1070"/>
      <c r="D75" s="984"/>
      <c r="E75" s="984"/>
      <c r="F75" s="984"/>
      <c r="G75" s="984"/>
      <c r="H75" s="987"/>
      <c r="I75" s="983"/>
      <c r="J75" s="984"/>
      <c r="K75" s="984"/>
      <c r="L75" s="984"/>
      <c r="M75" s="984"/>
      <c r="N75" s="984"/>
      <c r="O75" s="984"/>
      <c r="P75" s="984"/>
      <c r="Q75" s="987"/>
    </row>
    <row r="76" spans="1:17">
      <c r="A76" s="983"/>
      <c r="B76" s="984"/>
      <c r="C76" s="984"/>
      <c r="D76" s="984"/>
      <c r="E76" s="984"/>
      <c r="F76" s="989" t="s">
        <v>1036</v>
      </c>
      <c r="G76" s="1027">
        <f>'Uplink Budget'!B10</f>
        <v>22.9</v>
      </c>
      <c r="H76" s="987"/>
      <c r="I76" s="983"/>
      <c r="J76" s="984"/>
      <c r="K76" s="984"/>
      <c r="L76" s="984"/>
      <c r="M76" s="984"/>
      <c r="N76" s="989" t="s">
        <v>984</v>
      </c>
      <c r="O76" s="1021">
        <f>Receivers!J146</f>
        <v>1441.4023310931266</v>
      </c>
      <c r="P76" s="984"/>
      <c r="Q76" s="987"/>
    </row>
    <row r="77" spans="1:17">
      <c r="A77" s="983"/>
      <c r="B77" s="984"/>
      <c r="C77" s="984"/>
      <c r="D77" s="984"/>
      <c r="E77" s="984"/>
      <c r="F77" s="1003" t="s">
        <v>60</v>
      </c>
      <c r="G77" s="1029" t="str">
        <f>'Antenna Gain'!K11</f>
        <v>RHCP</v>
      </c>
      <c r="H77" s="987"/>
      <c r="I77" s="983"/>
      <c r="J77" s="984"/>
      <c r="K77" s="984"/>
      <c r="L77" s="984"/>
      <c r="M77" s="984"/>
      <c r="N77" s="984"/>
      <c r="O77" s="984"/>
      <c r="P77" s="984"/>
      <c r="Q77" s="987"/>
    </row>
    <row r="78" spans="1:17">
      <c r="A78" s="983"/>
      <c r="B78" s="984"/>
      <c r="C78" s="984"/>
      <c r="D78" s="984"/>
      <c r="E78" s="984"/>
      <c r="F78" s="1003" t="s">
        <v>1026</v>
      </c>
      <c r="G78" s="1022">
        <f>'Antenna Pointing Losses'!F43</f>
        <v>5</v>
      </c>
      <c r="H78" s="987"/>
      <c r="I78" s="983"/>
      <c r="J78" s="984"/>
      <c r="K78" s="984"/>
      <c r="L78" s="984"/>
      <c r="M78" s="984"/>
      <c r="N78" s="984"/>
      <c r="O78" s="984"/>
      <c r="P78" s="984"/>
      <c r="Q78" s="987"/>
    </row>
    <row r="79" spans="1:17">
      <c r="A79" s="983"/>
      <c r="B79" s="984"/>
      <c r="C79" s="984"/>
      <c r="D79" s="984"/>
      <c r="E79" s="984"/>
      <c r="F79" s="984"/>
      <c r="G79" s="984"/>
      <c r="H79" s="987"/>
      <c r="I79" s="983"/>
      <c r="J79" s="984"/>
      <c r="K79" s="984"/>
      <c r="L79" s="984"/>
      <c r="M79" s="984"/>
      <c r="N79" s="984"/>
      <c r="O79" s="984"/>
      <c r="P79" s="984"/>
      <c r="Q79" s="987"/>
    </row>
    <row r="80" spans="1:17" ht="13">
      <c r="A80" s="983"/>
      <c r="B80" s="984"/>
      <c r="C80" s="984"/>
      <c r="D80" s="984"/>
      <c r="E80" s="1017" t="s">
        <v>875</v>
      </c>
      <c r="F80" s="984"/>
      <c r="G80" s="984"/>
      <c r="H80" s="987"/>
      <c r="I80" s="983"/>
      <c r="J80" s="984"/>
      <c r="K80" s="984"/>
      <c r="L80" s="984"/>
      <c r="M80" s="984"/>
      <c r="N80" s="984"/>
      <c r="O80" s="984"/>
      <c r="P80" s="984"/>
      <c r="Q80" s="987"/>
    </row>
    <row r="81" spans="1:17">
      <c r="A81" s="983"/>
      <c r="B81" s="984"/>
      <c r="C81" s="984"/>
      <c r="D81" s="984"/>
      <c r="E81" s="984"/>
      <c r="F81" s="984"/>
      <c r="G81" s="984"/>
      <c r="H81" s="987"/>
      <c r="I81" s="983"/>
      <c r="J81" s="984"/>
      <c r="K81" s="984"/>
      <c r="L81" s="984"/>
      <c r="M81" s="984"/>
      <c r="N81" s="1012" t="s">
        <v>1024</v>
      </c>
      <c r="O81" s="1016">
        <f>Receivers!J149</f>
        <v>478.50476100078777</v>
      </c>
      <c r="P81" s="984"/>
      <c r="Q81" s="987"/>
    </row>
    <row r="82" spans="1:17" ht="15.5">
      <c r="A82" s="983"/>
      <c r="B82" s="984"/>
      <c r="C82" s="984"/>
      <c r="D82" s="984"/>
      <c r="E82" s="984"/>
      <c r="F82" s="1014" t="s">
        <v>1013</v>
      </c>
      <c r="G82" s="1015">
        <f>Transmitters!I45+30</f>
        <v>36.04970004336019</v>
      </c>
      <c r="H82" s="987"/>
      <c r="I82" s="983"/>
      <c r="J82" s="984"/>
      <c r="K82" s="984"/>
      <c r="L82" s="984"/>
      <c r="M82" s="984"/>
      <c r="N82" s="984"/>
      <c r="O82" s="984"/>
      <c r="P82" s="984"/>
      <c r="Q82" s="987"/>
    </row>
    <row r="83" spans="1:17" ht="13">
      <c r="A83" s="983"/>
      <c r="B83" s="984"/>
      <c r="C83" s="984"/>
      <c r="D83" s="984"/>
      <c r="E83" s="984"/>
      <c r="F83" s="984"/>
      <c r="G83" s="984"/>
      <c r="H83" s="987"/>
      <c r="I83" s="983"/>
      <c r="J83" s="984"/>
      <c r="K83" s="984"/>
      <c r="L83" s="984"/>
      <c r="M83" s="984"/>
      <c r="N83" s="1012" t="s">
        <v>418</v>
      </c>
      <c r="O83" s="1013">
        <f>'Downlink Budget'!B26</f>
        <v>-6.9588626325410381</v>
      </c>
      <c r="P83" s="984"/>
      <c r="Q83" s="987"/>
    </row>
    <row r="84" spans="1:17">
      <c r="A84" s="983"/>
      <c r="B84" s="984"/>
      <c r="C84" s="984"/>
      <c r="D84" s="984"/>
      <c r="E84" s="984"/>
      <c r="F84" s="989" t="s">
        <v>1023</v>
      </c>
      <c r="G84" s="1011">
        <f>Transmitters!I43</f>
        <v>0.94</v>
      </c>
      <c r="H84" s="987"/>
      <c r="I84" s="983"/>
      <c r="J84" s="984"/>
      <c r="K84" s="984"/>
      <c r="L84" s="984"/>
      <c r="M84" s="984"/>
      <c r="N84" s="984"/>
      <c r="O84" s="984"/>
      <c r="P84" s="984"/>
      <c r="Q84" s="987"/>
    </row>
    <row r="85" spans="1:17">
      <c r="A85" s="983"/>
      <c r="B85" s="984"/>
      <c r="C85" s="984"/>
      <c r="D85" s="984"/>
      <c r="E85" s="984"/>
      <c r="F85" s="984"/>
      <c r="G85" s="984"/>
      <c r="H85" s="987"/>
      <c r="I85" s="983"/>
      <c r="J85" s="984"/>
      <c r="K85" s="984"/>
      <c r="L85" s="984"/>
      <c r="M85" s="984"/>
      <c r="N85" s="984"/>
      <c r="O85" s="984"/>
      <c r="P85" s="984"/>
      <c r="Q85" s="987"/>
    </row>
    <row r="86" spans="1:17">
      <c r="A86" s="983"/>
      <c r="B86" s="984"/>
      <c r="C86" s="984"/>
      <c r="D86" s="984"/>
      <c r="E86" s="984"/>
      <c r="F86" s="984"/>
      <c r="G86" s="984"/>
      <c r="H86" s="987"/>
      <c r="I86" s="983"/>
      <c r="J86" s="984"/>
      <c r="K86" s="984"/>
      <c r="L86" s="984"/>
      <c r="M86" s="984"/>
      <c r="N86" s="984"/>
      <c r="O86" s="984"/>
      <c r="P86" s="984"/>
      <c r="Q86" s="987"/>
    </row>
    <row r="87" spans="1:17" ht="15.5">
      <c r="A87" s="983"/>
      <c r="B87" s="984"/>
      <c r="C87" s="984"/>
      <c r="D87" s="984"/>
      <c r="E87" s="984"/>
      <c r="F87" s="989" t="s">
        <v>1012</v>
      </c>
      <c r="G87" s="1010">
        <f>Transmitters!I41</f>
        <v>0.18</v>
      </c>
      <c r="H87" s="987"/>
      <c r="I87" s="983"/>
      <c r="J87" s="984"/>
      <c r="K87" s="984"/>
      <c r="L87" s="984"/>
      <c r="M87" s="984"/>
      <c r="N87" s="984"/>
      <c r="O87" s="984"/>
      <c r="P87" s="984"/>
      <c r="Q87" s="987"/>
    </row>
    <row r="88" spans="1:17">
      <c r="A88" s="983"/>
      <c r="B88" s="984"/>
      <c r="C88" s="984"/>
      <c r="D88" s="984"/>
      <c r="E88" s="984"/>
      <c r="F88" s="984"/>
      <c r="G88" s="984"/>
      <c r="H88" s="987"/>
      <c r="I88" s="983"/>
      <c r="J88" s="984"/>
      <c r="K88" s="984"/>
      <c r="L88" s="984"/>
      <c r="M88" s="984"/>
      <c r="N88" s="989" t="s">
        <v>1037</v>
      </c>
      <c r="O88" s="1031">
        <f>'Downlink Budget'!B56</f>
        <v>22000000</v>
      </c>
      <c r="P88" s="984"/>
      <c r="Q88" s="987"/>
    </row>
    <row r="89" spans="1:17">
      <c r="A89" s="983"/>
      <c r="B89" s="984"/>
      <c r="C89" s="984"/>
      <c r="D89" s="984"/>
      <c r="E89" s="984"/>
      <c r="F89" s="989" t="s">
        <v>1022</v>
      </c>
      <c r="G89" s="1010">
        <f>SUM(Transmitters!I37:I39)</f>
        <v>0.26</v>
      </c>
      <c r="H89" s="987"/>
      <c r="I89" s="983"/>
      <c r="J89" s="984"/>
      <c r="K89" s="984"/>
      <c r="L89" s="984"/>
      <c r="M89" s="984"/>
      <c r="N89" s="1065" t="s">
        <v>426</v>
      </c>
      <c r="O89" s="1065"/>
      <c r="P89" s="984"/>
      <c r="Q89" s="987"/>
    </row>
    <row r="90" spans="1:17">
      <c r="A90" s="983"/>
      <c r="B90" s="984"/>
      <c r="C90" s="984"/>
      <c r="D90" s="984"/>
      <c r="E90" s="984"/>
      <c r="F90" s="984"/>
      <c r="G90" s="984"/>
      <c r="H90" s="987"/>
      <c r="I90" s="983"/>
      <c r="J90" s="984"/>
      <c r="K90" s="984"/>
      <c r="L90" s="984"/>
      <c r="M90" s="984"/>
      <c r="N90" s="984"/>
      <c r="O90" s="984"/>
      <c r="P90" s="984"/>
      <c r="Q90" s="987"/>
    </row>
    <row r="91" spans="1:17">
      <c r="A91" s="983"/>
      <c r="B91" s="984"/>
      <c r="C91" s="984"/>
      <c r="D91" s="984"/>
      <c r="E91" s="984"/>
      <c r="F91" s="989" t="s">
        <v>1021</v>
      </c>
      <c r="G91" s="1010">
        <f>Transmitters!I36</f>
        <v>0.3</v>
      </c>
      <c r="H91" s="987"/>
      <c r="I91" s="983"/>
      <c r="J91" s="984"/>
      <c r="K91" s="984"/>
      <c r="L91" s="984"/>
      <c r="M91" s="984"/>
      <c r="N91" s="984"/>
      <c r="O91" s="984"/>
      <c r="P91" s="984"/>
      <c r="Q91" s="987"/>
    </row>
    <row r="92" spans="1:17">
      <c r="A92" s="983"/>
      <c r="B92" s="984"/>
      <c r="C92" s="984"/>
      <c r="D92" s="984"/>
      <c r="E92" s="984"/>
      <c r="F92" s="984"/>
      <c r="G92" s="984"/>
      <c r="H92" s="987"/>
      <c r="I92" s="983"/>
      <c r="J92" s="984"/>
      <c r="K92" s="984"/>
      <c r="L92" s="984"/>
      <c r="M92" s="984"/>
      <c r="N92" s="984"/>
      <c r="O92" s="984"/>
      <c r="P92" s="984"/>
      <c r="Q92" s="987"/>
    </row>
    <row r="93" spans="1:17">
      <c r="A93" s="983"/>
      <c r="B93" s="984"/>
      <c r="C93" s="984"/>
      <c r="D93" s="984"/>
      <c r="E93" s="984"/>
      <c r="F93" s="989" t="s">
        <v>1019</v>
      </c>
      <c r="G93" s="1008">
        <f>Transmitters!I32</f>
        <v>0.2</v>
      </c>
      <c r="H93" s="987"/>
      <c r="I93" s="983"/>
      <c r="J93" s="984"/>
      <c r="K93" s="984"/>
      <c r="L93" s="984"/>
      <c r="M93" s="984"/>
      <c r="N93" s="1032" t="s">
        <v>421</v>
      </c>
      <c r="O93" s="1004">
        <f>'Downlink Budget'!B35</f>
        <v>1.0000000000000001E-5</v>
      </c>
      <c r="P93" s="984"/>
      <c r="Q93" s="987"/>
    </row>
    <row r="94" spans="1:17">
      <c r="A94" s="983"/>
      <c r="B94" s="984"/>
      <c r="C94" s="984"/>
      <c r="D94" s="984"/>
      <c r="E94" s="984"/>
      <c r="F94" s="984" t="s">
        <v>714</v>
      </c>
      <c r="G94" s="984"/>
      <c r="H94" s="987"/>
      <c r="I94" s="983"/>
      <c r="J94" s="984"/>
      <c r="K94" s="984"/>
      <c r="L94" s="984"/>
      <c r="M94" s="984"/>
      <c r="N94" s="1059" t="s">
        <v>1011</v>
      </c>
      <c r="O94" s="1060"/>
      <c r="P94" s="984"/>
      <c r="Q94" s="987"/>
    </row>
    <row r="95" spans="1:17">
      <c r="A95" s="983"/>
      <c r="B95" s="984"/>
      <c r="C95" s="984"/>
      <c r="D95" s="984"/>
      <c r="E95" s="984"/>
      <c r="F95" s="984" t="s">
        <v>714</v>
      </c>
      <c r="G95" s="984"/>
      <c r="H95" s="987"/>
      <c r="I95" s="983"/>
      <c r="J95" s="984"/>
      <c r="K95" s="984"/>
      <c r="L95" s="984"/>
      <c r="M95" s="984"/>
      <c r="N95" s="1053" t="str">
        <f>'Downlink Budget'!B32</f>
        <v>BPSK</v>
      </c>
      <c r="O95" s="1054"/>
      <c r="P95" s="984"/>
      <c r="Q95" s="987"/>
    </row>
    <row r="96" spans="1:17">
      <c r="A96" s="983"/>
      <c r="B96" s="984"/>
      <c r="C96" s="984"/>
      <c r="D96" s="984"/>
      <c r="E96" s="984"/>
      <c r="F96" s="984" t="s">
        <v>714</v>
      </c>
      <c r="G96" s="984"/>
      <c r="H96" s="987"/>
      <c r="I96" s="983"/>
      <c r="J96" s="984"/>
      <c r="K96" s="984"/>
      <c r="L96" s="984"/>
      <c r="M96" s="984"/>
      <c r="N96" s="1033" t="s">
        <v>333</v>
      </c>
      <c r="O96" s="1007">
        <f>'Downlink Budget'!B41</f>
        <v>10.1</v>
      </c>
      <c r="P96" s="984"/>
      <c r="Q96" s="987"/>
    </row>
    <row r="97" spans="1:17">
      <c r="A97" s="983"/>
      <c r="B97" s="984"/>
      <c r="C97" s="984"/>
      <c r="D97" s="984"/>
      <c r="E97" s="984"/>
      <c r="F97" s="1014" t="s">
        <v>1040</v>
      </c>
      <c r="G97" s="1038">
        <f>Transmitters!E16</f>
        <v>5</v>
      </c>
      <c r="H97" s="987"/>
      <c r="I97" s="983"/>
      <c r="J97" s="984"/>
      <c r="K97" s="984"/>
      <c r="L97" s="984"/>
      <c r="M97" s="984"/>
      <c r="N97" s="984"/>
      <c r="O97" s="984"/>
      <c r="P97" s="984"/>
      <c r="Q97" s="987"/>
    </row>
    <row r="98" spans="1:17">
      <c r="A98" s="983"/>
      <c r="B98" s="984"/>
      <c r="C98" s="984"/>
      <c r="D98" s="984"/>
      <c r="E98" s="984"/>
      <c r="F98" s="984"/>
      <c r="G98" s="984"/>
      <c r="H98" s="987"/>
      <c r="I98" s="983"/>
      <c r="J98" s="984"/>
      <c r="K98" s="984"/>
      <c r="L98" s="984"/>
      <c r="M98" s="984"/>
      <c r="N98" s="984"/>
      <c r="O98" s="984"/>
      <c r="P98" s="984"/>
      <c r="Q98" s="987"/>
    </row>
    <row r="99" spans="1:17">
      <c r="A99" s="983"/>
      <c r="B99" s="984"/>
      <c r="C99" s="984"/>
      <c r="D99" s="984"/>
      <c r="E99" s="984"/>
      <c r="F99" s="984"/>
      <c r="G99" s="984"/>
      <c r="H99" s="987"/>
      <c r="I99" s="983"/>
      <c r="J99" s="984"/>
      <c r="K99" s="984"/>
      <c r="L99" s="984"/>
      <c r="M99" s="984"/>
      <c r="N99" s="984"/>
      <c r="O99" s="984"/>
      <c r="P99" s="984"/>
      <c r="Q99" s="987"/>
    </row>
    <row r="100" spans="1:17">
      <c r="A100" s="983"/>
      <c r="B100" s="984"/>
      <c r="C100" s="984"/>
      <c r="D100" s="984"/>
      <c r="E100" s="984"/>
      <c r="F100" s="984"/>
      <c r="G100" s="984"/>
      <c r="H100" s="987"/>
      <c r="I100" s="983"/>
      <c r="J100" s="984"/>
      <c r="K100" s="984"/>
      <c r="L100" s="984"/>
      <c r="M100" s="984"/>
      <c r="N100" s="1059" t="s">
        <v>1010</v>
      </c>
      <c r="O100" s="1060"/>
      <c r="P100" s="984"/>
      <c r="Q100" s="987"/>
    </row>
    <row r="101" spans="1:17">
      <c r="A101" s="983"/>
      <c r="B101" s="984"/>
      <c r="C101" s="984"/>
      <c r="D101" s="984"/>
      <c r="E101" s="984"/>
      <c r="F101" s="984"/>
      <c r="G101" s="984"/>
      <c r="H101" s="987"/>
      <c r="I101" s="983"/>
      <c r="J101" s="984"/>
      <c r="K101" s="984"/>
      <c r="L101" s="984"/>
      <c r="M101" s="984"/>
      <c r="N101" s="1053" t="str">
        <f>'Downlink Budget'!B33</f>
        <v>None</v>
      </c>
      <c r="O101" s="1054"/>
      <c r="P101" s="984"/>
      <c r="Q101" s="987"/>
    </row>
    <row r="102" spans="1:17">
      <c r="A102" s="983"/>
      <c r="B102" s="984"/>
      <c r="C102" s="984"/>
      <c r="D102" s="984"/>
      <c r="E102" s="984"/>
      <c r="F102" s="984"/>
      <c r="G102" s="984"/>
      <c r="H102" s="987"/>
      <c r="I102" s="983"/>
      <c r="J102" s="984"/>
      <c r="K102" s="984"/>
      <c r="L102" s="984"/>
      <c r="M102" s="984"/>
      <c r="N102" s="984"/>
      <c r="O102" s="984"/>
      <c r="P102" s="984"/>
      <c r="Q102" s="987"/>
    </row>
    <row r="103" spans="1:17">
      <c r="A103" s="983"/>
      <c r="B103" s="984"/>
      <c r="C103" s="984"/>
      <c r="D103" s="984"/>
      <c r="E103" s="984"/>
      <c r="F103" s="1059" t="s">
        <v>1007</v>
      </c>
      <c r="G103" s="1060"/>
      <c r="H103" s="987"/>
      <c r="I103" s="983"/>
      <c r="J103" s="984"/>
      <c r="K103" s="984"/>
      <c r="L103" s="984"/>
      <c r="M103" s="984"/>
      <c r="N103" s="984"/>
      <c r="O103" s="984"/>
      <c r="P103" s="984"/>
      <c r="Q103" s="987"/>
    </row>
    <row r="104" spans="1:17">
      <c r="A104" s="983"/>
      <c r="B104" s="984"/>
      <c r="C104" s="984"/>
      <c r="D104" s="984"/>
      <c r="E104" s="984"/>
      <c r="F104" s="1053" t="str">
        <f>'Uplink Budget'!B32</f>
        <v>BPSK</v>
      </c>
      <c r="G104" s="1054"/>
      <c r="H104" s="987"/>
      <c r="I104" s="983"/>
      <c r="J104" s="984"/>
      <c r="K104" s="984"/>
      <c r="L104" s="984"/>
      <c r="M104" s="984"/>
      <c r="N104" s="984"/>
      <c r="O104" s="984"/>
      <c r="P104" s="984"/>
      <c r="Q104" s="987"/>
    </row>
    <row r="105" spans="1:17">
      <c r="A105" s="983"/>
      <c r="B105" s="984"/>
      <c r="C105" s="984"/>
      <c r="D105" s="984"/>
      <c r="E105" s="984"/>
      <c r="F105" s="984"/>
      <c r="G105" s="984"/>
      <c r="H105" s="987"/>
      <c r="I105" s="983"/>
      <c r="J105" s="984"/>
      <c r="K105" s="989" t="s">
        <v>1006</v>
      </c>
      <c r="L105" s="1031">
        <f>'Downlink Budget'!B28</f>
        <v>1000000</v>
      </c>
      <c r="M105" s="984"/>
      <c r="N105" s="984"/>
      <c r="O105" s="984" t="s">
        <v>714</v>
      </c>
      <c r="P105" s="984" t="s">
        <v>714</v>
      </c>
      <c r="Q105" s="987"/>
    </row>
    <row r="106" spans="1:17" ht="13" thickBot="1">
      <c r="A106" s="983"/>
      <c r="B106" s="984"/>
      <c r="C106" s="984"/>
      <c r="D106" s="984"/>
      <c r="E106" s="984"/>
      <c r="F106" s="1059" t="s">
        <v>1009</v>
      </c>
      <c r="G106" s="1060"/>
      <c r="H106" s="987"/>
      <c r="I106" s="983"/>
      <c r="J106" s="984"/>
      <c r="K106" s="984"/>
      <c r="L106" s="984"/>
      <c r="M106" s="984"/>
      <c r="N106" s="984"/>
      <c r="O106" s="984"/>
      <c r="P106" s="984"/>
      <c r="Q106" s="987"/>
    </row>
    <row r="107" spans="1:17" ht="13.5" thickBot="1">
      <c r="A107" s="983"/>
      <c r="B107" s="984"/>
      <c r="C107" s="984"/>
      <c r="D107" s="984"/>
      <c r="E107" s="984"/>
      <c r="F107" s="1053" t="str">
        <f>'Uplink Budget'!B33</f>
        <v>None</v>
      </c>
      <c r="G107" s="1054"/>
      <c r="H107" s="987"/>
      <c r="I107" s="1071" t="s">
        <v>1038</v>
      </c>
      <c r="J107" s="1072"/>
      <c r="K107" s="989" t="s">
        <v>1039</v>
      </c>
      <c r="L107" s="990">
        <f>'Downlink Budget'!B30</f>
        <v>17.655515400238556</v>
      </c>
      <c r="M107" s="984"/>
      <c r="N107" s="1034" t="s">
        <v>417</v>
      </c>
      <c r="O107" s="992">
        <f>'Downlink Budget'!B43</f>
        <v>7.5555154002385567</v>
      </c>
      <c r="P107" s="993" t="str">
        <f>IF(O107&lt;0,"NO LINK !",IF(O107&lt;6,"MARGINAL LINK",IF(O107&gt;6,"LINK CLOSES")))</f>
        <v>LINK CLOSES</v>
      </c>
      <c r="Q107" s="987"/>
    </row>
    <row r="108" spans="1:17" ht="13" thickBot="1">
      <c r="A108" s="983"/>
      <c r="B108" s="984"/>
      <c r="C108" s="984"/>
      <c r="D108" s="984"/>
      <c r="E108" s="984"/>
      <c r="F108" s="984"/>
      <c r="G108" s="984"/>
      <c r="H108" s="987"/>
      <c r="I108" s="983"/>
      <c r="J108" s="984"/>
      <c r="K108" s="984"/>
      <c r="L108" s="984"/>
      <c r="M108" s="984"/>
      <c r="N108" s="984"/>
      <c r="O108" s="984"/>
      <c r="P108" s="984"/>
      <c r="Q108" s="987"/>
    </row>
    <row r="109" spans="1:17" ht="13.5" thickBot="1">
      <c r="A109" s="983"/>
      <c r="B109" s="984"/>
      <c r="C109" s="1025" t="s">
        <v>416</v>
      </c>
      <c r="D109" s="994">
        <f>'Uplink Budget'!B28</f>
        <v>1000000</v>
      </c>
      <c r="E109" s="984"/>
      <c r="F109" s="984"/>
      <c r="G109" s="984"/>
      <c r="H109" s="987"/>
      <c r="I109" s="1071" t="s">
        <v>420</v>
      </c>
      <c r="J109" s="1072"/>
      <c r="K109" s="989" t="s">
        <v>1008</v>
      </c>
      <c r="L109" s="990">
        <f>'Downlink Budget'!B60</f>
        <v>4.2312885920164689</v>
      </c>
      <c r="M109" s="984"/>
      <c r="N109" s="1034" t="s">
        <v>428</v>
      </c>
      <c r="O109" s="992">
        <f>'Downlink Budget'!B64</f>
        <v>-5.8687114079835307</v>
      </c>
      <c r="P109" s="993" t="str">
        <f>IF(O109&lt;0,"NO LINK !",IF(O109&lt;6,"MARGINAL LINK",IF(O109&gt;6,"LINK CLOSES")))</f>
        <v>NO LINK !</v>
      </c>
      <c r="Q109" s="987"/>
    </row>
    <row r="110" spans="1:17">
      <c r="A110" s="983"/>
      <c r="B110" s="984"/>
      <c r="C110" s="984"/>
      <c r="D110" s="984"/>
      <c r="E110" s="984"/>
      <c r="F110" s="984"/>
      <c r="G110" s="984"/>
      <c r="H110" s="987"/>
      <c r="I110" s="983"/>
      <c r="J110" s="984"/>
      <c r="K110" s="984"/>
      <c r="L110" s="984"/>
      <c r="M110" s="984"/>
      <c r="N110" s="984"/>
      <c r="O110" s="984"/>
      <c r="P110" s="984"/>
      <c r="Q110" s="987"/>
    </row>
    <row r="111" spans="1:17" ht="12.5" customHeight="1">
      <c r="A111" s="983"/>
      <c r="B111" s="984"/>
      <c r="C111" s="984"/>
      <c r="D111" s="984"/>
      <c r="E111" s="984"/>
      <c r="F111" s="984"/>
      <c r="G111" s="984"/>
      <c r="H111" s="987"/>
      <c r="I111" s="984"/>
      <c r="J111" s="984"/>
      <c r="K111" s="984"/>
      <c r="L111" s="984"/>
      <c r="M111" s="984"/>
      <c r="N111" s="984"/>
      <c r="O111" s="984"/>
      <c r="P111" s="984"/>
      <c r="Q111" s="987"/>
    </row>
    <row r="112" spans="1:17" ht="12.5" customHeight="1">
      <c r="A112" s="983"/>
      <c r="B112" s="984"/>
      <c r="C112" s="984"/>
      <c r="D112" s="984"/>
      <c r="E112" s="984"/>
      <c r="F112" s="984"/>
      <c r="G112" s="984"/>
      <c r="H112" s="987"/>
      <c r="I112" s="984"/>
      <c r="J112" s="984"/>
      <c r="K112" s="984"/>
      <c r="L112" s="984"/>
      <c r="M112" s="984"/>
      <c r="N112" s="984"/>
      <c r="O112" s="984"/>
      <c r="P112" s="984"/>
      <c r="Q112" s="987"/>
    </row>
    <row r="113" spans="1:17">
      <c r="A113" s="983"/>
      <c r="B113" s="984"/>
      <c r="C113" s="984"/>
      <c r="D113" s="984"/>
      <c r="E113" s="984"/>
      <c r="F113" s="984"/>
      <c r="G113" s="984"/>
      <c r="H113" s="987"/>
      <c r="I113" s="984"/>
      <c r="J113" s="984"/>
      <c r="K113" s="984"/>
      <c r="L113" s="984"/>
      <c r="M113" s="984"/>
      <c r="N113" s="984"/>
      <c r="O113" s="984"/>
      <c r="P113" s="984"/>
      <c r="Q113" s="987"/>
    </row>
    <row r="114" spans="1:17">
      <c r="A114" s="983"/>
      <c r="B114" s="984"/>
      <c r="C114" s="984"/>
      <c r="D114" s="984"/>
      <c r="E114" s="984"/>
      <c r="F114" s="984"/>
      <c r="G114" s="984"/>
      <c r="H114" s="987"/>
      <c r="I114" s="984"/>
      <c r="J114" s="984"/>
      <c r="K114" s="984"/>
      <c r="L114" s="984"/>
      <c r="M114" s="984"/>
      <c r="N114" s="984"/>
      <c r="O114" s="984" t="s">
        <v>714</v>
      </c>
      <c r="P114" s="984"/>
      <c r="Q114" s="987"/>
    </row>
    <row r="115" spans="1:17" ht="13" thickBot="1">
      <c r="A115" s="1035"/>
      <c r="B115" s="1036"/>
      <c r="C115" s="1036"/>
      <c r="D115" s="1036"/>
      <c r="E115" s="1036"/>
      <c r="F115" s="1036"/>
      <c r="G115" s="1036"/>
      <c r="H115" s="1037"/>
      <c r="I115" s="1036"/>
      <c r="J115" s="1036"/>
      <c r="K115" s="1036"/>
      <c r="L115" s="1036"/>
      <c r="M115" s="1036"/>
      <c r="N115" s="1036"/>
      <c r="O115" s="1036"/>
      <c r="P115" s="1036"/>
      <c r="Q115" s="1037"/>
    </row>
  </sheetData>
  <mergeCells count="32">
    <mergeCell ref="B75:C75"/>
    <mergeCell ref="N89:O89"/>
    <mergeCell ref="N94:O94"/>
    <mergeCell ref="I109:J109"/>
    <mergeCell ref="N100:O100"/>
    <mergeCell ref="N101:O101"/>
    <mergeCell ref="F103:G103"/>
    <mergeCell ref="F104:G104"/>
    <mergeCell ref="F106:G106"/>
    <mergeCell ref="F107:G107"/>
    <mergeCell ref="I107:J107"/>
    <mergeCell ref="N95:O95"/>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May 28</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1.5</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0.08</v>
      </c>
      <c r="I10" s="185" t="s">
        <v>780</v>
      </c>
      <c r="J10" s="3"/>
      <c r="K10" s="464">
        <f>H10/H6</f>
        <v>0.04</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1.92</v>
      </c>
      <c r="I12" s="185" t="s">
        <v>780</v>
      </c>
      <c r="J12" s="3"/>
      <c r="K12" s="463">
        <f>1-K10</f>
        <v>0.96</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0.17728766960431602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May 28</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May 28</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463.65570103835586</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463.65570103835586</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60</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463.65570103835586</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17.655515400238556</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16.846278083196978</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3" sqref="C2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463.65570103835586</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129.06242999277771</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138.60684066030524</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147.86266997701205</v>
      </c>
      <c r="H12" s="3" t="s">
        <v>756</v>
      </c>
      <c r="I12" s="3" t="s">
        <v>90</v>
      </c>
      <c r="J12" s="3"/>
      <c r="K12" s="3"/>
      <c r="L12" s="3"/>
      <c r="M12" s="760">
        <f>INDEX(G10:G13,L10,1)</f>
        <v>153.47076228927926</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153.47076228927926</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129.06242999277771</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138.60584793047525</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153.4095811273356</v>
      </c>
      <c r="H18" s="3" t="s">
        <v>756</v>
      </c>
      <c r="I18" s="3" t="s">
        <v>90</v>
      </c>
      <c r="J18" s="3"/>
      <c r="K18" s="3"/>
      <c r="L18" s="3"/>
      <c r="M18" s="760">
        <f>INDEX(G16:G19,L16,1)</f>
        <v>153.47076228927926</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153.47076228927926</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May 28</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966</v>
      </c>
      <c r="D16" s="331"/>
      <c r="E16" s="342">
        <v>5</v>
      </c>
      <c r="F16" s="331" t="s">
        <v>160</v>
      </c>
      <c r="G16" s="402">
        <f>10*LOG10(E16)</f>
        <v>6.9897000433601884</v>
      </c>
      <c r="H16" s="331" t="s">
        <v>161</v>
      </c>
      <c r="I16" s="328">
        <f>G16+30</f>
        <v>36.989700043360187</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950</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969</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971</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951</v>
      </c>
      <c r="G27" s="631">
        <f>Frequency!$M$10</f>
        <v>2422</v>
      </c>
      <c r="H27" s="331" t="s">
        <v>172</v>
      </c>
      <c r="I27" s="969">
        <f>I19*E27</f>
        <v>0.2</v>
      </c>
      <c r="J27" s="331" t="s">
        <v>756</v>
      </c>
      <c r="K27" s="323"/>
      <c r="L27" s="3"/>
      <c r="M27" s="3"/>
      <c r="N27" s="3"/>
      <c r="O27" s="3"/>
      <c r="P27" s="3"/>
    </row>
    <row r="28" spans="1:16">
      <c r="A28" s="3"/>
      <c r="B28" s="3"/>
      <c r="C28" s="330"/>
      <c r="D28" s="899" t="s">
        <v>945</v>
      </c>
      <c r="E28" s="906"/>
      <c r="F28" s="907" t="s">
        <v>951</v>
      </c>
      <c r="G28" s="631">
        <f>Frequency!$M$10</f>
        <v>2422</v>
      </c>
      <c r="H28" s="331" t="s">
        <v>172</v>
      </c>
      <c r="I28" s="969">
        <f>I20*E28</f>
        <v>0</v>
      </c>
      <c r="J28" s="331" t="s">
        <v>756</v>
      </c>
      <c r="K28" s="323"/>
      <c r="L28" s="3"/>
      <c r="M28" s="3"/>
      <c r="N28" s="3"/>
      <c r="O28" s="3"/>
      <c r="P28" s="3"/>
    </row>
    <row r="29" spans="1:16">
      <c r="A29" s="3"/>
      <c r="B29" s="3"/>
      <c r="C29" s="330"/>
      <c r="D29" s="899" t="s">
        <v>946</v>
      </c>
      <c r="E29" s="906"/>
      <c r="F29" s="907" t="s">
        <v>951</v>
      </c>
      <c r="G29" s="631">
        <f>Frequency!$M$10</f>
        <v>2422</v>
      </c>
      <c r="H29" s="331" t="s">
        <v>172</v>
      </c>
      <c r="I29" s="969">
        <f>I21*E29</f>
        <v>0</v>
      </c>
      <c r="J29" s="331" t="s">
        <v>756</v>
      </c>
      <c r="K29" s="323"/>
      <c r="L29" s="3"/>
      <c r="M29" s="3"/>
      <c r="N29" s="3"/>
      <c r="O29" s="3"/>
      <c r="P29" s="3"/>
    </row>
    <row r="30" spans="1:16">
      <c r="A30" s="3"/>
      <c r="B30" s="3"/>
      <c r="C30" s="330"/>
      <c r="D30" s="913" t="s">
        <v>970</v>
      </c>
      <c r="E30" s="906"/>
      <c r="F30" s="907" t="s">
        <v>951</v>
      </c>
      <c r="G30" s="631">
        <f>Frequency!$M$10</f>
        <v>2422</v>
      </c>
      <c r="H30" s="331" t="s">
        <v>172</v>
      </c>
      <c r="I30" s="969">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972</v>
      </c>
      <c r="E32" s="335"/>
      <c r="F32" s="331"/>
      <c r="G32" s="333"/>
      <c r="H32" s="331"/>
      <c r="I32" s="968">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1049</v>
      </c>
      <c r="G36" s="331"/>
      <c r="H36" s="331"/>
      <c r="I36" s="903">
        <f>E36*0.15</f>
        <v>0.3</v>
      </c>
      <c r="J36" s="331" t="s">
        <v>756</v>
      </c>
      <c r="K36" s="922"/>
      <c r="L36" s="79"/>
      <c r="M36" s="3"/>
      <c r="N36" s="3"/>
      <c r="O36" s="3"/>
      <c r="P36" s="3"/>
    </row>
    <row r="37" spans="1:16">
      <c r="A37" s="3"/>
      <c r="B37" s="3"/>
      <c r="C37" s="330"/>
      <c r="D37" s="331" t="s">
        <v>171</v>
      </c>
      <c r="E37" s="334" t="s">
        <v>183</v>
      </c>
      <c r="F37" s="459" t="s">
        <v>1061</v>
      </c>
      <c r="G37" s="366"/>
      <c r="H37" s="331"/>
      <c r="I37" s="342">
        <v>0.26</v>
      </c>
      <c r="J37" s="331" t="s">
        <v>756</v>
      </c>
      <c r="K37" s="912" t="s">
        <v>1063</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1044</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6.049700043360188</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966</v>
      </c>
      <c r="D60" s="141"/>
      <c r="E60" s="128">
        <v>1</v>
      </c>
      <c r="F60" s="141" t="s">
        <v>160</v>
      </c>
      <c r="G60" s="402">
        <f>10*LOG10(E60)</f>
        <v>0</v>
      </c>
      <c r="H60" s="141" t="s">
        <v>161</v>
      </c>
      <c r="I60" s="328">
        <f>G60+30</f>
        <v>30</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1047</v>
      </c>
      <c r="F63" s="901"/>
      <c r="G63" s="141"/>
      <c r="H63" s="141"/>
      <c r="I63" s="916">
        <v>6.0000000000000001E-3</v>
      </c>
      <c r="J63" s="141" t="s">
        <v>754</v>
      </c>
      <c r="K63" s="1042"/>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951</v>
      </c>
      <c r="G70" s="407">
        <f>Frequency!$M$16</f>
        <v>2422</v>
      </c>
      <c r="H70" s="141" t="s">
        <v>172</v>
      </c>
      <c r="I70" s="970">
        <f>I63*E70</f>
        <v>4.4400000000000002E-2</v>
      </c>
      <c r="J70" s="141" t="s">
        <v>756</v>
      </c>
      <c r="K70" s="182"/>
      <c r="L70" s="3"/>
      <c r="M70" s="3"/>
      <c r="N70" s="3"/>
      <c r="O70" s="3"/>
      <c r="P70" s="3"/>
    </row>
    <row r="71" spans="1:16">
      <c r="A71" s="3"/>
      <c r="B71" s="3"/>
      <c r="C71" s="177"/>
      <c r="D71" s="141" t="s">
        <v>945</v>
      </c>
      <c r="E71" s="917"/>
      <c r="F71" s="192" t="s">
        <v>951</v>
      </c>
      <c r="G71" s="407">
        <f>Frequency!$M$16</f>
        <v>2422</v>
      </c>
      <c r="H71" s="141" t="s">
        <v>172</v>
      </c>
      <c r="I71" s="970">
        <f t="shared" ref="I71:I72" si="0">I64*E71</f>
        <v>0</v>
      </c>
      <c r="J71" s="141" t="s">
        <v>756</v>
      </c>
      <c r="K71" s="182"/>
      <c r="L71" s="3"/>
      <c r="M71" s="3"/>
      <c r="N71" s="3"/>
      <c r="O71" s="3"/>
      <c r="P71" s="3"/>
    </row>
    <row r="72" spans="1:16">
      <c r="A72" s="3"/>
      <c r="B72" s="3"/>
      <c r="C72" s="177"/>
      <c r="D72" s="141" t="s">
        <v>946</v>
      </c>
      <c r="E72" s="917"/>
      <c r="F72" s="192" t="s">
        <v>951</v>
      </c>
      <c r="G72" s="407">
        <f>Frequency!$M$16</f>
        <v>2422</v>
      </c>
      <c r="H72" s="141" t="s">
        <v>172</v>
      </c>
      <c r="I72" s="970">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70">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4</v>
      </c>
      <c r="F78" s="659" t="s">
        <v>1046</v>
      </c>
      <c r="G78" s="141"/>
      <c r="H78" s="141"/>
      <c r="I78" s="902">
        <f>E78*0.15</f>
        <v>0.6</v>
      </c>
      <c r="J78" s="141" t="s">
        <v>756</v>
      </c>
      <c r="K78" s="1042" t="s">
        <v>1045</v>
      </c>
      <c r="L78" s="3"/>
      <c r="M78" s="3"/>
      <c r="N78" s="3"/>
      <c r="O78" s="3"/>
      <c r="P78" s="3"/>
    </row>
    <row r="79" spans="1:16">
      <c r="A79" s="3"/>
      <c r="B79" s="3"/>
      <c r="C79" s="177"/>
      <c r="D79" s="141" t="s">
        <v>171</v>
      </c>
      <c r="E79" s="142" t="s">
        <v>183</v>
      </c>
      <c r="F79" s="890" t="s">
        <v>1056</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0.18</v>
      </c>
      <c r="J83" s="141" t="s">
        <v>756</v>
      </c>
      <c r="K83" s="1042" t="s">
        <v>1044</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1.3444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-1.3444</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10" zoomScaleNormal="11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May 28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973</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974</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975</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976</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977</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978</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979</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980</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981</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982</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983</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1052</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951</v>
      </c>
      <c r="J43" s="904">
        <f>Frequency!$M$10</f>
        <v>2422</v>
      </c>
      <c r="K43" s="331" t="s">
        <v>753</v>
      </c>
      <c r="L43" s="331"/>
      <c r="M43" s="922" t="s">
        <v>1048</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951</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951</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985</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986</v>
      </c>
      <c r="R49" s="297"/>
      <c r="S49" s="297"/>
      <c r="T49" s="683" t="s">
        <v>987</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1053</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1050</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988</v>
      </c>
      <c r="R52" s="128">
        <v>0.63</v>
      </c>
      <c r="S52" s="297" t="s">
        <v>756</v>
      </c>
      <c r="T52" s="358" t="s">
        <v>229</v>
      </c>
      <c r="U52" s="347">
        <f>J61*(10^(R52/10)-1)</f>
        <v>45.272550235708664</v>
      </c>
      <c r="V52" s="357" t="s">
        <v>784</v>
      </c>
      <c r="W52" s="3"/>
      <c r="X52" s="3"/>
      <c r="Y52" s="3"/>
      <c r="Z52" s="3"/>
      <c r="AA52" s="3"/>
    </row>
    <row r="53" spans="1:27">
      <c r="A53" s="3"/>
      <c r="B53" s="3"/>
      <c r="C53" s="330"/>
      <c r="D53" s="331"/>
      <c r="E53" s="331" t="s">
        <v>232</v>
      </c>
      <c r="F53" s="331"/>
      <c r="G53" s="331"/>
      <c r="H53" s="264">
        <v>4</v>
      </c>
      <c r="I53" s="913" t="s">
        <v>1051</v>
      </c>
      <c r="J53" s="910">
        <f>H53*0.15</f>
        <v>0.6</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1">
        <f>SUM(J47:J53)</f>
        <v>3.47</v>
      </c>
      <c r="K55" s="331" t="s">
        <v>756</v>
      </c>
      <c r="L55" s="331"/>
      <c r="M55" s="323"/>
      <c r="N55" s="3"/>
      <c r="O55" s="295"/>
      <c r="P55" s="297"/>
      <c r="Q55" s="358" t="s">
        <v>229</v>
      </c>
      <c r="R55" s="129">
        <v>500</v>
      </c>
      <c r="S55" s="297" t="s">
        <v>784</v>
      </c>
      <c r="T55" s="358" t="s">
        <v>989</v>
      </c>
      <c r="U55" s="355">
        <f>10*LOG10(1+(R55/J61))</f>
        <v>4.352290933914853</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0.44977985489328792</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965</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953</v>
      </c>
      <c r="P61" s="930" t="s">
        <v>954</v>
      </c>
      <c r="Q61" s="931"/>
      <c r="R61" s="929" t="s">
        <v>955</v>
      </c>
      <c r="S61" s="929" t="s">
        <v>956</v>
      </c>
      <c r="T61" s="929"/>
      <c r="U61" s="929" t="s">
        <v>957</v>
      </c>
      <c r="V61" s="929" t="s">
        <v>958</v>
      </c>
      <c r="W61" s="929" t="s">
        <v>959</v>
      </c>
      <c r="X61" s="929" t="s">
        <v>960</v>
      </c>
      <c r="Y61" s="929" t="s">
        <v>961</v>
      </c>
      <c r="Z61" s="929" t="s">
        <v>962</v>
      </c>
      <c r="AA61" s="929" t="s">
        <v>963</v>
      </c>
    </row>
    <row r="62" spans="1:27">
      <c r="A62" s="3"/>
      <c r="B62" s="3"/>
      <c r="C62" s="330"/>
      <c r="D62" s="331"/>
      <c r="E62" s="331"/>
      <c r="F62" s="331"/>
      <c r="G62" s="331"/>
      <c r="H62" s="331"/>
      <c r="I62" s="331"/>
      <c r="J62" s="331"/>
      <c r="K62" s="331"/>
      <c r="L62" s="331"/>
      <c r="M62" s="323"/>
      <c r="N62" s="3"/>
      <c r="O62" s="932">
        <v>1</v>
      </c>
      <c r="P62" s="1045" t="s">
        <v>1053</v>
      </c>
      <c r="Q62" s="934"/>
      <c r="R62" s="935">
        <v>-2</v>
      </c>
      <c r="S62" s="935">
        <v>2</v>
      </c>
      <c r="T62" s="936"/>
      <c r="U62" s="937">
        <f>IF(R62,10^(R62/10), "")</f>
        <v>0.63095734448019325</v>
      </c>
      <c r="V62" s="937">
        <f>IF(S62,10^(S62/10), "")</f>
        <v>1.5848931924611136</v>
      </c>
      <c r="W62" s="937">
        <f>IF(S62,1,"")</f>
        <v>1</v>
      </c>
      <c r="X62" s="936">
        <f>IF(S62,290*(V62-1), "")</f>
        <v>169.61902581372294</v>
      </c>
      <c r="Y62" s="936">
        <f t="shared" ref="Y62:Y71" si="1">IF(S62,X62/W62, "")</f>
        <v>169.61902581372294</v>
      </c>
      <c r="Z62" s="937">
        <f>IF(S62,(V62-1)/W62, "")</f>
        <v>0.5848931924611136</v>
      </c>
      <c r="AA62" s="937">
        <f>IF(S62,Z62+1, "")</f>
        <v>1.5848931924611136</v>
      </c>
    </row>
    <row r="63" spans="1:27">
      <c r="A63" s="3"/>
      <c r="B63" s="3"/>
      <c r="C63" s="330"/>
      <c r="D63" s="331" t="s">
        <v>222</v>
      </c>
      <c r="E63" s="331"/>
      <c r="F63" s="331"/>
      <c r="G63" s="331"/>
      <c r="H63" s="331"/>
      <c r="I63" s="331" t="s">
        <v>223</v>
      </c>
      <c r="J63" s="343">
        <v>45</v>
      </c>
      <c r="K63" s="331" t="s">
        <v>784</v>
      </c>
      <c r="L63" s="331"/>
      <c r="M63" s="323"/>
      <c r="N63" s="3"/>
      <c r="O63" s="932">
        <v>2</v>
      </c>
      <c r="P63" s="1044" t="s">
        <v>1065</v>
      </c>
      <c r="Q63" s="939"/>
      <c r="R63" s="935"/>
      <c r="S63" s="935">
        <v>3.5</v>
      </c>
      <c r="T63" s="936"/>
      <c r="U63" s="937" t="str">
        <f t="shared" ref="U63:V71" si="2">IF(R63,10^(R63/10), "")</f>
        <v/>
      </c>
      <c r="V63" s="937">
        <f t="shared" si="2"/>
        <v>2.2387211385683394</v>
      </c>
      <c r="W63" s="937">
        <f t="shared" ref="W63:W71" si="3">IF(S63,W62*U62, "")</f>
        <v>0.63095734448019325</v>
      </c>
      <c r="X63" s="936">
        <f t="shared" ref="X63:X71" si="4">IF(S63,290*(V63-1), "")</f>
        <v>359.22913018481842</v>
      </c>
      <c r="Y63" s="936">
        <f t="shared" si="1"/>
        <v>569.33980296364575</v>
      </c>
      <c r="Z63" s="937">
        <f t="shared" ref="Z63:Z71" si="5">IF(S63,(V63-1)/W63, "")</f>
        <v>1.9632406998746408</v>
      </c>
      <c r="AA63" s="937">
        <f>IF(S63, AA62+Z63, "")</f>
        <v>3.5481338923357546</v>
      </c>
    </row>
    <row r="64" spans="1:27">
      <c r="A64" s="3"/>
      <c r="B64" s="3"/>
      <c r="C64" s="330"/>
      <c r="D64" s="331"/>
      <c r="E64" s="331"/>
      <c r="F64" s="331"/>
      <c r="G64" s="331"/>
      <c r="H64" s="331"/>
      <c r="I64" s="331"/>
      <c r="J64" s="331"/>
      <c r="K64" s="331"/>
      <c r="L64" s="331"/>
      <c r="M64" s="323"/>
      <c r="N64" s="3"/>
      <c r="O64" s="932">
        <v>3</v>
      </c>
      <c r="P64" s="938"/>
      <c r="Q64" s="939"/>
      <c r="R64" s="935"/>
      <c r="S64" s="935"/>
      <c r="T64" s="936"/>
      <c r="U64" s="937" t="str">
        <f t="shared" si="2"/>
        <v/>
      </c>
      <c r="V64" s="937" t="str">
        <f t="shared" si="2"/>
        <v/>
      </c>
      <c r="W64" s="937" t="str">
        <f t="shared" si="3"/>
        <v/>
      </c>
      <c r="X64" s="936" t="str">
        <f t="shared" si="4"/>
        <v/>
      </c>
      <c r="Y64" s="936" t="str">
        <f t="shared" si="1"/>
        <v/>
      </c>
      <c r="Z64" s="937" t="str">
        <f t="shared" si="5"/>
        <v/>
      </c>
      <c r="AA64" s="937" t="str">
        <f t="shared" ref="AA64:AA71" si="6">IF(S64, AA63+Z64, "")</f>
        <v/>
      </c>
    </row>
    <row r="65" spans="1:27">
      <c r="A65" s="3"/>
      <c r="B65" s="3"/>
      <c r="C65" s="330"/>
      <c r="D65" s="331" t="s">
        <v>224</v>
      </c>
      <c r="E65" s="331"/>
      <c r="F65" s="344">
        <v>15.6</v>
      </c>
      <c r="G65" s="331" t="s">
        <v>756</v>
      </c>
      <c r="H65" s="331"/>
      <c r="I65" s="331" t="s">
        <v>225</v>
      </c>
      <c r="J65" s="351">
        <f>10^(F65/10)</f>
        <v>36.307805477010156</v>
      </c>
      <c r="K65" s="331"/>
      <c r="L65" s="331"/>
      <c r="M65" s="912" t="s">
        <v>1057</v>
      </c>
      <c r="N65" s="3"/>
      <c r="O65" s="932">
        <v>4</v>
      </c>
      <c r="P65" s="938"/>
      <c r="Q65" s="939"/>
      <c r="R65" s="935"/>
      <c r="S65" s="935"/>
      <c r="T65" s="936"/>
      <c r="U65" s="937" t="str">
        <f t="shared" si="2"/>
        <v/>
      </c>
      <c r="V65" s="937" t="str">
        <f t="shared" si="2"/>
        <v/>
      </c>
      <c r="W65" s="937" t="str">
        <f t="shared" si="3"/>
        <v/>
      </c>
      <c r="X65" s="936" t="str">
        <f t="shared" si="4"/>
        <v/>
      </c>
      <c r="Y65" s="936" t="str">
        <f t="shared" si="1"/>
        <v/>
      </c>
      <c r="Z65" s="937" t="str">
        <f t="shared" si="5"/>
        <v/>
      </c>
      <c r="AA65" s="937" t="str">
        <f t="shared" si="6"/>
        <v/>
      </c>
    </row>
    <row r="66" spans="1:27">
      <c r="A66" s="3"/>
      <c r="B66" s="3"/>
      <c r="C66" s="330"/>
      <c r="D66" s="331"/>
      <c r="E66" s="331"/>
      <c r="F66" s="331"/>
      <c r="G66" s="331"/>
      <c r="H66" s="331"/>
      <c r="I66" s="331"/>
      <c r="J66" s="331"/>
      <c r="K66" s="331"/>
      <c r="L66" s="331"/>
      <c r="M66" s="323"/>
      <c r="N66" s="3"/>
      <c r="O66" s="932">
        <v>5</v>
      </c>
      <c r="P66" s="938"/>
      <c r="Q66" s="939"/>
      <c r="R66" s="935"/>
      <c r="S66" s="935"/>
      <c r="T66" s="936"/>
      <c r="U66" s="937" t="str">
        <f t="shared" si="2"/>
        <v/>
      </c>
      <c r="V66" s="937" t="str">
        <f t="shared" si="2"/>
        <v/>
      </c>
      <c r="W66" s="937" t="str">
        <f t="shared" si="3"/>
        <v/>
      </c>
      <c r="X66" s="936" t="str">
        <f t="shared" si="4"/>
        <v/>
      </c>
      <c r="Y66" s="936" t="str">
        <f t="shared" si="1"/>
        <v/>
      </c>
      <c r="Z66" s="937" t="str">
        <f t="shared" si="5"/>
        <v/>
      </c>
      <c r="AA66" s="937" t="str">
        <f t="shared" si="6"/>
        <v/>
      </c>
    </row>
    <row r="67" spans="1:27" ht="13">
      <c r="A67" s="3"/>
      <c r="B67" s="3"/>
      <c r="C67" s="330"/>
      <c r="D67" s="331" t="s">
        <v>108</v>
      </c>
      <c r="E67" s="331"/>
      <c r="F67" s="331"/>
      <c r="G67" s="331"/>
      <c r="H67" s="331"/>
      <c r="I67" s="331" t="s">
        <v>984</v>
      </c>
      <c r="J67" s="374">
        <f>Y73</f>
        <v>738.95882877736869</v>
      </c>
      <c r="K67" s="331" t="s">
        <v>784</v>
      </c>
      <c r="L67" s="331"/>
      <c r="M67" s="323"/>
      <c r="N67" s="3"/>
      <c r="O67" s="932">
        <v>8</v>
      </c>
      <c r="P67" s="938"/>
      <c r="Q67" s="939"/>
      <c r="R67" s="935"/>
      <c r="S67" s="935"/>
      <c r="T67" s="936"/>
      <c r="U67" s="937" t="str">
        <f t="shared" si="2"/>
        <v/>
      </c>
      <c r="V67" s="937" t="str">
        <f t="shared" si="2"/>
        <v/>
      </c>
      <c r="W67" s="937" t="str">
        <f t="shared" si="3"/>
        <v/>
      </c>
      <c r="X67" s="936" t="str">
        <f t="shared" si="4"/>
        <v/>
      </c>
      <c r="Y67" s="936" t="str">
        <f t="shared" si="1"/>
        <v/>
      </c>
      <c r="Z67" s="937" t="str">
        <f t="shared" si="5"/>
        <v/>
      </c>
      <c r="AA67" s="937" t="str">
        <f t="shared" si="6"/>
        <v/>
      </c>
    </row>
    <row r="68" spans="1:27">
      <c r="A68" s="3"/>
      <c r="B68" s="3"/>
      <c r="C68" s="330"/>
      <c r="D68" s="331"/>
      <c r="E68" s="331"/>
      <c r="F68" s="331"/>
      <c r="G68" s="331"/>
      <c r="H68" s="331"/>
      <c r="I68" s="331"/>
      <c r="J68" s="331"/>
      <c r="K68" s="331"/>
      <c r="L68" s="331"/>
      <c r="M68" s="323"/>
      <c r="N68" s="3"/>
      <c r="O68" s="932">
        <v>9</v>
      </c>
      <c r="P68" s="938"/>
      <c r="Q68" s="939"/>
      <c r="R68" s="935"/>
      <c r="S68" s="935"/>
      <c r="T68" s="936"/>
      <c r="U68" s="937" t="str">
        <f t="shared" si="2"/>
        <v/>
      </c>
      <c r="V68" s="937" t="str">
        <f t="shared" si="2"/>
        <v/>
      </c>
      <c r="W68" s="937" t="str">
        <f t="shared" si="3"/>
        <v/>
      </c>
      <c r="X68" s="936" t="str">
        <f t="shared" si="4"/>
        <v/>
      </c>
      <c r="Y68" s="936" t="str">
        <f t="shared" si="1"/>
        <v/>
      </c>
      <c r="Z68" s="937" t="str">
        <f t="shared" si="5"/>
        <v/>
      </c>
      <c r="AA68" s="937" t="str">
        <f t="shared" si="6"/>
        <v/>
      </c>
    </row>
    <row r="69" spans="1:27" ht="13">
      <c r="A69" s="3"/>
      <c r="B69" s="3"/>
      <c r="C69" s="330"/>
      <c r="D69" s="331"/>
      <c r="E69" s="331"/>
      <c r="F69" s="331"/>
      <c r="G69" s="331"/>
      <c r="H69" s="331"/>
      <c r="I69" s="331"/>
      <c r="J69" s="331"/>
      <c r="K69" s="331"/>
      <c r="L69" s="354"/>
      <c r="M69" s="323"/>
      <c r="N69" s="3"/>
      <c r="O69" s="932">
        <v>10</v>
      </c>
      <c r="P69" s="938"/>
      <c r="Q69" s="939"/>
      <c r="R69" s="935"/>
      <c r="S69" s="935"/>
      <c r="T69" s="936"/>
      <c r="U69" s="937" t="str">
        <f t="shared" si="2"/>
        <v/>
      </c>
      <c r="V69" s="937" t="str">
        <f t="shared" si="2"/>
        <v/>
      </c>
      <c r="W69" s="937" t="str">
        <f t="shared" si="3"/>
        <v/>
      </c>
      <c r="X69" s="936" t="str">
        <f t="shared" si="4"/>
        <v/>
      </c>
      <c r="Y69" s="936" t="str">
        <f t="shared" si="1"/>
        <v/>
      </c>
      <c r="Z69" s="937" t="str">
        <f t="shared" si="5"/>
        <v/>
      </c>
      <c r="AA69" s="937" t="str">
        <f t="shared" si="6"/>
        <v/>
      </c>
    </row>
    <row r="70" spans="1:27" ht="13">
      <c r="A70" s="3"/>
      <c r="B70" s="3"/>
      <c r="C70" s="330"/>
      <c r="D70" s="331" t="s">
        <v>226</v>
      </c>
      <c r="E70" s="331"/>
      <c r="F70" s="331"/>
      <c r="G70" s="331"/>
      <c r="H70" s="331"/>
      <c r="I70" s="331" t="s">
        <v>227</v>
      </c>
      <c r="J70" s="374">
        <f>J59*J57+J61*(1-J57)+J63+(J67/J65)</f>
        <v>287.88563793404467</v>
      </c>
      <c r="K70" s="331" t="s">
        <v>784</v>
      </c>
      <c r="L70" s="331"/>
      <c r="M70" s="323"/>
      <c r="N70" s="3"/>
      <c r="O70" s="932">
        <v>11</v>
      </c>
      <c r="P70" s="938"/>
      <c r="Q70" s="939"/>
      <c r="R70" s="935"/>
      <c r="S70" s="935"/>
      <c r="T70" s="936"/>
      <c r="U70" s="937" t="str">
        <f t="shared" si="2"/>
        <v/>
      </c>
      <c r="V70" s="937" t="str">
        <f t="shared" si="2"/>
        <v/>
      </c>
      <c r="W70" s="937" t="str">
        <f t="shared" si="3"/>
        <v/>
      </c>
      <c r="X70" s="936" t="str">
        <f t="shared" si="4"/>
        <v/>
      </c>
      <c r="Y70" s="936" t="str">
        <f t="shared" si="1"/>
        <v/>
      </c>
      <c r="Z70" s="937" t="str">
        <f t="shared" si="5"/>
        <v/>
      </c>
      <c r="AA70" s="937" t="str">
        <f t="shared" si="6"/>
        <v/>
      </c>
    </row>
    <row r="71" spans="1:27" ht="13" thickBot="1">
      <c r="A71" s="3"/>
      <c r="B71" s="3"/>
      <c r="C71" s="330"/>
      <c r="D71" s="331"/>
      <c r="E71" s="331"/>
      <c r="F71" s="331"/>
      <c r="G71" s="331"/>
      <c r="H71" s="331"/>
      <c r="I71" s="331"/>
      <c r="J71" s="331"/>
      <c r="K71" s="331"/>
      <c r="L71" s="331"/>
      <c r="M71" s="323"/>
      <c r="N71" s="3"/>
      <c r="O71" s="940">
        <v>12</v>
      </c>
      <c r="P71" s="941"/>
      <c r="Q71" s="942"/>
      <c r="R71" s="943"/>
      <c r="S71" s="943"/>
      <c r="T71" s="944"/>
      <c r="U71" s="945" t="str">
        <f t="shared" si="2"/>
        <v/>
      </c>
      <c r="V71" s="945" t="str">
        <f t="shared" si="2"/>
        <v/>
      </c>
      <c r="W71" s="945" t="str">
        <f t="shared" si="3"/>
        <v/>
      </c>
      <c r="X71" s="944" t="str">
        <f t="shared" si="4"/>
        <v/>
      </c>
      <c r="Y71" s="944" t="str">
        <f t="shared" si="1"/>
        <v/>
      </c>
      <c r="Z71" s="945" t="str">
        <f t="shared" si="5"/>
        <v/>
      </c>
      <c r="AA71" s="945" t="str">
        <f t="shared" si="6"/>
        <v/>
      </c>
    </row>
    <row r="72" spans="1:27">
      <c r="A72" s="3"/>
      <c r="B72" s="3"/>
      <c r="C72" s="330"/>
      <c r="D72" s="331"/>
      <c r="E72" s="331"/>
      <c r="F72" s="331"/>
      <c r="G72" s="331"/>
      <c r="H72" s="331"/>
      <c r="I72" s="331"/>
      <c r="J72" s="331"/>
      <c r="K72" s="331"/>
      <c r="L72" s="331"/>
      <c r="M72" s="323"/>
      <c r="N72" s="3"/>
      <c r="O72" s="946"/>
      <c r="P72" s="947"/>
      <c r="Q72" s="927"/>
      <c r="R72" s="948"/>
      <c r="S72" s="948"/>
      <c r="T72" s="948"/>
      <c r="U72" s="948"/>
      <c r="V72" s="948"/>
      <c r="W72" s="948"/>
      <c r="X72" s="948"/>
      <c r="Y72" s="948"/>
      <c r="Z72" s="948"/>
      <c r="AA72" s="949"/>
    </row>
    <row r="73" spans="1:27" ht="14.5">
      <c r="A73" s="3"/>
      <c r="B73" s="3"/>
      <c r="C73" s="338"/>
      <c r="D73" s="339"/>
      <c r="E73" s="339"/>
      <c r="F73" s="339"/>
      <c r="G73" s="339"/>
      <c r="H73" s="339"/>
      <c r="I73" s="339"/>
      <c r="J73" s="339"/>
      <c r="K73" s="339"/>
      <c r="L73" s="339"/>
      <c r="M73" s="340"/>
      <c r="N73" s="3"/>
      <c r="O73" s="950"/>
      <c r="P73" s="951"/>
      <c r="Q73" s="952"/>
      <c r="R73" s="953"/>
      <c r="S73" s="953"/>
      <c r="T73" s="953"/>
      <c r="U73" s="953"/>
      <c r="V73" s="953"/>
      <c r="W73" s="953"/>
      <c r="X73" s="954" t="s">
        <v>964</v>
      </c>
      <c r="Y73" s="955">
        <f>SUM(Y62:Y71)</f>
        <v>738.95882877736869</v>
      </c>
      <c r="Z73" s="956"/>
      <c r="AA73" s="957"/>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973</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8"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990</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976</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977</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978</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979</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991</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981</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982</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983</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t="s">
        <v>950</v>
      </c>
      <c r="H109" s="901"/>
      <c r="I109" s="141"/>
      <c r="J109" s="908">
        <v>1</v>
      </c>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9"/>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9"/>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v>0.2</v>
      </c>
      <c r="I114" s="192" t="s">
        <v>951</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951</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951</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992</v>
      </c>
      <c r="J118" s="141">
        <f>J109*H114</f>
        <v>0.2</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993</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994</v>
      </c>
      <c r="J120" s="141">
        <f t="shared" si="7"/>
        <v>0</v>
      </c>
      <c r="K120" s="141" t="s">
        <v>756</v>
      </c>
      <c r="L120" s="141"/>
      <c r="M120" s="182"/>
      <c r="N120" s="3"/>
      <c r="O120" s="295"/>
      <c r="P120" s="297"/>
      <c r="Q120" s="297" t="s">
        <v>235</v>
      </c>
      <c r="R120" s="297"/>
      <c r="S120" s="297"/>
      <c r="T120" s="960">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995</v>
      </c>
      <c r="J121" s="908">
        <v>2</v>
      </c>
      <c r="K121" s="141" t="s">
        <v>756</v>
      </c>
      <c r="L121" s="141"/>
      <c r="M121" s="182" t="s">
        <v>1059</v>
      </c>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996</v>
      </c>
      <c r="J122" s="908">
        <v>0.26</v>
      </c>
      <c r="K122" s="141" t="s">
        <v>756</v>
      </c>
      <c r="L122" s="141"/>
      <c r="M122" s="182" t="s">
        <v>949</v>
      </c>
      <c r="N122" s="3"/>
      <c r="O122" s="295"/>
      <c r="P122" s="297"/>
      <c r="Q122" s="297" t="s">
        <v>236</v>
      </c>
      <c r="R122" s="297"/>
      <c r="S122" s="297"/>
      <c r="T122" s="960">
        <f>380*((T118/1000)/0.25)^-2.75+2.7</f>
        <v>84.765749145150451</v>
      </c>
      <c r="U122" s="369" t="s">
        <v>784</v>
      </c>
      <c r="V122" s="357"/>
      <c r="W122" s="3"/>
      <c r="X122" s="3"/>
      <c r="Y122" s="3"/>
      <c r="Z122" s="3"/>
      <c r="AA122" s="3"/>
    </row>
    <row r="123" spans="1:27">
      <c r="A123" s="3"/>
      <c r="B123" s="3"/>
      <c r="C123" s="177"/>
      <c r="D123" s="141"/>
      <c r="E123" s="141" t="s">
        <v>232</v>
      </c>
      <c r="F123" s="141"/>
      <c r="G123" s="141"/>
      <c r="H123" s="381">
        <v>4</v>
      </c>
      <c r="I123" s="659" t="s">
        <v>1054</v>
      </c>
      <c r="J123" s="911">
        <f>H123*0.15</f>
        <v>0.6</v>
      </c>
      <c r="K123" s="141" t="s">
        <v>756</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2">
        <f>SUM(J118:J123)</f>
        <v>3.06</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1">
        <v>10</v>
      </c>
      <c r="U127" s="366" t="s">
        <v>240</v>
      </c>
      <c r="V127" s="357"/>
      <c r="W127" s="3"/>
      <c r="X127" s="3"/>
      <c r="Y127" s="3"/>
      <c r="Z127" s="3"/>
      <c r="AA127" s="3"/>
    </row>
    <row r="128" spans="1:27">
      <c r="A128" s="3"/>
      <c r="B128" s="3"/>
      <c r="C128" s="177"/>
      <c r="D128" s="141" t="s">
        <v>216</v>
      </c>
      <c r="E128" s="141"/>
      <c r="F128" s="141"/>
      <c r="G128" s="141"/>
      <c r="H128" s="141"/>
      <c r="I128" s="363" t="s">
        <v>997</v>
      </c>
      <c r="J128" s="962">
        <f>10^-(J126/10)</f>
        <v>0.49431068698683545</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998</v>
      </c>
      <c r="J130" s="963">
        <v>500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60">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987</v>
      </c>
      <c r="J132" s="963">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999</v>
      </c>
      <c r="J134" s="963">
        <v>45</v>
      </c>
      <c r="K134" s="141" t="s">
        <v>784</v>
      </c>
      <c r="L134" s="141"/>
      <c r="M134" s="104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4">
        <v>15.6</v>
      </c>
      <c r="G136" s="141" t="s">
        <v>756</v>
      </c>
      <c r="H136" s="141"/>
      <c r="I136" s="141" t="s">
        <v>1000</v>
      </c>
      <c r="J136" s="302">
        <f>10^(F136/10)</f>
        <v>36.307805477010156</v>
      </c>
      <c r="K136" s="141"/>
      <c r="L136" s="141"/>
      <c r="M136" s="1042"/>
      <c r="N136" s="3"/>
      <c r="O136" s="298"/>
      <c r="P136" s="299"/>
      <c r="Q136" s="299"/>
      <c r="R136" s="299"/>
      <c r="S136" s="299"/>
      <c r="T136" s="299"/>
      <c r="U136" s="299"/>
      <c r="V136" s="300"/>
      <c r="W136" s="3"/>
      <c r="X136" s="3"/>
      <c r="Y136" s="3"/>
      <c r="Z136" s="3"/>
      <c r="AA136" s="3"/>
    </row>
    <row r="137" spans="1:27">
      <c r="A137" s="3"/>
      <c r="B137" s="3"/>
      <c r="C137" s="177"/>
      <c r="D137" s="141"/>
      <c r="E137" s="141"/>
      <c r="F137" s="965"/>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5"/>
      <c r="G138" s="241" t="s">
        <v>140</v>
      </c>
      <c r="H138" s="141"/>
      <c r="I138" s="141"/>
      <c r="J138" s="908"/>
      <c r="K138" s="141" t="s">
        <v>664</v>
      </c>
      <c r="L138" s="141"/>
      <c r="M138" s="182" t="s">
        <v>1058</v>
      </c>
      <c r="N138" s="3"/>
      <c r="O138" s="923" t="s">
        <v>965</v>
      </c>
      <c r="P138" s="924"/>
      <c r="Q138" s="924"/>
      <c r="R138" s="924"/>
      <c r="S138" s="924"/>
      <c r="T138" s="924"/>
      <c r="U138" s="924"/>
      <c r="V138" s="924"/>
      <c r="W138" s="924"/>
      <c r="X138" s="924"/>
      <c r="Y138" s="924"/>
      <c r="Z138" s="924"/>
      <c r="AA138" s="925"/>
    </row>
    <row r="139" spans="1:27">
      <c r="A139" s="3"/>
      <c r="B139" s="3"/>
      <c r="C139" s="177"/>
      <c r="D139" s="141"/>
      <c r="E139" s="141"/>
      <c r="F139" s="965"/>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5"/>
      <c r="G140" s="141"/>
      <c r="H140" s="141"/>
      <c r="I140" s="141"/>
      <c r="J140" s="459"/>
      <c r="K140" s="366"/>
      <c r="L140" s="141"/>
      <c r="M140" s="182"/>
      <c r="N140" s="3"/>
      <c r="O140" s="929" t="s">
        <v>953</v>
      </c>
      <c r="P140" s="930" t="s">
        <v>954</v>
      </c>
      <c r="Q140" s="931"/>
      <c r="R140" s="929" t="s">
        <v>955</v>
      </c>
      <c r="S140" s="929" t="s">
        <v>956</v>
      </c>
      <c r="T140" s="929"/>
      <c r="U140" s="929" t="s">
        <v>957</v>
      </c>
      <c r="V140" s="929" t="s">
        <v>958</v>
      </c>
      <c r="W140" s="929" t="s">
        <v>959</v>
      </c>
      <c r="X140" s="929" t="s">
        <v>960</v>
      </c>
      <c r="Y140" s="929" t="s">
        <v>961</v>
      </c>
      <c r="Z140" s="929" t="s">
        <v>962</v>
      </c>
      <c r="AA140" s="929" t="s">
        <v>963</v>
      </c>
    </row>
    <row r="141" spans="1:27">
      <c r="A141" s="3"/>
      <c r="B141" s="3"/>
      <c r="C141" s="177"/>
      <c r="D141" s="141"/>
      <c r="E141" s="141"/>
      <c r="F141" s="965"/>
      <c r="G141" s="141"/>
      <c r="H141" s="141"/>
      <c r="I141" s="141"/>
      <c r="J141" s="302"/>
      <c r="K141" s="141"/>
      <c r="L141" s="141"/>
      <c r="M141" s="182"/>
      <c r="N141" s="3"/>
      <c r="O141" s="932">
        <v>1</v>
      </c>
      <c r="P141" s="933" t="s">
        <v>1059</v>
      </c>
      <c r="Q141" s="934"/>
      <c r="R141" s="935">
        <v>-2</v>
      </c>
      <c r="S141" s="935">
        <v>2</v>
      </c>
      <c r="T141" s="936"/>
      <c r="U141" s="937">
        <f>IF(R141,10^(R141/10), "")</f>
        <v>0.63095734448019325</v>
      </c>
      <c r="V141" s="937">
        <f>IF(S141,10^(S141/10), "")</f>
        <v>1.5848931924611136</v>
      </c>
      <c r="W141" s="937">
        <f>IF(S141,1,"")</f>
        <v>1</v>
      </c>
      <c r="X141" s="936">
        <f>IF(S141,290*(V141-1), "")</f>
        <v>169.61902581372294</v>
      </c>
      <c r="Y141" s="936">
        <f t="shared" ref="Y141:Y150" si="8">IF(S141,X141/W141, "")</f>
        <v>169.61902581372294</v>
      </c>
      <c r="Z141" s="937">
        <f>IF(S141,(V141-1)/W141, "")</f>
        <v>0.5848931924611136</v>
      </c>
      <c r="AA141" s="937">
        <f>IF(S141,Z141+1, "")</f>
        <v>1.5848931924611136</v>
      </c>
    </row>
    <row r="142" spans="1:27">
      <c r="A142" s="3"/>
      <c r="B142" s="3"/>
      <c r="C142" s="177"/>
      <c r="D142" s="141" t="s">
        <v>667</v>
      </c>
      <c r="E142" s="141"/>
      <c r="F142" s="965"/>
      <c r="G142" s="141"/>
      <c r="H142" s="141"/>
      <c r="I142" s="141"/>
      <c r="J142" s="966"/>
      <c r="K142" s="659"/>
      <c r="L142" s="141"/>
      <c r="M142" s="182"/>
      <c r="N142" s="3"/>
      <c r="O142" s="932">
        <v>2</v>
      </c>
      <c r="P142" s="938" t="s">
        <v>949</v>
      </c>
      <c r="Q142" s="939"/>
      <c r="R142" s="935">
        <v>-0.26</v>
      </c>
      <c r="S142" s="935">
        <v>0.26</v>
      </c>
      <c r="T142" s="936"/>
      <c r="U142" s="937">
        <f t="shared" ref="U142:V150" si="9">IF(R142,10^(R142/10), "")</f>
        <v>0.94188959652284143</v>
      </c>
      <c r="V142" s="937">
        <f t="shared" si="9"/>
        <v>1.0616955571987245</v>
      </c>
      <c r="W142" s="937">
        <f t="shared" ref="W142:W150" si="10">IF(S142,W141*U141, "")</f>
        <v>0.63095734448019325</v>
      </c>
      <c r="X142" s="936">
        <f t="shared" ref="X142:X150" si="11">IF(S142,290*(V142-1), "")</f>
        <v>17.89171158763012</v>
      </c>
      <c r="Y142" s="936">
        <f t="shared" si="8"/>
        <v>28.356451896712599</v>
      </c>
      <c r="Z142" s="937">
        <f t="shared" ref="Z142:Z150" si="12">IF(S142,(V142-1)/W142, "")</f>
        <v>9.7780868609353783E-2</v>
      </c>
      <c r="AA142" s="937">
        <f>IF(S142, AA141+Z142, "")</f>
        <v>1.6826740610704674</v>
      </c>
    </row>
    <row r="143" spans="1:27">
      <c r="A143" s="3"/>
      <c r="B143" s="3"/>
      <c r="C143" s="177"/>
      <c r="D143" s="141"/>
      <c r="E143" s="141"/>
      <c r="F143" s="965"/>
      <c r="G143" s="141"/>
      <c r="H143" s="141"/>
      <c r="I143" s="141"/>
      <c r="J143" s="302"/>
      <c r="K143" s="141"/>
      <c r="L143" s="141"/>
      <c r="M143" s="182"/>
      <c r="N143" s="3"/>
      <c r="O143" s="932">
        <v>3</v>
      </c>
      <c r="P143" s="938" t="s">
        <v>1060</v>
      </c>
      <c r="Q143" s="939"/>
      <c r="R143" s="935">
        <v>-2</v>
      </c>
      <c r="S143" s="935">
        <v>2</v>
      </c>
      <c r="T143" s="936"/>
      <c r="U143" s="937">
        <f t="shared" si="9"/>
        <v>0.63095734448019325</v>
      </c>
      <c r="V143" s="937">
        <f t="shared" si="9"/>
        <v>1.5848931924611136</v>
      </c>
      <c r="W143" s="937">
        <f t="shared" si="10"/>
        <v>0.59429215861557272</v>
      </c>
      <c r="X143" s="936">
        <f t="shared" si="11"/>
        <v>169.61902581372294</v>
      </c>
      <c r="Y143" s="936">
        <f t="shared" si="8"/>
        <v>285.41353500079362</v>
      </c>
      <c r="Z143" s="937">
        <f t="shared" si="12"/>
        <v>0.98418460345101244</v>
      </c>
      <c r="AA143" s="937">
        <f t="shared" ref="AA143:AA150" si="13">IF(S143, AA142+Z143, "")</f>
        <v>2.66685866452148</v>
      </c>
    </row>
    <row r="144" spans="1:27">
      <c r="A144" s="3"/>
      <c r="B144" s="3"/>
      <c r="C144" s="177"/>
      <c r="D144" s="141" t="s">
        <v>668</v>
      </c>
      <c r="E144" s="141"/>
      <c r="F144" s="965"/>
      <c r="G144" s="141"/>
      <c r="H144" s="141"/>
      <c r="I144" s="141"/>
      <c r="J144" s="967">
        <f>J138*J142</f>
        <v>0</v>
      </c>
      <c r="K144" s="141" t="s">
        <v>756</v>
      </c>
      <c r="L144" s="141"/>
      <c r="M144" s="182"/>
      <c r="N144" s="3"/>
      <c r="O144" s="932">
        <v>4</v>
      </c>
      <c r="P144" s="1044" t="s">
        <v>1065</v>
      </c>
      <c r="Q144" s="939"/>
      <c r="R144" s="935"/>
      <c r="S144" s="935">
        <v>3.5</v>
      </c>
      <c r="T144" s="936"/>
      <c r="U144" s="937" t="str">
        <f t="shared" si="9"/>
        <v/>
      </c>
      <c r="V144" s="937">
        <f t="shared" si="9"/>
        <v>2.2387211385683394</v>
      </c>
      <c r="W144" s="937">
        <f t="shared" si="10"/>
        <v>0.37497300224548358</v>
      </c>
      <c r="X144" s="936">
        <f t="shared" si="11"/>
        <v>359.22913018481842</v>
      </c>
      <c r="Y144" s="936">
        <f t="shared" si="8"/>
        <v>958.01331838189742</v>
      </c>
      <c r="Z144" s="937">
        <f t="shared" si="12"/>
        <v>3.3034942013168882</v>
      </c>
      <c r="AA144" s="937">
        <f t="shared" si="13"/>
        <v>5.9703528658383682</v>
      </c>
    </row>
    <row r="145" spans="1:27">
      <c r="A145" s="3"/>
      <c r="B145" s="3"/>
      <c r="C145" s="177"/>
      <c r="D145" s="141"/>
      <c r="E145" s="141"/>
      <c r="F145" s="141"/>
      <c r="G145" s="141"/>
      <c r="H145" s="141"/>
      <c r="I145" s="141"/>
      <c r="J145" s="141"/>
      <c r="K145" s="141"/>
      <c r="L145" s="141"/>
      <c r="M145" s="182"/>
      <c r="N145" s="3"/>
      <c r="O145" s="932">
        <v>5</v>
      </c>
      <c r="P145" s="938"/>
      <c r="Q145" s="939"/>
      <c r="R145" s="935"/>
      <c r="S145" s="935"/>
      <c r="T145" s="936"/>
      <c r="U145" s="937" t="str">
        <f t="shared" si="9"/>
        <v/>
      </c>
      <c r="V145" s="937" t="str">
        <f t="shared" si="9"/>
        <v/>
      </c>
      <c r="W145" s="937" t="str">
        <f t="shared" si="10"/>
        <v/>
      </c>
      <c r="X145" s="936" t="str">
        <f t="shared" si="11"/>
        <v/>
      </c>
      <c r="Y145" s="936" t="str">
        <f t="shared" si="8"/>
        <v/>
      </c>
      <c r="Z145" s="937" t="str">
        <f t="shared" si="12"/>
        <v/>
      </c>
      <c r="AA145" s="937" t="str">
        <f t="shared" si="13"/>
        <v/>
      </c>
    </row>
    <row r="146" spans="1:27" ht="13">
      <c r="A146" s="3"/>
      <c r="B146" s="3"/>
      <c r="C146" s="177"/>
      <c r="D146" s="141" t="s">
        <v>108</v>
      </c>
      <c r="E146" s="141"/>
      <c r="F146" s="141"/>
      <c r="G146" s="141"/>
      <c r="H146" s="141"/>
      <c r="I146" s="141" t="s">
        <v>984</v>
      </c>
      <c r="J146" s="374">
        <f>Y152</f>
        <v>1441.4023310931266</v>
      </c>
      <c r="K146" s="141" t="s">
        <v>784</v>
      </c>
      <c r="L146" s="141"/>
      <c r="M146" s="182"/>
      <c r="N146" s="3"/>
      <c r="O146" s="932">
        <v>8</v>
      </c>
      <c r="P146" s="938"/>
      <c r="Q146" s="939"/>
      <c r="R146" s="935"/>
      <c r="S146" s="935"/>
      <c r="T146" s="936"/>
      <c r="U146" s="937" t="str">
        <f t="shared" si="9"/>
        <v/>
      </c>
      <c r="V146" s="937" t="str">
        <f t="shared" si="9"/>
        <v/>
      </c>
      <c r="W146" s="937" t="str">
        <f t="shared" si="10"/>
        <v/>
      </c>
      <c r="X146" s="936" t="str">
        <f t="shared" si="11"/>
        <v/>
      </c>
      <c r="Y146" s="936" t="str">
        <f t="shared" si="8"/>
        <v/>
      </c>
      <c r="Z146" s="937" t="str">
        <f t="shared" si="12"/>
        <v/>
      </c>
      <c r="AA146" s="937" t="str">
        <f t="shared" si="13"/>
        <v/>
      </c>
    </row>
    <row r="147" spans="1:27">
      <c r="A147" s="3"/>
      <c r="B147" s="3"/>
      <c r="C147" s="177"/>
      <c r="D147" s="141"/>
      <c r="E147" s="141"/>
      <c r="F147" s="141"/>
      <c r="G147" s="141"/>
      <c r="H147" s="141"/>
      <c r="I147" s="141"/>
      <c r="J147" s="141"/>
      <c r="K147" s="141"/>
      <c r="L147" s="141"/>
      <c r="M147" s="182"/>
      <c r="N147" s="3"/>
      <c r="O147" s="932">
        <v>9</v>
      </c>
      <c r="P147" s="938"/>
      <c r="Q147" s="939"/>
      <c r="R147" s="935"/>
      <c r="S147" s="935"/>
      <c r="T147" s="936"/>
      <c r="U147" s="937" t="str">
        <f t="shared" si="9"/>
        <v/>
      </c>
      <c r="V147" s="937" t="str">
        <f t="shared" si="9"/>
        <v/>
      </c>
      <c r="W147" s="937" t="str">
        <f t="shared" si="10"/>
        <v/>
      </c>
      <c r="X147" s="936" t="str">
        <f t="shared" si="11"/>
        <v/>
      </c>
      <c r="Y147" s="936" t="str">
        <f t="shared" si="8"/>
        <v/>
      </c>
      <c r="Z147" s="937" t="str">
        <f t="shared" si="12"/>
        <v/>
      </c>
      <c r="AA147" s="937" t="str">
        <f t="shared" si="13"/>
        <v/>
      </c>
    </row>
    <row r="148" spans="1:27" ht="13">
      <c r="A148" s="3"/>
      <c r="B148" s="3"/>
      <c r="C148" s="177"/>
      <c r="D148" s="141"/>
      <c r="E148" s="141"/>
      <c r="F148" s="141"/>
      <c r="G148" s="141"/>
      <c r="H148" s="141"/>
      <c r="I148" s="141"/>
      <c r="J148" s="141"/>
      <c r="K148" s="141"/>
      <c r="L148" s="364"/>
      <c r="M148" s="182"/>
      <c r="N148" s="3"/>
      <c r="O148" s="932">
        <v>10</v>
      </c>
      <c r="P148" s="938"/>
      <c r="Q148" s="939"/>
      <c r="R148" s="935"/>
      <c r="S148" s="935"/>
      <c r="T148" s="936"/>
      <c r="U148" s="937" t="str">
        <f t="shared" si="9"/>
        <v/>
      </c>
      <c r="V148" s="937" t="str">
        <f t="shared" si="9"/>
        <v/>
      </c>
      <c r="W148" s="937" t="str">
        <f t="shared" si="10"/>
        <v/>
      </c>
      <c r="X148" s="936" t="str">
        <f t="shared" si="11"/>
        <v/>
      </c>
      <c r="Y148" s="936" t="str">
        <f t="shared" si="8"/>
        <v/>
      </c>
      <c r="Z148" s="937" t="str">
        <f t="shared" si="12"/>
        <v/>
      </c>
      <c r="AA148" s="937" t="str">
        <f t="shared" si="13"/>
        <v/>
      </c>
    </row>
    <row r="149" spans="1:27" ht="13">
      <c r="A149" s="3"/>
      <c r="B149" s="3"/>
      <c r="C149" s="177"/>
      <c r="D149" s="141" t="s">
        <v>226</v>
      </c>
      <c r="E149" s="141"/>
      <c r="F149" s="141"/>
      <c r="G149" s="141"/>
      <c r="H149" s="141"/>
      <c r="I149" s="141" t="s">
        <v>1001</v>
      </c>
      <c r="J149" s="374">
        <f>J130*J128+J132*(1-J128)+J134+(J146/(J136/(10^(J144/10))))</f>
        <v>478.50476100078777</v>
      </c>
      <c r="K149" s="141" t="s">
        <v>784</v>
      </c>
      <c r="L149" s="141"/>
      <c r="M149" s="182"/>
      <c r="N149" s="3"/>
      <c r="O149" s="932">
        <v>11</v>
      </c>
      <c r="P149" s="938"/>
      <c r="Q149" s="939"/>
      <c r="R149" s="935"/>
      <c r="S149" s="935"/>
      <c r="T149" s="936"/>
      <c r="U149" s="937" t="str">
        <f t="shared" si="9"/>
        <v/>
      </c>
      <c r="V149" s="937" t="str">
        <f t="shared" si="9"/>
        <v/>
      </c>
      <c r="W149" s="937" t="str">
        <f t="shared" si="10"/>
        <v/>
      </c>
      <c r="X149" s="936" t="str">
        <f t="shared" si="11"/>
        <v/>
      </c>
      <c r="Y149" s="936" t="str">
        <f t="shared" si="8"/>
        <v/>
      </c>
      <c r="Z149" s="937" t="str">
        <f t="shared" si="12"/>
        <v/>
      </c>
      <c r="AA149" s="937" t="str">
        <f t="shared" si="13"/>
        <v/>
      </c>
    </row>
    <row r="150" spans="1:27" ht="13" thickBot="1">
      <c r="A150" s="3"/>
      <c r="B150" s="3"/>
      <c r="C150" s="177"/>
      <c r="D150" s="141"/>
      <c r="E150" s="141"/>
      <c r="F150" s="141"/>
      <c r="G150" s="141"/>
      <c r="H150" s="141"/>
      <c r="I150" s="141"/>
      <c r="J150" s="141"/>
      <c r="K150" s="141"/>
      <c r="L150" s="141"/>
      <c r="M150" s="182"/>
      <c r="N150" s="3"/>
      <c r="O150" s="940">
        <v>12</v>
      </c>
      <c r="P150" s="941"/>
      <c r="Q150" s="942"/>
      <c r="R150" s="943"/>
      <c r="S150" s="943"/>
      <c r="T150" s="944"/>
      <c r="U150" s="945" t="str">
        <f t="shared" si="9"/>
        <v/>
      </c>
      <c r="V150" s="945" t="str">
        <f t="shared" si="9"/>
        <v/>
      </c>
      <c r="W150" s="945" t="str">
        <f t="shared" si="10"/>
        <v/>
      </c>
      <c r="X150" s="944" t="str">
        <f t="shared" si="11"/>
        <v/>
      </c>
      <c r="Y150" s="944" t="str">
        <f t="shared" si="8"/>
        <v/>
      </c>
      <c r="Z150" s="945" t="str">
        <f t="shared" si="12"/>
        <v/>
      </c>
      <c r="AA150" s="945" t="str">
        <f t="shared" si="13"/>
        <v/>
      </c>
    </row>
    <row r="151" spans="1:27">
      <c r="A151" s="3"/>
      <c r="B151" s="3"/>
      <c r="C151" s="177"/>
      <c r="D151" s="141"/>
      <c r="E151" s="141"/>
      <c r="F151" s="141"/>
      <c r="G151" s="141"/>
      <c r="H151" s="141"/>
      <c r="I151" s="141"/>
      <c r="J151" s="141"/>
      <c r="K151" s="141"/>
      <c r="L151" s="141"/>
      <c r="M151" s="182"/>
      <c r="N151" s="3"/>
      <c r="O151" s="946"/>
      <c r="P151" s="947"/>
      <c r="Q151" s="927"/>
      <c r="R151" s="948"/>
      <c r="S151" s="948"/>
      <c r="T151" s="948"/>
      <c r="U151" s="948"/>
      <c r="V151" s="948"/>
      <c r="W151" s="948"/>
      <c r="X151" s="948"/>
      <c r="Y151" s="948"/>
      <c r="Z151" s="948"/>
      <c r="AA151" s="949"/>
    </row>
    <row r="152" spans="1:27" ht="14.5">
      <c r="A152" s="3"/>
      <c r="B152" s="3"/>
      <c r="C152" s="235"/>
      <c r="D152" s="236"/>
      <c r="E152" s="236"/>
      <c r="F152" s="236"/>
      <c r="G152" s="236"/>
      <c r="H152" s="236"/>
      <c r="I152" s="236"/>
      <c r="J152" s="236"/>
      <c r="K152" s="236"/>
      <c r="L152" s="236"/>
      <c r="M152" s="237"/>
      <c r="N152" s="3"/>
      <c r="O152" s="950"/>
      <c r="P152" s="951"/>
      <c r="Q152" s="952"/>
      <c r="R152" s="953"/>
      <c r="S152" s="953"/>
      <c r="T152" s="953"/>
      <c r="U152" s="953"/>
      <c r="V152" s="953"/>
      <c r="W152" s="953"/>
      <c r="X152" s="954" t="s">
        <v>964</v>
      </c>
      <c r="Y152" s="955">
        <f>SUM(Y141:Y150)</f>
        <v>1441.4023310931266</v>
      </c>
      <c r="Z152" s="956"/>
      <c r="AA152" s="957"/>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I5" sqref="I5"/>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May 28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6"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7"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97</v>
      </c>
      <c r="C32" s="195"/>
      <c r="D32" s="288"/>
      <c r="E32" s="195"/>
      <c r="F32" s="195"/>
      <c r="G32" s="195" t="s">
        <v>59</v>
      </c>
      <c r="H32" s="647">
        <v>2</v>
      </c>
      <c r="I32" s="195" t="s">
        <v>36</v>
      </c>
      <c r="J32" s="195"/>
      <c r="K32" s="195" t="s">
        <v>61</v>
      </c>
      <c r="L32" s="624">
        <v>120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1055</v>
      </c>
      <c r="C49" s="195"/>
      <c r="D49" s="288"/>
      <c r="E49" s="195"/>
      <c r="F49" s="195"/>
      <c r="G49" s="195" t="s">
        <v>59</v>
      </c>
      <c r="H49" s="647">
        <v>12</v>
      </c>
      <c r="I49" s="195" t="s">
        <v>36</v>
      </c>
      <c r="J49" s="195"/>
      <c r="K49" s="195" t="s">
        <v>61</v>
      </c>
      <c r="L49" s="624">
        <v>30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Parabolic Reflector</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783</v>
      </c>
      <c r="P61" s="158" t="s">
        <v>61</v>
      </c>
      <c r="Q61" s="163">
        <f>115/(K61*((E61*H61)^0.5))</f>
        <v>72.73238618387272</v>
      </c>
      <c r="R61" s="158" t="s">
        <v>4</v>
      </c>
      <c r="S61" s="376" t="s">
        <v>89</v>
      </c>
      <c r="T61" s="376"/>
      <c r="U61" s="375">
        <f>H61*E61*K55</f>
        <v>0.30945499587118086</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6" t="s">
        <v>92</v>
      </c>
      <c r="C63" s="146"/>
      <c r="D63" s="146"/>
      <c r="E63" s="624"/>
      <c r="F63" s="889"/>
      <c r="G63" s="624"/>
      <c r="H63" s="898"/>
      <c r="I63" s="898"/>
      <c r="J63" s="898"/>
      <c r="K63" s="147"/>
      <c r="L63" s="146"/>
      <c r="M63" s="146" t="s">
        <v>59</v>
      </c>
      <c r="N63" s="148">
        <v>22.9</v>
      </c>
      <c r="O63" s="146" t="s">
        <v>783</v>
      </c>
      <c r="P63" s="146" t="s">
        <v>61</v>
      </c>
      <c r="Q63" s="149">
        <v>20</v>
      </c>
      <c r="R63" s="146" t="s">
        <v>4</v>
      </c>
      <c r="S63" s="681" t="s">
        <v>465</v>
      </c>
      <c r="T63" s="146"/>
      <c r="U63" s="1047"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9" sqref="E29"/>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May 28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Turnstyle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10.597039916698797</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1.6557739825009406E-2</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1.8749999999999999E-2</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1.2111942513925777E-2</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3.4655126310997937E-2</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22.044264853190001</v>
      </c>
      <c r="S59" s="667" t="s">
        <v>756</v>
      </c>
      <c r="T59" s="3"/>
      <c r="U59" s="670">
        <f>2*(G63*(79.76/K59))</f>
        <v>496.74528000000009</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2</v>
      </c>
      <c r="I60" s="195" t="s">
        <v>36</v>
      </c>
      <c r="J60" s="195" t="s">
        <v>61</v>
      </c>
      <c r="K60" s="304">
        <f>'Antenna Gain'!L32</f>
        <v>120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5</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30</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Parabolic Reflector</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39.880000000000003</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783</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20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5</v>
      </c>
      <c r="G102" s="287" t="s">
        <v>135</v>
      </c>
      <c r="H102" s="296" t="s">
        <v>133</v>
      </c>
      <c r="I102" s="297"/>
      <c r="J102" s="297"/>
      <c r="K102" s="285">
        <f>-10*LOG10(3282.81*((SIN(RADIANS(R97))^2/(R97^2))))</f>
        <v>0.71302177034341041</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May 28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2019-05-10T18:48:42Z</cp:lastPrinted>
  <dcterms:created xsi:type="dcterms:W3CDTF">2003-03-25T04:05:57Z</dcterms:created>
  <dcterms:modified xsi:type="dcterms:W3CDTF">2019-05-27T17:22:00Z</dcterms:modified>
</cp:coreProperties>
</file>