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emastro\Documents\OreSat\GitHub\oresat-dxwifi-hardware\Link-Model\"/>
    </mc:Choice>
  </mc:AlternateContent>
  <xr:revisionPtr revIDLastSave="0" documentId="13_ncr:1_{FDE29818-1A09-4898-964E-A42C571D2FA9}" xr6:coauthVersionLast="44" xr6:coauthVersionMax="44" xr10:uidLastSave="{00000000-0000-0000-0000-000000000000}"/>
  <bookViews>
    <workbookView xWindow="-110" yWindow="-110" windowWidth="32220" windowHeight="1762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 i="23" l="1"/>
  <c r="O45" i="23" l="1"/>
  <c r="G72" i="23"/>
  <c r="K79" i="12" l="1"/>
  <c r="K81" i="12"/>
  <c r="H81" i="12"/>
  <c r="K63" i="12"/>
  <c r="J123" i="15"/>
  <c r="J53" i="15" l="1"/>
  <c r="I36" i="14"/>
  <c r="I78" i="14" l="1"/>
  <c r="G54" i="23" l="1"/>
  <c r="D109" i="23"/>
  <c r="L105" i="23"/>
  <c r="G97" i="23"/>
  <c r="G91" i="23"/>
  <c r="G89" i="23"/>
  <c r="O88" i="23"/>
  <c r="G87" i="23"/>
  <c r="G78" i="23"/>
  <c r="G77" i="23"/>
  <c r="O71" i="23"/>
  <c r="O69" i="23"/>
  <c r="G67" i="23"/>
  <c r="G66" i="23"/>
  <c r="O62" i="23"/>
  <c r="G61" i="23"/>
  <c r="O60" i="23"/>
  <c r="G56" i="23"/>
  <c r="O55" i="23"/>
  <c r="O51" i="23"/>
  <c r="O50" i="23"/>
  <c r="G47" i="23"/>
  <c r="G45" i="23"/>
  <c r="O40" i="23"/>
  <c r="O39" i="23"/>
  <c r="O29" i="23"/>
  <c r="O27" i="23"/>
  <c r="O25" i="23"/>
  <c r="G25" i="23"/>
  <c r="O19" i="23"/>
  <c r="O15" i="23" s="1"/>
  <c r="O17" i="23" s="1"/>
  <c r="D10" i="23"/>
  <c r="L5" i="23"/>
  <c r="Q1" i="23"/>
  <c r="U52" i="15"/>
  <c r="U49" i="15"/>
  <c r="U55" i="15"/>
  <c r="AA150" i="15" l="1"/>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J136" i="15"/>
  <c r="T131" i="15"/>
  <c r="T122" i="15"/>
  <c r="T120" i="15"/>
  <c r="T133" i="15" s="1"/>
  <c r="J120" i="15"/>
  <c r="J119" i="15"/>
  <c r="J118" i="15"/>
  <c r="O58" i="23" s="1"/>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I72" i="14"/>
  <c r="I71" i="14"/>
  <c r="I70" i="14"/>
  <c r="I74" i="14" s="1"/>
  <c r="I67" i="14"/>
  <c r="G60" i="14"/>
  <c r="I30" i="14"/>
  <c r="I24" i="14"/>
  <c r="W142" i="15" l="1"/>
  <c r="W143" i="15" s="1"/>
  <c r="W144" i="15" s="1"/>
  <c r="W145" i="15" s="1"/>
  <c r="W146" i="15" s="1"/>
  <c r="W147" i="15" s="1"/>
  <c r="W148" i="15" s="1"/>
  <c r="W149" i="15" s="1"/>
  <c r="Z149" i="15" s="1"/>
  <c r="I85" i="14"/>
  <c r="O32" i="23" s="1"/>
  <c r="O23" i="23"/>
  <c r="X149" i="15"/>
  <c r="Z142" i="15"/>
  <c r="AA142" i="15" s="1"/>
  <c r="X142" i="15"/>
  <c r="Y142" i="15" s="1"/>
  <c r="Y62" i="15"/>
  <c r="J126" i="15"/>
  <c r="T135" i="15"/>
  <c r="X141" i="15"/>
  <c r="Y141" i="15" s="1"/>
  <c r="Z62" i="15"/>
  <c r="AA62" i="15" s="1"/>
  <c r="W63" i="15"/>
  <c r="Y63" i="15" s="1"/>
  <c r="Y66" i="15"/>
  <c r="W64" i="15"/>
  <c r="W65" i="15" s="1"/>
  <c r="W66" i="15" s="1"/>
  <c r="W67" i="15" s="1"/>
  <c r="Z65" i="15"/>
  <c r="X65" i="15"/>
  <c r="Y65" i="15" s="1"/>
  <c r="X69" i="15"/>
  <c r="I60" i="14"/>
  <c r="Z144" i="15" l="1"/>
  <c r="Z64" i="15"/>
  <c r="Y146" i="15"/>
  <c r="Y148" i="15"/>
  <c r="Z147" i="15"/>
  <c r="Z143" i="15"/>
  <c r="Y143" i="15"/>
  <c r="Z146" i="15"/>
  <c r="Y147" i="15"/>
  <c r="Z145" i="15"/>
  <c r="Y145" i="15"/>
  <c r="Z148" i="15"/>
  <c r="Y144" i="15"/>
  <c r="Y149" i="15"/>
  <c r="J128" i="15"/>
  <c r="O65" i="23"/>
  <c r="I87" i="14"/>
  <c r="O34" i="23" s="1"/>
  <c r="AA143" i="15"/>
  <c r="AA144" i="15" s="1"/>
  <c r="AA145" i="15" s="1"/>
  <c r="AA146" i="15" s="1"/>
  <c r="AA147" i="15" s="1"/>
  <c r="AA148" i="15" s="1"/>
  <c r="AA149" i="15" s="1"/>
  <c r="Z63" i="15"/>
  <c r="AA63" i="15" s="1"/>
  <c r="Y67" i="15"/>
  <c r="W68" i="15"/>
  <c r="Z66" i="15"/>
  <c r="AA65" i="15"/>
  <c r="Y64" i="15"/>
  <c r="Z67" i="15"/>
  <c r="AA64" i="15" l="1"/>
  <c r="Y152" i="15"/>
  <c r="J146" i="15" s="1"/>
  <c r="J149" i="15" s="1"/>
  <c r="W69" i="15"/>
  <c r="Y68" i="15"/>
  <c r="Z68" i="15"/>
  <c r="AA66" i="15"/>
  <c r="AA67" i="15" s="1"/>
  <c r="AA68" i="15" s="1"/>
  <c r="J48" i="15"/>
  <c r="J49" i="15"/>
  <c r="J47" i="15"/>
  <c r="G58" i="23" s="1"/>
  <c r="I28" i="14"/>
  <c r="I29" i="14"/>
  <c r="I27" i="14"/>
  <c r="O76" i="23" l="1"/>
  <c r="I32" i="14"/>
  <c r="G93" i="23" s="1"/>
  <c r="O81" i="23"/>
  <c r="AA69" i="15"/>
  <c r="W70" i="15"/>
  <c r="Z69" i="15"/>
  <c r="Y69" i="15"/>
  <c r="I43" i="14" l="1"/>
  <c r="G84" i="23" s="1"/>
  <c r="Y70" i="15"/>
  <c r="Y73" i="15" s="1"/>
  <c r="J67" i="15" s="1"/>
  <c r="G40" i="23" s="1"/>
  <c r="Z70" i="15"/>
  <c r="AA70" i="15"/>
  <c r="J65" i="15"/>
  <c r="I23" i="4"/>
  <c r="M16" i="20"/>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G18" i="20" s="1"/>
  <c r="B91" i="1"/>
  <c r="B104" i="1" s="1"/>
  <c r="B101" i="1"/>
  <c r="B110" i="1"/>
  <c r="D8" i="1"/>
  <c r="D23" i="8"/>
  <c r="B16" i="5" s="1"/>
  <c r="O102" i="1"/>
  <c r="O101" i="1" s="1"/>
  <c r="C29" i="21" s="1"/>
  <c r="B17" i="3"/>
  <c r="E42" i="8" s="1"/>
  <c r="B48" i="8"/>
  <c r="B35" i="8"/>
  <c r="B17" i="5"/>
  <c r="E29" i="8" s="1"/>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80" i="12"/>
  <c r="H76" i="12"/>
  <c r="H77" i="12"/>
  <c r="H45" i="9"/>
  <c r="H78" i="12" s="1"/>
  <c r="H79" i="12"/>
  <c r="H80" i="12"/>
  <c r="K54" i="12"/>
  <c r="K55" i="12"/>
  <c r="K56" i="12"/>
  <c r="K57" i="12"/>
  <c r="K58" i="12"/>
  <c r="H54" i="12"/>
  <c r="H55" i="12"/>
  <c r="H28" i="9"/>
  <c r="H56" i="12" s="1"/>
  <c r="H57" i="12"/>
  <c r="H58" i="12"/>
  <c r="J41" i="12"/>
  <c r="R38" i="12" s="1"/>
  <c r="K43" i="12" s="1"/>
  <c r="B13" i="5" s="1"/>
  <c r="F58" i="9"/>
  <c r="J49" i="23" s="1"/>
  <c r="F41" i="9"/>
  <c r="J40" i="23" s="1"/>
  <c r="F11" i="9"/>
  <c r="B75" i="23" s="1"/>
  <c r="F24" i="9"/>
  <c r="B67" i="23" s="1"/>
  <c r="B50" i="5"/>
  <c r="E74" i="12"/>
  <c r="K85" i="12" s="1"/>
  <c r="K72" i="1" s="1"/>
  <c r="K74" i="12"/>
  <c r="K95" i="12"/>
  <c r="K82" i="12"/>
  <c r="H82" i="12"/>
  <c r="B10" i="3"/>
  <c r="O38" i="23" s="1"/>
  <c r="E52" i="12"/>
  <c r="R54" i="12"/>
  <c r="B49" i="5"/>
  <c r="K60" i="12"/>
  <c r="H60" i="12"/>
  <c r="B23" i="5"/>
  <c r="G65"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O49" i="23" s="1"/>
  <c r="B29" i="3"/>
  <c r="H33" i="6"/>
  <c r="B6" i="5"/>
  <c r="B7" i="5" s="1"/>
  <c r="B8" i="5" s="1"/>
  <c r="B10" i="5"/>
  <c r="G76" i="23" s="1"/>
  <c r="E36" i="12"/>
  <c r="N13" i="9"/>
  <c r="F37" i="7"/>
  <c r="F39" i="7"/>
  <c r="F40" i="7" s="1"/>
  <c r="B14" i="5" s="1"/>
  <c r="R55" i="12"/>
  <c r="K52" i="12"/>
  <c r="K36" i="12"/>
  <c r="B29" i="5"/>
  <c r="H5" i="6"/>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O93" i="23" s="1"/>
  <c r="B33" i="5"/>
  <c r="B32" i="5"/>
  <c r="B35" i="5"/>
  <c r="G18" i="23" s="1"/>
  <c r="B39" i="5"/>
  <c r="B37" i="5"/>
  <c r="F31" i="6"/>
  <c r="B39" i="3"/>
  <c r="B37" i="3"/>
  <c r="R76" i="12"/>
  <c r="R80" i="12"/>
  <c r="R77" i="12"/>
  <c r="R58" i="12"/>
  <c r="R57" i="12"/>
  <c r="Q14" i="9"/>
  <c r="J39" i="12" s="1"/>
  <c r="Q61" i="9"/>
  <c r="J98" i="12" s="1"/>
  <c r="Q60" i="9"/>
  <c r="J97" i="12" s="1"/>
  <c r="G41" i="12"/>
  <c r="D85" i="13"/>
  <c r="D84" i="13"/>
  <c r="D82" i="13"/>
  <c r="D81" i="13"/>
  <c r="D63" i="13"/>
  <c r="D62" i="13"/>
  <c r="D60" i="13"/>
  <c r="D59" i="13"/>
  <c r="C51" i="13"/>
  <c r="D51" i="13" s="1"/>
  <c r="D50" i="13"/>
  <c r="E171" i="13"/>
  <c r="D171" i="13"/>
  <c r="C100" i="13"/>
  <c r="E99" i="13"/>
  <c r="D100" i="13"/>
  <c r="D99" i="13"/>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C28" i="21"/>
  <c r="C179" i="13"/>
  <c r="D179" i="13" s="1"/>
  <c r="D178" i="13"/>
  <c r="C7" i="21"/>
  <c r="C15" i="21" s="1"/>
  <c r="E15" i="21" s="1"/>
  <c r="C14" i="21"/>
  <c r="E14" i="21"/>
  <c r="K10" i="18"/>
  <c r="K12" i="18" s="1"/>
  <c r="F8" i="9"/>
  <c r="F22" i="9" s="1"/>
  <c r="O106" i="1"/>
  <c r="L31" i="9"/>
  <c r="K59" i="12" s="1"/>
  <c r="U59" i="12" s="1"/>
  <c r="R59" i="12" s="1"/>
  <c r="H31" i="9"/>
  <c r="H59" i="12" s="1"/>
  <c r="K8" i="9"/>
  <c r="U14" i="9" s="1"/>
  <c r="B5" i="2"/>
  <c r="F6" i="2"/>
  <c r="B45" i="2"/>
  <c r="C180" i="13"/>
  <c r="C181" i="13" s="1"/>
  <c r="D181" i="13" s="1"/>
  <c r="C47" i="2"/>
  <c r="C48" i="2" s="1"/>
  <c r="C49" i="2" s="1"/>
  <c r="C50" i="2" s="1"/>
  <c r="B50" i="2" s="1"/>
  <c r="B46" i="2"/>
  <c r="C7" i="2"/>
  <c r="B7" i="2" s="1"/>
  <c r="U13" i="9"/>
  <c r="B47" i="2"/>
  <c r="B48" i="2"/>
  <c r="B49" i="2"/>
  <c r="C51" i="2"/>
  <c r="B51" i="2" s="1"/>
  <c r="C33" i="21"/>
  <c r="E33" i="21" s="1"/>
  <c r="C34" i="21"/>
  <c r="E34" i="21" s="1"/>
  <c r="F33" i="12"/>
  <c r="N15" i="9"/>
  <c r="G40" i="12" s="1"/>
  <c r="Q15" i="9"/>
  <c r="J40" i="12" s="1"/>
  <c r="C36" i="21"/>
  <c r="E36" i="21" s="1"/>
  <c r="C35" i="21"/>
  <c r="E35" i="21" s="1"/>
  <c r="C13" i="21"/>
  <c r="E13" i="21"/>
  <c r="C12" i="21"/>
  <c r="E12" i="21" s="1"/>
  <c r="G17" i="20" l="1"/>
  <c r="G19" i="20"/>
  <c r="M18" i="20" s="1"/>
  <c r="B15" i="3" s="1"/>
  <c r="G11" i="20"/>
  <c r="G13" i="20"/>
  <c r="M12" i="20" s="1"/>
  <c r="B15" i="5" s="1"/>
  <c r="G16" i="20"/>
  <c r="F52" i="12"/>
  <c r="N10" i="23"/>
  <c r="N101" i="23"/>
  <c r="B41" i="3"/>
  <c r="O96" i="23" s="1"/>
  <c r="B62" i="3"/>
  <c r="N7" i="23"/>
  <c r="N95" i="23"/>
  <c r="F14" i="23"/>
  <c r="F107" i="23"/>
  <c r="F104" i="23"/>
  <c r="F20" i="23"/>
  <c r="B41" i="5"/>
  <c r="G21" i="23" s="1"/>
  <c r="B63" i="5"/>
  <c r="B13" i="3"/>
  <c r="F74" i="12"/>
  <c r="N3" i="23"/>
  <c r="J115" i="15"/>
  <c r="G70" i="14"/>
  <c r="J114" i="15"/>
  <c r="G72" i="14"/>
  <c r="J116" i="15"/>
  <c r="G71" i="14"/>
  <c r="F39" i="9"/>
  <c r="K33" i="12"/>
  <c r="F3" i="23"/>
  <c r="J43" i="15"/>
  <c r="J44" i="15"/>
  <c r="J45" i="15"/>
  <c r="G30" i="14"/>
  <c r="F50" i="12"/>
  <c r="K22" i="9"/>
  <c r="K50" i="12" s="1"/>
  <c r="E19" i="21"/>
  <c r="B108" i="1" s="1"/>
  <c r="E40" i="21"/>
  <c r="O108" i="1" s="1"/>
  <c r="F44" i="2"/>
  <c r="E43" i="2"/>
  <c r="C52" i="2"/>
  <c r="D180" i="13"/>
  <c r="C182" i="13"/>
  <c r="C8" i="2"/>
  <c r="F7" i="2"/>
  <c r="E5" i="2"/>
  <c r="D52" i="13"/>
  <c r="C53" i="13"/>
  <c r="B28" i="1"/>
  <c r="B29" i="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2" i="23" s="1"/>
  <c r="B9" i="5"/>
  <c r="B11" i="5" s="1"/>
  <c r="I45" i="14"/>
  <c r="B22" i="3"/>
  <c r="B48" i="3"/>
  <c r="B8" i="3"/>
  <c r="K71" i="1"/>
  <c r="B22" i="5"/>
  <c r="F36" i="12"/>
  <c r="B16" i="3"/>
  <c r="J55" i="15"/>
  <c r="G51" i="23" s="1"/>
  <c r="N45" i="23" l="1"/>
  <c r="F55" i="9"/>
  <c r="K39" i="9"/>
  <c r="K72" i="12" s="1"/>
  <c r="F72" i="12"/>
  <c r="L48" i="9"/>
  <c r="U81" i="12" s="1"/>
  <c r="R81" i="12" s="1"/>
  <c r="H48" i="9"/>
  <c r="G82" i="23"/>
  <c r="G74" i="23"/>
  <c r="F72" i="23"/>
  <c r="C9" i="2"/>
  <c r="B8" i="2"/>
  <c r="K68" i="1"/>
  <c r="K70" i="1" s="1"/>
  <c r="K63" i="1"/>
  <c r="D7" i="1" s="1"/>
  <c r="C183" i="13"/>
  <c r="D182" i="13"/>
  <c r="E44" i="2"/>
  <c r="F45" i="2"/>
  <c r="E101" i="13"/>
  <c r="D101" i="13"/>
  <c r="C102" i="13"/>
  <c r="C219" i="13"/>
  <c r="D218" i="13"/>
  <c r="B14" i="3"/>
  <c r="B19" i="3" s="1"/>
  <c r="O47" i="23" s="1"/>
  <c r="F65" i="7"/>
  <c r="D53" i="13"/>
  <c r="C54" i="13"/>
  <c r="F8" i="2"/>
  <c r="E6" i="2"/>
  <c r="B52" i="2"/>
  <c r="C53" i="2"/>
  <c r="B24" i="3"/>
  <c r="B50" i="3"/>
  <c r="B19" i="5"/>
  <c r="G69" i="23" s="1"/>
  <c r="B24" i="5"/>
  <c r="J57" i="15"/>
  <c r="J70" i="15" s="1"/>
  <c r="B52" i="5" s="1"/>
  <c r="B59" i="5" s="1"/>
  <c r="B51" i="5"/>
  <c r="K55" i="9" l="1"/>
  <c r="F92" i="12"/>
  <c r="N62" i="9"/>
  <c r="G99" i="12" s="1"/>
  <c r="Q62" i="9"/>
  <c r="J99" i="12" s="1"/>
  <c r="B51" i="3"/>
  <c r="E102" i="13"/>
  <c r="C103" i="13"/>
  <c r="D102" i="13"/>
  <c r="F46" i="2"/>
  <c r="E45" i="2"/>
  <c r="F9" i="2"/>
  <c r="E7" i="2"/>
  <c r="C55" i="13"/>
  <c r="D54" i="13"/>
  <c r="C54" i="2"/>
  <c r="B53" i="2"/>
  <c r="D219" i="13"/>
  <c r="C220" i="13"/>
  <c r="C184" i="13"/>
  <c r="D183" i="13"/>
  <c r="B9" i="2"/>
  <c r="C10" i="2"/>
  <c r="B55" i="5"/>
  <c r="B61" i="5" s="1"/>
  <c r="B25" i="5"/>
  <c r="G35" i="23" s="1"/>
  <c r="B54" i="3"/>
  <c r="B53" i="5"/>
  <c r="K92" i="12" l="1"/>
  <c r="U60" i="9"/>
  <c r="U61" i="9"/>
  <c r="C7" i="23"/>
  <c r="B58" i="3"/>
  <c r="B60" i="3" s="1"/>
  <c r="B52" i="3"/>
  <c r="B25" i="3"/>
  <c r="B26" i="3" s="1"/>
  <c r="C56" i="13"/>
  <c r="D55" i="13"/>
  <c r="D184" i="13"/>
  <c r="C185" i="13"/>
  <c r="B54" i="2"/>
  <c r="C55" i="2"/>
  <c r="F10" i="2"/>
  <c r="E8" i="2"/>
  <c r="C104" i="13"/>
  <c r="E103" i="13"/>
  <c r="D103" i="13"/>
  <c r="F47" i="2"/>
  <c r="E46" i="2"/>
  <c r="C11" i="2"/>
  <c r="B10" i="2"/>
  <c r="D220" i="13"/>
  <c r="C221" i="13"/>
  <c r="B26" i="5"/>
  <c r="G33" i="23" s="1"/>
  <c r="B65" i="5"/>
  <c r="F7" i="23" l="1"/>
  <c r="G7" i="23" s="1"/>
  <c r="B27" i="3"/>
  <c r="B30" i="3" s="1"/>
  <c r="K73" i="1" s="1"/>
  <c r="O83" i="23"/>
  <c r="L109" i="23"/>
  <c r="B64" i="3"/>
  <c r="E47" i="2"/>
  <c r="F48" i="2"/>
  <c r="C186" i="13"/>
  <c r="D185" i="13"/>
  <c r="E9" i="2"/>
  <c r="F11" i="2"/>
  <c r="B11" i="2"/>
  <c r="C12" i="2"/>
  <c r="B55" i="2"/>
  <c r="C56" i="2"/>
  <c r="C222" i="13"/>
  <c r="D221" i="13"/>
  <c r="C105" i="13"/>
  <c r="D104" i="13"/>
  <c r="E104" i="13"/>
  <c r="C57" i="13"/>
  <c r="D56" i="13"/>
  <c r="B27" i="5"/>
  <c r="B30" i="5" s="1"/>
  <c r="C5" i="23" l="1"/>
  <c r="O109" i="23"/>
  <c r="P109" i="23" s="1"/>
  <c r="B43" i="3"/>
  <c r="L107" i="23"/>
  <c r="D57" i="13"/>
  <c r="C58" i="13"/>
  <c r="C187" i="13"/>
  <c r="D186" i="13"/>
  <c r="D222" i="13"/>
  <c r="C223" i="13"/>
  <c r="B56" i="2"/>
  <c r="C57" i="2"/>
  <c r="E10" i="2"/>
  <c r="F12" i="2"/>
  <c r="E48" i="2"/>
  <c r="F49" i="2"/>
  <c r="B12" i="2"/>
  <c r="C13" i="2"/>
  <c r="E105" i="13"/>
  <c r="C106" i="13"/>
  <c r="D105" i="13"/>
  <c r="K74" i="1"/>
  <c r="B43" i="5"/>
  <c r="F5" i="23" l="1"/>
  <c r="G5" i="23" s="1"/>
  <c r="O107" i="23"/>
  <c r="P107"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<sst xmlns="http://schemas.openxmlformats.org/spreadsheetml/2006/main" count="2761" uniqueCount="1070">
  <si>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</si>
  <si>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</si>
  <si>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</si>
  <si>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</si>
  <si>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</si>
  <si>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</si>
  <si>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</si>
  <si>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</si>
  <si>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</si>
  <si>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</si>
  <si>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</si>
  <si>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</si>
  <si>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</si>
  <si>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</si>
  <si>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</si>
  <si>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</si>
  <si>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</si>
  <si>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</si>
  <si>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</si>
  <si>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</si>
  <si>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</si>
  <si>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</si>
  <si>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</si>
  <si>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</si>
  <si>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</si>
  <si>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</si>
  <si>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</si>
  <si>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</si>
  <si>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</si>
  <si>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</si>
  <si>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</si>
  <si>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</si>
  <si>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</si>
  <si>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</si>
  <si>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</si>
  <si>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</si>
  <si>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</si>
  <si>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</si>
  <si>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</si>
  <si>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</si>
  <si>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</si>
  <si>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</si>
  <si>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</si>
  <si>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</si>
  <si>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</si>
  <si>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</si>
  <si>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</si>
  <si>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</si>
  <si>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</si>
  <si>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</si>
  <si>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</si>
  <si>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</si>
  <si>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</si>
  <si>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</si>
  <si>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</si>
  <si>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</si>
  <si>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</si>
  <si>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</si>
  <si>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</si>
  <si>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</si>
  <si>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</si>
  <si>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</si>
  <si>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</si>
  <si>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</si>
  <si>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</si>
  <si>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</si>
  <si>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</si>
  <si>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</si>
  <si>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</si>
  <si>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</si>
  <si>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</si>
  <si>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</si>
  <si>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</si>
  <si>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</si>
  <si>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</si>
  <si>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</si>
  <si>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</si>
  <si>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</si>
  <si>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</si>
  <si>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</si>
  <si>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</si>
  <si>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</si>
  <si>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</si>
  <si>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</si>
  <si>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</si>
  <si>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</si>
  <si>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</si>
  <si>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</si>
  <si>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</si>
  <si>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</si>
  <si>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</si>
  <si>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</si>
  <si>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</si>
  <si>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</si>
  <si>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</si>
  <si>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</si>
  <si>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</si>
  <si>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</si>
  <si>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</si>
  <si>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</si>
  <si>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</si>
  <si>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</si>
  <si>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</si>
  <si>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</si>
  <si>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</si>
  <si>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</si>
  <si>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</si>
  <si>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</si>
  <si>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</si>
  <si>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</si>
  <si>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</si>
  <si>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</si>
  <si>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</si>
  <si>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</si>
  <si>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</si>
  <si>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</si>
  <si>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</si>
  <si>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</si>
  <si>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</si>
  <si>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</si>
  <si>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</si>
  <si>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</si>
  <si>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</si>
  <si>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</si>
  <si>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</si>
  <si>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</si>
  <si>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</si>
  <si>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</si>
  <si>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</si>
  <si>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</si>
  <si>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</si>
  <si>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</si>
  <si>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</si>
  <si>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</si>
  <si>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</si>
  <si>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</si>
  <si>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</si>
  <si>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</si>
  <si>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</si>
  <si>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</si>
  <si>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</si>
  <si>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</si>
  <si>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</si>
  <si>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</si>
  <si>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</si>
  <si>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</si>
  <si>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</si>
  <si>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</si>
  <si>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</si>
  <si>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</si>
  <si>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</si>
  <si>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</si>
  <si>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</si>
  <si>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</si>
  <si>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</si>
  <si>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</si>
  <si>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</si>
  <si>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</si>
  <si>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</si>
  <si>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</si>
  <si>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</si>
  <si>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</si>
  <si>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</si>
  <si>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</si>
  <si>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</si>
  <si>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</si>
  <si>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</si>
  <si>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</si>
  <si>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</si>
  <si>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</si>
  <si>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</si>
  <si>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</si>
  <si>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</si>
  <si>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</si>
  <si>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</si>
  <si>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</si>
  <si>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</si>
  <si>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</si>
  <si>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</si>
  <si>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</si>
  <si>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</si>
  <si>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</si>
  <si>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</si>
  <si>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</si>
  <si>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</si>
  <si>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</si>
  <si>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</si>
  <si>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</si>
  <si>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</si>
  <si>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</si>
  <si>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</si>
  <si>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</si>
  <si>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</si>
  <si>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</si>
  <si>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</si>
  <si>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</si>
  <si>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</si>
  <si>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</si>
  <si>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</si>
  <si>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</si>
  <si>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</si>
  <si>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</si>
  <si>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</si>
  <si>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</si>
  <si>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</si>
  <si>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</si>
  <si>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</si>
  <si>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</si>
  <si>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</si>
  <si>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</si>
  <si>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</si>
  <si>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</si>
  <si>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</si>
  <si>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</si>
  <si>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</si>
  <si>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</si>
  <si>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</si>
  <si>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</si>
  <si>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</si>
  <si>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</si>
  <si>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</si>
  <si>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</si>
  <si>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</si>
  <si>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</si>
  <si>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</si>
  <si>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</si>
  <si>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</si>
  <si>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</si>
  <si>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</si>
  <si>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</si>
  <si>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</si>
  <si>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</si>
  <si>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</si>
  <si>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</si>
  <si>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</si>
  <si>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</si>
  <si>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</si>
  <si>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</si>
  <si>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</si>
  <si>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</si>
  <si>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</si>
  <si>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</si>
  <si>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</si>
  <si>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</si>
  <si>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</si>
  <si>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</si>
  <si>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</si>
  <si>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</si>
  <si>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</si>
  <si>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</si>
  <si>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</si>
  <si>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</si>
  <si>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</si>
  <si>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</si>
  <si>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</si>
  <si>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</si>
  <si>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</si>
  <si>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</si>
  <si>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</si>
  <si>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</si>
  <si>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</si>
  <si>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</si>
  <si>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</si>
  <si>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</si>
  <si>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</si>
  <si>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</si>
  <si>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</si>
  <si>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</si>
  <si>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</si>
  <si>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</si>
  <si>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</si>
  <si>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</si>
  <si>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</si>
  <si>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</si>
  <si>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</si>
  <si>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</si>
  <si>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</si>
  <si>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</si>
  <si>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</si>
  <si>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</si>
  <si>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</si>
  <si>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</si>
  <si>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</si>
  <si>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</si>
  <si>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</si>
  <si>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</si>
  <si>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</si>
  <si>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</si>
  <si>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</si>
  <si>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</si>
  <si>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</si>
  <si>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</si>
  <si>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</si>
  <si>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</si>
  <si>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</si>
  <si>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</si>
  <si>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</si>
  <si>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</si>
  <si>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</si>
  <si>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</si>
  <si>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</si>
  <si>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</si>
  <si>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</si>
  <si>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</si>
  <si>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</si>
  <si>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</si>
  <si>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</si>
  <si>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</si>
  <si>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</si>
  <si>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</si>
  <si>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</si>
  <si>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</si>
  <si>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</si>
  <si>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</si>
  <si>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</si>
  <si>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</si>
  <si>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</si>
  <si>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</si>
  <si>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</si>
  <si>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</si>
  <si>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</si>
  <si>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</si>
  <si>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</si>
  <si>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</si>
  <si>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</si>
  <si>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</si>
  <si>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</si>
  <si>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</si>
  <si>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</si>
  <si>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</si>
  <si>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</si>
  <si>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</si>
  <si>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</si>
  <si>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</si>
  <si>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</si>
  <si>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</si>
  <si>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</si>
  <si>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</si>
  <si>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</si>
  <si>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</si>
  <si>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</si>
  <si>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</si>
  <si>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</si>
  <si>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</si>
  <si>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</si>
  <si>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</si>
  <si>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</si>
  <si>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</si>
  <si>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</si>
  <si>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</si>
  <si>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</si>
  <si>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</si>
  <si>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</si>
  <si>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</si>
  <si>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</si>
  <si>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</si>
  <si>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</si>
  <si>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</si>
  <si>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</si>
  <si>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</si>
  <si>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</si>
  <si>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</si>
  <si>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</si>
  <si>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</si>
  <si>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</si>
  <si>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</si>
  <si>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</si>
  <si>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</si>
  <si>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</si>
  <si>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</si>
  <si>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</si>
  <si>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</si>
  <si>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</si>
  <si>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</si>
  <si>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</si>
  <si>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</si>
  <si>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</si>
  <si>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</si>
  <si>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</si>
  <si>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</si>
  <si>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</si>
  <si>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</si>
  <si>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</si>
  <si>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</si>
  <si>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</si>
  <si>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</si>
  <si>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</si>
  <si>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</si>
  <si>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</si>
  <si>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</si>
  <si>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</si>
  <si>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</si>
  <si>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</si>
  <si>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</si>
  <si>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</si>
  <si>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</si>
  <si>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</si>
  <si>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</si>
  <si>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</si>
  <si>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</si>
  <si>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</si>
  <si>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</si>
  <si>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</si>
  <si>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</si>
  <si>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</si>
  <si>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</si>
  <si>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</si>
  <si>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</si>
  <si>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</si>
  <si>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</si>
  <si>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</si>
  <si>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</si>
  <si>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</si>
  <si>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</si>
  <si>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</si>
  <si>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</si>
  <si>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</si>
  <si>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</si>
  <si>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</si>
  <si>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</si>
  <si>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</si>
  <si>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</si>
  <si>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</si>
  <si>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</si>
  <si>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</si>
  <si>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</si>
  <si>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</si>
  <si>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</si>
  <si>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</si>
  <si>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</si>
  <si>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</si>
  <si>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</si>
  <si>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</si>
  <si>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</si>
  <si>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</si>
  <si>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</si>
  <si>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</si>
  <si>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</si>
  <si>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</si>
  <si>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</si>
  <si>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</si>
  <si>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</si>
  <si>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</si>
  <si>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</si>
  <si>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</si>
  <si>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</si>
  <si>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</si>
  <si>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</si>
  <si>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</si>
  <si>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</si>
  <si>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</si>
  <si>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</si>
  <si>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</si>
  <si>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</si>
  <si>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</si>
  <si>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</si>
  <si>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</si>
  <si>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</si>
  <si>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</si>
  <si>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</si>
  <si>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</si>
  <si>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</si>
  <si>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</si>
  <si>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</si>
  <si>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</si>
  <si>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</si>
  <si>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</si>
  <si>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</si>
  <si>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</si>
  <si>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</si>
  <si>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</si>
  <si>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</si>
  <si>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</si>
  <si>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</si>
  <si>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</si>
  <si>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</si>
  <si>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</si>
  <si>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</si>
  <si>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</si>
  <si>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</si>
  <si>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</si>
  <si>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</si>
  <si>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</si>
  <si>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</si>
  <si>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</si>
  <si>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</si>
  <si>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</si>
  <si>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</si>
  <si>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</si>
  <si>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</si>
  <si>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</si>
  <si>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</si>
  <si>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</si>
  <si>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</si>
  <si>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</si>
  <si>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</si>
  <si>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</si>
  <si>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</si>
  <si>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</si>
  <si>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</si>
  <si>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</si>
  <si>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</si>
  <si>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</si>
  <si>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</si>
  <si>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</si>
  <si>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</si>
  <si>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</si>
  <si>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</si>
  <si>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</si>
  <si>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</si>
  <si>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</si>
  <si>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</si>
  <si>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</si>
  <si>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</si>
  <si>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</si>
  <si>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</si>
  <si>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</si>
  <si>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</si>
  <si>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</si>
  <si>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</si>
  <si>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</si>
  <si>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</si>
  <si>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</si>
  <si>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</si>
  <si>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</si>
  <si>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</si>
  <si>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</si>
  <si>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</si>
  <si>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</si>
  <si>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</si>
  <si>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</si>
  <si>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</si>
  <si>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</si>
  <si>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</si>
  <si>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</si>
  <si>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</si>
  <si>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</si>
  <si>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</si>
  <si>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</si>
  <si>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</si>
  <si>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</si>
  <si>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</si>
  <si>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</si>
  <si>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</si>
  <si>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</si>
  <si>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</si>
  <si>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</si>
  <si>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</si>
  <si>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</si>
  <si>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</si>
  <si>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</si>
  <si>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</si>
  <si>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</si>
  <si>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</si>
  <si>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</si>
  <si>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</si>
  <si>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</si>
  <si>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</si>
  <si>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</si>
  <si>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</si>
  <si>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</si>
  <si>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</si>
  <si>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</si>
  <si>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</si>
  <si>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</si>
  <si>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</si>
  <si>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</si>
  <si>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</si>
  <si>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</si>
  <si>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</si>
  <si>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</si>
  <si>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</si>
  <si>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</si>
  <si>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</si>
  <si>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</si>
  <si>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</si>
  <si>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</si>
  <si>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</si>
  <si>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</si>
  <si>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</si>
  <si>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</si>
  <si>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</si>
  <si>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</si>
  <si>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</si>
  <si>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</si>
  <si>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</si>
  <si>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</si>
  <si>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</si>
  <si>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</si>
  <si>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</si>
  <si>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</si>
  <si>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</si>
  <si>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</si>
  <si>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</si>
  <si>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</si>
  <si>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</si>
  <si>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</si>
  <si>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</si>
  <si>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</si>
  <si>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</si>
  <si>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</si>
  <si>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</si>
  <si>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</si>
  <si>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</si>
  <si>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</si>
  <si>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</si>
  <si>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</si>
  <si>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</si>
  <si>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</si>
  <si>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</si>
  <si>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</si>
  <si>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</si>
  <si>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</si>
  <si>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</si>
  <si>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</si>
  <si>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</si>
  <si>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</si>
  <si>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</si>
  <si>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</si>
  <si>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</si>
  <si>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</si>
  <si>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</si>
  <si>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</si>
  <si>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</si>
  <si>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</si>
  <si>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</si>
  <si>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</si>
  <si>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</si>
  <si>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</si>
  <si>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</si>
  <si>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</si>
  <si>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</si>
  <si>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</si>
  <si>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</si>
  <si>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</si>
  <si>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</si>
  <si>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</si>
  <si>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</si>
  <si>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</si>
  <si>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</si>
  <si>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</si>
  <si>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</si>
  <si>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</si>
  <si>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</si>
  <si>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</si>
  <si>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</si>
  <si>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</si>
  <si>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</si>
  <si>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</si>
  <si>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</si>
  <si>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</si>
  <si>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</si>
  <si>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</si>
  <si>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</si>
  <si>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</si>
  <si>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</si>
  <si>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</si>
  <si>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</si>
  <si>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</si>
  <si>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</si>
  <si>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</si>
  <si>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</si>
  <si>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</si>
  <si>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</si>
  <si>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</si>
  <si>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</si>
  <si>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</si>
  <si>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</si>
  <si>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</si>
  <si>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</si>
  <si>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</si>
  <si>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</si>
  <si>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</si>
  <si>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</si>
  <si>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</si>
  <si>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</si>
  <si>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</si>
  <si>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</si>
  <si>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</si>
  <si>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</si>
  <si>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</si>
  <si>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</si>
  <si>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</si>
  <si>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</si>
  <si>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</si>
  <si>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</si>
  <si>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</si>
  <si>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</si>
  <si>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</si>
  <si>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</si>
  <si>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</si>
  <si>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</si>
  <si>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</si>
  <si>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</si>
  <si>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</si>
  <si>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</si>
  <si>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</si>
  <si>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</si>
  <si>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</si>
  <si>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</si>
  <si>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</si>
  <si>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</si>
  <si>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</si>
  <si>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</si>
  <si>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</si>
  <si>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</si>
  <si>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</si>
  <si>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</si>
  <si>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</si>
  <si>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</si>
  <si>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</si>
  <si>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</si>
  <si>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</si>
  <si>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</si>
  <si>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</si>
  <si>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</si>
  <si>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</si>
  <si>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</si>
  <si>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</si>
  <si>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</si>
  <si>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</si>
  <si>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</si>
  <si>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</si>
  <si>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</si>
  <si>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</si>
  <si>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</si>
  <si>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</si>
  <si>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</si>
  <si>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</si>
  <si>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</si>
  <si>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</si>
  <si>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</si>
  <si>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</si>
  <si>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</si>
  <si>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</si>
  <si>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</si>
  <si>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</si>
  <si>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</si>
  <si>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</si>
  <si>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</si>
  <si>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</si>
  <si>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</si>
  <si>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</si>
  <si>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</si>
  <si>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</si>
  <si>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</si>
  <si>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</si>
  <si>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</si>
  <si>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</si>
  <si>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</si>
  <si>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</si>
  <si>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</si>
  <si>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</si>
  <si>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</si>
  <si>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</si>
  <si>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</si>
  <si>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</si>
  <si>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</si>
  <si>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</si>
  <si>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</si>
  <si>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</si>
  <si>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</si>
  <si>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</si>
  <si>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</si>
  <si>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</si>
  <si>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</si>
  <si>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</si>
  <si>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</si>
  <si>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</si>
  <si>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</si>
  <si>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</si>
  <si>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</si>
  <si>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</si>
  <si>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</si>
  <si>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</si>
  <si>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</si>
  <si>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</si>
  <si>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</si>
  <si>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</si>
  <si>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</si>
  <si>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</si>
  <si>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</si>
  <si>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</si>
  <si>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</si>
  <si>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</si>
  <si>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</si>
  <si>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</si>
  <si>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</si>
  <si>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</si>
  <si>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</si>
  <si>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</si>
  <si>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</si>
  <si>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</si>
  <si>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</si>
  <si>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</si>
  <si>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</si>
  <si>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</si>
  <si>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</si>
  <si>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</si>
  <si>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</si>
  <si>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</si>
  <si>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</si>
  <si>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</si>
  <si>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</si>
  <si>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</si>
  <si>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</si>
  <si>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</si>
  <si>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</si>
  <si>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</si>
  <si>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</si>
  <si>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</si>
  <si>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</si>
  <si>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</si>
  <si>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</si>
  <si>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</si>
  <si>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</si>
  <si>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</si>
  <si>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</si>
  <si>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</si>
  <si>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</si>
  <si>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</si>
  <si>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</si>
  <si>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</si>
  <si>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</si>
  <si>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</si>
  <si>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</si>
  <si>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</si>
  <si>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</si>
  <si>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</si>
  <si>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</si>
  <si>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</si>
  <si>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</si>
  <si>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</si>
  <si>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</si>
  <si>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</si>
  <si>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</si>
  <si>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</si>
  <si>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</si>
  <si>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</si>
  <si>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</si>
  <si>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</si>
  <si>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</si>
  <si>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</si>
  <si>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</si>
  <si>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</si>
  <si>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</si>
  <si>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</si>
  <si>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</si>
  <si>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</si>
  <si>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</si>
  <si>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</si>
  <si>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</si>
  <si>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</si>
  <si>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</si>
  <si>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</si>
  <si>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</si>
  <si>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</si>
  <si>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</si>
  <si>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</si>
  <si>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</si>
  <si>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</si>
  <si>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</si>
  <si>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</si>
  <si>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</si>
  <si>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</si>
  <si>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</si>
  <si>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</si>
  <si>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</si>
  <si>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</si>
  <si>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</si>
  <si>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</si>
  <si>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</si>
  <si>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</si>
  <si>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</si>
  <si>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</si>
  <si>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</si>
  <si>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</si>
  <si>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</si>
  <si>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</si>
  <si>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</si>
  <si>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</si>
  <si>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</si>
  <si>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</si>
  <si>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</si>
  <si>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</si>
  <si>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</si>
  <si>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</si>
  <si>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</si>
  <si>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</si>
  <si>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</si>
  <si>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</si>
  <si>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</si>
  <si>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</si>
  <si>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</si>
  <si>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</si>
  <si>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</si>
  <si>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</si>
  <si>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</si>
  <si>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</si>
  <si>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</si>
  <si>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</si>
  <si>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</si>
  <si>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</si>
  <si>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</si>
  <si>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</si>
  <si>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</si>
  <si>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</si>
  <si>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</si>
  <si>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</si>
  <si>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</si>
  <si>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</si>
  <si>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</si>
  <si>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</si>
  <si>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</si>
  <si>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</si>
  <si>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</si>
  <si>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</si>
  <si>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</si>
  <si>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</si>
  <si>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</si>
  <si>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</si>
  <si>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</si>
  <si>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</si>
  <si>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</si>
  <si>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</si>
  <si>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</si>
  <si>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</si>
  <si>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</si>
  <si>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</si>
  <si>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</si>
  <si>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</si>
  <si>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</si>
  <si>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t xml:space="preserve"> Version: 2.5.5</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</si>
  <si>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</si>
  <si>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</si>
  <si>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</si>
  <si>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</si>
  <si>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</si>
  <si>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</si>
  <si>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</si>
  <si>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</si>
  <si>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OreSat - CS0</t>
  </si>
  <si>
    <t>Portland State University</t>
  </si>
  <si>
    <t>Cable/W. Guide Type (loss/m):</t>
  </si>
  <si>
    <t>Cable A Spec:</t>
  </si>
  <si>
    <t>Cable B Spec:</t>
  </si>
  <si>
    <t>Cable C Spec:</t>
  </si>
  <si>
    <t>Total Line Loss (Line A+B+C):</t>
  </si>
  <si>
    <t>Cable/Guide Type (loss/m):</t>
  </si>
  <si>
    <t>Switch</t>
  </si>
  <si>
    <t>FSJ4-50B</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</si>
  <si>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</si>
  <si>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</si>
  <si>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</si>
  <si>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</si>
  <si>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</si>
  <si>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</si>
  <si>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</si>
  <si>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</si>
  <si>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</si>
  <si>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</si>
  <si>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</si>
  <si>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</si>
  <si>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</si>
  <si>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</si>
  <si>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Noise Temperature Calculator (after first LNA - see block diagram for more details)</t>
  </si>
  <si>
    <t>Transmitter Power (PA out):</t>
  </si>
  <si>
    <t>MSK</t>
  </si>
  <si>
    <t>GMSK w/ BT=0.3</t>
  </si>
  <si>
    <t>Line D Length:</t>
  </si>
  <si>
    <t>Cable D Spec:</t>
  </si>
  <si>
    <t>Total Line Length (Line A+B+C+D):</t>
  </si>
  <si>
    <t>Total Line Loss (Line A+B+C+D):</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</si>
  <si>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</si>
  <si>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</si>
  <si>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</si>
  <si>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</si>
  <si>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</si>
  <si>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</si>
  <si>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</si>
  <si>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</si>
  <si>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</si>
  <si>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</si>
  <si>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</si>
  <si>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</si>
  <si>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</si>
  <si>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</si>
  <si>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</si>
  <si>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</si>
  <si>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</si>
  <si>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</si>
  <si>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</si>
  <si>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</si>
  <si>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</si>
  <si>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</si>
  <si>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</si>
  <si>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</si>
  <si>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</si>
  <si>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</si>
  <si>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</si>
  <si>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</si>
  <si>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r>
      <t>T</t>
    </r>
    <r>
      <rPr>
        <sz val="8"/>
        <rFont val="Arial"/>
        <family val="2"/>
      </rPr>
      <t>s</t>
    </r>
    <r>
      <rPr>
        <sz val="10"/>
        <rFont val="Arial"/>
        <family val="2"/>
      </rPr>
      <t xml:space="preserve"> =</t>
    </r>
  </si>
  <si>
    <t>PDX_CS0_v1</t>
  </si>
  <si>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</si>
  <si>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</si>
  <si>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</si>
  <si>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</si>
  <si>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</si>
  <si>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</si>
  <si>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</si>
  <si>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</si>
  <si>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</si>
  <si>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</si>
  <si>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</si>
  <si>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</si>
  <si>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</si>
  <si>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</si>
  <si>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</si>
  <si>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</si>
  <si>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</si>
  <si>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</si>
  <si>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 xml:space="preserve">    T</t>
    </r>
    <r>
      <rPr>
        <sz val="8"/>
        <rFont val="Arial"/>
        <family val="2"/>
      </rPr>
      <t>sys</t>
    </r>
    <r>
      <rPr>
        <sz val="10"/>
        <rFont val="Arial"/>
        <family val="2"/>
      </rPr>
      <t xml:space="preserve"> =</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</si>
  <si>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</si>
  <si>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</si>
  <si>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</si>
  <si>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</si>
  <si>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</si>
  <si>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</si>
  <si>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</si>
  <si>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</si>
  <si>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</si>
  <si>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</si>
  <si>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</si>
  <si>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</si>
  <si>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</si>
  <si>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</si>
  <si>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</si>
  <si>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</si>
  <si>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</si>
  <si>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</si>
  <si>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</si>
  <si>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VSWR 1.5 ??</t>
  </si>
  <si>
    <t>SMPM</t>
  </si>
  <si>
    <t>Connectors  X  0.15 dB/con. =</t>
  </si>
  <si>
    <t>Microstrip (FR408)</t>
  </si>
  <si>
    <t>???</t>
  </si>
  <si>
    <t>Connectors  X  0.15 dB/con.  =</t>
  </si>
  <si>
    <t>2x Qorvo QPC1022</t>
  </si>
  <si>
    <t>X .15 dB/Con.=</t>
  </si>
  <si>
    <t>Semi-rigid 0.047"</t>
  </si>
  <si>
    <t>Qorvo 885071-A</t>
  </si>
  <si>
    <t>X 0.15 dB/con.=</t>
  </si>
  <si>
    <t>OreSat Helix</t>
  </si>
  <si>
    <t>2x Switch (QPC1022)</t>
  </si>
  <si>
    <t>Not used</t>
  </si>
  <si>
    <t>BAW</t>
  </si>
  <si>
    <t>Long line + conn.</t>
  </si>
  <si>
    <t>Switch (QPC 1022)</t>
  </si>
  <si>
    <t>5W Max</t>
  </si>
  <si>
    <t>Atheros AR9271</t>
  </si>
  <si>
    <t>Canted Turnstile</t>
  </si>
  <si>
    <t>VSWR 1.2 ??</t>
  </si>
  <si>
    <t>DBPSK</t>
  </si>
  <si>
    <t>Link Losses:</t>
  </si>
  <si>
    <t>Elevation:</t>
  </si>
  <si>
    <t>S Band 802.11 Bulk Mission Data Uplink &amp; Downlink using UniClOGS</t>
  </si>
  <si>
    <t>2019 September 13</t>
  </si>
  <si>
    <t>Qorvo TQP3M9037 ??</t>
  </si>
  <si>
    <t>LNA</t>
  </si>
  <si>
    <t>MISSION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</si>
</sst>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s>
  <fonts count="89">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5" fillId="0" borderId="0" applyFont="0" applyFill="0" applyBorder="0" applyAlignment="0" applyProtection="0"/>
    <xf numFmtId="43" fontId="85" fillId="0" borderId="0" applyFont="0" applyFill="0" applyBorder="0" applyAlignment="0" applyProtection="0"/>
    <xf numFmtId="0" fontId="1" fillId="0" borderId="0"/>
  </cellStyleXfs>
  <cellXfs count="1075">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34" fillId="4" borderId="26" xfId="8" applyFont="1" applyFill="1" applyBorder="1"/>
    <xf numFmtId="0" fontId="1" fillId="4" borderId="26" xfId="8" applyFill="1" applyBorder="1"/>
    <xf numFmtId="0" fontId="1" fillId="4" borderId="0" xfId="8"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7"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7"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1" fillId="23" borderId="17" xfId="0" applyFont="1" applyFill="1" applyBorder="1" applyAlignment="1"/>
    <xf numFmtId="0" fontId="1" fillId="23" borderId="50" xfId="0" applyFont="1" applyFill="1" applyBorder="1" applyAlignment="1"/>
    <xf numFmtId="0" fontId="1" fillId="11" borderId="26" xfId="0" applyFont="1" applyFill="1" applyBorder="1"/>
    <xf numFmtId="0" fontId="9" fillId="5" borderId="26" xfId="0" applyFont="1" applyFill="1" applyBorder="1" applyAlignment="1">
      <alignment horizontal="center"/>
    </xf>
    <xf numFmtId="0" fontId="1" fillId="4" borderId="14" xfId="8" applyFont="1" applyFill="1" applyBorder="1" applyAlignment="1">
      <alignment horizontal="center"/>
    </xf>
    <xf numFmtId="173" fontId="87" fillId="4" borderId="19" xfId="8" applyNumberFormat="1" applyFont="1" applyFill="1" applyBorder="1" applyAlignment="1">
      <alignment horizontal="center"/>
    </xf>
    <xf numFmtId="173" fontId="17" fillId="4" borderId="19" xfId="8" applyNumberFormat="1" applyFont="1" applyFill="1" applyBorder="1" applyAlignment="1">
      <alignment horizontal="center"/>
    </xf>
    <xf numFmtId="0" fontId="1" fillId="4" borderId="10" xfId="8" applyFill="1" applyBorder="1" applyAlignment="1">
      <alignment horizontal="center"/>
    </xf>
    <xf numFmtId="197" fontId="87" fillId="4" borderId="12" xfId="8" applyNumberFormat="1" applyFont="1" applyFill="1" applyBorder="1" applyAlignment="1">
      <alignment horizontal="center"/>
    </xf>
    <xf numFmtId="0" fontId="6" fillId="4" borderId="0" xfId="8" applyFont="1" applyFill="1" applyBorder="1" applyAlignment="1">
      <alignment horizontal="right"/>
    </xf>
    <xf numFmtId="0" fontId="60" fillId="4" borderId="26" xfId="8" applyFont="1"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1" fillId="4" borderId="19" xfId="8" applyFill="1" applyBorder="1" applyAlignment="1">
      <alignment horizontal="center"/>
    </xf>
    <xf numFmtId="0" fontId="1" fillId="4" borderId="21" xfId="8" applyFill="1" applyBorder="1" applyAlignment="1">
      <alignment horizontal="center"/>
    </xf>
    <xf numFmtId="0" fontId="17" fillId="3" borderId="29" xfId="8"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15" xfId="8" applyFill="1" applyBorder="1" applyAlignment="1">
      <alignment horizontal="center"/>
    </xf>
    <xf numFmtId="0" fontId="1" fillId="3" borderId="0" xfId="8" applyFill="1" applyBorder="1" applyAlignment="1">
      <alignment horizontal="center"/>
    </xf>
    <xf numFmtId="0" fontId="1" fillId="3" borderId="0" xfId="8" applyFill="1" applyBorder="1" applyAlignment="1"/>
    <xf numFmtId="0" fontId="1" fillId="3" borderId="23" xfId="8" applyFont="1" applyFill="1" applyBorder="1" applyAlignment="1">
      <alignment horizontal="center"/>
    </xf>
    <xf numFmtId="0" fontId="1" fillId="3" borderId="18" xfId="8" applyFont="1" applyFill="1" applyBorder="1" applyAlignment="1">
      <alignment horizontal="center"/>
    </xf>
    <xf numFmtId="0" fontId="0" fillId="15" borderId="16" xfId="0" applyFill="1" applyBorder="1"/>
    <xf numFmtId="0" fontId="78" fillId="11" borderId="15" xfId="0" applyFont="1" applyFill="1" applyBorder="1" applyAlignment="1">
      <alignment horizontal="right"/>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08585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7251700" y="65278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5572125" y="123063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21</xdr:row>
      <xdr:rowOff>79375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92556</xdr:colOff>
      <xdr:row>7</xdr:row>
      <xdr:rowOff>115934</xdr:rowOff>
    </xdr:from>
    <xdr:to>
      <xdr:col>8</xdr:col>
      <xdr:colOff>653088</xdr:colOff>
      <xdr:row>10</xdr:row>
      <xdr:rowOff>59843</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159692" y="1391707"/>
          <a:ext cx="560532" cy="434591"/>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371957</xdr:colOff>
      <xdr:row>7</xdr:row>
      <xdr:rowOff>122284</xdr:rowOff>
    </xdr:from>
    <xdr:to>
      <xdr:col>8</xdr:col>
      <xdr:colOff>371957</xdr:colOff>
      <xdr:row>11</xdr:row>
      <xdr:rowOff>104293</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6439093" y="1398057"/>
          <a:ext cx="0" cy="63432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200507</xdr:colOff>
      <xdr:row>11</xdr:row>
      <xdr:rowOff>104294</xdr:rowOff>
    </xdr:from>
    <xdr:to>
      <xdr:col>8</xdr:col>
      <xdr:colOff>369071</xdr:colOff>
      <xdr:row>11</xdr:row>
      <xdr:rowOff>104294</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3693007" y="2032385"/>
          <a:ext cx="2743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1237287</xdr:colOff>
      <xdr:row>9</xdr:row>
      <xdr:rowOff>94776</xdr:rowOff>
    </xdr:from>
    <xdr:to>
      <xdr:col>4</xdr:col>
      <xdr:colOff>198581</xdr:colOff>
      <xdr:row>13</xdr:row>
      <xdr:rowOff>114886</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3057379" y="1732547"/>
          <a:ext cx="666656" cy="600749"/>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6</xdr:col>
      <xdr:colOff>271705</xdr:colOff>
      <xdr:row>10</xdr:row>
      <xdr:rowOff>46570</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5091932" y="1813025"/>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8</xdr:col>
      <xdr:colOff>523299</xdr:colOff>
      <xdr:row>10</xdr:row>
      <xdr:rowOff>3751</xdr:rowOff>
    </xdr:from>
    <xdr:to>
      <xdr:col>8</xdr:col>
      <xdr:colOff>523299</xdr:colOff>
      <xdr:row>11</xdr:row>
      <xdr:rowOff>99001</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6590435" y="1770206"/>
          <a:ext cx="0" cy="256886"/>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8</xdr:col>
      <xdr:colOff>542349</xdr:colOff>
      <xdr:row>10</xdr:row>
      <xdr:rowOff>12219</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6609485" y="1778674"/>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4</xdr:col>
      <xdr:colOff>391103</xdr:colOff>
      <xdr:row>10</xdr:row>
      <xdr:rowOff>48107</xdr:rowOff>
    </xdr:from>
    <xdr:to>
      <xdr:col>5</xdr:col>
      <xdr:colOff>451813</xdr:colOff>
      <xdr:row>12</xdr:row>
      <xdr:rowOff>158174</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3883603" y="1814562"/>
          <a:ext cx="730346" cy="43333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1367462</xdr:colOff>
      <xdr:row>54</xdr:row>
      <xdr:rowOff>46661</xdr:rowOff>
    </xdr:from>
    <xdr:to>
      <xdr:col>4</xdr:col>
      <xdr:colOff>455948</xdr:colOff>
      <xdr:row>56</xdr:row>
      <xdr:rowOff>159614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3220507" y="8971297"/>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542349</xdr:colOff>
      <xdr:row>54</xdr:row>
      <xdr:rowOff>45604</xdr:rowOff>
    </xdr:from>
    <xdr:to>
      <xdr:col>8</xdr:col>
      <xdr:colOff>90440</xdr:colOff>
      <xdr:row>56</xdr:row>
      <xdr:rowOff>158557</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362576" y="8970240"/>
          <a:ext cx="795000" cy="436226"/>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twoCellAnchor>
    <xdr:from>
      <xdr:col>5</xdr:col>
      <xdr:colOff>151725</xdr:colOff>
      <xdr:row>54</xdr:row>
      <xdr:rowOff>37425</xdr:rowOff>
    </xdr:from>
    <xdr:to>
      <xdr:col>6</xdr:col>
      <xdr:colOff>221575</xdr:colOff>
      <xdr:row>56</xdr:row>
      <xdr:rowOff>150378</xdr:rowOff>
    </xdr:to>
    <xdr:sp macro="" textlink="">
      <xdr:nvSpPr>
        <xdr:cNvPr id="40" name="Rectangle 1">
          <a:extLst>
            <a:ext uri="{FF2B5EF4-FFF2-40B4-BE49-F238E27FC236}">
              <a16:creationId xmlns:a16="http://schemas.microsoft.com/office/drawing/2014/main" id="{18D25304-12DA-44DB-8C8A-42957F9EDB17}"/>
            </a:ext>
          </a:extLst>
        </xdr:cNvPr>
        <xdr:cNvSpPr>
          <a:spLocks noChangeArrowheads="1"/>
        </xdr:cNvSpPr>
      </xdr:nvSpPr>
      <xdr:spPr bwMode="auto">
        <a:xfrm>
          <a:off x="4313861" y="8962061"/>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Antenna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506555</xdr:colOff>
      <xdr:row>14</xdr:row>
      <xdr:rowOff>98136</xdr:rowOff>
    </xdr:from>
    <xdr:to>
      <xdr:col>13</xdr:col>
      <xdr:colOff>581832</xdr:colOff>
      <xdr:row>14</xdr:row>
      <xdr:rowOff>98136</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41919" y="2476500"/>
          <a:ext cx="740664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8</xdr:col>
      <xdr:colOff>249473</xdr:colOff>
      <xdr:row>12</xdr:row>
      <xdr:rowOff>20112</xdr:rowOff>
    </xdr:from>
    <xdr:to>
      <xdr:col>9</xdr:col>
      <xdr:colOff>10289</xdr:colOff>
      <xdr:row>17</xdr:row>
      <xdr:rowOff>17994</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5224169" y="2062166"/>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7</xdr:col>
      <xdr:colOff>251595</xdr:colOff>
      <xdr:row>12</xdr:row>
      <xdr:rowOff>156630</xdr:rowOff>
    </xdr:from>
    <xdr:to>
      <xdr:col>8</xdr:col>
      <xdr:colOff>62150</xdr:colOff>
      <xdr:row>16</xdr:row>
      <xdr:rowOff>32807</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4548428" y="217804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9</xdr:col>
      <xdr:colOff>9234</xdr:colOff>
      <xdr:row>8</xdr:row>
      <xdr:rowOff>40217</xdr:rowOff>
    </xdr:from>
    <xdr:to>
      <xdr:col>9</xdr:col>
      <xdr:colOff>9234</xdr:colOff>
      <xdr:row>17</xdr:row>
      <xdr:rowOff>74507</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994109" y="142663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976552</xdr:colOff>
      <xdr:row>8</xdr:row>
      <xdr:rowOff>11643</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971885" y="139806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9</xdr:col>
      <xdr:colOff>587083</xdr:colOff>
      <xdr:row>8</xdr:row>
      <xdr:rowOff>139701</xdr:rowOff>
    </xdr:from>
    <xdr:to>
      <xdr:col>10</xdr:col>
      <xdr:colOff>436165</xdr:colOff>
      <xdr:row>8</xdr:row>
      <xdr:rowOff>139701</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6571958" y="1526118"/>
          <a:ext cx="547582"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12</xdr:col>
      <xdr:colOff>428338</xdr:colOff>
      <xdr:row>12</xdr:row>
      <xdr:rowOff>107849</xdr:rowOff>
    </xdr:from>
    <xdr:to>
      <xdr:col>14</xdr:col>
      <xdr:colOff>244183</xdr:colOff>
      <xdr:row>16</xdr:row>
      <xdr:rowOff>80337</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8377383" y="2162940"/>
          <a:ext cx="1051209" cy="619033"/>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49453</xdr:colOff>
      <xdr:row>12</xdr:row>
      <xdr:rowOff>152395</xdr:rowOff>
    </xdr:from>
    <xdr:to>
      <xdr:col>7</xdr:col>
      <xdr:colOff>44451</xdr:colOff>
      <xdr:row>16</xdr:row>
      <xdr:rowOff>28572</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3732453" y="2173812"/>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9</xdr:col>
      <xdr:colOff>335202</xdr:colOff>
      <xdr:row>13</xdr:row>
      <xdr:rowOff>4230</xdr:rowOff>
    </xdr:from>
    <xdr:to>
      <xdr:col>10</xdr:col>
      <xdr:colOff>144699</xdr:colOff>
      <xdr:row>16</xdr:row>
      <xdr:rowOff>39157</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6320077" y="2184397"/>
          <a:ext cx="50799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120" name="Text Box 60">
          <a:extLst>
            <a:ext uri="{FF2B5EF4-FFF2-40B4-BE49-F238E27FC236}">
              <a16:creationId xmlns:a16="http://schemas.microsoft.com/office/drawing/2014/main" id="{6CFCA96A-A3D3-42A0-A20A-910F2B870992}"/>
            </a:ext>
          </a:extLst>
        </xdr:cNvPr>
        <xdr:cNvSpPr txBox="1">
          <a:spLocks noChangeArrowheads="1"/>
        </xdr:cNvSpPr>
      </xdr:nvSpPr>
      <xdr:spPr bwMode="auto">
        <a:xfrm>
          <a:off x="4032250" y="1423670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7839" y="13398981"/>
          <a:ext cx="560532" cy="746240"/>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385234</xdr:colOff>
      <xdr:row>85</xdr:row>
      <xdr:rowOff>149224</xdr:rowOff>
    </xdr:from>
    <xdr:to>
      <xdr:col>13</xdr:col>
      <xdr:colOff>551951</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20598" y="14136542"/>
          <a:ext cx="74980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oneCellAnchor>
    <xdr:from>
      <xdr:col>2</xdr:col>
      <xdr:colOff>533403</xdr:colOff>
      <xdr:row>84</xdr:row>
      <xdr:rowOff>80434</xdr:rowOff>
    </xdr:from>
    <xdr:ext cx="576568" cy="239809"/>
    <xdr:sp macro="" textlink="">
      <xdr:nvSpPr>
        <xdr:cNvPr id="131" name="TextBox 130">
          <a:extLst>
            <a:ext uri="{FF2B5EF4-FFF2-40B4-BE49-F238E27FC236}">
              <a16:creationId xmlns:a16="http://schemas.microsoft.com/office/drawing/2014/main" id="{C8B78F66-4639-4DE5-9914-C83E23501508}"/>
            </a:ext>
          </a:extLst>
        </xdr:cNvPr>
        <xdr:cNvSpPr txBox="1"/>
      </xdr:nvSpPr>
      <xdr:spPr>
        <a:xfrm>
          <a:off x="1761070" y="136694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393797</xdr:colOff>
      <xdr:row>84</xdr:row>
      <xdr:rowOff>50706</xdr:rowOff>
    </xdr:from>
    <xdr:to>
      <xdr:col>10</xdr:col>
      <xdr:colOff>337702</xdr:colOff>
      <xdr:row>87</xdr:row>
      <xdr:rowOff>85633</xdr:rowOff>
    </xdr:to>
    <xdr:sp macro="" textlink="">
      <xdr:nvSpPr>
        <xdr:cNvPr id="133" name="Rectangle 1">
          <a:extLst>
            <a:ext uri="{FF2B5EF4-FFF2-40B4-BE49-F238E27FC236}">
              <a16:creationId xmlns:a16="http://schemas.microsoft.com/office/drawing/2014/main" id="{84868C35-8F58-44C3-AA76-ABC3EF7052DD}"/>
            </a:ext>
          </a:extLst>
        </xdr:cNvPr>
        <xdr:cNvSpPr>
          <a:spLocks noChangeArrowheads="1"/>
        </xdr:cNvSpPr>
      </xdr:nvSpPr>
      <xdr:spPr bwMode="auto">
        <a:xfrm>
          <a:off x="6408979" y="13876388"/>
          <a:ext cx="642405"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13</xdr:col>
      <xdr:colOff>260833</xdr:colOff>
      <xdr:row>84</xdr:row>
      <xdr:rowOff>47624</xdr:rowOff>
    </xdr:from>
    <xdr:to>
      <xdr:col>14</xdr:col>
      <xdr:colOff>392063</xdr:colOff>
      <xdr:row>87</xdr:row>
      <xdr:rowOff>82551</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8827560" y="13873306"/>
          <a:ext cx="748912"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7</xdr:col>
      <xdr:colOff>273052</xdr:colOff>
      <xdr:row>79</xdr:row>
      <xdr:rowOff>113047</xdr:rowOff>
    </xdr:from>
    <xdr:to>
      <xdr:col>8</xdr:col>
      <xdr:colOff>727114</xdr:colOff>
      <xdr:row>89</xdr:row>
      <xdr:rowOff>13216</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4596825" y="13130547"/>
          <a:ext cx="1152562" cy="1516533"/>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grpSp>
    </xdr:grpSp>
    <xdr:clientData/>
  </xdr:twoCellAnchor>
  <xdr:twoCellAnchor>
    <xdr:from>
      <xdr:col>12</xdr:col>
      <xdr:colOff>308841</xdr:colOff>
      <xdr:row>83</xdr:row>
      <xdr:rowOff>103424</xdr:rowOff>
    </xdr:from>
    <xdr:to>
      <xdr:col>12</xdr:col>
      <xdr:colOff>593149</xdr:colOff>
      <xdr:row>88</xdr:row>
      <xdr:rowOff>37171</xdr:rowOff>
    </xdr:to>
    <xdr:grpSp>
      <xdr:nvGrpSpPr>
        <xdr:cNvPr id="140" name="Group 139">
          <a:extLst>
            <a:ext uri="{FF2B5EF4-FFF2-40B4-BE49-F238E27FC236}">
              <a16:creationId xmlns:a16="http://schemas.microsoft.com/office/drawing/2014/main" id="{45636D73-5F10-45C9-A26C-0F9A0E7C926E}"/>
            </a:ext>
          </a:extLst>
        </xdr:cNvPr>
        <xdr:cNvGrpSpPr/>
      </xdr:nvGrpSpPr>
      <xdr:grpSpPr>
        <a:xfrm>
          <a:off x="8257886" y="13767469"/>
          <a:ext cx="284308" cy="741929"/>
          <a:chOff x="3803650" y="1643592"/>
          <a:chExt cx="280459" cy="727497"/>
        </a:xfrm>
      </xdr:grpSpPr>
      <xdr:sp macro="" textlink="">
        <xdr:nvSpPr>
          <xdr:cNvPr id="141" name="Rectangle 1">
            <a:extLst>
              <a:ext uri="{FF2B5EF4-FFF2-40B4-BE49-F238E27FC236}">
                <a16:creationId xmlns:a16="http://schemas.microsoft.com/office/drawing/2014/main" id="{17884689-1507-44E5-A191-77CF62FCED86}"/>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42" name="Line 7">
            <a:extLst>
              <a:ext uri="{FF2B5EF4-FFF2-40B4-BE49-F238E27FC236}">
                <a16:creationId xmlns:a16="http://schemas.microsoft.com/office/drawing/2014/main" id="{16D7C108-3507-4855-9FFA-E85DE8E5A6E5}"/>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143" name="Line 8">
            <a:extLst>
              <a:ext uri="{FF2B5EF4-FFF2-40B4-BE49-F238E27FC236}">
                <a16:creationId xmlns:a16="http://schemas.microsoft.com/office/drawing/2014/main" id="{40CDAB43-583B-4F89-8FD6-6C6F194EE811}"/>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4" name="Line 8">
            <a:extLst>
              <a:ext uri="{FF2B5EF4-FFF2-40B4-BE49-F238E27FC236}">
                <a16:creationId xmlns:a16="http://schemas.microsoft.com/office/drawing/2014/main" id="{ECAB97E5-0D0F-41AF-8FA1-08D9358CB8C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5" name="Line 8">
            <a:extLst>
              <a:ext uri="{FF2B5EF4-FFF2-40B4-BE49-F238E27FC236}">
                <a16:creationId xmlns:a16="http://schemas.microsoft.com/office/drawing/2014/main" id="{8323A808-8114-4BCE-9FE1-92B8365478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6" name="Line 8">
            <a:extLst>
              <a:ext uri="{FF2B5EF4-FFF2-40B4-BE49-F238E27FC236}">
                <a16:creationId xmlns:a16="http://schemas.microsoft.com/office/drawing/2014/main" id="{B47897CE-6F72-4B2E-AF87-3DECA598677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4</xdr:col>
      <xdr:colOff>471727</xdr:colOff>
      <xdr:row>12</xdr:row>
      <xdr:rowOff>156628</xdr:rowOff>
    </xdr:from>
    <xdr:to>
      <xdr:col>5</xdr:col>
      <xdr:colOff>466724</xdr:colOff>
      <xdr:row>16</xdr:row>
      <xdr:rowOff>32805</xdr:rowOff>
    </xdr:to>
    <xdr:sp macro="" textlink="">
      <xdr:nvSpPr>
        <xdr:cNvPr id="57" name="Rectangle 1">
          <a:extLst>
            <a:ext uri="{FF2B5EF4-FFF2-40B4-BE49-F238E27FC236}">
              <a16:creationId xmlns:a16="http://schemas.microsoft.com/office/drawing/2014/main" id="{8A112FDE-CE32-4FC6-8F67-D9DD6B228668}"/>
            </a:ext>
          </a:extLst>
        </xdr:cNvPr>
        <xdr:cNvSpPr>
          <a:spLocks noChangeArrowheads="1"/>
        </xdr:cNvSpPr>
      </xdr:nvSpPr>
      <xdr:spPr bwMode="auto">
        <a:xfrm>
          <a:off x="2927060" y="2178045"/>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Antenna</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6</xdr:col>
      <xdr:colOff>148065</xdr:colOff>
      <xdr:row>83</xdr:row>
      <xdr:rowOff>75048</xdr:rowOff>
    </xdr:from>
    <xdr:to>
      <xdr:col>7</xdr:col>
      <xdr:colOff>284108</xdr:colOff>
      <xdr:row>88</xdr:row>
      <xdr:rowOff>72930</xdr:rowOff>
    </xdr:to>
    <xdr:sp macro="" textlink="">
      <xdr:nvSpPr>
        <xdr:cNvPr id="58" name="AutoShape 6">
          <a:extLst>
            <a:ext uri="{FF2B5EF4-FFF2-40B4-BE49-F238E27FC236}">
              <a16:creationId xmlns:a16="http://schemas.microsoft.com/office/drawing/2014/main" id="{B5F8006C-63AB-4AFD-837F-136FACFE787E}"/>
            </a:ext>
          </a:extLst>
        </xdr:cNvPr>
        <xdr:cNvSpPr>
          <a:spLocks noChangeArrowheads="1"/>
        </xdr:cNvSpPr>
      </xdr:nvSpPr>
      <xdr:spPr bwMode="auto">
        <a:xfrm rot="5400000">
          <a:off x="3827987" y="13765262"/>
          <a:ext cx="806064" cy="753725"/>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5</xdr:col>
      <xdr:colOff>69369</xdr:colOff>
      <xdr:row>84</xdr:row>
      <xdr:rowOff>49929</xdr:rowOff>
    </xdr:from>
    <xdr:to>
      <xdr:col>5</xdr:col>
      <xdr:colOff>578424</xdr:colOff>
      <xdr:row>87</xdr:row>
      <xdr:rowOff>87742</xdr:rowOff>
    </xdr:to>
    <xdr:sp macro="" textlink="">
      <xdr:nvSpPr>
        <xdr:cNvPr id="59" name="Rectangle 1">
          <a:extLst>
            <a:ext uri="{FF2B5EF4-FFF2-40B4-BE49-F238E27FC236}">
              <a16:creationId xmlns:a16="http://schemas.microsoft.com/office/drawing/2014/main" id="{4669A793-FFEF-4C9E-B56F-D80844207260}"/>
            </a:ext>
          </a:extLst>
        </xdr:cNvPr>
        <xdr:cNvSpPr>
          <a:spLocks noChangeArrowheads="1"/>
        </xdr:cNvSpPr>
      </xdr:nvSpPr>
      <xdr:spPr bwMode="auto">
        <a:xfrm>
          <a:off x="3157778" y="13875611"/>
          <a:ext cx="509055" cy="522722"/>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3</xdr:col>
      <xdr:colOff>484909</xdr:colOff>
      <xdr:row>84</xdr:row>
      <xdr:rowOff>45694</xdr:rowOff>
    </xdr:from>
    <xdr:to>
      <xdr:col>4</xdr:col>
      <xdr:colOff>479907</xdr:colOff>
      <xdr:row>87</xdr:row>
      <xdr:rowOff>83507</xdr:rowOff>
    </xdr:to>
    <xdr:sp macro="" textlink="">
      <xdr:nvSpPr>
        <xdr:cNvPr id="60" name="Rectangle 1">
          <a:extLst>
            <a:ext uri="{FF2B5EF4-FFF2-40B4-BE49-F238E27FC236}">
              <a16:creationId xmlns:a16="http://schemas.microsoft.com/office/drawing/2014/main" id="{6A483871-7420-47D0-B065-29045F64DF0D}"/>
            </a:ext>
          </a:extLst>
        </xdr:cNvPr>
        <xdr:cNvSpPr>
          <a:spLocks noChangeArrowheads="1"/>
        </xdr:cNvSpPr>
      </xdr:nvSpPr>
      <xdr:spPr bwMode="auto">
        <a:xfrm>
          <a:off x="2337954" y="13871376"/>
          <a:ext cx="612680" cy="522722"/>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7</xdr:col>
      <xdr:colOff>430064</xdr:colOff>
      <xdr:row>84</xdr:row>
      <xdr:rowOff>53392</xdr:rowOff>
    </xdr:from>
    <xdr:to>
      <xdr:col>8</xdr:col>
      <xdr:colOff>239561</xdr:colOff>
      <xdr:row>87</xdr:row>
      <xdr:rowOff>88319</xdr:rowOff>
    </xdr:to>
    <xdr:sp macro="" textlink="">
      <xdr:nvSpPr>
        <xdr:cNvPr id="61" name="Rectangle 1">
          <a:extLst>
            <a:ext uri="{FF2B5EF4-FFF2-40B4-BE49-F238E27FC236}">
              <a16:creationId xmlns:a16="http://schemas.microsoft.com/office/drawing/2014/main" id="{B9E35FD8-873F-4ACC-AE8B-0BD7F963DDC8}"/>
            </a:ext>
          </a:extLst>
        </xdr:cNvPr>
        <xdr:cNvSpPr>
          <a:spLocks noChangeArrowheads="1"/>
        </xdr:cNvSpPr>
      </xdr:nvSpPr>
      <xdr:spPr bwMode="auto">
        <a:xfrm>
          <a:off x="4753837" y="13879074"/>
          <a:ext cx="507997"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oneCellAnchor>
    <xdr:from>
      <xdr:col>10</xdr:col>
      <xdr:colOff>589207</xdr:colOff>
      <xdr:row>84</xdr:row>
      <xdr:rowOff>91981</xdr:rowOff>
    </xdr:from>
    <xdr:ext cx="797398" cy="239809"/>
    <xdr:sp macro="" textlink="">
      <xdr:nvSpPr>
        <xdr:cNvPr id="62" name="TextBox 61">
          <a:extLst>
            <a:ext uri="{FF2B5EF4-FFF2-40B4-BE49-F238E27FC236}">
              <a16:creationId xmlns:a16="http://schemas.microsoft.com/office/drawing/2014/main" id="{D98C3265-4B14-4DA1-ABE5-340D756E8E27}"/>
            </a:ext>
          </a:extLst>
        </xdr:cNvPr>
        <xdr:cNvSpPr txBox="1"/>
      </xdr:nvSpPr>
      <xdr:spPr>
        <a:xfrm>
          <a:off x="7302889" y="13917663"/>
          <a:ext cx="79739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Long Line</a:t>
          </a:r>
        </a:p>
      </xdr:txBody>
    </xdr:sp>
    <xdr:clientData/>
  </xdr:oneCellAnchor>
  <xdr:twoCellAnchor>
    <xdr:from>
      <xdr:col>10</xdr:col>
      <xdr:colOff>516942</xdr:colOff>
      <xdr:row>12</xdr:row>
      <xdr:rowOff>15302</xdr:rowOff>
    </xdr:from>
    <xdr:to>
      <xdr:col>12</xdr:col>
      <xdr:colOff>35304</xdr:colOff>
      <xdr:row>17</xdr:row>
      <xdr:rowOff>13184</xdr:rowOff>
    </xdr:to>
    <xdr:sp macro="" textlink="">
      <xdr:nvSpPr>
        <xdr:cNvPr id="70" name="AutoShape 6">
          <a:extLst>
            <a:ext uri="{FF2B5EF4-FFF2-40B4-BE49-F238E27FC236}">
              <a16:creationId xmlns:a16="http://schemas.microsoft.com/office/drawing/2014/main" id="{5CB79493-B077-48B2-B439-F8425257BBE8}"/>
            </a:ext>
          </a:extLst>
        </xdr:cNvPr>
        <xdr:cNvSpPr>
          <a:spLocks noChangeArrowheads="1"/>
        </xdr:cNvSpPr>
      </xdr:nvSpPr>
      <xdr:spPr bwMode="auto">
        <a:xfrm rot="5400000">
          <a:off x="7204455" y="2096562"/>
          <a:ext cx="806064" cy="753725"/>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8</xdr:col>
      <xdr:colOff>456328</xdr:colOff>
      <xdr:row>83</xdr:row>
      <xdr:rowOff>71584</xdr:rowOff>
    </xdr:from>
    <xdr:to>
      <xdr:col>9</xdr:col>
      <xdr:colOff>217144</xdr:colOff>
      <xdr:row>88</xdr:row>
      <xdr:rowOff>69466</xdr:rowOff>
    </xdr:to>
    <xdr:sp macro="" textlink="">
      <xdr:nvSpPr>
        <xdr:cNvPr id="79" name="AutoShape 6">
          <a:extLst>
            <a:ext uri="{FF2B5EF4-FFF2-40B4-BE49-F238E27FC236}">
              <a16:creationId xmlns:a16="http://schemas.microsoft.com/office/drawing/2014/main" id="{2203005B-07EE-4344-B4C2-23516E50E1FB}"/>
            </a:ext>
          </a:extLst>
        </xdr:cNvPr>
        <xdr:cNvSpPr>
          <a:spLocks noChangeArrowheads="1"/>
        </xdr:cNvSpPr>
      </xdr:nvSpPr>
      <xdr:spPr bwMode="auto">
        <a:xfrm rot="5400000">
          <a:off x="5452432" y="13761798"/>
          <a:ext cx="806064" cy="753725"/>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8" sqref="F28"/>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2" t="s">
        <v>714</v>
      </c>
      <c r="B1" s="883"/>
      <c r="C1" s="882"/>
      <c r="D1" s="884"/>
      <c r="E1" s="883"/>
      <c r="F1" s="885" t="s">
        <v>582</v>
      </c>
      <c r="G1" s="1056" t="s">
        <v>932</v>
      </c>
      <c r="H1" s="1057"/>
      <c r="I1" s="1053" t="s">
        <v>952</v>
      </c>
      <c r="J1" s="1054"/>
      <c r="K1" s="1054"/>
      <c r="L1" s="1054"/>
      <c r="M1" s="1055"/>
      <c r="N1" s="556"/>
      <c r="O1" s="127"/>
      <c r="P1" s="127"/>
    </row>
    <row r="2" spans="1:16" ht="25">
      <c r="A2" s="52"/>
      <c r="B2" s="57" t="s">
        <v>476</v>
      </c>
      <c r="C2" s="53"/>
      <c r="D2" s="53"/>
      <c r="E2" s="53"/>
      <c r="F2" s="56" t="s">
        <v>942</v>
      </c>
      <c r="G2" s="54"/>
      <c r="H2" s="55"/>
      <c r="I2" s="55"/>
      <c r="J2" s="55"/>
      <c r="K2" s="55"/>
      <c r="L2" s="55"/>
      <c r="M2" s="55"/>
      <c r="N2" s="44"/>
      <c r="O2" s="44"/>
      <c r="P2" s="44"/>
    </row>
    <row r="3" spans="1:16" ht="25">
      <c r="A3" s="52"/>
      <c r="B3" s="57" t="s">
        <v>832</v>
      </c>
      <c r="C3" s="53"/>
      <c r="D3" s="53"/>
      <c r="E3" s="53"/>
      <c r="F3" s="56" t="s">
        <v>941</v>
      </c>
      <c r="G3" s="54"/>
      <c r="H3" s="55"/>
      <c r="I3" s="55"/>
      <c r="J3" s="55"/>
      <c r="K3" s="55"/>
      <c r="L3" s="55"/>
      <c r="M3" s="55"/>
      <c r="N3" s="44"/>
      <c r="O3" s="44"/>
      <c r="P3" s="44"/>
    </row>
    <row r="4" spans="1:16" ht="13">
      <c r="A4" s="1" t="s">
        <v>935</v>
      </c>
      <c r="B4" s="2"/>
      <c r="C4" s="2"/>
      <c r="D4" s="2"/>
      <c r="E4" s="2"/>
      <c r="F4" s="2"/>
      <c r="G4" s="2"/>
      <c r="H4" s="2"/>
      <c r="I4" s="2"/>
      <c r="J4" s="2"/>
      <c r="K4" s="2"/>
      <c r="L4" s="2"/>
      <c r="M4" s="2"/>
      <c r="N4" s="2"/>
      <c r="O4" s="2"/>
      <c r="P4" s="2"/>
    </row>
    <row r="5" spans="1:16" ht="13">
      <c r="A5" s="3"/>
      <c r="B5" s="3"/>
      <c r="C5" s="3"/>
      <c r="D5" s="3"/>
      <c r="E5" s="3"/>
      <c r="F5" s="3"/>
      <c r="G5" s="557" t="s">
        <v>583</v>
      </c>
      <c r="H5" s="557"/>
      <c r="I5" s="4" t="s">
        <v>714</v>
      </c>
      <c r="J5" s="3"/>
      <c r="K5" s="3"/>
      <c r="L5" s="3"/>
      <c r="M5" s="3"/>
      <c r="N5" s="3"/>
      <c r="O5" s="3"/>
      <c r="P5" s="3"/>
    </row>
    <row r="6" spans="1:16" ht="13" thickBot="1">
      <c r="A6" s="3"/>
      <c r="B6" s="551" t="s">
        <v>576</v>
      </c>
      <c r="C6" s="3"/>
      <c r="D6" s="3"/>
      <c r="E6" s="3"/>
      <c r="F6" s="3" t="s">
        <v>709</v>
      </c>
      <c r="G6" s="3"/>
      <c r="H6" s="3"/>
      <c r="I6" s="3"/>
      <c r="J6" s="3"/>
      <c r="K6" s="345" t="s">
        <v>590</v>
      </c>
      <c r="L6" s="3"/>
      <c r="M6" s="3"/>
      <c r="N6" s="3"/>
      <c r="O6" s="3"/>
      <c r="P6" s="3"/>
    </row>
    <row r="7" spans="1:16" ht="16" thickBot="1">
      <c r="A7" s="3"/>
      <c r="B7" s="3"/>
      <c r="C7" s="3"/>
      <c r="D7" s="4" t="s">
        <v>827</v>
      </c>
      <c r="E7" s="3"/>
      <c r="F7" s="896" t="s">
        <v>939</v>
      </c>
      <c r="G7" s="3"/>
      <c r="H7" s="3"/>
      <c r="I7" s="35"/>
      <c r="J7" s="3"/>
      <c r="K7" s="3" t="s">
        <v>584</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577</v>
      </c>
      <c r="C9" s="3"/>
      <c r="D9" s="3"/>
      <c r="E9" s="3"/>
      <c r="F9" s="12" t="s">
        <v>710</v>
      </c>
      <c r="G9" s="3"/>
      <c r="H9" s="3"/>
      <c r="I9" s="3"/>
      <c r="J9" s="3"/>
      <c r="K9" s="3"/>
      <c r="L9" s="3"/>
      <c r="M9" s="3"/>
      <c r="N9" s="3"/>
      <c r="O9" s="3"/>
      <c r="P9" s="3"/>
    </row>
    <row r="10" spans="1:16" ht="16" thickBot="1">
      <c r="A10" s="3"/>
      <c r="B10" s="3"/>
      <c r="C10" s="3"/>
      <c r="D10" s="4" t="s">
        <v>828</v>
      </c>
      <c r="E10" s="3"/>
      <c r="F10" s="895" t="s">
        <v>938</v>
      </c>
      <c r="G10" s="3"/>
      <c r="H10" s="3"/>
      <c r="I10" s="35"/>
      <c r="J10" s="3"/>
      <c r="K10" s="553" t="s">
        <v>585</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714</v>
      </c>
      <c r="O12" s="102"/>
      <c r="P12" s="101"/>
    </row>
    <row r="13" spans="1:16" ht="15.5">
      <c r="A13" s="3"/>
      <c r="B13" s="345" t="s">
        <v>578</v>
      </c>
      <c r="C13" s="3"/>
      <c r="D13" s="4" t="s">
        <v>711</v>
      </c>
      <c r="E13" s="3"/>
      <c r="F13" s="891" t="s">
        <v>937</v>
      </c>
      <c r="G13" s="3"/>
      <c r="H13" s="3"/>
      <c r="I13" s="3"/>
      <c r="J13" s="3"/>
      <c r="K13" s="3"/>
      <c r="L13" s="3"/>
      <c r="M13" s="3"/>
      <c r="N13" s="101" t="s">
        <v>714</v>
      </c>
      <c r="O13" s="3"/>
      <c r="P13" s="3"/>
    </row>
    <row r="14" spans="1:16" ht="16" thickBot="1">
      <c r="A14" s="3"/>
      <c r="B14" s="3"/>
      <c r="C14" s="3"/>
      <c r="D14" s="3"/>
      <c r="E14" s="3"/>
      <c r="F14" s="892" t="s">
        <v>520</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579</v>
      </c>
      <c r="C16" s="3"/>
      <c r="D16" s="4" t="s">
        <v>830</v>
      </c>
      <c r="E16" s="3"/>
      <c r="F16" s="893" t="s">
        <v>1065</v>
      </c>
      <c r="G16" s="3"/>
      <c r="H16" s="3"/>
      <c r="I16" s="3"/>
      <c r="J16" s="3"/>
      <c r="K16" s="3"/>
      <c r="L16" s="3"/>
      <c r="M16" s="3"/>
      <c r="N16" s="3"/>
      <c r="O16" s="3"/>
      <c r="P16" s="3"/>
    </row>
    <row r="17" spans="1:16" ht="16" thickBot="1">
      <c r="A17" s="3"/>
      <c r="B17" s="3"/>
      <c r="C17" s="3"/>
      <c r="D17" s="4" t="s">
        <v>829</v>
      </c>
      <c r="E17" s="3"/>
      <c r="F17" s="894" t="s">
        <v>940</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580</v>
      </c>
      <c r="C20" s="3"/>
      <c r="D20" s="4" t="s">
        <v>712</v>
      </c>
      <c r="E20" s="3"/>
      <c r="F20" s="5" t="s">
        <v>1002</v>
      </c>
      <c r="G20" s="3"/>
      <c r="H20" s="3"/>
      <c r="I20" s="35" t="s">
        <v>714</v>
      </c>
      <c r="J20" s="3"/>
      <c r="K20" s="3" t="s">
        <v>589</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713</v>
      </c>
      <c r="E23" s="3"/>
      <c r="F23" s="896" t="s">
        <v>1066</v>
      </c>
      <c r="G23" s="3" t="s">
        <v>714</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592</v>
      </c>
      <c r="J24" s="3"/>
      <c r="K24" s="3"/>
      <c r="L24" s="3"/>
      <c r="M24" s="3"/>
      <c r="N24" s="3"/>
      <c r="O24" s="3"/>
      <c r="P24" s="3"/>
    </row>
    <row r="25" spans="1:16" ht="13" thickBot="1">
      <c r="A25" s="3"/>
      <c r="B25" s="345" t="s">
        <v>581</v>
      </c>
      <c r="C25" s="3"/>
      <c r="D25" s="3"/>
      <c r="E25" s="3"/>
      <c r="F25" s="8"/>
      <c r="G25" s="3"/>
      <c r="H25" s="3"/>
      <c r="I25" s="643" t="s">
        <v>591</v>
      </c>
      <c r="J25" s="3"/>
      <c r="K25" s="3"/>
      <c r="L25" s="3"/>
      <c r="M25" s="3"/>
      <c r="N25" s="3"/>
      <c r="O25" s="3"/>
      <c r="P25" s="3"/>
    </row>
    <row r="26" spans="1:16" ht="16" thickBot="1">
      <c r="A26" s="3"/>
      <c r="B26" s="3"/>
      <c r="C26" s="3"/>
      <c r="D26" s="4" t="s">
        <v>837</v>
      </c>
      <c r="E26" s="3"/>
      <c r="F26" s="896" t="s">
        <v>1012</v>
      </c>
      <c r="G26" s="3"/>
      <c r="H26" s="3"/>
      <c r="I26" s="3"/>
      <c r="J26" s="466"/>
      <c r="K26" s="345" t="s">
        <v>604</v>
      </c>
      <c r="L26" s="3"/>
      <c r="M26" s="3"/>
      <c r="N26" s="3"/>
      <c r="O26" s="3"/>
      <c r="P26" s="3"/>
    </row>
    <row r="27" spans="1:16" ht="13">
      <c r="A27" s="3"/>
      <c r="B27" s="3"/>
      <c r="C27" s="3"/>
      <c r="D27" s="4" t="s">
        <v>831</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714</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3" sqref="F3"/>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 - CS0</v>
      </c>
      <c r="I1" s="127"/>
      <c r="J1" s="127"/>
      <c r="K1" s="127"/>
      <c r="L1" s="127"/>
      <c r="M1" s="610" t="str">
        <f>'Title Page'!F23</f>
        <v>2019 September 13</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286</v>
      </c>
      <c r="I3" s="394"/>
      <c r="J3" s="394"/>
      <c r="K3" s="394"/>
      <c r="L3" s="394"/>
      <c r="M3" s="394"/>
      <c r="N3" s="394"/>
      <c r="O3" s="394"/>
      <c r="P3" s="233"/>
      <c r="Q3" s="233"/>
    </row>
    <row r="4" spans="1:20">
      <c r="A4" s="233"/>
      <c r="B4" s="579" t="s">
        <v>279</v>
      </c>
      <c r="C4" s="580"/>
      <c r="D4" s="101"/>
      <c r="E4" s="238"/>
      <c r="F4" s="233"/>
      <c r="G4" s="233"/>
      <c r="H4" s="233"/>
      <c r="I4" s="233"/>
      <c r="J4" s="233"/>
      <c r="K4" s="233"/>
      <c r="L4" s="233"/>
      <c r="M4" s="233"/>
      <c r="N4" s="233"/>
      <c r="O4" s="233"/>
      <c r="P4" s="233"/>
      <c r="Q4" s="233"/>
    </row>
    <row r="5" spans="1:20" ht="13">
      <c r="A5" s="233"/>
      <c r="B5" s="581" t="s">
        <v>2</v>
      </c>
      <c r="C5" s="582"/>
      <c r="D5" s="583" t="s">
        <v>3</v>
      </c>
      <c r="E5" s="584" t="s">
        <v>717</v>
      </c>
      <c r="F5" s="233"/>
      <c r="G5" s="233"/>
      <c r="H5" s="233"/>
      <c r="I5" s="233"/>
      <c r="J5" s="233"/>
      <c r="K5" s="233"/>
      <c r="L5" s="233"/>
      <c r="M5" s="233"/>
      <c r="N5" s="233"/>
      <c r="O5" s="233"/>
      <c r="P5" s="233"/>
      <c r="Q5" s="233"/>
    </row>
    <row r="6" spans="1:20">
      <c r="A6" s="233"/>
      <c r="B6" s="404">
        <v>0</v>
      </c>
      <c r="C6" s="101" t="s">
        <v>4</v>
      </c>
      <c r="D6" s="31">
        <v>10.199999999999999</v>
      </c>
      <c r="E6" s="238" t="s">
        <v>756</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756</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756</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756</v>
      </c>
      <c r="F12" s="233"/>
      <c r="G12" s="233" t="s">
        <v>9</v>
      </c>
      <c r="H12" s="233"/>
      <c r="I12" s="233"/>
      <c r="J12" s="233"/>
      <c r="K12" s="233"/>
      <c r="L12" s="233"/>
      <c r="M12" s="233"/>
      <c r="N12" s="233"/>
      <c r="O12" s="233"/>
      <c r="P12" s="233"/>
      <c r="Q12" s="233"/>
    </row>
    <row r="13" spans="1:20">
      <c r="A13" s="233"/>
      <c r="B13" s="404"/>
      <c r="C13" s="101"/>
      <c r="D13" s="31"/>
      <c r="E13" s="238"/>
      <c r="F13" s="233"/>
      <c r="G13" s="233" t="s">
        <v>354</v>
      </c>
      <c r="H13" s="233"/>
      <c r="I13" s="233"/>
      <c r="J13" s="233"/>
      <c r="K13" s="233"/>
      <c r="L13" s="233"/>
      <c r="M13" s="233"/>
      <c r="N13" s="233"/>
      <c r="O13" s="233"/>
      <c r="P13" s="233"/>
      <c r="Q13" s="233"/>
    </row>
    <row r="14" spans="1:20">
      <c r="A14" s="233"/>
      <c r="B14" s="404">
        <v>30</v>
      </c>
      <c r="C14" s="101" t="s">
        <v>4</v>
      </c>
      <c r="D14" s="31">
        <v>0.4</v>
      </c>
      <c r="E14" s="238" t="s">
        <v>756</v>
      </c>
      <c r="F14" s="233"/>
      <c r="G14" s="233" t="s">
        <v>292</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756</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756</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6">
        <v>45</v>
      </c>
      <c r="E21" s="101" t="s">
        <v>12</v>
      </c>
      <c r="F21" s="835"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0.3</v>
      </c>
      <c r="E23" s="238" t="s">
        <v>756</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287</v>
      </c>
      <c r="I26" s="233"/>
      <c r="J26" s="233"/>
      <c r="K26" s="233"/>
      <c r="L26" s="233"/>
      <c r="M26" s="233"/>
      <c r="N26" s="233"/>
      <c r="O26" s="233"/>
      <c r="P26" s="233"/>
      <c r="Q26" s="233"/>
    </row>
    <row r="27" spans="1:17">
      <c r="A27" s="233"/>
      <c r="B27" s="233"/>
      <c r="C27" s="233"/>
      <c r="D27" s="233" t="s">
        <v>714</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757</v>
      </c>
      <c r="C29" s="101" t="s">
        <v>284</v>
      </c>
      <c r="D29" s="101"/>
      <c r="E29" s="585">
        <f>'Uplink Budget'!B17</f>
        <v>0.1</v>
      </c>
      <c r="F29" s="233"/>
      <c r="G29" s="234" t="s">
        <v>20</v>
      </c>
      <c r="H29" s="233"/>
      <c r="I29" s="233"/>
      <c r="J29" s="233"/>
      <c r="K29" s="233"/>
      <c r="L29" s="233"/>
      <c r="M29" s="233"/>
      <c r="N29" s="233"/>
      <c r="O29" s="233"/>
      <c r="P29" s="233"/>
      <c r="Q29" s="233"/>
    </row>
    <row r="30" spans="1:17" ht="13">
      <c r="A30" s="86"/>
      <c r="B30" s="587" t="s">
        <v>752</v>
      </c>
      <c r="C30" s="583" t="s">
        <v>717</v>
      </c>
      <c r="D30" s="583" t="s">
        <v>3</v>
      </c>
      <c r="E30" s="584" t="s">
        <v>717</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753</v>
      </c>
      <c r="D32" s="405">
        <v>0.7</v>
      </c>
      <c r="E32" s="124" t="s">
        <v>756</v>
      </c>
      <c r="F32" s="233"/>
      <c r="G32" s="233" t="s">
        <v>25</v>
      </c>
      <c r="H32" s="233"/>
      <c r="I32" s="233"/>
      <c r="J32" s="233"/>
      <c r="K32" s="233"/>
      <c r="L32" s="233"/>
      <c r="M32" s="233"/>
      <c r="N32" s="233"/>
      <c r="O32" s="233"/>
      <c r="P32" s="233"/>
      <c r="Q32" s="233"/>
    </row>
    <row r="33" spans="1:17">
      <c r="A33" s="233"/>
      <c r="B33" s="122">
        <v>438</v>
      </c>
      <c r="C33" s="123" t="s">
        <v>753</v>
      </c>
      <c r="D33" s="405">
        <v>0.4</v>
      </c>
      <c r="E33" s="124" t="s">
        <v>756</v>
      </c>
      <c r="F33" s="233"/>
      <c r="G33" s="233"/>
      <c r="H33" s="233"/>
      <c r="I33" s="233"/>
      <c r="J33" s="233"/>
      <c r="K33" s="233"/>
      <c r="L33" s="233"/>
      <c r="M33" s="233"/>
      <c r="N33" s="233"/>
      <c r="O33" s="233"/>
      <c r="P33" s="233"/>
      <c r="Q33" s="233"/>
    </row>
    <row r="34" spans="1:17" ht="13" thickBot="1">
      <c r="A34" s="233"/>
      <c r="B34" s="122">
        <v>2410</v>
      </c>
      <c r="C34" s="123" t="s">
        <v>753</v>
      </c>
      <c r="D34" s="1041">
        <v>0.1</v>
      </c>
      <c r="E34" s="124" t="s">
        <v>756</v>
      </c>
      <c r="F34" s="233"/>
      <c r="G34" s="233" t="s">
        <v>196</v>
      </c>
      <c r="H34" s="233"/>
      <c r="I34" s="233"/>
      <c r="J34" s="233"/>
      <c r="K34" s="233"/>
      <c r="L34" s="233"/>
      <c r="M34" s="233"/>
      <c r="N34" s="233"/>
      <c r="O34" s="233"/>
      <c r="P34" s="233"/>
      <c r="Q34" s="233"/>
    </row>
    <row r="35" spans="1:17" ht="13" thickBot="1">
      <c r="A35" s="233"/>
      <c r="B35" s="413">
        <f>Frequency!C13</f>
        <v>2422</v>
      </c>
      <c r="C35" s="414" t="s">
        <v>753</v>
      </c>
      <c r="D35" s="645">
        <v>0.1</v>
      </c>
      <c r="E35" s="124" t="s">
        <v>756</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293</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245</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758</v>
      </c>
      <c r="C42" s="101" t="s">
        <v>282</v>
      </c>
      <c r="D42" s="101"/>
      <c r="E42" s="412">
        <f>'Downlink Budget'!B17</f>
        <v>0.1</v>
      </c>
      <c r="F42" s="233"/>
      <c r="G42" s="233" t="s">
        <v>31</v>
      </c>
      <c r="H42" s="233"/>
      <c r="I42" s="233"/>
      <c r="J42" s="233"/>
      <c r="K42" s="233"/>
      <c r="L42" s="233"/>
      <c r="M42" s="233"/>
      <c r="N42" s="233"/>
      <c r="O42" s="233"/>
      <c r="P42" s="233"/>
      <c r="Q42" s="233"/>
    </row>
    <row r="43" spans="1:17" ht="13">
      <c r="A43" s="233"/>
      <c r="B43" s="133" t="s">
        <v>752</v>
      </c>
      <c r="C43" s="130" t="s">
        <v>717</v>
      </c>
      <c r="D43" s="130" t="s">
        <v>3</v>
      </c>
      <c r="E43" s="131" t="s">
        <v>717</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753</v>
      </c>
      <c r="D45" s="405">
        <v>0.7</v>
      </c>
      <c r="E45" s="124" t="s">
        <v>756</v>
      </c>
      <c r="F45" s="233"/>
      <c r="G45" s="233" t="s">
        <v>281</v>
      </c>
      <c r="H45" s="233"/>
      <c r="I45" s="233"/>
      <c r="J45" s="233"/>
      <c r="K45" s="233"/>
      <c r="L45" s="233"/>
      <c r="M45" s="233"/>
      <c r="N45" s="233"/>
      <c r="O45" s="233"/>
      <c r="P45" s="233"/>
      <c r="Q45" s="233"/>
    </row>
    <row r="46" spans="1:17">
      <c r="A46" s="233"/>
      <c r="B46" s="122">
        <v>438</v>
      </c>
      <c r="C46" s="123" t="s">
        <v>753</v>
      </c>
      <c r="D46" s="405">
        <v>0.4</v>
      </c>
      <c r="E46" s="124" t="s">
        <v>756</v>
      </c>
      <c r="F46" s="233"/>
      <c r="G46" s="233" t="s">
        <v>355</v>
      </c>
      <c r="H46" s="233"/>
      <c r="I46" s="233"/>
      <c r="J46" s="233"/>
      <c r="K46" s="233"/>
      <c r="L46" s="233"/>
      <c r="M46" s="233"/>
      <c r="N46" s="233"/>
      <c r="O46" s="233"/>
      <c r="P46" s="233"/>
      <c r="Q46" s="233"/>
    </row>
    <row r="47" spans="1:17" ht="13" thickBot="1">
      <c r="A47" s="233"/>
      <c r="B47" s="122">
        <v>2410</v>
      </c>
      <c r="C47" s="123" t="s">
        <v>753</v>
      </c>
      <c r="D47" s="1041">
        <v>0.1</v>
      </c>
      <c r="E47" s="124" t="s">
        <v>756</v>
      </c>
      <c r="F47" s="233"/>
      <c r="G47" s="233" t="s">
        <v>283</v>
      </c>
      <c r="H47" s="233"/>
      <c r="I47" s="233"/>
      <c r="J47" s="233"/>
      <c r="K47" s="233"/>
      <c r="L47" s="233"/>
      <c r="M47" s="233"/>
      <c r="N47" s="233"/>
      <c r="O47" s="233"/>
      <c r="P47" s="233"/>
      <c r="Q47" s="233"/>
    </row>
    <row r="48" spans="1:17" ht="13" thickBot="1">
      <c r="A48" s="233"/>
      <c r="B48" s="413">
        <f>Frequency!C19</f>
        <v>2422</v>
      </c>
      <c r="C48" s="414" t="s">
        <v>753</v>
      </c>
      <c r="D48" s="645">
        <v>0.1</v>
      </c>
      <c r="E48" s="124" t="s">
        <v>756</v>
      </c>
      <c r="F48" s="233"/>
      <c r="G48" s="233" t="s">
        <v>285</v>
      </c>
      <c r="H48" s="233"/>
      <c r="I48" s="233"/>
      <c r="J48" s="233"/>
      <c r="K48" s="233"/>
      <c r="L48" s="233"/>
      <c r="M48" s="233"/>
      <c r="N48" s="233"/>
      <c r="O48" s="233"/>
      <c r="P48" s="233"/>
      <c r="Q48" s="233"/>
    </row>
    <row r="49" spans="1:18">
      <c r="A49" s="233"/>
      <c r="B49" s="122"/>
      <c r="C49" s="123"/>
      <c r="D49" s="118"/>
      <c r="E49" s="124"/>
      <c r="F49" s="233"/>
      <c r="G49" s="233"/>
      <c r="H49" s="233" t="s">
        <v>714</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293</v>
      </c>
      <c r="C51" s="233"/>
      <c r="D51" s="233"/>
      <c r="E51" s="233"/>
      <c r="F51" s="233"/>
      <c r="G51" s="233" t="s">
        <v>597</v>
      </c>
      <c r="H51" s="233"/>
      <c r="I51" s="233"/>
      <c r="J51" s="233"/>
      <c r="K51" s="233"/>
      <c r="L51" s="233"/>
      <c r="M51" s="233"/>
      <c r="N51" s="233"/>
      <c r="O51" s="233"/>
      <c r="P51" s="233"/>
      <c r="Q51" s="233"/>
    </row>
    <row r="52" spans="1:18">
      <c r="A52" s="233"/>
      <c r="B52" s="233" t="s">
        <v>598</v>
      </c>
      <c r="C52" s="233"/>
      <c r="D52" s="233"/>
      <c r="E52" s="233"/>
      <c r="F52" s="233"/>
      <c r="G52" s="233"/>
      <c r="H52" s="233"/>
      <c r="I52" s="233"/>
      <c r="J52" s="233"/>
      <c r="K52" s="233"/>
      <c r="L52" s="233"/>
      <c r="M52" s="233"/>
      <c r="N52" s="233"/>
      <c r="O52" s="233"/>
      <c r="P52" s="233"/>
      <c r="Q52" s="233"/>
      <c r="R52" s="233"/>
    </row>
    <row r="53" spans="1:18">
      <c r="A53" s="233"/>
      <c r="B53" s="233" t="s">
        <v>599</v>
      </c>
      <c r="C53" s="233"/>
      <c r="D53" s="233"/>
      <c r="E53" s="233"/>
      <c r="F53" s="233"/>
      <c r="G53" s="233"/>
      <c r="H53" s="233"/>
      <c r="I53" s="233"/>
      <c r="J53" s="233"/>
      <c r="K53" s="233"/>
      <c r="L53" s="233"/>
      <c r="M53" s="233"/>
      <c r="N53" s="233"/>
      <c r="O53" s="233"/>
      <c r="P53" s="233"/>
      <c r="Q53" s="233"/>
      <c r="R53" s="233"/>
    </row>
    <row r="54" spans="1:18">
      <c r="A54" s="233"/>
      <c r="B54" s="233" t="s">
        <v>600</v>
      </c>
      <c r="C54" s="233"/>
      <c r="D54" s="233"/>
      <c r="E54" s="233"/>
      <c r="F54" s="233"/>
      <c r="G54" s="233"/>
      <c r="H54" s="233"/>
      <c r="I54" s="233"/>
      <c r="J54" s="233"/>
      <c r="K54" s="233"/>
      <c r="L54" s="233"/>
      <c r="M54" s="233"/>
      <c r="N54" s="233"/>
      <c r="O54" s="233"/>
      <c r="P54" s="233"/>
      <c r="Q54" s="233"/>
      <c r="R54" s="233"/>
    </row>
    <row r="55" spans="1:18">
      <c r="A55" s="233"/>
      <c r="B55" s="233" t="s">
        <v>601</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4"/>
      <c r="C75" s="834"/>
      <c r="D75" s="834"/>
      <c r="E75" s="834"/>
      <c r="F75" s="233"/>
      <c r="G75" s="233"/>
      <c r="H75" s="233"/>
      <c r="I75" s="233"/>
      <c r="J75" s="233"/>
      <c r="K75" s="233"/>
      <c r="L75" s="233"/>
      <c r="M75" s="233"/>
      <c r="N75" s="233"/>
      <c r="O75" s="233"/>
      <c r="P75" s="233"/>
      <c r="Q75" s="233"/>
      <c r="R75" s="233"/>
    </row>
    <row r="76" spans="1:18">
      <c r="A76" s="233"/>
      <c r="B76" s="834"/>
      <c r="C76" s="834"/>
      <c r="D76" s="834"/>
      <c r="E76" s="834"/>
      <c r="F76" s="233"/>
      <c r="G76" s="233"/>
      <c r="H76" s="233"/>
      <c r="I76" s="233"/>
      <c r="J76" s="233"/>
      <c r="K76" s="233"/>
      <c r="L76" s="233"/>
      <c r="M76" s="233"/>
      <c r="N76" s="233"/>
      <c r="O76" s="233"/>
      <c r="P76" s="233"/>
      <c r="Q76" s="233"/>
      <c r="R76" s="233"/>
    </row>
    <row r="77" spans="1:18">
      <c r="A77" s="233"/>
      <c r="B77" s="834"/>
      <c r="C77" s="834"/>
      <c r="D77" s="834"/>
      <c r="E77" s="834"/>
      <c r="F77" s="233"/>
      <c r="G77" s="233"/>
      <c r="H77" s="233"/>
      <c r="I77" s="233"/>
      <c r="J77" s="233"/>
      <c r="K77" s="233"/>
      <c r="L77" s="233"/>
      <c r="M77" s="233"/>
      <c r="N77" s="233"/>
      <c r="O77" s="233"/>
      <c r="P77" s="233"/>
      <c r="Q77" s="233"/>
      <c r="R77" s="233"/>
    </row>
    <row r="78" spans="1:18">
      <c r="A78" s="233"/>
      <c r="B78" s="834"/>
      <c r="C78" s="834"/>
      <c r="D78" s="834"/>
      <c r="E78" s="834"/>
      <c r="F78" s="233"/>
      <c r="G78" s="233"/>
      <c r="H78" s="233"/>
      <c r="I78" s="233"/>
      <c r="J78" s="233"/>
      <c r="K78" s="233"/>
      <c r="L78" s="233"/>
      <c r="M78" s="233"/>
      <c r="N78" s="233"/>
      <c r="O78" s="233"/>
      <c r="P78" s="233"/>
      <c r="Q78" s="233"/>
      <c r="R78" s="233"/>
    </row>
    <row r="79" spans="1:18">
      <c r="A79" s="233"/>
      <c r="B79" s="834"/>
      <c r="C79" s="834"/>
      <c r="D79" s="834"/>
      <c r="E79" s="834"/>
      <c r="F79" s="233"/>
      <c r="G79" s="233"/>
      <c r="H79" s="233"/>
      <c r="I79" s="233"/>
      <c r="J79" s="233"/>
      <c r="K79" s="233"/>
      <c r="L79" s="233"/>
      <c r="M79" s="233"/>
      <c r="N79" s="233"/>
      <c r="O79" s="233"/>
      <c r="P79" s="233"/>
      <c r="Q79" s="233"/>
      <c r="R79" s="233"/>
    </row>
    <row r="80" spans="1:18">
      <c r="A80" s="233"/>
      <c r="B80" s="834"/>
      <c r="C80" s="834"/>
      <c r="D80" s="834"/>
      <c r="E80" s="834"/>
      <c r="F80" s="233"/>
      <c r="G80" s="233"/>
      <c r="H80" s="233"/>
      <c r="I80" s="233"/>
      <c r="J80" s="233"/>
      <c r="K80" s="233"/>
      <c r="L80" s="233"/>
      <c r="M80" s="233"/>
      <c r="N80" s="233"/>
      <c r="O80" s="233"/>
      <c r="P80" s="233"/>
      <c r="Q80" s="233"/>
      <c r="R80" s="233"/>
    </row>
    <row r="81" spans="1:18">
      <c r="A81" s="233"/>
      <c r="B81" s="834"/>
      <c r="C81" s="834"/>
      <c r="D81" s="834"/>
      <c r="E81" s="834"/>
      <c r="F81" s="233"/>
      <c r="G81" s="233"/>
      <c r="H81" s="233"/>
      <c r="I81" s="233"/>
      <c r="J81" s="233"/>
      <c r="K81" s="233"/>
      <c r="L81" s="233"/>
      <c r="M81" s="233"/>
      <c r="N81" s="233"/>
      <c r="O81" s="233"/>
      <c r="P81" s="233"/>
      <c r="Q81" s="233"/>
      <c r="R81" s="233"/>
    </row>
    <row r="82" spans="1:18">
      <c r="A82" s="233"/>
      <c r="B82" s="834"/>
      <c r="C82" s="834"/>
      <c r="D82" s="834"/>
      <c r="E82" s="834"/>
      <c r="F82" s="233"/>
      <c r="G82" s="233"/>
      <c r="H82" s="233"/>
      <c r="I82" s="233"/>
      <c r="J82" s="233"/>
      <c r="K82" s="233"/>
      <c r="L82" s="233"/>
      <c r="M82" s="233"/>
      <c r="N82" s="233"/>
      <c r="O82" s="233"/>
      <c r="P82" s="233"/>
      <c r="Q82" s="233"/>
      <c r="R82" s="233"/>
    </row>
    <row r="83" spans="1:18">
      <c r="A83" s="233"/>
      <c r="B83" s="834"/>
      <c r="C83" s="834"/>
      <c r="D83" s="834"/>
      <c r="E83" s="834"/>
      <c r="F83" s="233"/>
      <c r="G83" s="233"/>
      <c r="H83" s="233"/>
      <c r="I83" s="233"/>
      <c r="J83" s="233"/>
      <c r="K83" s="233"/>
      <c r="L83" s="233"/>
      <c r="M83" s="233"/>
      <c r="N83" s="233"/>
      <c r="O83" s="233"/>
      <c r="P83" s="233"/>
      <c r="Q83" s="233"/>
      <c r="R83" s="233"/>
    </row>
    <row r="84" spans="1:18">
      <c r="A84" s="233"/>
      <c r="B84" s="834"/>
      <c r="C84" s="834"/>
      <c r="D84" s="834"/>
      <c r="E84" s="834"/>
      <c r="F84" s="233"/>
      <c r="G84" s="233"/>
      <c r="H84" s="233"/>
      <c r="I84" s="233"/>
      <c r="J84" s="233"/>
      <c r="K84" s="233"/>
      <c r="L84" s="233"/>
      <c r="M84" s="233"/>
      <c r="N84" s="233"/>
      <c r="O84" s="233"/>
      <c r="P84" s="233"/>
      <c r="Q84" s="233"/>
      <c r="R84" s="233"/>
    </row>
    <row r="85" spans="1:18">
      <c r="A85" s="834"/>
      <c r="B85" s="834"/>
      <c r="C85" s="834"/>
      <c r="D85" s="834"/>
      <c r="E85" s="834"/>
      <c r="F85" s="834"/>
      <c r="G85" s="834"/>
      <c r="H85" s="834"/>
      <c r="I85" s="834"/>
      <c r="J85" s="834"/>
      <c r="K85" s="834"/>
      <c r="L85" s="834"/>
      <c r="M85" s="834"/>
      <c r="N85" s="834"/>
      <c r="O85" s="834"/>
      <c r="P85" s="834"/>
      <c r="Q85" s="834"/>
      <c r="R85" s="834"/>
    </row>
    <row r="86" spans="1:18">
      <c r="A86" s="834"/>
      <c r="B86" s="834"/>
      <c r="C86" s="834"/>
      <c r="D86" s="834"/>
      <c r="E86" s="834"/>
      <c r="F86" s="834"/>
      <c r="G86" s="834"/>
      <c r="H86" s="834"/>
      <c r="I86" s="834"/>
      <c r="J86" s="834"/>
      <c r="K86" s="834"/>
      <c r="L86" s="834"/>
      <c r="M86" s="834"/>
      <c r="N86" s="834"/>
      <c r="O86" s="834"/>
      <c r="P86" s="834"/>
      <c r="Q86" s="834"/>
      <c r="R86" s="834"/>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246</v>
      </c>
      <c r="B1" s="127"/>
      <c r="C1" s="127"/>
      <c r="D1" s="127"/>
      <c r="E1" s="613" t="str">
        <f>'Title Page'!F3</f>
        <v>OreSat - CS0</v>
      </c>
      <c r="F1" s="127"/>
      <c r="G1" s="610" t="str">
        <f>'Title Page'!F23</f>
        <v>2019 September 13</v>
      </c>
      <c r="H1" s="127"/>
      <c r="I1" s="127"/>
      <c r="J1" s="127"/>
      <c r="K1" s="127"/>
      <c r="L1" s="127"/>
      <c r="M1" s="127"/>
      <c r="N1" s="127"/>
      <c r="O1" s="127"/>
      <c r="P1" s="127"/>
      <c r="Q1" s="127"/>
      <c r="R1" s="127"/>
      <c r="S1" s="127"/>
      <c r="T1" s="127"/>
      <c r="U1" s="127"/>
    </row>
    <row r="2" spans="1:21" ht="13" thickBot="1">
      <c r="A2" s="614" t="s">
        <v>596</v>
      </c>
      <c r="B2" s="615"/>
      <c r="C2" s="616" t="s">
        <v>714</v>
      </c>
      <c r="D2" s="3"/>
      <c r="E2" s="232" t="s">
        <v>857</v>
      </c>
      <c r="F2" s="3" t="s">
        <v>858</v>
      </c>
      <c r="G2" s="233" t="s">
        <v>126</v>
      </c>
      <c r="H2" s="233"/>
      <c r="I2" s="233"/>
      <c r="J2" s="233"/>
      <c r="K2" s="233"/>
      <c r="L2" s="233"/>
      <c r="M2" s="233"/>
      <c r="N2" s="233"/>
      <c r="O2" s="233"/>
      <c r="P2" s="233"/>
      <c r="Q2" s="233"/>
      <c r="R2" s="233"/>
      <c r="S2" s="233"/>
      <c r="T2" s="233"/>
      <c r="U2" s="233"/>
    </row>
    <row r="3" spans="1:21" ht="16" thickBot="1">
      <c r="A3" s="568" t="s">
        <v>127</v>
      </c>
      <c r="B3" s="569"/>
      <c r="C3" s="590" t="s">
        <v>855</v>
      </c>
      <c r="D3" s="591"/>
      <c r="E3" s="589">
        <v>19</v>
      </c>
      <c r="F3" s="652" t="str">
        <f>INDEX(C6:C24,E3,1)</f>
        <v>DBPSK</v>
      </c>
      <c r="G3" s="233"/>
      <c r="H3" s="72" t="s">
        <v>330</v>
      </c>
      <c r="I3" s="233"/>
      <c r="J3" s="233"/>
      <c r="K3" s="233"/>
      <c r="L3" s="233"/>
      <c r="M3" s="233"/>
      <c r="N3" s="233"/>
      <c r="O3" s="233"/>
      <c r="P3" s="233"/>
      <c r="Q3" s="233"/>
      <c r="R3" s="233"/>
      <c r="S3" s="233"/>
      <c r="T3" s="233"/>
      <c r="U3" s="233"/>
    </row>
    <row r="4" spans="1:21" ht="13.5" thickBot="1">
      <c r="A4" s="636" t="s">
        <v>594</v>
      </c>
      <c r="B4" s="3"/>
      <c r="C4" s="3"/>
      <c r="D4" s="3"/>
      <c r="E4" s="3"/>
      <c r="F4" s="3"/>
      <c r="G4" s="233"/>
      <c r="H4" s="73" t="s">
        <v>331</v>
      </c>
      <c r="I4" s="233"/>
      <c r="J4" s="233"/>
      <c r="K4" s="233"/>
      <c r="L4" s="233"/>
      <c r="M4" s="233"/>
      <c r="N4" s="233"/>
      <c r="O4" s="233"/>
      <c r="P4" s="233"/>
      <c r="Q4" s="233"/>
      <c r="R4" s="233"/>
      <c r="S4" s="233"/>
      <c r="T4" s="233"/>
      <c r="U4" s="233"/>
    </row>
    <row r="5" spans="1:21" ht="15.5">
      <c r="A5" s="233"/>
      <c r="B5" s="66" t="s">
        <v>841</v>
      </c>
      <c r="C5" s="66" t="s">
        <v>840</v>
      </c>
      <c r="D5" s="66" t="s">
        <v>842</v>
      </c>
      <c r="E5" s="66" t="s">
        <v>843</v>
      </c>
      <c r="F5" s="66" t="s">
        <v>844</v>
      </c>
      <c r="G5" s="233"/>
      <c r="H5" s="75">
        <f>INDEX(F6:F24,E3,1)+E26</f>
        <v>10.3</v>
      </c>
      <c r="I5" s="233"/>
      <c r="J5" s="233"/>
      <c r="K5" s="233"/>
      <c r="L5" s="233"/>
      <c r="M5" s="233"/>
      <c r="N5" s="233"/>
      <c r="O5" s="233"/>
      <c r="P5" s="233"/>
      <c r="Q5" s="233"/>
      <c r="R5" s="233"/>
      <c r="S5" s="233"/>
      <c r="T5" s="233"/>
      <c r="U5" s="233"/>
    </row>
    <row r="6" spans="1:21" ht="16" thickBot="1">
      <c r="A6" s="233"/>
      <c r="B6" s="70">
        <v>1</v>
      </c>
      <c r="C6" s="67" t="s">
        <v>845</v>
      </c>
      <c r="D6" s="67" t="s">
        <v>846</v>
      </c>
      <c r="E6" s="68">
        <v>1E-4</v>
      </c>
      <c r="F6" s="76">
        <v>21</v>
      </c>
      <c r="G6" s="233"/>
      <c r="H6" s="74" t="s">
        <v>756</v>
      </c>
      <c r="I6" s="233"/>
      <c r="J6" s="233"/>
      <c r="K6" s="233"/>
      <c r="L6" s="233"/>
      <c r="M6" s="233"/>
      <c r="N6" s="233"/>
      <c r="O6" s="233"/>
      <c r="P6" s="233"/>
      <c r="Q6" s="233"/>
      <c r="R6" s="233"/>
      <c r="S6" s="233"/>
      <c r="T6" s="233"/>
      <c r="U6" s="233"/>
    </row>
    <row r="7" spans="1:21" ht="15.5">
      <c r="A7" s="233"/>
      <c r="B7" s="70">
        <v>2</v>
      </c>
      <c r="C7" s="67" t="s">
        <v>845</v>
      </c>
      <c r="D7" s="67" t="s">
        <v>846</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847</v>
      </c>
      <c r="D8" s="67" t="s">
        <v>846</v>
      </c>
      <c r="E8" s="68">
        <v>1E-4</v>
      </c>
      <c r="F8" s="76">
        <v>16.7</v>
      </c>
      <c r="G8" s="233"/>
      <c r="H8" s="233"/>
      <c r="I8" s="233"/>
      <c r="J8" s="233"/>
      <c r="K8" s="233"/>
      <c r="L8" s="233"/>
      <c r="M8" s="233"/>
      <c r="N8" s="233"/>
      <c r="O8" s="233"/>
      <c r="P8" s="233"/>
      <c r="Q8" s="233"/>
      <c r="R8" s="233"/>
      <c r="S8" s="233"/>
      <c r="T8" s="233"/>
      <c r="U8" s="233"/>
    </row>
    <row r="9" spans="1:21" ht="15.5">
      <c r="A9" s="233"/>
      <c r="B9" s="70">
        <v>4</v>
      </c>
      <c r="C9" s="67" t="s">
        <v>847</v>
      </c>
      <c r="D9" s="67" t="s">
        <v>846</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848</v>
      </c>
      <c r="D10" s="67" t="s">
        <v>846</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848</v>
      </c>
      <c r="D11" s="67" t="s">
        <v>846</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849</v>
      </c>
      <c r="D12" s="67" t="s">
        <v>846</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849</v>
      </c>
      <c r="D13" s="67" t="s">
        <v>846</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967</v>
      </c>
      <c r="D14" s="67" t="s">
        <v>846</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967</v>
      </c>
      <c r="D15" s="67" t="s">
        <v>846</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968</v>
      </c>
      <c r="D16" s="67" t="s">
        <v>846</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850</v>
      </c>
      <c r="D17" s="67" t="s">
        <v>846</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850</v>
      </c>
      <c r="D18" s="67" t="s">
        <v>846</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851</v>
      </c>
      <c r="D19" s="67" t="s">
        <v>846</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851</v>
      </c>
      <c r="D20" s="67" t="s">
        <v>846</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850</v>
      </c>
      <c r="D21" s="67" t="s">
        <v>852</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850</v>
      </c>
      <c r="D22" s="67" t="s">
        <v>853</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850</v>
      </c>
      <c r="D23" s="67" t="s">
        <v>854</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1062</v>
      </c>
      <c r="D24" s="69" t="s">
        <v>846</v>
      </c>
      <c r="E24" s="78">
        <v>1E-4</v>
      </c>
      <c r="F24" s="77">
        <v>9.3000000000000007</v>
      </c>
      <c r="G24" s="233"/>
      <c r="H24" s="233"/>
      <c r="I24" s="233"/>
      <c r="J24" s="233"/>
      <c r="K24" s="233"/>
      <c r="L24" s="233"/>
      <c r="M24" s="233"/>
      <c r="N24" s="233"/>
      <c r="O24" s="233"/>
      <c r="P24" s="233"/>
      <c r="Q24" s="233"/>
      <c r="R24" s="233"/>
      <c r="S24" s="233"/>
      <c r="T24" s="233"/>
      <c r="U24" s="233"/>
    </row>
    <row r="25" spans="1:21" ht="13" thickBot="1">
      <c r="A25" s="233"/>
      <c r="B25" s="233"/>
      <c r="C25" s="233"/>
      <c r="D25" s="246" t="s">
        <v>329</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856</v>
      </c>
      <c r="E26" s="638">
        <v>1</v>
      </c>
      <c r="F26" s="71" t="s">
        <v>756</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714</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857</v>
      </c>
      <c r="F30" s="3" t="s">
        <v>858</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855</v>
      </c>
      <c r="D31" s="591"/>
      <c r="E31" s="589">
        <v>20</v>
      </c>
      <c r="F31" s="652" t="str">
        <f>INDEX(C34:C53,E31,1)</f>
        <v>DBPSK</v>
      </c>
      <c r="G31" s="233"/>
      <c r="H31" s="72" t="s">
        <v>330</v>
      </c>
      <c r="I31" s="233"/>
      <c r="J31" s="233"/>
      <c r="K31" s="233"/>
      <c r="L31" s="233"/>
      <c r="M31" s="233"/>
      <c r="N31" s="233"/>
      <c r="O31" s="233"/>
      <c r="P31" s="233"/>
      <c r="Q31" s="233"/>
      <c r="R31" s="233"/>
      <c r="S31" s="233"/>
      <c r="T31" s="233"/>
      <c r="U31" s="233"/>
    </row>
    <row r="32" spans="1:21" ht="13.5" thickBot="1">
      <c r="A32" s="636" t="s">
        <v>595</v>
      </c>
      <c r="B32" s="3"/>
      <c r="C32" s="3"/>
      <c r="D32" s="3"/>
      <c r="E32" s="3"/>
      <c r="F32" s="3"/>
      <c r="G32" s="233"/>
      <c r="H32" s="73" t="s">
        <v>331</v>
      </c>
      <c r="I32" s="233"/>
      <c r="J32" s="233"/>
      <c r="K32" s="233"/>
      <c r="L32" s="233"/>
      <c r="M32" s="233"/>
      <c r="N32" s="233"/>
      <c r="O32" s="233"/>
      <c r="P32" s="233"/>
      <c r="Q32" s="233"/>
      <c r="R32" s="233"/>
      <c r="S32" s="233"/>
      <c r="T32" s="233"/>
      <c r="U32" s="233"/>
    </row>
    <row r="33" spans="1:21" ht="15.5">
      <c r="A33" s="233"/>
      <c r="B33" s="66" t="s">
        <v>841</v>
      </c>
      <c r="C33" s="66" t="s">
        <v>840</v>
      </c>
      <c r="D33" s="66" t="s">
        <v>842</v>
      </c>
      <c r="E33" s="66" t="s">
        <v>843</v>
      </c>
      <c r="F33" s="66" t="s">
        <v>844</v>
      </c>
      <c r="G33" s="233"/>
      <c r="H33" s="75">
        <f>INDEX(F34:F53,E31,1)+E55</f>
        <v>10.3</v>
      </c>
      <c r="I33" s="233"/>
      <c r="J33" s="233"/>
      <c r="K33" s="233"/>
      <c r="L33" s="233"/>
      <c r="M33" s="233"/>
      <c r="N33" s="233"/>
      <c r="O33" s="233"/>
      <c r="P33" s="233"/>
      <c r="Q33" s="233"/>
      <c r="R33" s="233"/>
      <c r="S33" s="233"/>
      <c r="T33" s="233"/>
      <c r="U33" s="233"/>
    </row>
    <row r="34" spans="1:21" ht="16" thickBot="1">
      <c r="A34" s="233"/>
      <c r="B34" s="70">
        <v>1</v>
      </c>
      <c r="C34" s="67" t="s">
        <v>845</v>
      </c>
      <c r="D34" s="67" t="s">
        <v>846</v>
      </c>
      <c r="E34" s="68">
        <v>1E-4</v>
      </c>
      <c r="F34" s="76">
        <v>21</v>
      </c>
      <c r="G34" s="233"/>
      <c r="H34" s="74" t="s">
        <v>756</v>
      </c>
      <c r="I34" s="233"/>
      <c r="J34" s="233"/>
      <c r="K34" s="233"/>
      <c r="L34" s="233"/>
      <c r="M34" s="233"/>
      <c r="N34" s="233"/>
      <c r="O34" s="233"/>
      <c r="P34" s="233"/>
      <c r="Q34" s="233"/>
      <c r="R34" s="233"/>
      <c r="S34" s="233"/>
      <c r="T34" s="233"/>
      <c r="U34" s="233"/>
    </row>
    <row r="35" spans="1:21" ht="15.5">
      <c r="A35" s="233"/>
      <c r="B35" s="70">
        <v>2</v>
      </c>
      <c r="C35" s="67" t="s">
        <v>845</v>
      </c>
      <c r="D35" s="67" t="s">
        <v>846</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847</v>
      </c>
      <c r="D36" s="67" t="s">
        <v>846</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847</v>
      </c>
      <c r="D37" s="67" t="s">
        <v>846</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848</v>
      </c>
      <c r="D38" s="67" t="s">
        <v>846</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848</v>
      </c>
      <c r="D39" s="67" t="s">
        <v>846</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849</v>
      </c>
      <c r="D40" s="67" t="s">
        <v>846</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849</v>
      </c>
      <c r="D41" s="67" t="s">
        <v>846</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967</v>
      </c>
      <c r="D42" s="67" t="s">
        <v>846</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967</v>
      </c>
      <c r="D43" s="67" t="s">
        <v>846</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968</v>
      </c>
      <c r="D44" s="67" t="s">
        <v>846</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850</v>
      </c>
      <c r="D45" s="67" t="s">
        <v>846</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850</v>
      </c>
      <c r="D46" s="67" t="s">
        <v>846</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851</v>
      </c>
      <c r="D47" s="67" t="s">
        <v>846</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851</v>
      </c>
      <c r="D48" s="67" t="s">
        <v>846</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850</v>
      </c>
      <c r="D49" s="67" t="s">
        <v>852</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850</v>
      </c>
      <c r="D50" s="67" t="s">
        <v>853</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850</v>
      </c>
      <c r="D51" s="67" t="s">
        <v>854</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850</v>
      </c>
      <c r="D52" s="67" t="s">
        <v>540</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1062</v>
      </c>
      <c r="D53" s="69" t="s">
        <v>846</v>
      </c>
      <c r="E53" s="78">
        <v>1E-4</v>
      </c>
      <c r="F53" s="77">
        <v>9.3000000000000007</v>
      </c>
      <c r="G53" s="233"/>
      <c r="H53" s="233"/>
      <c r="I53" s="233"/>
      <c r="J53" s="233"/>
      <c r="K53" s="233"/>
      <c r="L53" s="233"/>
      <c r="M53" s="233"/>
      <c r="N53" s="233"/>
      <c r="O53" s="233"/>
      <c r="P53" s="233"/>
      <c r="Q53" s="233"/>
      <c r="R53" s="233"/>
      <c r="S53" s="233"/>
      <c r="T53" s="233"/>
      <c r="U53" s="233"/>
    </row>
    <row r="54" spans="1:21" ht="13" thickBot="1">
      <c r="A54" s="233"/>
      <c r="B54" s="233"/>
      <c r="C54" s="233"/>
      <c r="D54" s="246" t="s">
        <v>329</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37" t="s">
        <v>856</v>
      </c>
      <c r="E55" s="638">
        <v>1</v>
      </c>
      <c r="F55" s="71" t="s">
        <v>756</v>
      </c>
      <c r="G55" s="233"/>
      <c r="H55" s="233"/>
      <c r="I55" s="233"/>
      <c r="J55" s="233"/>
      <c r="K55" s="233"/>
      <c r="L55" s="233"/>
      <c r="M55" s="233"/>
      <c r="N55" s="233"/>
      <c r="O55" s="233"/>
      <c r="P55" s="233"/>
      <c r="Q55" s="233"/>
      <c r="R55" s="233"/>
      <c r="S55" s="233"/>
      <c r="T55" s="233"/>
      <c r="U55" s="233"/>
    </row>
    <row r="56" spans="1:21">
      <c r="A56" s="233"/>
      <c r="B56" s="345"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714</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3" sqref="B3"/>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684" t="s">
        <v>140</v>
      </c>
      <c r="C1" s="44"/>
      <c r="D1" s="617" t="str">
        <f>'Title Page'!F3</f>
        <v>OreSat - CS0</v>
      </c>
      <c r="E1" s="58" t="s">
        <v>714</v>
      </c>
      <c r="F1" s="58" t="s">
        <v>713</v>
      </c>
      <c r="G1" s="58"/>
      <c r="H1" s="58"/>
      <c r="I1" s="44"/>
      <c r="J1" s="44"/>
      <c r="K1" s="44"/>
      <c r="L1" s="44"/>
      <c r="M1" s="44"/>
      <c r="N1" s="44"/>
      <c r="O1" s="44"/>
      <c r="P1" s="44"/>
      <c r="Q1" s="44"/>
      <c r="R1" s="44"/>
    </row>
    <row r="2" spans="1:18" ht="20">
      <c r="A2" s="45" t="s">
        <v>800</v>
      </c>
      <c r="B2" s="44"/>
      <c r="C2" s="44"/>
      <c r="D2" s="58" t="str">
        <f>'Title Page'!G1</f>
        <v xml:space="preserve"> Version: 2.5.5</v>
      </c>
      <c r="E2" s="58"/>
      <c r="F2" s="58" t="str">
        <f>'Title Page'!F23</f>
        <v>2019 September 13</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772</v>
      </c>
      <c r="B5" s="23"/>
      <c r="C5" s="23"/>
      <c r="D5" s="23"/>
      <c r="E5" s="23"/>
      <c r="F5" s="23"/>
      <c r="G5" s="23"/>
      <c r="H5" s="23"/>
      <c r="I5" s="23"/>
      <c r="J5" s="23"/>
      <c r="K5" s="23"/>
      <c r="L5" s="23"/>
      <c r="M5" s="23"/>
      <c r="N5" s="23"/>
      <c r="O5" s="23"/>
      <c r="P5" s="23"/>
      <c r="Q5" s="23"/>
      <c r="R5" s="23"/>
    </row>
    <row r="6" spans="1:18">
      <c r="A6" s="91" t="s">
        <v>381</v>
      </c>
      <c r="B6" s="427">
        <f>Transmitters!E16</f>
        <v>10</v>
      </c>
      <c r="C6" s="91" t="s">
        <v>780</v>
      </c>
      <c r="D6" s="419" t="s">
        <v>384</v>
      </c>
      <c r="E6" s="419"/>
      <c r="F6" s="419"/>
      <c r="G6" s="419"/>
      <c r="H6" s="419"/>
      <c r="I6" s="419"/>
      <c r="J6" s="420" t="s">
        <v>413</v>
      </c>
      <c r="K6" s="411"/>
      <c r="L6" s="410"/>
      <c r="M6" s="91"/>
      <c r="N6" s="91"/>
      <c r="O6" s="91"/>
      <c r="P6" s="91"/>
      <c r="Q6" s="91"/>
      <c r="R6" s="91"/>
    </row>
    <row r="7" spans="1:18">
      <c r="A7" s="424" t="s">
        <v>786</v>
      </c>
      <c r="B7" s="132">
        <f>10*LOG10(B6)</f>
        <v>10</v>
      </c>
      <c r="C7" s="91" t="s">
        <v>781</v>
      </c>
      <c r="D7" s="419" t="s">
        <v>375</v>
      </c>
      <c r="E7" s="419"/>
      <c r="F7" s="419"/>
      <c r="G7" s="419"/>
      <c r="H7" s="419"/>
      <c r="I7" s="419"/>
      <c r="J7" s="91"/>
      <c r="K7" s="91"/>
      <c r="L7" s="91"/>
      <c r="M7" s="91"/>
      <c r="N7" s="91"/>
      <c r="O7" s="91"/>
      <c r="P7" s="91"/>
      <c r="Q7" s="91"/>
      <c r="R7" s="91"/>
    </row>
    <row r="8" spans="1:18">
      <c r="A8" s="424" t="s">
        <v>787</v>
      </c>
      <c r="B8" s="347">
        <f>B7+30</f>
        <v>40</v>
      </c>
      <c r="C8" s="91" t="s">
        <v>782</v>
      </c>
      <c r="D8" s="419" t="s">
        <v>376</v>
      </c>
      <c r="E8" s="419"/>
      <c r="F8" s="419"/>
      <c r="G8" s="419"/>
      <c r="H8" s="419"/>
      <c r="I8" s="419"/>
      <c r="J8" s="91"/>
      <c r="K8" s="91"/>
      <c r="L8" s="91"/>
      <c r="M8" s="91"/>
      <c r="N8" s="91"/>
      <c r="O8" s="91"/>
      <c r="P8" s="91"/>
      <c r="Q8" s="91"/>
      <c r="R8" s="91"/>
    </row>
    <row r="9" spans="1:18">
      <c r="A9" s="91" t="s">
        <v>382</v>
      </c>
      <c r="B9" s="428">
        <f>Transmitters!I43</f>
        <v>0.94</v>
      </c>
      <c r="C9" s="91" t="s">
        <v>756</v>
      </c>
      <c r="D9" s="419" t="s">
        <v>377</v>
      </c>
      <c r="E9" s="419"/>
      <c r="F9" s="419"/>
      <c r="G9" s="419"/>
      <c r="H9" s="419"/>
      <c r="I9" s="419"/>
      <c r="J9" s="91"/>
      <c r="K9" s="91"/>
      <c r="L9" s="91"/>
      <c r="M9" s="91"/>
      <c r="N9" s="91"/>
      <c r="O9" s="91"/>
      <c r="P9" s="91"/>
      <c r="Q9" s="91"/>
      <c r="R9" s="91"/>
    </row>
    <row r="10" spans="1:18">
      <c r="A10" s="91" t="s">
        <v>765</v>
      </c>
      <c r="B10" s="428">
        <f>INDEX('Antenna Gain'!N13:N16,'Antenna Gain'!E11,1)</f>
        <v>22.9</v>
      </c>
      <c r="C10" s="91" t="s">
        <v>36</v>
      </c>
      <c r="D10" s="419" t="s">
        <v>649</v>
      </c>
      <c r="E10" s="419"/>
      <c r="F10" s="419"/>
      <c r="G10" s="419"/>
      <c r="H10" s="419"/>
      <c r="I10" s="419"/>
      <c r="J10" s="91"/>
      <c r="K10" s="91"/>
      <c r="L10" s="91"/>
      <c r="M10" s="91"/>
      <c r="N10" s="91"/>
      <c r="O10" s="91"/>
      <c r="P10" s="91"/>
      <c r="Q10" s="91"/>
      <c r="R10" s="91"/>
    </row>
    <row r="11" spans="1:18">
      <c r="A11" s="91" t="s">
        <v>803</v>
      </c>
      <c r="B11" s="39">
        <f>B7-B9+B10</f>
        <v>31.96</v>
      </c>
      <c r="C11" s="91" t="s">
        <v>781</v>
      </c>
      <c r="D11" s="419" t="s">
        <v>802</v>
      </c>
      <c r="E11" s="419"/>
      <c r="F11" s="419"/>
      <c r="G11" s="419"/>
      <c r="H11" s="419"/>
      <c r="I11" s="419"/>
      <c r="J11" s="91"/>
      <c r="K11" s="91"/>
      <c r="L11" s="91"/>
      <c r="M11" s="91"/>
      <c r="N11" s="91"/>
      <c r="O11" s="91"/>
      <c r="P11" s="91"/>
      <c r="Q11" s="91"/>
      <c r="R11" s="91"/>
    </row>
    <row r="12" spans="1:18" ht="13">
      <c r="A12" s="63" t="s">
        <v>801</v>
      </c>
      <c r="B12" s="64"/>
      <c r="C12" s="23"/>
      <c r="D12" s="23"/>
      <c r="E12" s="23"/>
      <c r="F12" s="23"/>
      <c r="G12" s="23"/>
      <c r="H12" s="23"/>
      <c r="I12" s="23"/>
      <c r="J12" s="23"/>
      <c r="K12" s="23"/>
      <c r="L12" s="23"/>
      <c r="M12" s="23"/>
      <c r="N12" s="23"/>
      <c r="O12" s="23"/>
      <c r="P12" s="23"/>
      <c r="Q12" s="23"/>
      <c r="R12" s="23"/>
    </row>
    <row r="13" spans="1:18">
      <c r="A13" s="91" t="s">
        <v>793</v>
      </c>
      <c r="B13" s="428">
        <f>'Antenna Pointing Losses'!K43</f>
        <v>0.71302177034341041</v>
      </c>
      <c r="C13" s="91" t="s">
        <v>756</v>
      </c>
      <c r="D13" s="419" t="s">
        <v>650</v>
      </c>
      <c r="E13" s="419"/>
      <c r="F13" s="419"/>
      <c r="G13" s="419"/>
      <c r="H13" s="419"/>
      <c r="I13" s="419"/>
      <c r="J13" s="91"/>
      <c r="K13" s="91"/>
      <c r="L13" s="91"/>
      <c r="M13" s="91"/>
      <c r="N13" s="91"/>
      <c r="O13" s="91"/>
      <c r="P13" s="91"/>
      <c r="Q13" s="91"/>
      <c r="R13" s="91"/>
    </row>
    <row r="14" spans="1:18">
      <c r="A14" s="91" t="s">
        <v>386</v>
      </c>
      <c r="B14" s="427">
        <f>'Antenna Polarization Loss'!F40</f>
        <v>5.7437907597720189E-2</v>
      </c>
      <c r="C14" s="91" t="s">
        <v>756</v>
      </c>
      <c r="D14" s="419" t="s">
        <v>394</v>
      </c>
      <c r="E14" s="419"/>
      <c r="F14" s="419"/>
      <c r="G14" s="419"/>
      <c r="H14" s="419"/>
      <c r="I14" s="419"/>
      <c r="J14" s="91"/>
      <c r="K14" s="91"/>
      <c r="L14" s="91"/>
      <c r="M14" s="91"/>
      <c r="N14" s="91"/>
      <c r="O14" s="91"/>
      <c r="P14" s="91"/>
      <c r="Q14" s="91"/>
      <c r="R14" s="91"/>
    </row>
    <row r="15" spans="1:18">
      <c r="A15" s="91" t="s">
        <v>755</v>
      </c>
      <c r="B15" s="429">
        <f>Frequency!M12</f>
        <v>155.06808478490464</v>
      </c>
      <c r="C15" s="91" t="s">
        <v>756</v>
      </c>
      <c r="D15" s="419" t="s">
        <v>356</v>
      </c>
      <c r="E15" s="419"/>
      <c r="F15" s="419"/>
      <c r="G15" s="419"/>
      <c r="H15" s="419"/>
      <c r="I15" s="419"/>
      <c r="J15" s="91"/>
      <c r="K15" s="91"/>
      <c r="L15" s="91"/>
      <c r="M15" s="91"/>
      <c r="N15" s="91"/>
      <c r="O15" s="91"/>
      <c r="P15" s="91"/>
      <c r="Q15" s="91"/>
      <c r="R15" s="91"/>
    </row>
    <row r="16" spans="1:18">
      <c r="A16" s="91" t="s">
        <v>768</v>
      </c>
      <c r="B16" s="428">
        <f>'Atmos. &amp; Ionos. Losses'!D23</f>
        <v>0.3</v>
      </c>
      <c r="C16" s="91" t="s">
        <v>756</v>
      </c>
      <c r="D16" s="419" t="s">
        <v>278</v>
      </c>
      <c r="E16" s="419"/>
      <c r="F16" s="419"/>
      <c r="G16" s="419"/>
      <c r="H16" s="419"/>
      <c r="I16" s="419"/>
      <c r="J16" s="91"/>
      <c r="K16" s="91"/>
      <c r="L16" s="91"/>
      <c r="M16" s="91"/>
      <c r="N16" s="91"/>
      <c r="O16" s="91"/>
      <c r="P16" s="91"/>
      <c r="Q16" s="91"/>
      <c r="R16" s="91"/>
    </row>
    <row r="17" spans="1:18">
      <c r="A17" s="91" t="s">
        <v>769</v>
      </c>
      <c r="B17" s="428">
        <f>INDEX('Atmos. &amp; Ionos. Losses'!D32:D35,Frequency!L10,1)</f>
        <v>0.1</v>
      </c>
      <c r="C17" s="91" t="s">
        <v>756</v>
      </c>
      <c r="D17" s="419" t="s">
        <v>280</v>
      </c>
      <c r="E17" s="419"/>
      <c r="F17" s="419"/>
      <c r="G17" s="419"/>
      <c r="H17" s="419"/>
      <c r="I17" s="419"/>
      <c r="J17" s="91"/>
      <c r="K17" s="91"/>
      <c r="L17" s="91"/>
      <c r="M17" s="91"/>
      <c r="N17" s="91"/>
      <c r="O17" s="91"/>
      <c r="P17" s="91"/>
      <c r="Q17" s="91"/>
      <c r="R17" s="91"/>
    </row>
    <row r="18" spans="1:18">
      <c r="A18" s="91" t="s">
        <v>770</v>
      </c>
      <c r="B18" s="431">
        <v>0</v>
      </c>
      <c r="C18" s="91" t="s">
        <v>756</v>
      </c>
      <c r="D18" s="419" t="s">
        <v>288</v>
      </c>
      <c r="E18" s="419"/>
      <c r="F18" s="419"/>
      <c r="G18" s="419"/>
      <c r="H18" s="419"/>
      <c r="I18" s="419"/>
      <c r="J18" s="91"/>
      <c r="K18" s="91"/>
      <c r="L18" s="91"/>
      <c r="M18" s="91"/>
      <c r="N18" s="91"/>
      <c r="O18" s="91"/>
      <c r="P18" s="91"/>
      <c r="Q18" s="91"/>
      <c r="R18" s="91"/>
    </row>
    <row r="19" spans="1:18">
      <c r="A19" s="91" t="s">
        <v>469</v>
      </c>
      <c r="B19" s="39">
        <f>B11-SUM(B13:B18)</f>
        <v>-124.27854446284576</v>
      </c>
      <c r="C19" s="91" t="s">
        <v>781</v>
      </c>
      <c r="D19" s="419" t="s">
        <v>470</v>
      </c>
      <c r="E19" s="419"/>
      <c r="F19" s="419"/>
      <c r="G19" s="419"/>
      <c r="H19" s="419"/>
      <c r="I19" s="419"/>
      <c r="J19" s="91"/>
      <c r="K19" s="91"/>
      <c r="L19" s="91"/>
      <c r="M19" s="91"/>
      <c r="N19" s="91"/>
      <c r="O19" s="91"/>
      <c r="P19" s="91"/>
      <c r="Q19" s="91"/>
      <c r="R19" s="91"/>
    </row>
    <row r="20" spans="1:18" ht="13">
      <c r="A20" s="63" t="s">
        <v>412</v>
      </c>
      <c r="B20" s="23"/>
      <c r="C20" s="23"/>
      <c r="D20" s="23"/>
      <c r="E20" s="23"/>
      <c r="F20" s="23"/>
      <c r="G20" s="23"/>
      <c r="H20" s="23"/>
      <c r="I20" s="23"/>
      <c r="J20" s="36"/>
      <c r="K20" s="42"/>
      <c r="L20" s="42"/>
      <c r="M20" s="42"/>
      <c r="N20" s="46"/>
      <c r="O20" s="47"/>
      <c r="P20" s="47"/>
      <c r="Q20" s="47"/>
      <c r="R20" s="23"/>
    </row>
    <row r="21" spans="1:18" ht="13" outlineLevel="1">
      <c r="A21" s="63" t="s">
        <v>834</v>
      </c>
      <c r="B21" s="23"/>
      <c r="C21" s="23"/>
      <c r="D21" s="23"/>
      <c r="E21" s="23"/>
      <c r="F21" s="23"/>
      <c r="G21" s="23"/>
      <c r="H21" s="23"/>
      <c r="I21" s="23"/>
      <c r="J21" s="36"/>
      <c r="K21" s="42"/>
      <c r="L21" s="42"/>
      <c r="M21" s="42"/>
      <c r="N21" s="46"/>
      <c r="O21" s="47"/>
      <c r="P21" s="47"/>
      <c r="Q21" s="47"/>
      <c r="R21" s="23"/>
    </row>
    <row r="22" spans="1:18" outlineLevel="1">
      <c r="A22" s="426" t="s">
        <v>804</v>
      </c>
      <c r="B22" s="428">
        <f>'Antenna Pointing Losses'!K63</f>
        <v>0</v>
      </c>
      <c r="C22" s="91" t="s">
        <v>756</v>
      </c>
      <c r="D22" s="419" t="s">
        <v>872</v>
      </c>
      <c r="E22" s="419"/>
      <c r="F22" s="419"/>
      <c r="G22" s="419"/>
      <c r="H22" s="419"/>
      <c r="I22" s="419"/>
      <c r="J22" s="91"/>
      <c r="K22" s="429"/>
      <c r="L22" s="91"/>
      <c r="M22" s="91"/>
      <c r="N22" s="91"/>
      <c r="O22" s="91"/>
      <c r="P22" s="91"/>
      <c r="Q22" s="91"/>
      <c r="R22" s="91"/>
    </row>
    <row r="23" spans="1:18" outlineLevel="1">
      <c r="A23" s="91" t="s">
        <v>812</v>
      </c>
      <c r="B23" s="429">
        <f>INDEX('Antenna Gain'!H26:H32,'Antenna Gain'!E24,1)</f>
        <v>1.4</v>
      </c>
      <c r="C23" s="91" t="s">
        <v>36</v>
      </c>
      <c r="D23" s="419" t="s">
        <v>648</v>
      </c>
      <c r="E23" s="419"/>
      <c r="F23" s="419"/>
      <c r="G23" s="419"/>
      <c r="H23" s="419"/>
      <c r="I23" s="419"/>
      <c r="J23" s="91"/>
      <c r="K23" s="429"/>
      <c r="L23" s="91"/>
      <c r="M23" s="91"/>
      <c r="N23" s="91"/>
      <c r="O23" s="91"/>
      <c r="P23" s="91"/>
      <c r="Q23" s="91"/>
      <c r="R23" s="91"/>
    </row>
    <row r="24" spans="1:18" outlineLevel="1">
      <c r="A24" s="91" t="s">
        <v>276</v>
      </c>
      <c r="B24" s="428">
        <f>Receivers!J55</f>
        <v>3.77</v>
      </c>
      <c r="C24" s="91" t="s">
        <v>756</v>
      </c>
      <c r="D24" s="419" t="s">
        <v>398</v>
      </c>
      <c r="E24" s="419"/>
      <c r="F24" s="419"/>
      <c r="G24" s="419"/>
      <c r="H24" s="419"/>
      <c r="I24" s="419"/>
      <c r="J24" s="91"/>
      <c r="K24" s="91"/>
      <c r="L24" s="91"/>
      <c r="M24" s="91"/>
      <c r="N24" s="91"/>
      <c r="O24" s="91"/>
      <c r="P24" s="91"/>
      <c r="Q24" s="91"/>
      <c r="R24" s="91"/>
    </row>
    <row r="25" spans="1:18" outlineLevel="1">
      <c r="A25" s="91" t="s">
        <v>813</v>
      </c>
      <c r="B25" s="432">
        <f>Receivers!J70</f>
        <v>273.19297915415473</v>
      </c>
      <c r="C25" s="91" t="s">
        <v>784</v>
      </c>
      <c r="D25" s="419" t="s">
        <v>397</v>
      </c>
      <c r="E25" s="419"/>
      <c r="F25" s="419"/>
      <c r="G25" s="419"/>
      <c r="H25" s="419"/>
      <c r="I25" s="419"/>
      <c r="J25" s="91"/>
      <c r="K25" s="432"/>
      <c r="L25" s="91"/>
      <c r="M25" s="91"/>
      <c r="N25" s="91"/>
      <c r="O25" s="91"/>
      <c r="P25" s="91"/>
      <c r="Q25" s="91"/>
      <c r="R25" s="91"/>
    </row>
    <row r="26" spans="1:18" outlineLevel="1">
      <c r="A26" s="91" t="s">
        <v>814</v>
      </c>
      <c r="B26" s="429">
        <f>B23-B24-10*LOG10(B25)</f>
        <v>-26.734695341244713</v>
      </c>
      <c r="C26" s="91" t="s">
        <v>785</v>
      </c>
      <c r="D26" s="141" t="s">
        <v>369</v>
      </c>
      <c r="E26" s="419"/>
      <c r="F26" s="419"/>
      <c r="G26" s="419"/>
      <c r="H26" s="419"/>
      <c r="I26" s="419"/>
      <c r="J26" s="91"/>
      <c r="K26" s="429"/>
      <c r="L26" s="91"/>
      <c r="M26" s="91"/>
      <c r="N26" s="91"/>
      <c r="O26" s="91"/>
      <c r="P26" s="91"/>
      <c r="Q26" s="91"/>
      <c r="R26" s="91"/>
    </row>
    <row r="27" spans="1:18" outlineLevel="1">
      <c r="A27" s="91" t="s">
        <v>815</v>
      </c>
      <c r="B27" s="415">
        <f>B19-B22-F27+B26</f>
        <v>77.58676019590952</v>
      </c>
      <c r="C27" s="91" t="s">
        <v>790</v>
      </c>
      <c r="D27" s="437" t="s">
        <v>788</v>
      </c>
      <c r="E27" s="438"/>
      <c r="F27" s="438">
        <v>-228.6</v>
      </c>
      <c r="G27" s="439" t="s">
        <v>789</v>
      </c>
      <c r="H27" s="419"/>
      <c r="I27" s="419"/>
      <c r="J27" s="91"/>
      <c r="K27" s="301"/>
      <c r="L27" s="91"/>
      <c r="M27" s="91"/>
      <c r="N27" s="91"/>
      <c r="O27" s="91"/>
      <c r="P27" s="91"/>
      <c r="Q27" s="91"/>
      <c r="R27" s="91"/>
    </row>
    <row r="28" spans="1:18" outlineLevel="1">
      <c r="A28" s="91" t="s">
        <v>777</v>
      </c>
      <c r="B28" s="380">
        <v>1000000</v>
      </c>
      <c r="C28" s="91" t="s">
        <v>791</v>
      </c>
      <c r="D28" s="419" t="s">
        <v>298</v>
      </c>
      <c r="E28" s="419"/>
      <c r="F28" s="419"/>
      <c r="G28" s="419"/>
      <c r="H28" s="419"/>
      <c r="I28" s="419"/>
      <c r="J28" s="91"/>
      <c r="K28" s="444"/>
      <c r="L28" s="91"/>
      <c r="M28" s="91"/>
      <c r="N28" s="91"/>
      <c r="O28" s="91"/>
      <c r="P28" s="91"/>
      <c r="Q28" s="91"/>
      <c r="R28" s="91"/>
    </row>
    <row r="29" spans="1:18" outlineLevel="1">
      <c r="A29" s="424" t="s">
        <v>792</v>
      </c>
      <c r="B29" s="440">
        <f>10*LOG10(B28)</f>
        <v>60</v>
      </c>
      <c r="C29" s="91" t="s">
        <v>790</v>
      </c>
      <c r="D29" s="419" t="s">
        <v>299</v>
      </c>
      <c r="E29" s="419"/>
      <c r="F29" s="419"/>
      <c r="G29" s="419"/>
      <c r="H29" s="419"/>
      <c r="I29" s="419"/>
      <c r="J29" s="91"/>
      <c r="K29" s="301"/>
      <c r="L29" s="91"/>
      <c r="M29" s="91"/>
      <c r="N29" s="91"/>
      <c r="O29" s="91"/>
      <c r="P29" s="91"/>
      <c r="Q29" s="91"/>
      <c r="R29" s="91"/>
    </row>
    <row r="30" spans="1:18" outlineLevel="1">
      <c r="A30" s="91" t="s">
        <v>414</v>
      </c>
      <c r="B30" s="415">
        <f>B27-B29</f>
        <v>17.58676019590952</v>
      </c>
      <c r="C30" s="91" t="s">
        <v>756</v>
      </c>
      <c r="D30" s="419" t="s">
        <v>714</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399</v>
      </c>
      <c r="B32" s="447" t="str">
        <f>INDEX('Modulation-Demodulation Method'!C6:C24,'Modulation-Demodulation Method'!E3,1)</f>
        <v>DBPSK</v>
      </c>
      <c r="C32" s="425" t="s">
        <v>714</v>
      </c>
      <c r="D32" s="450" t="s">
        <v>402</v>
      </c>
      <c r="E32" s="419"/>
      <c r="F32" s="419"/>
      <c r="G32" s="419"/>
      <c r="H32" s="419"/>
      <c r="I32" s="419"/>
      <c r="J32" s="91"/>
      <c r="K32" s="301"/>
      <c r="L32" s="91"/>
      <c r="M32" s="91"/>
      <c r="N32" s="91"/>
      <c r="O32" s="91"/>
      <c r="P32" s="91"/>
      <c r="Q32" s="91"/>
      <c r="R32" s="91"/>
    </row>
    <row r="33" spans="1:18" outlineLevel="1">
      <c r="A33" s="91" t="s">
        <v>396</v>
      </c>
      <c r="B33" s="449" t="str">
        <f>INDEX('Modulation-Demodulation Method'!D6:D24,'Modulation-Demodulation Method'!E3,1)</f>
        <v>None</v>
      </c>
      <c r="C33" s="448"/>
      <c r="D33" s="423" t="s">
        <v>403</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301</v>
      </c>
      <c r="B35" s="416">
        <f>INDEX('Modulation-Demodulation Method'!E6:E24,'Modulation-Demodulation Method'!E3,1)</f>
        <v>1E-4</v>
      </c>
      <c r="C35" s="425"/>
      <c r="D35" s="423" t="s">
        <v>404</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332</v>
      </c>
      <c r="B37" s="453">
        <f>'Modulation-Demodulation Method'!E26</f>
        <v>1</v>
      </c>
      <c r="C37" s="91" t="s">
        <v>756</v>
      </c>
      <c r="D37" s="419" t="s">
        <v>406</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778</v>
      </c>
      <c r="B39" s="454">
        <f>INDEX('Modulation-Demodulation Method'!F6:F24,'Modulation-Demodulation Method'!E3,1)</f>
        <v>9.3000000000000007</v>
      </c>
      <c r="C39" s="91" t="s">
        <v>756</v>
      </c>
      <c r="D39" s="419" t="s">
        <v>407</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333</v>
      </c>
      <c r="B41" s="417">
        <f>'Modulation-Demodulation Method'!H5</f>
        <v>10.3</v>
      </c>
      <c r="C41" s="91" t="s">
        <v>756</v>
      </c>
      <c r="D41" s="419" t="s">
        <v>345</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779</v>
      </c>
      <c r="B43" s="40">
        <f>B30-B41</f>
        <v>7.286760195909519</v>
      </c>
      <c r="C43" s="91" t="s">
        <v>756</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816</v>
      </c>
      <c r="B47" s="42"/>
      <c r="C47" s="42"/>
      <c r="D47" s="42"/>
      <c r="E47" s="387" t="s">
        <v>410</v>
      </c>
      <c r="F47" s="47"/>
      <c r="G47" s="47"/>
      <c r="H47" s="47"/>
      <c r="I47" s="23"/>
      <c r="J47" s="23"/>
      <c r="K47" s="23"/>
      <c r="L47" s="23"/>
      <c r="M47" s="23"/>
      <c r="N47" s="23"/>
      <c r="O47" s="23"/>
      <c r="P47" s="23"/>
      <c r="Q47" s="23"/>
      <c r="R47" s="23"/>
    </row>
    <row r="48" spans="1:18" ht="13" outlineLevel="1">
      <c r="A48" s="36" t="s">
        <v>835</v>
      </c>
      <c r="B48" s="42"/>
      <c r="C48" s="42"/>
      <c r="D48" s="42"/>
      <c r="E48" s="46"/>
      <c r="F48" s="47"/>
      <c r="G48" s="47"/>
      <c r="H48" s="47"/>
      <c r="I48" s="23"/>
      <c r="J48" s="23"/>
      <c r="K48" s="23"/>
      <c r="L48" s="23"/>
      <c r="M48" s="23"/>
      <c r="N48" s="23"/>
      <c r="O48" s="23"/>
      <c r="P48" s="23"/>
      <c r="Q48" s="23"/>
      <c r="R48" s="23"/>
    </row>
    <row r="49" spans="1:18" outlineLevel="1">
      <c r="A49" s="91" t="s">
        <v>804</v>
      </c>
      <c r="B49" s="429">
        <f>'Antenna Pointing Losses'!K63</f>
        <v>0</v>
      </c>
      <c r="C49" s="91" t="s">
        <v>756</v>
      </c>
      <c r="D49" s="419" t="s">
        <v>872</v>
      </c>
      <c r="E49" s="419"/>
      <c r="F49" s="419"/>
      <c r="G49" s="419"/>
      <c r="H49" s="419"/>
      <c r="I49" s="419"/>
      <c r="J49" s="91"/>
      <c r="K49" s="91"/>
      <c r="L49" s="91"/>
      <c r="M49" s="91"/>
      <c r="N49" s="91"/>
      <c r="O49" s="91"/>
      <c r="P49" s="91"/>
      <c r="Q49" s="91"/>
      <c r="R49" s="91"/>
    </row>
    <row r="50" spans="1:18" outlineLevel="1">
      <c r="A50" s="91" t="s">
        <v>812</v>
      </c>
      <c r="B50" s="429">
        <f>INDEX('Antenna Gain'!H26:H32,'Antenna Gain'!E24,1)</f>
        <v>1.4</v>
      </c>
      <c r="C50" s="91" t="s">
        <v>36</v>
      </c>
      <c r="D50" s="419" t="s">
        <v>648</v>
      </c>
      <c r="E50" s="419"/>
      <c r="F50" s="419"/>
      <c r="G50" s="419"/>
      <c r="H50" s="419"/>
      <c r="I50" s="419"/>
      <c r="J50" s="91"/>
      <c r="K50" s="91"/>
      <c r="L50" s="91"/>
      <c r="M50" s="91"/>
      <c r="N50" s="91"/>
      <c r="O50" s="91"/>
      <c r="P50" s="91"/>
      <c r="Q50" s="91"/>
      <c r="R50" s="91"/>
    </row>
    <row r="51" spans="1:18" outlineLevel="1">
      <c r="A51" s="91" t="s">
        <v>276</v>
      </c>
      <c r="B51" s="429">
        <f>Receivers!J55</f>
        <v>3.77</v>
      </c>
      <c r="C51" s="91" t="s">
        <v>756</v>
      </c>
      <c r="D51" s="419" t="s">
        <v>398</v>
      </c>
      <c r="E51" s="419"/>
      <c r="F51" s="419"/>
      <c r="G51" s="419"/>
      <c r="H51" s="419"/>
      <c r="I51" s="419"/>
      <c r="J51" s="91"/>
      <c r="K51" s="91"/>
      <c r="L51" s="91"/>
      <c r="M51" s="91"/>
      <c r="N51" s="91"/>
      <c r="O51" s="91"/>
      <c r="P51" s="91"/>
      <c r="Q51" s="91"/>
      <c r="R51" s="91"/>
    </row>
    <row r="52" spans="1:18" outlineLevel="1">
      <c r="A52" s="91" t="s">
        <v>813</v>
      </c>
      <c r="B52" s="432">
        <f>Receivers!J70</f>
        <v>273.19297915415473</v>
      </c>
      <c r="C52" s="91" t="s">
        <v>784</v>
      </c>
      <c r="D52" s="419" t="s">
        <v>397</v>
      </c>
      <c r="E52" s="419"/>
      <c r="F52" s="419"/>
      <c r="G52" s="419"/>
      <c r="H52" s="419"/>
      <c r="I52" s="419"/>
      <c r="J52" s="91"/>
      <c r="K52" s="91"/>
      <c r="L52" s="91"/>
      <c r="M52" s="91"/>
      <c r="N52" s="91"/>
      <c r="O52" s="91"/>
      <c r="P52" s="91"/>
      <c r="Q52" s="91"/>
      <c r="R52" s="91"/>
    </row>
    <row r="53" spans="1:18" outlineLevel="1">
      <c r="A53" s="91" t="s">
        <v>814</v>
      </c>
      <c r="B53" s="429">
        <f>B50-B51-10*LOG10(B52)</f>
        <v>-26.734695341244713</v>
      </c>
      <c r="C53" s="91" t="s">
        <v>785</v>
      </c>
      <c r="D53" s="419" t="s">
        <v>370</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817</v>
      </c>
      <c r="B55" s="347">
        <f>B19-B49+B50-B51</f>
        <v>-126.64854446284575</v>
      </c>
      <c r="C55" s="91" t="s">
        <v>781</v>
      </c>
      <c r="D55" s="419" t="s">
        <v>371</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818</v>
      </c>
      <c r="B57" s="380">
        <v>1000000</v>
      </c>
      <c r="C57" s="91" t="s">
        <v>796</v>
      </c>
      <c r="D57" s="419" t="s">
        <v>408</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409</v>
      </c>
      <c r="B59" s="347">
        <f>F27+10*LOG10(B52)+10*LOG10(B57)</f>
        <v>-144.2353046587553</v>
      </c>
      <c r="C59" s="91" t="s">
        <v>781</v>
      </c>
      <c r="D59" s="419" t="s">
        <v>411</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798</v>
      </c>
      <c r="B61" s="415">
        <f>B55-B59</f>
        <v>17.586760195909548</v>
      </c>
      <c r="C61" s="91" t="s">
        <v>756</v>
      </c>
      <c r="D61" s="419" t="s">
        <v>373</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347</v>
      </c>
      <c r="B63" s="417">
        <f>'Modulation-Demodulation Method'!H5</f>
        <v>10.3</v>
      </c>
      <c r="C63" s="91" t="s">
        <v>756</v>
      </c>
      <c r="D63" s="419" t="s">
        <v>374</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368</v>
      </c>
      <c r="B65" s="40">
        <f>B61-B63</f>
        <v>7.2867601959095474</v>
      </c>
      <c r="C65" s="91" t="s">
        <v>756</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714</v>
      </c>
      <c r="C69" t="s">
        <v>714</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3" sqref="B3"/>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684" t="s">
        <v>140</v>
      </c>
      <c r="C1" s="44" t="s">
        <v>714</v>
      </c>
      <c r="D1" s="617" t="str">
        <f>'Title Page'!F3</f>
        <v>OreSat - CS0</v>
      </c>
      <c r="E1" s="58" t="s">
        <v>714</v>
      </c>
      <c r="F1" s="58" t="str">
        <f>'Title Page'!D23</f>
        <v>Date Data Last Modified:</v>
      </c>
      <c r="G1" s="58"/>
      <c r="H1" s="44"/>
      <c r="I1" s="44"/>
      <c r="J1" s="44"/>
      <c r="K1" s="44"/>
      <c r="L1" s="44"/>
      <c r="M1" s="44"/>
      <c r="N1" s="44"/>
      <c r="O1" s="44"/>
      <c r="P1" s="44"/>
      <c r="Q1" s="44"/>
      <c r="R1" s="44"/>
    </row>
    <row r="2" spans="1:18" ht="20">
      <c r="A2" s="45" t="s">
        <v>761</v>
      </c>
      <c r="B2" s="44"/>
      <c r="C2" s="44"/>
      <c r="D2" s="58" t="str">
        <f>'Title Page'!G1</f>
        <v xml:space="preserve"> Version: 2.5.5</v>
      </c>
      <c r="E2" s="58"/>
      <c r="F2" s="59" t="str">
        <f>'Title Page'!F23</f>
        <v>2019 September 13</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764</v>
      </c>
      <c r="B5" s="23"/>
      <c r="C5" s="23"/>
      <c r="D5" s="23"/>
      <c r="E5" s="23"/>
      <c r="F5" s="23"/>
      <c r="G5" s="23"/>
      <c r="H5" s="23"/>
      <c r="I5" s="23"/>
      <c r="J5" s="23"/>
      <c r="K5" s="23"/>
      <c r="L5" s="23"/>
      <c r="M5" s="23"/>
      <c r="N5" s="23"/>
      <c r="O5" s="23"/>
      <c r="P5" s="23"/>
      <c r="Q5" s="23"/>
      <c r="R5" s="23"/>
    </row>
    <row r="6" spans="1:18">
      <c r="A6" s="91" t="s">
        <v>824</v>
      </c>
      <c r="B6" s="427">
        <f>Transmitters!E60</f>
        <v>1.55</v>
      </c>
      <c r="C6" s="91" t="s">
        <v>780</v>
      </c>
      <c r="D6" s="419" t="s">
        <v>383</v>
      </c>
      <c r="E6" s="419"/>
      <c r="F6" s="419"/>
      <c r="G6" s="419"/>
      <c r="H6" s="419"/>
      <c r="I6" s="419"/>
      <c r="J6" s="419"/>
      <c r="K6" s="91"/>
      <c r="L6" s="420" t="s">
        <v>379</v>
      </c>
      <c r="M6" s="411"/>
      <c r="N6" s="411"/>
      <c r="O6" s="411"/>
      <c r="P6" s="411"/>
      <c r="Q6" s="410"/>
      <c r="R6" s="91"/>
    </row>
    <row r="7" spans="1:18">
      <c r="A7" s="424" t="s">
        <v>786</v>
      </c>
      <c r="B7" s="132">
        <f>10*LOG10(B6)</f>
        <v>1.903316981702915</v>
      </c>
      <c r="C7" s="91" t="s">
        <v>781</v>
      </c>
      <c r="D7" s="419" t="s">
        <v>375</v>
      </c>
      <c r="E7" s="419"/>
      <c r="F7" s="419"/>
      <c r="G7" s="419"/>
      <c r="H7" s="419"/>
      <c r="I7" s="419"/>
      <c r="J7" s="419"/>
      <c r="K7" s="91"/>
      <c r="L7" s="91"/>
      <c r="M7" s="91"/>
      <c r="N7" s="91"/>
      <c r="O7" s="91"/>
      <c r="P7" s="91"/>
      <c r="Q7" s="91"/>
      <c r="R7" s="91"/>
    </row>
    <row r="8" spans="1:18">
      <c r="A8" s="424" t="s">
        <v>787</v>
      </c>
      <c r="B8" s="347">
        <f>B7+30</f>
        <v>31.903316981702915</v>
      </c>
      <c r="C8" s="91" t="s">
        <v>782</v>
      </c>
      <c r="D8" s="419" t="s">
        <v>376</v>
      </c>
      <c r="E8" s="419"/>
      <c r="F8" s="419"/>
      <c r="G8" s="419"/>
      <c r="H8" s="419"/>
      <c r="I8" s="419"/>
      <c r="J8" s="419"/>
      <c r="K8" s="91"/>
      <c r="L8" s="91"/>
      <c r="M8" s="91"/>
      <c r="N8" s="91"/>
      <c r="O8" s="91"/>
      <c r="P8" s="91"/>
      <c r="Q8" s="91"/>
      <c r="R8" s="91"/>
    </row>
    <row r="9" spans="1:18">
      <c r="A9" s="91" t="s">
        <v>276</v>
      </c>
      <c r="B9" s="428">
        <f>Transmitters!I85</f>
        <v>1.5044</v>
      </c>
      <c r="C9" s="91" t="s">
        <v>756</v>
      </c>
      <c r="D9" s="419" t="s">
        <v>385</v>
      </c>
      <c r="E9" s="419"/>
      <c r="F9" s="419"/>
      <c r="G9" s="419"/>
      <c r="H9" s="419"/>
      <c r="I9" s="419"/>
      <c r="J9" s="419"/>
      <c r="K9" s="91"/>
      <c r="L9" s="91"/>
      <c r="M9" s="91"/>
      <c r="N9" s="91"/>
      <c r="O9" s="91"/>
      <c r="P9" s="91"/>
      <c r="Q9" s="91"/>
      <c r="R9" s="91"/>
    </row>
    <row r="10" spans="1:18">
      <c r="A10" s="91" t="s">
        <v>812</v>
      </c>
      <c r="B10" s="427">
        <f>INDEX('Antenna Gain'!H43:H49,'Antenna Gain'!E41,1)</f>
        <v>12</v>
      </c>
      <c r="C10" s="91" t="s">
        <v>36</v>
      </c>
      <c r="D10" s="419" t="s">
        <v>651</v>
      </c>
      <c r="E10" s="419"/>
      <c r="F10" s="419"/>
      <c r="G10" s="419"/>
      <c r="H10" s="419"/>
      <c r="I10" s="419"/>
      <c r="J10" s="419"/>
      <c r="K10" s="91"/>
      <c r="L10" s="91"/>
      <c r="M10" s="91"/>
      <c r="N10" s="91"/>
      <c r="O10" s="91"/>
      <c r="P10" s="91"/>
      <c r="Q10" s="91"/>
      <c r="R10" s="91"/>
    </row>
    <row r="11" spans="1:18">
      <c r="A11" s="91" t="s">
        <v>766</v>
      </c>
      <c r="B11" s="132">
        <f>B7-B9+B10</f>
        <v>12.398916981702914</v>
      </c>
      <c r="C11" s="91" t="s">
        <v>781</v>
      </c>
      <c r="D11" s="419" t="s">
        <v>799</v>
      </c>
      <c r="E11" s="419"/>
      <c r="F11" s="419"/>
      <c r="G11" s="419"/>
      <c r="H11" s="419"/>
      <c r="I11" s="419"/>
      <c r="J11" s="419"/>
      <c r="K11" s="91"/>
      <c r="L11" s="91"/>
      <c r="M11" s="91"/>
      <c r="N11" s="91"/>
      <c r="O11" s="91"/>
      <c r="P11" s="91"/>
      <c r="Q11" s="91"/>
      <c r="R11" s="91"/>
    </row>
    <row r="12" spans="1:18" ht="13">
      <c r="A12" s="63" t="s">
        <v>767</v>
      </c>
      <c r="B12" s="64"/>
      <c r="C12" s="23"/>
      <c r="D12" s="23"/>
      <c r="E12" s="23"/>
      <c r="F12" s="23"/>
      <c r="G12" s="23"/>
      <c r="H12" s="23"/>
      <c r="I12" s="23"/>
      <c r="J12" s="23"/>
      <c r="K12" s="23"/>
      <c r="L12" s="23"/>
      <c r="M12" s="23"/>
      <c r="N12" s="23"/>
      <c r="O12" s="23"/>
      <c r="P12" s="23"/>
      <c r="Q12" s="23"/>
      <c r="R12" s="23"/>
    </row>
    <row r="13" spans="1:18">
      <c r="A13" s="91" t="s">
        <v>804</v>
      </c>
      <c r="B13" s="428">
        <f>'Antenna Pointing Losses'!K85</f>
        <v>0</v>
      </c>
      <c r="C13" s="91" t="s">
        <v>756</v>
      </c>
      <c r="D13" s="419" t="s">
        <v>652</v>
      </c>
      <c r="E13" s="419"/>
      <c r="F13" s="419"/>
      <c r="G13" s="419"/>
      <c r="H13" s="419"/>
      <c r="I13" s="419"/>
      <c r="J13" s="419"/>
      <c r="K13" s="91"/>
      <c r="L13" s="91"/>
      <c r="M13" s="91"/>
      <c r="N13" s="91"/>
      <c r="O13" s="91"/>
      <c r="P13" s="91"/>
      <c r="Q13" s="91"/>
      <c r="R13" s="91"/>
    </row>
    <row r="14" spans="1:18">
      <c r="A14" s="91" t="s">
        <v>277</v>
      </c>
      <c r="B14" s="427">
        <f>'Antenna Polarization Loss'!F60</f>
        <v>5.7437907597720189E-2</v>
      </c>
      <c r="C14" s="91" t="s">
        <v>756</v>
      </c>
      <c r="D14" s="419" t="s">
        <v>380</v>
      </c>
      <c r="E14" s="419"/>
      <c r="F14" s="419"/>
      <c r="G14" s="419"/>
      <c r="H14" s="419"/>
      <c r="I14" s="419"/>
      <c r="J14" s="419"/>
      <c r="K14" s="91"/>
      <c r="L14" s="91"/>
      <c r="M14" s="91"/>
      <c r="N14" s="91"/>
      <c r="O14" s="91"/>
      <c r="P14" s="91"/>
      <c r="Q14" s="91"/>
      <c r="R14" s="91"/>
    </row>
    <row r="15" spans="1:18">
      <c r="A15" s="91" t="s">
        <v>755</v>
      </c>
      <c r="B15" s="429">
        <f>Frequency!M18</f>
        <v>155.06808478490464</v>
      </c>
      <c r="C15" s="91" t="s">
        <v>756</v>
      </c>
      <c r="D15" s="419" t="s">
        <v>356</v>
      </c>
      <c r="E15" s="419"/>
      <c r="F15" s="419"/>
      <c r="G15" s="419"/>
      <c r="H15" s="419"/>
      <c r="I15" s="419"/>
      <c r="J15" s="419"/>
      <c r="K15" s="91"/>
      <c r="L15" s="91"/>
      <c r="M15" s="91"/>
      <c r="N15" s="91"/>
      <c r="O15" s="91"/>
      <c r="P15" s="91"/>
      <c r="Q15" s="91"/>
      <c r="R15" s="91"/>
    </row>
    <row r="16" spans="1:18">
      <c r="A16" s="91" t="s">
        <v>810</v>
      </c>
      <c r="B16" s="430">
        <f>'Atmos. &amp; Ionos. Losses'!D23</f>
        <v>0.3</v>
      </c>
      <c r="C16" s="91" t="s">
        <v>756</v>
      </c>
      <c r="D16" s="419" t="s">
        <v>278</v>
      </c>
      <c r="E16" s="419"/>
      <c r="F16" s="419"/>
      <c r="G16" s="419"/>
      <c r="H16" s="419"/>
      <c r="I16" s="419"/>
      <c r="J16" s="419"/>
      <c r="K16" s="91"/>
      <c r="L16" s="91"/>
      <c r="M16" s="91"/>
      <c r="N16" s="91"/>
      <c r="O16" s="91"/>
      <c r="P16" s="91"/>
      <c r="Q16" s="91"/>
      <c r="R16" s="91"/>
    </row>
    <row r="17" spans="1:19">
      <c r="A17" s="91" t="s">
        <v>811</v>
      </c>
      <c r="B17" s="428">
        <f>INDEX('Atmos. &amp; Ionos. Losses'!D45:D48,Frequency!L16,1)</f>
        <v>0.1</v>
      </c>
      <c r="C17" s="91" t="s">
        <v>756</v>
      </c>
      <c r="D17" s="419" t="s">
        <v>280</v>
      </c>
      <c r="E17" s="419"/>
      <c r="F17" s="419"/>
      <c r="G17" s="419"/>
      <c r="H17" s="419"/>
      <c r="I17" s="419"/>
      <c r="J17" s="419"/>
      <c r="K17" s="91"/>
      <c r="L17" s="91"/>
      <c r="M17" s="91"/>
      <c r="N17" s="91"/>
      <c r="O17" s="91"/>
      <c r="P17" s="91"/>
      <c r="Q17" s="91"/>
      <c r="R17" s="91"/>
    </row>
    <row r="18" spans="1:19">
      <c r="A18" s="91" t="s">
        <v>805</v>
      </c>
      <c r="B18" s="431">
        <v>0</v>
      </c>
      <c r="C18" s="91" t="s">
        <v>756</v>
      </c>
      <c r="D18" s="419" t="s">
        <v>288</v>
      </c>
      <c r="E18" s="419"/>
      <c r="F18" s="419"/>
      <c r="G18" s="419"/>
      <c r="H18" s="419"/>
      <c r="I18" s="419"/>
      <c r="J18" s="419" t="s">
        <v>714</v>
      </c>
      <c r="K18" s="91"/>
      <c r="L18" s="91"/>
      <c r="M18" s="91"/>
      <c r="N18" s="91"/>
      <c r="O18" s="91"/>
      <c r="P18" s="91"/>
      <c r="Q18" s="91"/>
      <c r="R18" s="91"/>
    </row>
    <row r="19" spans="1:19">
      <c r="A19" s="91" t="s">
        <v>771</v>
      </c>
      <c r="B19" s="415">
        <f>B11-SUM(B13:B18)</f>
        <v>-143.12660571079945</v>
      </c>
      <c r="C19" s="91" t="s">
        <v>781</v>
      </c>
      <c r="D19" s="419" t="s">
        <v>395</v>
      </c>
      <c r="E19" s="419"/>
      <c r="F19" s="419"/>
      <c r="G19" s="419"/>
      <c r="H19" s="419"/>
      <c r="I19" s="419"/>
      <c r="J19" s="419"/>
      <c r="K19" s="91"/>
      <c r="L19" s="91"/>
      <c r="M19" s="91"/>
      <c r="N19" s="91"/>
      <c r="O19" s="91"/>
      <c r="P19" s="91"/>
      <c r="Q19" s="91"/>
      <c r="R19" s="91"/>
    </row>
    <row r="20" spans="1:19" ht="13">
      <c r="A20" s="63" t="s">
        <v>378</v>
      </c>
      <c r="B20" s="23"/>
      <c r="C20" s="23"/>
      <c r="D20" s="23"/>
      <c r="E20" s="23"/>
      <c r="F20" s="23"/>
      <c r="G20" s="23"/>
      <c r="H20" s="23"/>
      <c r="I20" s="23"/>
      <c r="J20" s="36" t="s">
        <v>714</v>
      </c>
      <c r="K20" s="42"/>
      <c r="L20" s="42"/>
      <c r="M20" s="42"/>
      <c r="N20" s="42"/>
      <c r="O20" s="23"/>
      <c r="P20" s="23"/>
      <c r="Q20" s="23"/>
      <c r="R20" s="23"/>
      <c r="S20" s="135"/>
    </row>
    <row r="21" spans="1:19" ht="13" outlineLevel="1">
      <c r="A21" s="63" t="s">
        <v>834</v>
      </c>
      <c r="B21" s="23"/>
      <c r="C21" s="23"/>
      <c r="D21" s="23"/>
      <c r="E21" s="23"/>
      <c r="F21" s="23"/>
      <c r="G21" s="23"/>
      <c r="H21" s="23"/>
      <c r="I21" s="23"/>
      <c r="J21" s="36" t="s">
        <v>714</v>
      </c>
      <c r="K21" s="42"/>
      <c r="L21" s="42"/>
      <c r="M21" s="42"/>
      <c r="N21" s="42"/>
      <c r="O21" s="23"/>
      <c r="P21" s="23"/>
      <c r="Q21" s="23"/>
      <c r="R21" s="23"/>
      <c r="S21" s="135"/>
    </row>
    <row r="22" spans="1:19" outlineLevel="1">
      <c r="A22" s="426" t="s">
        <v>793</v>
      </c>
      <c r="B22" s="428">
        <f>'Antenna Pointing Losses'!K102</f>
        <v>0.71302177034341041</v>
      </c>
      <c r="C22" s="91" t="s">
        <v>756</v>
      </c>
      <c r="D22" s="419" t="s">
        <v>656</v>
      </c>
      <c r="E22" s="419"/>
      <c r="F22" s="419"/>
      <c r="G22" s="419"/>
      <c r="H22" s="419"/>
      <c r="I22" s="419"/>
      <c r="J22" s="419"/>
      <c r="K22" s="429"/>
      <c r="L22" s="91"/>
      <c r="M22" s="91"/>
      <c r="N22" s="91"/>
      <c r="O22" s="91"/>
      <c r="P22" s="91"/>
      <c r="Q22" s="91"/>
      <c r="R22" s="91"/>
    </row>
    <row r="23" spans="1:19" outlineLevel="1">
      <c r="A23" s="91" t="s">
        <v>773</v>
      </c>
      <c r="B23" s="427">
        <f>INDEX('Antenna Gain'!N60:N63,'Antenna Gain'!E58,1)</f>
        <v>22.9</v>
      </c>
      <c r="C23" s="91" t="s">
        <v>36</v>
      </c>
      <c r="D23" s="419" t="s">
        <v>657</v>
      </c>
      <c r="E23" s="419"/>
      <c r="F23" s="419"/>
      <c r="G23" s="419"/>
      <c r="H23" s="419"/>
      <c r="I23" s="419"/>
      <c r="J23" s="419"/>
      <c r="K23" s="429"/>
      <c r="L23" s="91"/>
      <c r="M23" s="91"/>
      <c r="N23" s="91"/>
      <c r="O23" s="91"/>
      <c r="P23" s="91"/>
      <c r="Q23" s="91"/>
      <c r="R23" s="91"/>
    </row>
    <row r="24" spans="1:19" outlineLevel="1">
      <c r="A24" s="91" t="s">
        <v>295</v>
      </c>
      <c r="B24" s="428">
        <f>Receivers!J126</f>
        <v>3.06</v>
      </c>
      <c r="C24" s="91" t="s">
        <v>756</v>
      </c>
      <c r="D24" s="419" t="s">
        <v>296</v>
      </c>
      <c r="E24" s="419"/>
      <c r="F24" s="419"/>
      <c r="G24" s="419"/>
      <c r="H24" s="419"/>
      <c r="I24" s="419"/>
      <c r="J24" s="419"/>
      <c r="K24" s="91"/>
      <c r="L24" s="91"/>
      <c r="M24" s="91"/>
      <c r="N24" s="91"/>
      <c r="O24" s="91"/>
      <c r="P24" s="91"/>
      <c r="Q24" s="91"/>
      <c r="R24" s="91"/>
    </row>
    <row r="25" spans="1:19" outlineLevel="1">
      <c r="A25" s="91" t="s">
        <v>774</v>
      </c>
      <c r="B25" s="432">
        <f>Receivers!J149</f>
        <v>267.06990717861464</v>
      </c>
      <c r="C25" s="91" t="s">
        <v>784</v>
      </c>
      <c r="D25" s="419" t="s">
        <v>294</v>
      </c>
      <c r="E25" s="419"/>
      <c r="F25" s="419"/>
      <c r="G25" s="419"/>
      <c r="H25" s="419"/>
      <c r="I25" s="419"/>
      <c r="J25" s="419"/>
      <c r="K25" s="432"/>
      <c r="L25" s="91"/>
      <c r="M25" s="91"/>
      <c r="N25" s="91"/>
      <c r="O25" s="91"/>
      <c r="P25" s="91"/>
      <c r="Q25" s="91"/>
      <c r="R25" s="91"/>
    </row>
    <row r="26" spans="1:19" outlineLevel="1">
      <c r="A26" s="91" t="s">
        <v>775</v>
      </c>
      <c r="B26" s="429">
        <f>B23-B24-10*LOG10(B25)</f>
        <v>-4.4262495547721166</v>
      </c>
      <c r="C26" s="91" t="s">
        <v>785</v>
      </c>
      <c r="D26" s="419" t="s">
        <v>369</v>
      </c>
      <c r="E26" s="419"/>
      <c r="F26" s="419"/>
      <c r="G26" s="419"/>
      <c r="H26" s="419"/>
      <c r="I26" s="419"/>
      <c r="J26" s="419"/>
      <c r="K26" s="429"/>
      <c r="L26" s="91"/>
      <c r="M26" s="91"/>
      <c r="N26" s="91"/>
      <c r="O26" s="91"/>
      <c r="P26" s="91"/>
      <c r="Q26" s="91"/>
      <c r="R26" s="91"/>
    </row>
    <row r="27" spans="1:19" outlineLevel="1">
      <c r="A27" s="91" t="s">
        <v>776</v>
      </c>
      <c r="B27" s="415">
        <f>B19-B22-F27+B26</f>
        <v>80.334122964085026</v>
      </c>
      <c r="C27" s="91" t="s">
        <v>790</v>
      </c>
      <c r="D27" s="437" t="s">
        <v>788</v>
      </c>
      <c r="E27" s="438"/>
      <c r="F27" s="438">
        <v>-228.6</v>
      </c>
      <c r="G27" s="439" t="s">
        <v>789</v>
      </c>
      <c r="H27" s="192"/>
      <c r="I27" s="419"/>
      <c r="J27" s="419"/>
      <c r="K27" s="301"/>
      <c r="L27" s="91"/>
      <c r="M27" s="91"/>
      <c r="N27" s="91"/>
      <c r="O27" s="91"/>
      <c r="P27" s="91"/>
      <c r="Q27" s="91"/>
      <c r="R27" s="91"/>
    </row>
    <row r="28" spans="1:19" outlineLevel="1">
      <c r="A28" s="91" t="s">
        <v>777</v>
      </c>
      <c r="B28" s="380">
        <v>1000000</v>
      </c>
      <c r="C28" s="91" t="s">
        <v>791</v>
      </c>
      <c r="D28" s="419" t="s">
        <v>298</v>
      </c>
      <c r="E28" s="419"/>
      <c r="F28" s="419"/>
      <c r="G28" s="419"/>
      <c r="H28" s="419"/>
      <c r="I28" s="419"/>
      <c r="J28" s="419"/>
      <c r="K28" s="444"/>
      <c r="L28" s="91"/>
      <c r="M28" s="91"/>
      <c r="N28" s="91"/>
      <c r="O28" s="91"/>
      <c r="P28" s="91"/>
      <c r="Q28" s="91"/>
      <c r="R28" s="91"/>
    </row>
    <row r="29" spans="1:19" outlineLevel="1">
      <c r="A29" s="424" t="s">
        <v>792</v>
      </c>
      <c r="B29" s="440">
        <f>10*LOG10(B28)</f>
        <v>60</v>
      </c>
      <c r="C29" s="91" t="s">
        <v>790</v>
      </c>
      <c r="D29" s="419" t="s">
        <v>299</v>
      </c>
      <c r="E29" s="419"/>
      <c r="F29" s="419"/>
      <c r="G29" s="419"/>
      <c r="H29" s="419"/>
      <c r="I29" s="419"/>
      <c r="J29" s="419"/>
      <c r="K29" s="301"/>
      <c r="L29" s="91"/>
      <c r="M29" s="91"/>
      <c r="N29" s="91"/>
      <c r="O29" s="91"/>
      <c r="P29" s="91"/>
      <c r="Q29" s="91"/>
      <c r="R29" s="91"/>
    </row>
    <row r="30" spans="1:19" outlineLevel="1">
      <c r="A30" s="91" t="s">
        <v>297</v>
      </c>
      <c r="B30" s="415">
        <f>B27-B29</f>
        <v>20.334122964085026</v>
      </c>
      <c r="C30" s="91" t="s">
        <v>756</v>
      </c>
      <c r="D30" s="419" t="s">
        <v>714</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399</v>
      </c>
      <c r="B32" s="447" t="str">
        <f>INDEX('Modulation-Demodulation Method'!C34:C53,'Modulation-Demodulation Method'!E31,1)</f>
        <v>DBPSK</v>
      </c>
      <c r="C32" s="425" t="s">
        <v>714</v>
      </c>
      <c r="D32" s="450" t="s">
        <v>401</v>
      </c>
      <c r="E32" s="419"/>
      <c r="F32" s="419"/>
      <c r="G32" s="419"/>
      <c r="H32" s="419"/>
      <c r="I32" s="419"/>
      <c r="J32" s="302"/>
      <c r="K32" s="91"/>
      <c r="L32" s="91"/>
      <c r="M32" s="91"/>
      <c r="N32" s="91"/>
      <c r="O32" s="91"/>
      <c r="P32" s="91"/>
      <c r="Q32" s="91"/>
      <c r="R32" s="91"/>
    </row>
    <row r="33" spans="1:19" outlineLevel="1">
      <c r="A33" s="91" t="s">
        <v>396</v>
      </c>
      <c r="B33" s="449" t="str">
        <f>INDEX('Modulation-Demodulation Method'!D34:D53,'Modulation-Demodulation Method'!E31,1)</f>
        <v>None</v>
      </c>
      <c r="C33" s="448"/>
      <c r="D33" s="423" t="s">
        <v>400</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301</v>
      </c>
      <c r="B35" s="416">
        <f>INDEX('Modulation-Demodulation Method'!E34:E53,'Modulation-Demodulation Method'!E31,1)</f>
        <v>1E-4</v>
      </c>
      <c r="C35" s="425"/>
      <c r="D35" s="423" t="s">
        <v>344</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332</v>
      </c>
      <c r="B37" s="435">
        <f>'Modulation-Demodulation Method'!E55</f>
        <v>1</v>
      </c>
      <c r="C37" s="91" t="s">
        <v>756</v>
      </c>
      <c r="D37" s="419" t="s">
        <v>405</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778</v>
      </c>
      <c r="B39" s="454">
        <f>INDEX('Modulation-Demodulation Method'!F34:F53,'Modulation-Demodulation Method'!E31,1)</f>
        <v>9.3000000000000007</v>
      </c>
      <c r="C39" s="91" t="s">
        <v>756</v>
      </c>
      <c r="D39" s="419" t="s">
        <v>300</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333</v>
      </c>
      <c r="B41" s="417">
        <f>'Modulation-Demodulation Method'!H33</f>
        <v>10.3</v>
      </c>
      <c r="C41" s="91" t="s">
        <v>756</v>
      </c>
      <c r="D41" s="419" t="s">
        <v>345</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779</v>
      </c>
      <c r="B43" s="40">
        <f>B30-B41</f>
        <v>10.034122964085025</v>
      </c>
      <c r="C43" s="91" t="s">
        <v>756</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714</v>
      </c>
      <c r="E45" s="141"/>
      <c r="F45" s="141"/>
      <c r="G45" s="141"/>
      <c r="H45" s="141"/>
      <c r="I45" s="141"/>
      <c r="J45" s="141"/>
      <c r="K45" s="98"/>
      <c r="L45" s="98"/>
      <c r="M45" s="98"/>
      <c r="N45" s="98"/>
      <c r="O45" s="98"/>
      <c r="P45" s="98"/>
      <c r="Q45" s="98"/>
      <c r="R45" s="98"/>
      <c r="S45" s="418"/>
    </row>
    <row r="46" spans="1:19" ht="13">
      <c r="A46" s="443" t="s">
        <v>794</v>
      </c>
      <c r="B46" s="42"/>
      <c r="C46" s="42"/>
      <c r="D46" s="42"/>
      <c r="E46" s="42"/>
      <c r="F46" s="23"/>
      <c r="G46" s="23"/>
      <c r="H46" s="23"/>
      <c r="I46" s="23"/>
      <c r="J46" s="23"/>
      <c r="K46" s="23"/>
      <c r="L46" s="23"/>
      <c r="M46" s="23"/>
      <c r="N46" s="23"/>
      <c r="O46" s="23"/>
      <c r="P46" s="23"/>
      <c r="Q46" s="23"/>
      <c r="R46" s="23"/>
    </row>
    <row r="47" spans="1:19" ht="13" outlineLevel="1">
      <c r="A47" s="36" t="s">
        <v>835</v>
      </c>
      <c r="B47" s="42"/>
      <c r="C47" s="42"/>
      <c r="D47" s="42"/>
      <c r="E47" s="42"/>
      <c r="F47" s="23"/>
      <c r="G47" s="23"/>
      <c r="H47" s="23"/>
      <c r="I47" s="23"/>
      <c r="J47" s="23"/>
      <c r="K47" s="23"/>
      <c r="L47" s="23"/>
      <c r="M47" s="23"/>
      <c r="N47" s="23"/>
      <c r="O47" s="23"/>
      <c r="P47" s="23"/>
      <c r="Q47" s="23"/>
      <c r="R47" s="23"/>
    </row>
    <row r="48" spans="1:19" outlineLevel="1">
      <c r="A48" s="91" t="s">
        <v>793</v>
      </c>
      <c r="B48" s="429">
        <f>'Antenna Pointing Losses'!K102</f>
        <v>0.71302177034341041</v>
      </c>
      <c r="C48" s="91" t="s">
        <v>756</v>
      </c>
      <c r="D48" s="419" t="s">
        <v>656</v>
      </c>
      <c r="E48" s="419"/>
      <c r="F48" s="419"/>
      <c r="G48" s="419"/>
      <c r="H48" s="419"/>
      <c r="I48" s="419"/>
      <c r="J48" s="419"/>
      <c r="K48" s="91"/>
      <c r="L48" s="91"/>
      <c r="M48" s="91"/>
      <c r="N48" s="91"/>
      <c r="O48" s="91"/>
      <c r="P48" s="91"/>
      <c r="Q48" s="91"/>
      <c r="R48" s="91"/>
    </row>
    <row r="49" spans="1:18" outlineLevel="1">
      <c r="A49" s="91" t="s">
        <v>773</v>
      </c>
      <c r="B49" s="429">
        <f>INDEX('Antenna Gain'!N60:N63,'Antenna Gain'!E58,1)</f>
        <v>22.9</v>
      </c>
      <c r="C49" s="91" t="s">
        <v>36</v>
      </c>
      <c r="D49" s="419" t="s">
        <v>657</v>
      </c>
      <c r="E49" s="419"/>
      <c r="F49" s="419"/>
      <c r="G49" s="419"/>
      <c r="H49" s="419"/>
      <c r="I49" s="419"/>
      <c r="J49" s="419"/>
      <c r="K49" s="91"/>
      <c r="L49" s="91"/>
      <c r="M49" s="91"/>
      <c r="N49" s="91"/>
      <c r="O49" s="91"/>
      <c r="P49" s="91"/>
      <c r="Q49" s="91"/>
      <c r="R49" s="91"/>
    </row>
    <row r="50" spans="1:18" outlineLevel="1">
      <c r="A50" s="91" t="s">
        <v>295</v>
      </c>
      <c r="B50" s="429">
        <f>Receivers!J126</f>
        <v>3.06</v>
      </c>
      <c r="C50" s="91" t="s">
        <v>756</v>
      </c>
      <c r="D50" s="419" t="s">
        <v>296</v>
      </c>
      <c r="E50" s="419"/>
      <c r="F50" s="419"/>
      <c r="G50" s="419"/>
      <c r="H50" s="419"/>
      <c r="I50" s="419"/>
      <c r="J50" s="419"/>
      <c r="K50" s="91"/>
      <c r="L50" s="91"/>
      <c r="M50" s="91"/>
      <c r="N50" s="91"/>
      <c r="O50" s="91"/>
      <c r="P50" s="91"/>
      <c r="Q50" s="91"/>
      <c r="R50" s="91"/>
    </row>
    <row r="51" spans="1:18" outlineLevel="1">
      <c r="A51" s="91" t="s">
        <v>774</v>
      </c>
      <c r="B51" s="432">
        <f>Receivers!J149</f>
        <v>267.06990717861464</v>
      </c>
      <c r="C51" s="91" t="s">
        <v>784</v>
      </c>
      <c r="D51" s="419" t="s">
        <v>294</v>
      </c>
      <c r="E51" s="419"/>
      <c r="F51" s="419"/>
      <c r="G51" s="419"/>
      <c r="H51" s="419"/>
      <c r="I51" s="419"/>
      <c r="J51" s="419"/>
      <c r="K51" s="91"/>
      <c r="L51" s="91"/>
      <c r="M51" s="91"/>
      <c r="N51" s="91"/>
      <c r="O51" s="91"/>
      <c r="P51" s="91"/>
      <c r="Q51" s="91"/>
      <c r="R51" s="91"/>
    </row>
    <row r="52" spans="1:18" outlineLevel="1">
      <c r="A52" s="91" t="s">
        <v>775</v>
      </c>
      <c r="B52" s="429">
        <f>B49-B50-10*LOG10(B51)</f>
        <v>-4.4262495547721166</v>
      </c>
      <c r="C52" s="91" t="s">
        <v>785</v>
      </c>
      <c r="D52" s="419" t="s">
        <v>370</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795</v>
      </c>
      <c r="B54" s="347">
        <f>B19+B49-B48-B50</f>
        <v>-123.99962748114287</v>
      </c>
      <c r="C54" s="91" t="s">
        <v>781</v>
      </c>
      <c r="D54" s="419" t="s">
        <v>371</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372</v>
      </c>
      <c r="B56" s="380">
        <v>1000000</v>
      </c>
      <c r="C56" s="91" t="s">
        <v>796</v>
      </c>
      <c r="D56" s="419" t="s">
        <v>346</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797</v>
      </c>
      <c r="B58" s="347">
        <f>F27+10*LOG10(B51)+10*LOG10(B56)</f>
        <v>-144.33375044522788</v>
      </c>
      <c r="C58" s="91" t="s">
        <v>781</v>
      </c>
      <c r="D58" s="419" t="s">
        <v>411</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798</v>
      </c>
      <c r="B60" s="415">
        <f>B54-B58</f>
        <v>20.334122964085012</v>
      </c>
      <c r="C60" s="91" t="s">
        <v>756</v>
      </c>
      <c r="D60" s="419" t="s">
        <v>373</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347</v>
      </c>
      <c r="B62" s="417">
        <f>'Modulation-Demodulation Method'!H33</f>
        <v>10.3</v>
      </c>
      <c r="C62" s="91" t="s">
        <v>756</v>
      </c>
      <c r="D62" s="419" t="s">
        <v>374</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368</v>
      </c>
      <c r="B64" s="40">
        <f>B60-B62</f>
        <v>10.034122964085011</v>
      </c>
      <c r="C64" s="91" t="s">
        <v>756</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714</v>
      </c>
    </row>
    <row r="69" spans="1:18">
      <c r="D69" s="418"/>
      <c r="E69" s="418"/>
      <c r="F69" s="418"/>
    </row>
    <row r="78" spans="1:18">
      <c r="G78" s="418"/>
      <c r="H78" s="418"/>
      <c r="I78" s="418"/>
    </row>
    <row r="92" spans="2:2">
      <c r="B92" t="s">
        <v>714</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2"/>
  <sheetViews>
    <sheetView zoomScaleNormal="100" workbookViewId="0">
      <selection activeCell="Q5" sqref="Q5"/>
    </sheetView>
  </sheetViews>
  <sheetFormatPr defaultColWidth="8.81640625" defaultRowHeight="12.5"/>
  <cols>
    <col min="1" max="1" width="12.54296875" style="976" customWidth="1"/>
    <col min="2" max="2" width="8.81640625" style="976"/>
    <col min="3" max="3" width="9.453125" style="976" customWidth="1"/>
    <col min="4" max="4" width="12.36328125" style="976" bestFit="1" customWidth="1"/>
    <col min="5" max="5" width="10.1796875" style="976" customWidth="1"/>
    <col min="6" max="6" width="12.453125" style="976" customWidth="1"/>
    <col min="7" max="7" width="14.26953125" style="976" bestFit="1" customWidth="1"/>
    <col min="8" max="8" width="3.54296875" style="976" customWidth="1"/>
    <col min="9" max="9" width="3.81640625" style="976" customWidth="1"/>
    <col min="10" max="10" width="9.453125" style="976" customWidth="1"/>
    <col min="11" max="11" width="10.453125" style="976" customWidth="1"/>
    <col min="12" max="12" width="12.36328125" style="976" bestFit="1" customWidth="1"/>
    <col min="13" max="13" width="10.453125" style="976" customWidth="1"/>
    <col min="14" max="14" width="12.1796875" style="976" customWidth="1"/>
    <col min="15" max="15" width="12.453125" style="976" bestFit="1" customWidth="1"/>
    <col min="16" max="16384" width="8.81640625" style="976"/>
  </cols>
  <sheetData>
    <row r="1" spans="1:17" ht="18.5" thickBot="1">
      <c r="A1" s="973" t="s">
        <v>415</v>
      </c>
      <c r="B1" s="974"/>
      <c r="C1" s="974"/>
      <c r="D1" s="974"/>
      <c r="E1" s="974"/>
      <c r="F1" s="974"/>
      <c r="G1" s="974"/>
      <c r="H1" s="974"/>
      <c r="I1" s="975"/>
      <c r="J1" s="1052" t="str">
        <f>'Title Page'!F3 &amp; "  /  " &amp; 'Title Page'!F16</f>
        <v>OreSat - CS0  /  S Band 802.11 Bulk Mission Data Uplink &amp; Downlink using UniClOGS</v>
      </c>
      <c r="K1" s="975"/>
      <c r="L1" s="975"/>
      <c r="M1" s="975"/>
      <c r="N1" s="975"/>
      <c r="O1" s="975"/>
      <c r="P1" s="975"/>
      <c r="Q1" s="1051" t="str">
        <f>'Title Page'!F23</f>
        <v>2019 September 13</v>
      </c>
    </row>
    <row r="2" spans="1:17" ht="13">
      <c r="A2" s="977"/>
      <c r="B2" s="1060" t="s">
        <v>1069</v>
      </c>
      <c r="C2" s="1060"/>
      <c r="D2" s="978"/>
      <c r="E2" s="978"/>
      <c r="F2" s="978"/>
      <c r="G2" s="978" t="s">
        <v>714</v>
      </c>
      <c r="H2" s="979"/>
      <c r="I2" s="980"/>
      <c r="J2" s="1060" t="s">
        <v>1069</v>
      </c>
      <c r="K2" s="1060"/>
      <c r="L2" s="978"/>
      <c r="M2" s="978"/>
      <c r="N2" s="978"/>
      <c r="O2" s="978"/>
      <c r="P2" s="978"/>
      <c r="Q2" s="979"/>
    </row>
    <row r="3" spans="1:17" ht="15" customHeight="1">
      <c r="A3" s="981"/>
      <c r="B3" s="1061" t="s">
        <v>1003</v>
      </c>
      <c r="C3" s="1062"/>
      <c r="D3" s="982"/>
      <c r="E3" s="983" t="s">
        <v>752</v>
      </c>
      <c r="F3" s="984">
        <f>Frequency!M10</f>
        <v>2422</v>
      </c>
      <c r="G3" s="982"/>
      <c r="H3" s="985"/>
      <c r="I3" s="981"/>
      <c r="J3" s="1061" t="s">
        <v>422</v>
      </c>
      <c r="K3" s="1063"/>
      <c r="L3" s="982"/>
      <c r="M3" s="983" t="s">
        <v>752</v>
      </c>
      <c r="N3" s="984">
        <f>Frequency!M16</f>
        <v>2422</v>
      </c>
      <c r="O3" s="982"/>
      <c r="P3" s="982"/>
      <c r="Q3" s="985"/>
    </row>
    <row r="4" spans="1:17" ht="13" thickBot="1">
      <c r="A4" s="981"/>
      <c r="B4" s="982"/>
      <c r="C4" s="982"/>
      <c r="D4" s="982"/>
      <c r="E4" s="982"/>
      <c r="F4" s="982"/>
      <c r="G4" s="982"/>
      <c r="H4" s="985"/>
      <c r="I4" s="981"/>
      <c r="J4" s="982"/>
      <c r="K4" s="982"/>
      <c r="L4" s="982"/>
      <c r="M4" s="982"/>
      <c r="N4" s="982"/>
      <c r="O4" s="982"/>
      <c r="P4" s="982"/>
      <c r="Q4" s="985"/>
    </row>
    <row r="5" spans="1:17" ht="13.5" thickBot="1">
      <c r="A5" s="986" t="s">
        <v>1013</v>
      </c>
      <c r="B5" s="987" t="s">
        <v>1014</v>
      </c>
      <c r="C5" s="988">
        <f>'Uplink Budget'!B30</f>
        <v>17.58676019590952</v>
      </c>
      <c r="D5" s="982"/>
      <c r="E5" s="989" t="s">
        <v>417</v>
      </c>
      <c r="F5" s="990">
        <f>'Uplink Budget'!B43</f>
        <v>7.286760195909519</v>
      </c>
      <c r="G5" s="991" t="str">
        <f>IF(F5&lt;0,"NO LINK !",IF(F5&lt;6,"MARGINAL LINK",IF(F5&gt;6,"LINK CLOSES")))</f>
        <v>LINK CLOSES</v>
      </c>
      <c r="H5" s="985"/>
      <c r="I5" s="981"/>
      <c r="J5" s="982"/>
      <c r="K5" s="987" t="s">
        <v>1004</v>
      </c>
      <c r="L5" s="992">
        <f>'Downlink Budget'!B28</f>
        <v>1000000</v>
      </c>
      <c r="M5" s="982"/>
      <c r="N5" s="982"/>
      <c r="O5" s="982"/>
      <c r="P5" s="982"/>
      <c r="Q5" s="985"/>
    </row>
    <row r="6" spans="1:17" ht="13" thickBot="1">
      <c r="A6" s="981"/>
      <c r="B6" s="982"/>
      <c r="C6" s="982"/>
      <c r="D6" s="982"/>
      <c r="E6" s="982"/>
      <c r="F6" s="982"/>
      <c r="G6" s="993" t="s">
        <v>714</v>
      </c>
      <c r="H6" s="985"/>
      <c r="I6" s="981"/>
      <c r="J6" s="982"/>
      <c r="K6" s="982"/>
      <c r="L6" s="982"/>
      <c r="M6" s="982"/>
      <c r="N6" s="1064" t="s">
        <v>1005</v>
      </c>
      <c r="O6" s="1065"/>
      <c r="P6" s="982"/>
      <c r="Q6" s="985"/>
    </row>
    <row r="7" spans="1:17" ht="13.5" thickBot="1">
      <c r="A7" s="986" t="s">
        <v>420</v>
      </c>
      <c r="B7" s="987" t="s">
        <v>1006</v>
      </c>
      <c r="C7" s="988">
        <f>'Uplink Budget'!B61</f>
        <v>17.586760195909548</v>
      </c>
      <c r="D7" s="982"/>
      <c r="E7" s="989" t="s">
        <v>417</v>
      </c>
      <c r="F7" s="990">
        <f>'Uplink Budget'!B65</f>
        <v>7.2867601959095474</v>
      </c>
      <c r="G7" s="991" t="str">
        <f>IF(F7&lt;0,"NO LINK !",IF(F7&lt;6,"MARGINAL LINK",IF(F7&gt;6,"LINK CLOSES")))</f>
        <v>LINK CLOSES</v>
      </c>
      <c r="H7" s="985"/>
      <c r="I7" s="981"/>
      <c r="J7" s="982"/>
      <c r="K7" s="994"/>
      <c r="L7" s="982"/>
      <c r="M7" s="982"/>
      <c r="N7" s="1058" t="str">
        <f>'Downlink Budget'!B32</f>
        <v>DBPSK</v>
      </c>
      <c r="O7" s="1059"/>
      <c r="P7" s="982"/>
      <c r="Q7" s="985"/>
    </row>
    <row r="8" spans="1:17" ht="13">
      <c r="A8" s="981"/>
      <c r="B8" s="982"/>
      <c r="C8" s="995"/>
      <c r="D8" s="982"/>
      <c r="E8" s="982"/>
      <c r="F8" s="996"/>
      <c r="G8" s="982"/>
      <c r="H8" s="985"/>
      <c r="I8" s="981"/>
      <c r="J8" s="982"/>
      <c r="K8" s="994"/>
      <c r="L8" s="982"/>
      <c r="M8" s="982"/>
      <c r="N8" s="982"/>
      <c r="O8" s="982"/>
      <c r="P8" s="982"/>
      <c r="Q8" s="985"/>
    </row>
    <row r="9" spans="1:17" ht="13">
      <c r="A9" s="997" t="s">
        <v>140</v>
      </c>
      <c r="B9" s="982"/>
      <c r="C9" s="995"/>
      <c r="D9" s="982"/>
      <c r="E9" s="982"/>
      <c r="F9" s="996"/>
      <c r="G9" s="982"/>
      <c r="H9" s="985"/>
      <c r="I9" s="981"/>
      <c r="J9" s="982"/>
      <c r="K9" s="994"/>
      <c r="L9" s="982"/>
      <c r="M9" s="982"/>
      <c r="N9" s="1064" t="s">
        <v>1007</v>
      </c>
      <c r="O9" s="1065"/>
      <c r="P9" s="982"/>
      <c r="Q9" s="985"/>
    </row>
    <row r="10" spans="1:17">
      <c r="A10" s="981"/>
      <c r="B10" s="982"/>
      <c r="C10" s="987" t="s">
        <v>1004</v>
      </c>
      <c r="D10" s="992">
        <f>'Uplink Budget'!B28</f>
        <v>1000000</v>
      </c>
      <c r="E10" s="982"/>
      <c r="F10" s="982"/>
      <c r="G10" s="982"/>
      <c r="H10" s="985"/>
      <c r="I10" s="981"/>
      <c r="J10" s="982"/>
      <c r="K10" s="982"/>
      <c r="L10" s="982"/>
      <c r="M10" s="982"/>
      <c r="N10" s="1058" t="str">
        <f>'Downlink Budget'!B33</f>
        <v>None</v>
      </c>
      <c r="O10" s="1059"/>
      <c r="P10" s="982"/>
      <c r="Q10" s="985"/>
    </row>
    <row r="11" spans="1:17">
      <c r="A11" s="981"/>
      <c r="B11" s="982"/>
      <c r="C11" s="982"/>
      <c r="D11" s="982"/>
      <c r="E11" s="982"/>
      <c r="F11" s="982"/>
      <c r="G11" s="982"/>
      <c r="H11" s="985"/>
      <c r="I11" s="981"/>
      <c r="J11" s="982"/>
      <c r="K11" s="982"/>
      <c r="L11" s="982"/>
      <c r="M11" s="982"/>
      <c r="N11" s="982"/>
      <c r="O11" s="982"/>
      <c r="P11" s="982"/>
      <c r="Q11" s="985"/>
    </row>
    <row r="12" spans="1:17">
      <c r="A12" s="981"/>
      <c r="B12" s="982"/>
      <c r="C12" s="982"/>
      <c r="D12" s="982"/>
      <c r="E12" s="982"/>
      <c r="F12" s="982"/>
      <c r="G12" s="982"/>
      <c r="H12" s="985"/>
      <c r="I12" s="981"/>
      <c r="J12" s="982"/>
      <c r="K12" s="982"/>
      <c r="L12" s="982"/>
      <c r="M12" s="982"/>
      <c r="N12" s="982"/>
      <c r="O12" s="982"/>
      <c r="P12" s="982"/>
      <c r="Q12" s="985"/>
    </row>
    <row r="13" spans="1:17" ht="15.5">
      <c r="A13" s="981"/>
      <c r="B13" s="982"/>
      <c r="C13" s="982"/>
      <c r="D13" s="982" t="s">
        <v>714</v>
      </c>
      <c r="E13" s="982"/>
      <c r="F13" s="1064" t="s">
        <v>1008</v>
      </c>
      <c r="G13" s="1065"/>
      <c r="H13" s="985"/>
      <c r="I13" s="981"/>
      <c r="J13" s="982"/>
      <c r="K13" s="982"/>
      <c r="L13" s="982"/>
      <c r="M13" s="982"/>
      <c r="N13" s="998" t="s">
        <v>1015</v>
      </c>
      <c r="O13" s="999">
        <v>0.3</v>
      </c>
      <c r="P13" s="982"/>
      <c r="Q13" s="985"/>
    </row>
    <row r="14" spans="1:17">
      <c r="A14" s="981"/>
      <c r="B14" s="982"/>
      <c r="C14" s="982"/>
      <c r="D14" s="982"/>
      <c r="E14" s="982"/>
      <c r="F14" s="1058" t="str">
        <f>'Uplink Budget'!B33</f>
        <v>None</v>
      </c>
      <c r="G14" s="1059"/>
      <c r="H14" s="985"/>
      <c r="I14" s="981"/>
      <c r="J14" s="982"/>
      <c r="K14" s="982"/>
      <c r="L14" s="982"/>
      <c r="M14" s="982"/>
      <c r="N14" s="982"/>
      <c r="O14" s="982"/>
      <c r="P14" s="982"/>
      <c r="Q14" s="985"/>
    </row>
    <row r="15" spans="1:17" ht="15.5">
      <c r="A15" s="981"/>
      <c r="B15" s="982"/>
      <c r="C15" s="982"/>
      <c r="D15" s="982"/>
      <c r="E15" s="982"/>
      <c r="F15" s="982"/>
      <c r="G15" s="982"/>
      <c r="H15" s="985"/>
      <c r="I15" s="981"/>
      <c r="J15" s="982"/>
      <c r="K15" s="982"/>
      <c r="L15" s="982"/>
      <c r="M15" s="982"/>
      <c r="N15" s="987" t="s">
        <v>1040</v>
      </c>
      <c r="O15" s="1039">
        <f>O19/O13</f>
        <v>5.166666666666667</v>
      </c>
      <c r="P15" s="982"/>
      <c r="Q15" s="985"/>
    </row>
    <row r="16" spans="1:17">
      <c r="A16" s="981"/>
      <c r="B16" s="982"/>
      <c r="C16" s="982"/>
      <c r="D16" s="982"/>
      <c r="E16" s="982"/>
      <c r="F16" s="982"/>
      <c r="G16" s="982"/>
      <c r="H16" s="985"/>
      <c r="I16" s="981"/>
      <c r="J16" s="982"/>
      <c r="K16" s="982"/>
      <c r="L16" s="982"/>
      <c r="M16" s="982"/>
      <c r="N16" s="982"/>
      <c r="O16" s="982"/>
      <c r="P16" s="982"/>
      <c r="Q16" s="985"/>
    </row>
    <row r="17" spans="1:17" ht="13.5">
      <c r="A17" s="981"/>
      <c r="B17" s="982"/>
      <c r="C17" s="982"/>
      <c r="D17" s="982"/>
      <c r="E17" s="982"/>
      <c r="F17" s="982"/>
      <c r="G17" s="982"/>
      <c r="H17" s="985"/>
      <c r="I17" s="981"/>
      <c r="J17" s="1000" t="s">
        <v>714</v>
      </c>
      <c r="K17" s="982"/>
      <c r="L17" s="982"/>
      <c r="M17" s="982"/>
      <c r="N17" s="1037" t="s">
        <v>1039</v>
      </c>
      <c r="O17" s="1039">
        <f>O15-O19</f>
        <v>3.6166666666666671</v>
      </c>
      <c r="P17" s="982"/>
      <c r="Q17" s="985"/>
    </row>
    <row r="18" spans="1:17">
      <c r="A18" s="981"/>
      <c r="B18" s="982"/>
      <c r="C18" s="982"/>
      <c r="D18" s="982"/>
      <c r="E18" s="982"/>
      <c r="F18" s="1001" t="s">
        <v>421</v>
      </c>
      <c r="G18" s="1002">
        <f>'Uplink Budget'!B35</f>
        <v>1E-4</v>
      </c>
      <c r="H18" s="985"/>
      <c r="I18" s="981"/>
      <c r="J18" s="982"/>
      <c r="K18" s="982"/>
      <c r="L18" s="982"/>
      <c r="M18" s="982"/>
      <c r="N18" s="982"/>
      <c r="O18" s="1003"/>
      <c r="P18" s="982"/>
      <c r="Q18" s="985"/>
    </row>
    <row r="19" spans="1:17">
      <c r="A19" s="981"/>
      <c r="B19" s="982"/>
      <c r="C19" s="982"/>
      <c r="D19" s="982"/>
      <c r="E19" s="982"/>
      <c r="F19" s="1064" t="s">
        <v>1009</v>
      </c>
      <c r="G19" s="1065"/>
      <c r="H19" s="985"/>
      <c r="I19" s="981"/>
      <c r="J19" s="982"/>
      <c r="K19" s="982"/>
      <c r="L19" s="982"/>
      <c r="M19" s="982"/>
      <c r="N19" s="1012" t="s">
        <v>1038</v>
      </c>
      <c r="O19" s="1038">
        <f>Transmitters!E60</f>
        <v>1.55</v>
      </c>
      <c r="P19" s="982"/>
      <c r="Q19" s="985"/>
    </row>
    <row r="20" spans="1:17">
      <c r="A20" s="981"/>
      <c r="B20" s="982"/>
      <c r="C20" s="982"/>
      <c r="D20" s="982"/>
      <c r="E20" s="982"/>
      <c r="F20" s="1058" t="str">
        <f>'Uplink Budget'!B32</f>
        <v>DBPSK</v>
      </c>
      <c r="G20" s="1059"/>
      <c r="H20" s="985"/>
      <c r="I20" s="981"/>
      <c r="J20" s="982"/>
      <c r="K20" s="982"/>
      <c r="L20" s="982"/>
      <c r="M20" s="982"/>
      <c r="N20" s="982"/>
      <c r="O20" s="982"/>
      <c r="P20" s="982"/>
      <c r="Q20" s="985"/>
    </row>
    <row r="21" spans="1:17">
      <c r="A21" s="981"/>
      <c r="B21" s="982"/>
      <c r="C21" s="982"/>
      <c r="D21" s="982"/>
      <c r="E21" s="982"/>
      <c r="F21" s="1004" t="s">
        <v>333</v>
      </c>
      <c r="G21" s="1005">
        <f>'Uplink Budget'!B41</f>
        <v>10.3</v>
      </c>
      <c r="H21" s="985"/>
      <c r="I21" s="981"/>
      <c r="J21" s="982"/>
      <c r="K21" s="982"/>
      <c r="L21" s="982"/>
      <c r="M21" s="982"/>
      <c r="N21" s="982"/>
      <c r="O21" s="982"/>
      <c r="P21" s="982"/>
      <c r="Q21" s="985"/>
    </row>
    <row r="22" spans="1:17">
      <c r="A22" s="981"/>
      <c r="B22" s="982"/>
      <c r="C22" s="982"/>
      <c r="D22" s="982"/>
      <c r="E22" s="982"/>
      <c r="F22" s="982"/>
      <c r="G22" s="982"/>
      <c r="H22" s="985"/>
      <c r="I22" s="981"/>
      <c r="J22" s="982"/>
      <c r="K22" s="982"/>
      <c r="L22" s="982"/>
      <c r="M22" s="982"/>
      <c r="N22" s="982"/>
      <c r="O22" s="982"/>
      <c r="P22" s="982"/>
      <c r="Q22" s="985"/>
    </row>
    <row r="23" spans="1:17">
      <c r="A23" s="981"/>
      <c r="B23" s="982"/>
      <c r="C23" s="982"/>
      <c r="D23" s="982"/>
      <c r="E23" s="982"/>
      <c r="F23" s="982"/>
      <c r="G23" s="982"/>
      <c r="H23" s="985"/>
      <c r="I23" s="981"/>
      <c r="J23" s="1000" t="s">
        <v>714</v>
      </c>
      <c r="K23" s="982"/>
      <c r="L23" s="982"/>
      <c r="M23" s="982"/>
      <c r="N23" s="987" t="s">
        <v>1016</v>
      </c>
      <c r="O23" s="1006">
        <f>Transmitters!I74</f>
        <v>4.4400000000000002E-2</v>
      </c>
      <c r="P23" s="982"/>
      <c r="Q23" s="985"/>
    </row>
    <row r="24" spans="1:17">
      <c r="A24" s="981"/>
      <c r="B24" s="982"/>
      <c r="C24" s="982"/>
      <c r="D24" s="982"/>
      <c r="E24" s="982"/>
      <c r="F24" s="982"/>
      <c r="G24" s="982"/>
      <c r="H24" s="985"/>
      <c r="I24" s="981"/>
      <c r="J24" s="982"/>
      <c r="K24" s="982"/>
      <c r="L24" s="982"/>
      <c r="M24" s="982"/>
      <c r="N24" s="982"/>
      <c r="O24" s="982"/>
      <c r="P24" s="982"/>
      <c r="Q24" s="985"/>
    </row>
    <row r="25" spans="1:17">
      <c r="A25" s="981"/>
      <c r="B25" s="982"/>
      <c r="C25" s="982"/>
      <c r="D25" s="982"/>
      <c r="E25" s="982"/>
      <c r="F25" s="987" t="s">
        <v>1017</v>
      </c>
      <c r="G25" s="1007">
        <f>'Uplink Budget'!B57</f>
        <v>1000000</v>
      </c>
      <c r="H25" s="985"/>
      <c r="I25" s="981"/>
      <c r="J25" s="982"/>
      <c r="K25" s="982"/>
      <c r="L25" s="982"/>
      <c r="M25" s="982"/>
      <c r="N25" s="987" t="s">
        <v>1018</v>
      </c>
      <c r="O25" s="1008">
        <f>Transmitters!I78</f>
        <v>0.89999999999999991</v>
      </c>
      <c r="P25" s="982"/>
      <c r="Q25" s="985"/>
    </row>
    <row r="26" spans="1:17">
      <c r="A26" s="981"/>
      <c r="B26" s="982"/>
      <c r="C26" s="982"/>
      <c r="D26" s="982"/>
      <c r="E26" s="982"/>
      <c r="F26" s="1067" t="s">
        <v>419</v>
      </c>
      <c r="G26" s="1068"/>
      <c r="H26" s="985"/>
      <c r="I26" s="981"/>
      <c r="J26" s="982"/>
      <c r="K26" s="982"/>
      <c r="L26" s="982"/>
      <c r="M26" s="982"/>
      <c r="N26" s="982"/>
      <c r="O26" s="982"/>
      <c r="P26" s="982"/>
      <c r="Q26" s="985"/>
    </row>
    <row r="27" spans="1:17">
      <c r="A27" s="981"/>
      <c r="B27" s="982"/>
      <c r="C27" s="982"/>
      <c r="D27" s="982"/>
      <c r="E27" s="982"/>
      <c r="F27" s="982"/>
      <c r="G27" s="982"/>
      <c r="H27" s="985"/>
      <c r="I27" s="981"/>
      <c r="J27" s="982"/>
      <c r="K27" s="982"/>
      <c r="L27" s="982"/>
      <c r="M27" s="982"/>
      <c r="N27" s="987" t="s">
        <v>1019</v>
      </c>
      <c r="O27" s="1008">
        <f>SUM(Transmitters!I79:I81)</f>
        <v>0.52</v>
      </c>
      <c r="P27" s="982"/>
      <c r="Q27" s="985"/>
    </row>
    <row r="28" spans="1:17">
      <c r="A28" s="981"/>
      <c r="B28" s="982"/>
      <c r="C28" s="982"/>
      <c r="D28" s="982"/>
      <c r="E28" s="982"/>
      <c r="F28" s="982"/>
      <c r="G28" s="982"/>
      <c r="H28" s="985"/>
      <c r="I28" s="981"/>
      <c r="J28" s="982"/>
      <c r="K28" s="982"/>
      <c r="L28" s="982"/>
      <c r="M28" s="982"/>
      <c r="N28" s="982"/>
      <c r="O28" s="982"/>
      <c r="P28" s="982"/>
      <c r="Q28" s="985"/>
    </row>
    <row r="29" spans="1:17" ht="15.5">
      <c r="A29" s="981"/>
      <c r="B29" s="982"/>
      <c r="C29" s="982"/>
      <c r="D29" s="982"/>
      <c r="E29" s="982"/>
      <c r="F29" s="982"/>
      <c r="G29" s="982"/>
      <c r="H29" s="985"/>
      <c r="I29" s="981"/>
      <c r="J29" s="982"/>
      <c r="K29" s="982"/>
      <c r="L29" s="982"/>
      <c r="M29" s="982"/>
      <c r="N29" s="987" t="s">
        <v>1010</v>
      </c>
      <c r="O29" s="1008">
        <f>Transmitters!I83</f>
        <v>0.04</v>
      </c>
      <c r="P29" s="982"/>
      <c r="Q29" s="985"/>
    </row>
    <row r="30" spans="1:17">
      <c r="A30" s="981"/>
      <c r="B30" s="982"/>
      <c r="C30" s="982"/>
      <c r="D30" s="982"/>
      <c r="E30" s="982"/>
      <c r="F30" s="982"/>
      <c r="G30" s="982"/>
      <c r="H30" s="985"/>
      <c r="I30" s="981"/>
      <c r="J30" s="1000" t="s">
        <v>714</v>
      </c>
      <c r="K30" s="982"/>
      <c r="L30" s="982"/>
      <c r="M30" s="982"/>
      <c r="N30" s="982"/>
      <c r="O30" s="982"/>
      <c r="P30" s="982"/>
      <c r="Q30" s="985"/>
    </row>
    <row r="31" spans="1:17">
      <c r="A31" s="981"/>
      <c r="B31" s="982"/>
      <c r="C31" s="982"/>
      <c r="D31" s="982"/>
      <c r="E31" s="982"/>
      <c r="F31" s="982"/>
      <c r="G31" s="982"/>
      <c r="H31" s="985"/>
      <c r="I31" s="981"/>
      <c r="J31" s="982"/>
      <c r="K31" s="982"/>
      <c r="L31" s="982"/>
      <c r="M31" s="982"/>
      <c r="N31" s="982"/>
      <c r="O31" s="982"/>
      <c r="P31" s="982"/>
      <c r="Q31" s="985"/>
    </row>
    <row r="32" spans="1:17">
      <c r="A32" s="981"/>
      <c r="B32" s="982"/>
      <c r="C32" s="982"/>
      <c r="D32" s="982"/>
      <c r="E32" s="982"/>
      <c r="F32" s="982"/>
      <c r="G32" s="982"/>
      <c r="H32" s="985"/>
      <c r="I32" s="981"/>
      <c r="J32" s="982"/>
      <c r="K32" s="982"/>
      <c r="L32" s="982"/>
      <c r="M32" s="982"/>
      <c r="N32" s="987" t="s">
        <v>1020</v>
      </c>
      <c r="O32" s="1009">
        <f>Transmitters!I85</f>
        <v>1.5044</v>
      </c>
      <c r="P32" s="982"/>
      <c r="Q32" s="985"/>
    </row>
    <row r="33" spans="1:17" ht="13">
      <c r="A33" s="981"/>
      <c r="B33" s="982"/>
      <c r="C33" s="982"/>
      <c r="D33" s="982"/>
      <c r="E33" s="982"/>
      <c r="F33" s="1010" t="s">
        <v>418</v>
      </c>
      <c r="G33" s="1011">
        <f>'Uplink Budget'!B26</f>
        <v>-26.734695341244713</v>
      </c>
      <c r="H33" s="985"/>
      <c r="I33" s="981"/>
      <c r="J33" s="982"/>
      <c r="K33" s="982"/>
      <c r="L33" s="982"/>
      <c r="M33" s="982"/>
      <c r="N33" s="982"/>
      <c r="O33" s="982"/>
      <c r="P33" s="982"/>
      <c r="Q33" s="985"/>
    </row>
    <row r="34" spans="1:17" ht="15.5">
      <c r="A34" s="981"/>
      <c r="B34" s="982"/>
      <c r="C34" s="982"/>
      <c r="D34" s="982"/>
      <c r="E34" s="982"/>
      <c r="F34" s="982"/>
      <c r="G34" s="982"/>
      <c r="H34" s="985"/>
      <c r="I34" s="981"/>
      <c r="J34" s="982"/>
      <c r="K34" s="982"/>
      <c r="L34" s="982"/>
      <c r="M34" s="982"/>
      <c r="N34" s="1012" t="s">
        <v>1011</v>
      </c>
      <c r="O34" s="1013">
        <f>Transmitters!I87+30</f>
        <v>30.398916981702914</v>
      </c>
      <c r="P34" s="982"/>
      <c r="Q34" s="985"/>
    </row>
    <row r="35" spans="1:17">
      <c r="A35" s="981"/>
      <c r="B35" s="982"/>
      <c r="C35" s="982"/>
      <c r="D35" s="982"/>
      <c r="E35" s="982"/>
      <c r="F35" s="1010" t="s">
        <v>1021</v>
      </c>
      <c r="G35" s="1014">
        <f>'Uplink Budget'!B25</f>
        <v>273.19297915415473</v>
      </c>
      <c r="H35" s="985"/>
      <c r="I35" s="981"/>
      <c r="J35" s="982"/>
      <c r="K35" s="982"/>
      <c r="L35" s="982"/>
      <c r="M35" s="982"/>
      <c r="N35" s="982"/>
      <c r="O35" s="982"/>
      <c r="P35" s="982"/>
      <c r="Q35" s="985"/>
    </row>
    <row r="36" spans="1:17" ht="13">
      <c r="A36" s="981"/>
      <c r="B36" s="982"/>
      <c r="C36" s="982"/>
      <c r="D36" s="982"/>
      <c r="E36" s="982"/>
      <c r="F36" s="982"/>
      <c r="G36" s="982"/>
      <c r="H36" s="985"/>
      <c r="I36" s="981"/>
      <c r="J36" s="982"/>
      <c r="K36" s="982"/>
      <c r="L36" s="982"/>
      <c r="M36" s="1015" t="s">
        <v>875</v>
      </c>
      <c r="N36" s="982"/>
      <c r="O36" s="982"/>
      <c r="P36" s="982"/>
      <c r="Q36" s="985"/>
    </row>
    <row r="37" spans="1:17">
      <c r="A37" s="981"/>
      <c r="B37" s="982"/>
      <c r="C37" s="982"/>
      <c r="D37" s="982"/>
      <c r="E37" s="982"/>
      <c r="F37" s="982"/>
      <c r="G37" s="982"/>
      <c r="H37" s="985"/>
      <c r="I37" s="981"/>
      <c r="J37" s="982"/>
      <c r="K37" s="982"/>
      <c r="L37" s="982"/>
      <c r="M37" s="982"/>
      <c r="N37" s="982"/>
      <c r="O37" s="982"/>
      <c r="P37" s="982"/>
      <c r="Q37" s="985"/>
    </row>
    <row r="38" spans="1:17">
      <c r="A38" s="981"/>
      <c r="B38" s="982"/>
      <c r="C38" s="982"/>
      <c r="D38" s="982"/>
      <c r="E38" s="982"/>
      <c r="F38" s="982"/>
      <c r="G38" s="982"/>
      <c r="H38" s="985"/>
      <c r="I38" s="981"/>
      <c r="J38" s="982"/>
      <c r="K38" s="982"/>
      <c r="L38" s="982"/>
      <c r="M38" s="982"/>
      <c r="N38" s="1016" t="s">
        <v>1022</v>
      </c>
      <c r="O38" s="1017">
        <f>'Downlink Budget'!B10</f>
        <v>12</v>
      </c>
      <c r="P38" s="982"/>
      <c r="Q38" s="985"/>
    </row>
    <row r="39" spans="1:17">
      <c r="A39" s="981"/>
      <c r="B39" s="982"/>
      <c r="C39" s="982"/>
      <c r="D39" s="982"/>
      <c r="E39" s="982"/>
      <c r="F39" s="982"/>
      <c r="G39" s="982"/>
      <c r="H39" s="985"/>
      <c r="I39" s="981"/>
      <c r="J39" s="982"/>
      <c r="K39" s="982"/>
      <c r="L39" s="982"/>
      <c r="M39" s="982"/>
      <c r="N39" s="1001" t="s">
        <v>60</v>
      </c>
      <c r="O39" s="1018" t="str">
        <f>'Antenna Gain'!K41</f>
        <v>RHCP</v>
      </c>
      <c r="P39" s="982"/>
      <c r="Q39" s="985"/>
    </row>
    <row r="40" spans="1:17">
      <c r="A40" s="981"/>
      <c r="B40" s="982"/>
      <c r="C40" s="982"/>
      <c r="D40" s="982"/>
      <c r="E40" s="982"/>
      <c r="F40" s="987" t="s">
        <v>984</v>
      </c>
      <c r="G40" s="1019">
        <f>Receivers!J67</f>
        <v>245.047766456185</v>
      </c>
      <c r="H40" s="985"/>
      <c r="I40" s="981"/>
      <c r="J40" s="1069" t="str">
        <f>'Antenna Gain'!F41</f>
        <v>OreSat Helix</v>
      </c>
      <c r="K40" s="1069"/>
      <c r="L40" s="982"/>
      <c r="M40" s="982"/>
      <c r="N40" s="1001" t="s">
        <v>1023</v>
      </c>
      <c r="O40" s="1020">
        <f>'Antenna Pointing Losses'!G85</f>
        <v>5</v>
      </c>
      <c r="P40" s="982"/>
      <c r="Q40" s="985"/>
    </row>
    <row r="41" spans="1:17">
      <c r="A41" s="981"/>
      <c r="B41" s="982"/>
      <c r="C41" s="982"/>
      <c r="D41" s="982"/>
      <c r="E41" s="982"/>
      <c r="F41" s="982"/>
      <c r="G41" s="982"/>
      <c r="H41" s="985"/>
      <c r="I41" s="981"/>
      <c r="J41" s="982"/>
      <c r="K41" s="982"/>
      <c r="L41" s="982"/>
      <c r="M41" s="982"/>
      <c r="N41" s="982"/>
      <c r="O41" s="982"/>
      <c r="P41" s="982"/>
      <c r="Q41" s="985"/>
    </row>
    <row r="42" spans="1:17" ht="13">
      <c r="A42" s="981"/>
      <c r="B42" s="982"/>
      <c r="C42" s="982"/>
      <c r="D42" s="982"/>
      <c r="E42" s="982"/>
      <c r="F42" s="982"/>
      <c r="G42" s="982"/>
      <c r="H42" s="985"/>
      <c r="I42" s="981"/>
      <c r="J42" s="982"/>
      <c r="K42" s="982"/>
      <c r="L42" s="982"/>
      <c r="M42" s="982"/>
      <c r="N42" s="1021" t="s">
        <v>1024</v>
      </c>
      <c r="O42" s="1022">
        <f>'Downlink Budget'!B11+30</f>
        <v>42.398916981702911</v>
      </c>
      <c r="P42" s="982"/>
      <c r="Q42" s="985"/>
    </row>
    <row r="43" spans="1:17">
      <c r="A43" s="981"/>
      <c r="B43" s="982"/>
      <c r="C43" s="982"/>
      <c r="D43" s="982"/>
      <c r="E43" s="982"/>
      <c r="F43" s="982"/>
      <c r="G43" s="982"/>
      <c r="H43" s="985"/>
      <c r="I43" s="981"/>
      <c r="J43" s="982"/>
      <c r="K43" s="982"/>
      <c r="L43" s="982"/>
      <c r="M43" s="982"/>
      <c r="N43" s="982"/>
      <c r="O43" s="982"/>
      <c r="P43" s="982"/>
      <c r="Q43" s="985"/>
    </row>
    <row r="44" spans="1:17">
      <c r="A44" s="981"/>
      <c r="B44" s="982"/>
      <c r="C44" s="982"/>
      <c r="D44" s="982"/>
      <c r="E44" s="982"/>
      <c r="F44" s="982"/>
      <c r="G44" s="982"/>
      <c r="H44" s="985"/>
      <c r="I44" s="981"/>
      <c r="J44" s="982"/>
      <c r="K44" s="982"/>
      <c r="L44" s="982"/>
      <c r="M44" s="982"/>
      <c r="N44" s="1046" t="s">
        <v>1063</v>
      </c>
      <c r="O44" s="1049" t="s">
        <v>1064</v>
      </c>
      <c r="P44" s="982"/>
      <c r="Q44" s="985"/>
    </row>
    <row r="45" spans="1:17" ht="13">
      <c r="A45" s="981"/>
      <c r="B45" s="982"/>
      <c r="C45" s="982"/>
      <c r="D45" s="982"/>
      <c r="E45" s="982"/>
      <c r="F45" s="1023" t="s">
        <v>1025</v>
      </c>
      <c r="G45" s="988">
        <f>Receivers!F65</f>
        <v>18.899999999999999</v>
      </c>
      <c r="H45" s="985"/>
      <c r="I45" s="981"/>
      <c r="J45" s="982"/>
      <c r="K45" s="982"/>
      <c r="L45" s="982"/>
      <c r="M45" s="982"/>
      <c r="N45" s="1048">
        <f>SUM('Downlink Budget'!B13:B18)+'Downlink Budget'!B22</f>
        <v>156.23854446284577</v>
      </c>
      <c r="O45" s="1050">
        <f>Orbit!B34</f>
        <v>45</v>
      </c>
      <c r="P45" s="982"/>
      <c r="Q45" s="985"/>
    </row>
    <row r="46" spans="1:17">
      <c r="A46" s="981"/>
      <c r="B46" s="982"/>
      <c r="C46" s="982"/>
      <c r="D46" s="982"/>
      <c r="E46" s="982"/>
      <c r="F46" s="982"/>
      <c r="G46" s="982"/>
      <c r="H46" s="985"/>
      <c r="I46" s="981"/>
      <c r="J46" s="982"/>
      <c r="K46" s="982"/>
      <c r="L46" s="982"/>
      <c r="M46" s="982"/>
      <c r="N46" s="982"/>
      <c r="O46" s="982"/>
      <c r="P46" s="982"/>
      <c r="Q46" s="985"/>
    </row>
    <row r="47" spans="1:17" ht="15.5">
      <c r="A47" s="981"/>
      <c r="B47" s="982"/>
      <c r="C47" s="982"/>
      <c r="D47" s="982"/>
      <c r="E47" s="982"/>
      <c r="F47" s="1023" t="s">
        <v>1026</v>
      </c>
      <c r="G47" s="1019">
        <f>Receivers!J63</f>
        <v>43</v>
      </c>
      <c r="H47" s="985"/>
      <c r="I47" s="981"/>
      <c r="J47" s="982"/>
      <c r="K47" s="982"/>
      <c r="L47" s="982"/>
      <c r="M47" s="982"/>
      <c r="N47" s="987" t="s">
        <v>1027</v>
      </c>
      <c r="O47" s="1024">
        <f>'Downlink Budget'!B19+30</f>
        <v>-113.12660571079945</v>
      </c>
      <c r="P47" s="982"/>
      <c r="Q47" s="985"/>
    </row>
    <row r="48" spans="1:17">
      <c r="A48" s="981"/>
      <c r="B48" s="982"/>
      <c r="C48" s="982"/>
      <c r="D48" s="982"/>
      <c r="E48" s="982"/>
      <c r="F48" s="982"/>
      <c r="G48" s="982"/>
      <c r="H48" s="985"/>
      <c r="I48" s="981"/>
      <c r="J48" s="982"/>
      <c r="K48" s="982"/>
      <c r="L48" s="982"/>
      <c r="M48" s="982"/>
      <c r="N48" s="982"/>
      <c r="O48" s="982"/>
      <c r="P48" s="982"/>
      <c r="Q48" s="985"/>
    </row>
    <row r="49" spans="1:17">
      <c r="A49" s="981"/>
      <c r="B49" s="982"/>
      <c r="C49" s="982"/>
      <c r="D49" s="982"/>
      <c r="E49" s="982"/>
      <c r="F49" s="982"/>
      <c r="G49" s="982"/>
      <c r="H49" s="985"/>
      <c r="I49" s="981"/>
      <c r="J49" s="1069" t="str">
        <f>'Antenna Gain'!F58</f>
        <v>Parabolic Reflector</v>
      </c>
      <c r="K49" s="1069"/>
      <c r="L49" s="982"/>
      <c r="M49" s="982"/>
      <c r="N49" s="987" t="s">
        <v>1028</v>
      </c>
      <c r="O49" s="1025">
        <f>'Downlink Budget'!B23</f>
        <v>22.9</v>
      </c>
      <c r="P49" s="982"/>
      <c r="Q49" s="985"/>
    </row>
    <row r="50" spans="1:17">
      <c r="A50" s="981"/>
      <c r="B50" s="982"/>
      <c r="C50" s="982"/>
      <c r="D50" s="982"/>
      <c r="E50" s="982"/>
      <c r="F50" s="982"/>
      <c r="G50" s="982"/>
      <c r="H50" s="985"/>
      <c r="I50" s="981"/>
      <c r="J50" s="982"/>
      <c r="K50" s="982"/>
      <c r="L50" s="982"/>
      <c r="M50" s="982"/>
      <c r="N50" s="1001" t="s">
        <v>60</v>
      </c>
      <c r="O50" s="1018" t="str">
        <f>'Antenna Gain'!K58</f>
        <v>RHCP</v>
      </c>
      <c r="P50" s="982"/>
      <c r="Q50" s="985"/>
    </row>
    <row r="51" spans="1:17">
      <c r="A51" s="981"/>
      <c r="B51" s="982"/>
      <c r="C51" s="982"/>
      <c r="D51" s="982"/>
      <c r="E51" s="982"/>
      <c r="F51" s="987" t="s">
        <v>1029</v>
      </c>
      <c r="G51" s="1026">
        <f>Receivers!J55</f>
        <v>3.77</v>
      </c>
      <c r="H51" s="985"/>
      <c r="I51" s="981"/>
      <c r="J51" s="982"/>
      <c r="K51" s="982"/>
      <c r="L51" s="982"/>
      <c r="M51" s="982"/>
      <c r="N51" s="1001" t="s">
        <v>1023</v>
      </c>
      <c r="O51" s="1020">
        <f>'Antenna Pointing Losses'!F102</f>
        <v>5</v>
      </c>
      <c r="P51" s="982"/>
      <c r="Q51" s="985"/>
    </row>
    <row r="52" spans="1:17">
      <c r="A52" s="981"/>
      <c r="B52" s="982"/>
      <c r="C52" s="982"/>
      <c r="D52" s="982"/>
      <c r="E52" s="982"/>
      <c r="F52" s="982"/>
      <c r="G52" s="982"/>
      <c r="H52" s="985"/>
      <c r="I52" s="981"/>
      <c r="J52" s="982"/>
      <c r="K52" s="982"/>
      <c r="L52" s="982"/>
      <c r="M52" s="982"/>
      <c r="N52" s="982"/>
      <c r="O52" s="982"/>
      <c r="P52" s="982"/>
      <c r="Q52" s="985"/>
    </row>
    <row r="53" spans="1:17" ht="13">
      <c r="A53" s="981"/>
      <c r="B53" s="982"/>
      <c r="C53" s="982"/>
      <c r="D53" s="982"/>
      <c r="E53" s="982"/>
      <c r="F53" s="982"/>
      <c r="G53" s="982"/>
      <c r="H53" s="985"/>
      <c r="I53" s="981"/>
      <c r="J53" s="982"/>
      <c r="K53" s="982"/>
      <c r="L53" s="982"/>
      <c r="M53" s="1015" t="s">
        <v>880</v>
      </c>
      <c r="N53" s="982"/>
      <c r="O53" s="982"/>
      <c r="P53" s="982"/>
      <c r="Q53" s="985"/>
    </row>
    <row r="54" spans="1:17">
      <c r="A54" s="981"/>
      <c r="B54" s="982"/>
      <c r="C54" s="982"/>
      <c r="D54" s="982"/>
      <c r="E54" s="982"/>
      <c r="F54" s="987" t="s">
        <v>1019</v>
      </c>
      <c r="G54" s="1008">
        <f>SUM(Receivers!J50:J52)</f>
        <v>2.52</v>
      </c>
      <c r="H54" s="985"/>
      <c r="I54" s="981"/>
      <c r="J54" s="982"/>
      <c r="K54" s="982"/>
      <c r="L54" s="982"/>
      <c r="M54" s="982"/>
      <c r="N54" s="982"/>
      <c r="O54" s="982"/>
      <c r="P54" s="982"/>
      <c r="Q54" s="985"/>
    </row>
    <row r="55" spans="1:17">
      <c r="A55" s="981"/>
      <c r="B55" s="982"/>
      <c r="C55" s="982"/>
      <c r="D55" s="982"/>
      <c r="E55" s="982"/>
      <c r="F55" s="982"/>
      <c r="G55" s="982"/>
      <c r="H55" s="985"/>
      <c r="I55" s="981"/>
      <c r="J55" s="982"/>
      <c r="K55" s="982"/>
      <c r="L55" s="982"/>
      <c r="M55" s="982"/>
      <c r="N55" s="987" t="s">
        <v>1030</v>
      </c>
      <c r="O55" s="1019">
        <f>Receivers!J130</f>
        <v>150</v>
      </c>
      <c r="P55" s="982"/>
      <c r="Q55" s="985"/>
    </row>
    <row r="56" spans="1:17">
      <c r="A56" s="981"/>
      <c r="B56" s="982"/>
      <c r="C56" s="982"/>
      <c r="D56" s="982"/>
      <c r="E56" s="982"/>
      <c r="F56" s="987" t="s">
        <v>1018</v>
      </c>
      <c r="G56" s="1008">
        <f>Receivers!J53</f>
        <v>0.89999999999999991</v>
      </c>
      <c r="H56" s="985"/>
      <c r="I56" s="981"/>
      <c r="J56" s="982"/>
      <c r="K56" s="982"/>
      <c r="L56" s="982"/>
      <c r="M56" s="982"/>
      <c r="N56" s="982"/>
      <c r="O56" s="982"/>
      <c r="P56" s="982"/>
      <c r="Q56" s="985"/>
    </row>
    <row r="57" spans="1:17">
      <c r="A57" s="981"/>
      <c r="B57" s="982"/>
      <c r="C57" s="982"/>
      <c r="D57" s="982"/>
      <c r="E57" s="982"/>
      <c r="F57" s="982"/>
      <c r="G57" s="982"/>
      <c r="H57" s="985"/>
      <c r="I57" s="981"/>
      <c r="J57" s="982"/>
      <c r="K57" s="982"/>
      <c r="L57" s="982"/>
      <c r="M57" s="982"/>
      <c r="N57" s="982"/>
      <c r="O57" s="982"/>
      <c r="P57" s="982"/>
      <c r="Q57" s="985"/>
    </row>
    <row r="58" spans="1:17">
      <c r="A58" s="981"/>
      <c r="B58" s="982"/>
      <c r="C58" s="982"/>
      <c r="D58" s="982"/>
      <c r="E58" s="982"/>
      <c r="F58" s="987" t="s">
        <v>1016</v>
      </c>
      <c r="G58" s="1006">
        <f>SUM(Receivers!J47:J49)</f>
        <v>0.35</v>
      </c>
      <c r="H58" s="985"/>
      <c r="I58" s="981"/>
      <c r="J58" s="982"/>
      <c r="K58" s="982"/>
      <c r="L58" s="982"/>
      <c r="M58" s="982"/>
      <c r="N58" s="987" t="s">
        <v>1016</v>
      </c>
      <c r="O58" s="1006">
        <f>SUM(Receivers!J118:J120)</f>
        <v>0.2</v>
      </c>
      <c r="P58" s="982"/>
      <c r="Q58" s="985"/>
    </row>
    <row r="59" spans="1:17">
      <c r="A59" s="981"/>
      <c r="B59" s="982"/>
      <c r="C59" s="982"/>
      <c r="D59" s="982"/>
      <c r="E59" s="982"/>
      <c r="F59" s="982"/>
      <c r="G59" s="982"/>
      <c r="H59" s="985"/>
      <c r="I59" s="981"/>
      <c r="J59" s="982"/>
      <c r="K59" s="982"/>
      <c r="L59" s="982"/>
      <c r="M59" s="982"/>
      <c r="N59" s="982"/>
      <c r="O59" s="982"/>
      <c r="P59" s="982"/>
      <c r="Q59" s="985"/>
    </row>
    <row r="60" spans="1:17">
      <c r="A60" s="981"/>
      <c r="B60" s="982"/>
      <c r="C60" s="982"/>
      <c r="D60" s="982"/>
      <c r="E60" s="982"/>
      <c r="F60" s="982"/>
      <c r="G60" s="982"/>
      <c r="H60" s="985"/>
      <c r="I60" s="981"/>
      <c r="J60" s="982"/>
      <c r="K60" s="982"/>
      <c r="L60" s="982"/>
      <c r="M60" s="982"/>
      <c r="N60" s="987" t="s">
        <v>1018</v>
      </c>
      <c r="O60" s="1008">
        <f>Receivers!J123</f>
        <v>0.6</v>
      </c>
      <c r="P60" s="982"/>
      <c r="Q60" s="985"/>
    </row>
    <row r="61" spans="1:17">
      <c r="A61" s="981"/>
      <c r="B61" s="982"/>
      <c r="C61" s="982"/>
      <c r="D61" s="982"/>
      <c r="E61" s="982"/>
      <c r="F61" s="987" t="s">
        <v>1030</v>
      </c>
      <c r="G61" s="1019">
        <f>Receivers!J59</f>
        <v>140</v>
      </c>
      <c r="H61" s="985"/>
      <c r="I61" s="981"/>
      <c r="J61" s="982"/>
      <c r="K61" s="982"/>
      <c r="L61" s="982"/>
      <c r="M61" s="982"/>
      <c r="N61" s="982"/>
      <c r="O61" s="982"/>
      <c r="P61" s="982"/>
      <c r="Q61" s="985"/>
    </row>
    <row r="62" spans="1:17">
      <c r="A62" s="981"/>
      <c r="B62" s="982"/>
      <c r="C62" s="982"/>
      <c r="D62" s="982"/>
      <c r="E62" s="982"/>
      <c r="F62" s="982"/>
      <c r="G62" s="982"/>
      <c r="H62" s="985"/>
      <c r="I62" s="981"/>
      <c r="J62" s="982"/>
      <c r="K62" s="982"/>
      <c r="L62" s="982"/>
      <c r="M62" s="982"/>
      <c r="N62" s="987" t="s">
        <v>1019</v>
      </c>
      <c r="O62" s="1008">
        <f>SUM(Receivers!J121:J122)</f>
        <v>2.2599999999999998</v>
      </c>
      <c r="P62" s="982"/>
      <c r="Q62" s="985"/>
    </row>
    <row r="63" spans="1:17" ht="13">
      <c r="A63" s="981"/>
      <c r="B63" s="982"/>
      <c r="C63" s="982"/>
      <c r="D63" s="982"/>
      <c r="E63" s="1015" t="s">
        <v>880</v>
      </c>
      <c r="F63" s="982"/>
      <c r="G63" s="982"/>
      <c r="H63" s="985"/>
      <c r="I63" s="981"/>
      <c r="J63" s="982"/>
      <c r="K63" s="982"/>
      <c r="L63" s="982"/>
      <c r="M63" s="982"/>
      <c r="N63" s="982"/>
      <c r="O63" s="982"/>
      <c r="P63" s="982"/>
      <c r="Q63" s="985"/>
    </row>
    <row r="64" spans="1:17">
      <c r="A64" s="981"/>
      <c r="B64" s="982"/>
      <c r="C64" s="982"/>
      <c r="D64" s="982"/>
      <c r="E64" s="982"/>
      <c r="F64" s="982"/>
      <c r="G64" s="982"/>
      <c r="H64" s="985"/>
      <c r="I64" s="981"/>
      <c r="J64" s="982"/>
      <c r="K64" s="982"/>
      <c r="L64" s="982"/>
      <c r="M64" s="982"/>
      <c r="N64" s="982"/>
      <c r="O64" s="982"/>
      <c r="P64" s="982"/>
      <c r="Q64" s="985"/>
    </row>
    <row r="65" spans="1:17">
      <c r="A65" s="981"/>
      <c r="B65" s="982"/>
      <c r="C65" s="982"/>
      <c r="D65" s="982"/>
      <c r="E65" s="982"/>
      <c r="F65" s="987" t="s">
        <v>1028</v>
      </c>
      <c r="G65" s="1025">
        <f>'Uplink Budget'!B23</f>
        <v>1.4</v>
      </c>
      <c r="H65" s="985"/>
      <c r="I65" s="981"/>
      <c r="J65" s="982"/>
      <c r="K65" s="982"/>
      <c r="L65" s="982"/>
      <c r="M65" s="982"/>
      <c r="N65" s="987" t="s">
        <v>1029</v>
      </c>
      <c r="O65" s="1026">
        <f>Receivers!J126</f>
        <v>3.06</v>
      </c>
      <c r="P65" s="982"/>
      <c r="Q65" s="985"/>
    </row>
    <row r="66" spans="1:17">
      <c r="A66" s="981"/>
      <c r="B66" s="982"/>
      <c r="C66" s="982"/>
      <c r="D66" s="982"/>
      <c r="E66" s="982"/>
      <c r="F66" s="1001" t="s">
        <v>60</v>
      </c>
      <c r="G66" s="1027" t="str">
        <f>'Antenna Gain'!K11</f>
        <v>RHCP</v>
      </c>
      <c r="H66" s="985"/>
      <c r="I66" s="981"/>
      <c r="J66" s="982"/>
      <c r="K66" s="982"/>
      <c r="L66" s="982"/>
      <c r="M66" s="982"/>
      <c r="N66" s="982"/>
      <c r="O66" s="982"/>
      <c r="P66" s="982"/>
      <c r="Q66" s="985"/>
    </row>
    <row r="67" spans="1:17">
      <c r="A67" s="981"/>
      <c r="B67" s="1066" t="str">
        <f>'Antenna Gain'!F24</f>
        <v>Canted Turnstile</v>
      </c>
      <c r="C67" s="1066"/>
      <c r="D67" s="982"/>
      <c r="E67" s="982"/>
      <c r="F67" s="1001" t="s">
        <v>1023</v>
      </c>
      <c r="G67" s="1020">
        <f>'Antenna Pointing Losses'!G63</f>
        <v>20</v>
      </c>
      <c r="H67" s="985"/>
      <c r="I67" s="981"/>
      <c r="J67" s="982"/>
      <c r="K67" s="982"/>
      <c r="L67" s="982"/>
      <c r="M67" s="982"/>
      <c r="N67" s="982"/>
      <c r="O67" s="982"/>
      <c r="P67" s="982"/>
      <c r="Q67" s="985"/>
    </row>
    <row r="68" spans="1:17">
      <c r="A68" s="981"/>
      <c r="B68" s="982"/>
      <c r="C68" s="982"/>
      <c r="D68" s="982"/>
      <c r="E68" s="982"/>
      <c r="F68" s="982" t="s">
        <v>714</v>
      </c>
      <c r="G68" s="982"/>
      <c r="H68" s="985"/>
      <c r="I68" s="981"/>
      <c r="J68" s="982"/>
      <c r="K68" s="982"/>
      <c r="L68" s="982"/>
      <c r="M68" s="982"/>
      <c r="N68" s="982"/>
      <c r="O68" s="982"/>
      <c r="P68" s="982"/>
      <c r="Q68" s="985"/>
    </row>
    <row r="69" spans="1:17" ht="15.5">
      <c r="A69" s="981"/>
      <c r="B69" s="982"/>
      <c r="C69" s="982"/>
      <c r="D69" s="982"/>
      <c r="E69" s="982"/>
      <c r="F69" s="987" t="s">
        <v>1031</v>
      </c>
      <c r="G69" s="1024">
        <f>'Uplink Budget'!B19+30</f>
        <v>-94.278544462845758</v>
      </c>
      <c r="H69" s="985"/>
      <c r="I69" s="981"/>
      <c r="J69" s="982"/>
      <c r="K69" s="982"/>
      <c r="L69" s="982"/>
      <c r="M69" s="982"/>
      <c r="N69" s="1023" t="s">
        <v>1026</v>
      </c>
      <c r="O69" s="1019">
        <f>Receivers!J134</f>
        <v>43</v>
      </c>
      <c r="P69" s="982"/>
      <c r="Q69" s="985"/>
    </row>
    <row r="70" spans="1:17">
      <c r="A70" s="981"/>
      <c r="B70" s="982"/>
      <c r="C70" s="982"/>
      <c r="D70" s="982"/>
      <c r="E70" s="982"/>
      <c r="F70" s="982"/>
      <c r="G70" s="982"/>
      <c r="H70" s="985"/>
      <c r="I70" s="981"/>
      <c r="J70" s="982"/>
      <c r="K70" s="982"/>
      <c r="L70" s="982"/>
      <c r="M70" s="982"/>
      <c r="N70" s="982"/>
      <c r="O70" s="982"/>
      <c r="P70" s="982"/>
      <c r="Q70" s="985"/>
    </row>
    <row r="71" spans="1:17">
      <c r="A71" s="981"/>
      <c r="B71" s="982"/>
      <c r="C71" s="982"/>
      <c r="D71" s="982"/>
      <c r="E71" s="982"/>
      <c r="F71" s="1046" t="s">
        <v>1063</v>
      </c>
      <c r="G71" s="1049" t="s">
        <v>1064</v>
      </c>
      <c r="H71" s="985"/>
      <c r="I71" s="981"/>
      <c r="J71" s="982"/>
      <c r="K71" s="982"/>
      <c r="L71" s="982"/>
      <c r="M71" s="982"/>
      <c r="N71" s="1023" t="s">
        <v>1025</v>
      </c>
      <c r="O71" s="988">
        <f>Receivers!F136</f>
        <v>18.899999999999999</v>
      </c>
      <c r="P71" s="982"/>
      <c r="Q71" s="985"/>
    </row>
    <row r="72" spans="1:17" ht="13">
      <c r="A72" s="981"/>
      <c r="B72" s="982"/>
      <c r="C72" s="982"/>
      <c r="D72" s="982"/>
      <c r="E72" s="982"/>
      <c r="F72" s="1047">
        <f>SUM('Uplink Budget'!B13:B18)+'Uplink Budget'!B22</f>
        <v>156.23854446284577</v>
      </c>
      <c r="G72" s="1050">
        <f>Orbit!B34</f>
        <v>45</v>
      </c>
      <c r="H72" s="985"/>
      <c r="I72" s="981"/>
      <c r="J72" s="982"/>
      <c r="K72" s="982"/>
      <c r="L72" s="982"/>
      <c r="M72" s="982"/>
      <c r="N72" s="982"/>
      <c r="O72" s="982"/>
      <c r="P72" s="982"/>
      <c r="Q72" s="985"/>
    </row>
    <row r="73" spans="1:17">
      <c r="A73" s="981"/>
      <c r="B73" s="982"/>
      <c r="C73" s="982"/>
      <c r="D73" s="982"/>
      <c r="E73" s="982"/>
      <c r="F73" s="982"/>
      <c r="G73" s="982"/>
      <c r="H73" s="985"/>
      <c r="I73" s="981"/>
      <c r="J73" s="982"/>
      <c r="K73" s="982"/>
      <c r="L73" s="982"/>
      <c r="M73" s="982"/>
      <c r="N73" s="982"/>
      <c r="O73" s="982"/>
      <c r="P73" s="982"/>
      <c r="Q73" s="985"/>
    </row>
    <row r="74" spans="1:17" ht="13">
      <c r="A74" s="981"/>
      <c r="B74" s="982"/>
      <c r="C74" s="982"/>
      <c r="D74" s="982"/>
      <c r="E74" s="982"/>
      <c r="F74" s="1012" t="s">
        <v>1032</v>
      </c>
      <c r="G74" s="1028">
        <f>'Uplink Budget'!B11+30</f>
        <v>61.96</v>
      </c>
      <c r="H74" s="985"/>
      <c r="I74" s="981"/>
      <c r="J74" s="982"/>
      <c r="K74" s="982"/>
      <c r="L74" s="982"/>
      <c r="M74" s="982"/>
      <c r="N74" s="982"/>
      <c r="O74" s="982"/>
      <c r="P74" s="982"/>
      <c r="Q74" s="985"/>
    </row>
    <row r="75" spans="1:17">
      <c r="A75" s="981"/>
      <c r="B75" s="1070" t="str">
        <f>'Antenna Gain'!F11</f>
        <v>Parabolic Reflector</v>
      </c>
      <c r="C75" s="1070"/>
      <c r="D75" s="982"/>
      <c r="E75" s="982"/>
      <c r="F75" s="982"/>
      <c r="G75" s="982"/>
      <c r="H75" s="985"/>
      <c r="I75" s="981"/>
      <c r="J75" s="982"/>
      <c r="K75" s="982"/>
      <c r="L75" s="982"/>
      <c r="M75" s="982"/>
      <c r="N75" s="982"/>
      <c r="O75" s="982"/>
      <c r="P75" s="982"/>
      <c r="Q75" s="985"/>
    </row>
    <row r="76" spans="1:17">
      <c r="A76" s="981"/>
      <c r="B76" s="982"/>
      <c r="C76" s="982"/>
      <c r="D76" s="982"/>
      <c r="E76" s="982"/>
      <c r="F76" s="987" t="s">
        <v>1033</v>
      </c>
      <c r="G76" s="1025">
        <f>'Uplink Budget'!B10</f>
        <v>22.9</v>
      </c>
      <c r="H76" s="985"/>
      <c r="I76" s="981"/>
      <c r="J76" s="982"/>
      <c r="K76" s="982"/>
      <c r="L76" s="982"/>
      <c r="M76" s="982"/>
      <c r="N76" s="987" t="s">
        <v>984</v>
      </c>
      <c r="O76" s="1019">
        <f>Receivers!J146</f>
        <v>254.09699172566528</v>
      </c>
      <c r="P76" s="982"/>
      <c r="Q76" s="985"/>
    </row>
    <row r="77" spans="1:17">
      <c r="A77" s="981"/>
      <c r="B77" s="982"/>
      <c r="C77" s="982"/>
      <c r="D77" s="982"/>
      <c r="E77" s="982"/>
      <c r="F77" s="1001" t="s">
        <v>60</v>
      </c>
      <c r="G77" s="1027" t="str">
        <f>'Antenna Gain'!K11</f>
        <v>RHCP</v>
      </c>
      <c r="H77" s="985"/>
      <c r="I77" s="981"/>
      <c r="J77" s="982"/>
      <c r="K77" s="982"/>
      <c r="L77" s="982"/>
      <c r="M77" s="982"/>
      <c r="N77" s="982"/>
      <c r="O77" s="982"/>
      <c r="P77" s="982"/>
      <c r="Q77" s="985"/>
    </row>
    <row r="78" spans="1:17">
      <c r="A78" s="981"/>
      <c r="B78" s="982"/>
      <c r="C78" s="982"/>
      <c r="D78" s="982"/>
      <c r="E78" s="982"/>
      <c r="F78" s="1001" t="s">
        <v>1023</v>
      </c>
      <c r="G78" s="1020">
        <f>'Antenna Pointing Losses'!F43</f>
        <v>5</v>
      </c>
      <c r="H78" s="985"/>
      <c r="I78" s="981"/>
      <c r="J78" s="982"/>
      <c r="K78" s="982"/>
      <c r="L78" s="982"/>
      <c r="M78" s="982"/>
      <c r="N78" s="982"/>
      <c r="O78" s="982"/>
      <c r="P78" s="982"/>
      <c r="Q78" s="985"/>
    </row>
    <row r="79" spans="1:17">
      <c r="A79" s="981"/>
      <c r="B79" s="982"/>
      <c r="C79" s="982"/>
      <c r="D79" s="982"/>
      <c r="E79" s="982"/>
      <c r="F79" s="982"/>
      <c r="G79" s="982"/>
      <c r="H79" s="985"/>
      <c r="I79" s="981"/>
      <c r="J79" s="982"/>
      <c r="K79" s="982"/>
      <c r="L79" s="982"/>
      <c r="M79" s="982"/>
      <c r="N79" s="982"/>
      <c r="O79" s="982"/>
      <c r="P79" s="982"/>
      <c r="Q79" s="985"/>
    </row>
    <row r="80" spans="1:17" ht="13">
      <c r="A80" s="981"/>
      <c r="B80" s="982"/>
      <c r="C80" s="982"/>
      <c r="D80" s="982"/>
      <c r="E80" s="1015" t="s">
        <v>875</v>
      </c>
      <c r="F80" s="982"/>
      <c r="G80" s="982"/>
      <c r="H80" s="985"/>
      <c r="I80" s="981"/>
      <c r="J80" s="982"/>
      <c r="K80" s="982"/>
      <c r="L80" s="982"/>
      <c r="M80" s="982"/>
      <c r="N80" s="982"/>
      <c r="O80" s="982"/>
      <c r="P80" s="982"/>
      <c r="Q80" s="985"/>
    </row>
    <row r="81" spans="1:17">
      <c r="A81" s="981"/>
      <c r="B81" s="982"/>
      <c r="C81" s="982"/>
      <c r="D81" s="982"/>
      <c r="E81" s="982"/>
      <c r="F81" s="982"/>
      <c r="G81" s="982"/>
      <c r="H81" s="985"/>
      <c r="I81" s="981"/>
      <c r="J81" s="982"/>
      <c r="K81" s="982"/>
      <c r="L81" s="982"/>
      <c r="M81" s="982"/>
      <c r="N81" s="1010" t="s">
        <v>1021</v>
      </c>
      <c r="O81" s="1014">
        <f>Receivers!J149</f>
        <v>267.06990717861464</v>
      </c>
      <c r="P81" s="982"/>
      <c r="Q81" s="985"/>
    </row>
    <row r="82" spans="1:17" ht="15.5">
      <c r="A82" s="981"/>
      <c r="B82" s="982"/>
      <c r="C82" s="982"/>
      <c r="D82" s="982"/>
      <c r="E82" s="982"/>
      <c r="F82" s="1012" t="s">
        <v>1011</v>
      </c>
      <c r="G82" s="1013">
        <f>Transmitters!I45+30</f>
        <v>39.06</v>
      </c>
      <c r="H82" s="985"/>
      <c r="I82" s="981"/>
      <c r="J82" s="982"/>
      <c r="K82" s="982"/>
      <c r="L82" s="982"/>
      <c r="M82" s="982"/>
      <c r="N82" s="982"/>
      <c r="O82" s="982"/>
      <c r="P82" s="982"/>
      <c r="Q82" s="985"/>
    </row>
    <row r="83" spans="1:17" ht="13">
      <c r="A83" s="981"/>
      <c r="B83" s="982"/>
      <c r="C83" s="982"/>
      <c r="D83" s="982"/>
      <c r="E83" s="982"/>
      <c r="F83" s="982"/>
      <c r="G83" s="982"/>
      <c r="H83" s="985"/>
      <c r="I83" s="981"/>
      <c r="J83" s="982"/>
      <c r="K83" s="982"/>
      <c r="L83" s="982"/>
      <c r="M83" s="982"/>
      <c r="N83" s="1010" t="s">
        <v>418</v>
      </c>
      <c r="O83" s="1011">
        <f>'Downlink Budget'!B26</f>
        <v>-4.4262495547721166</v>
      </c>
      <c r="P83" s="982"/>
      <c r="Q83" s="985"/>
    </row>
    <row r="84" spans="1:17">
      <c r="A84" s="981"/>
      <c r="B84" s="982"/>
      <c r="C84" s="982"/>
      <c r="D84" s="982"/>
      <c r="E84" s="982"/>
      <c r="F84" s="987" t="s">
        <v>1020</v>
      </c>
      <c r="G84" s="1009">
        <f>Transmitters!I43</f>
        <v>0.94</v>
      </c>
      <c r="H84" s="985"/>
      <c r="I84" s="981"/>
      <c r="J84" s="982"/>
      <c r="K84" s="982"/>
      <c r="L84" s="982"/>
      <c r="M84" s="982"/>
      <c r="N84" s="982"/>
      <c r="O84" s="982"/>
      <c r="P84" s="982"/>
      <c r="Q84" s="985"/>
    </row>
    <row r="85" spans="1:17">
      <c r="A85" s="981"/>
      <c r="B85" s="982"/>
      <c r="C85" s="982"/>
      <c r="D85" s="982"/>
      <c r="E85" s="982"/>
      <c r="F85" s="982"/>
      <c r="G85" s="982"/>
      <c r="H85" s="985"/>
      <c r="I85" s="981"/>
      <c r="J85" s="982"/>
      <c r="K85" s="982"/>
      <c r="L85" s="982"/>
      <c r="M85" s="982"/>
      <c r="N85" s="982"/>
      <c r="O85" s="982"/>
      <c r="P85" s="982"/>
      <c r="Q85" s="985"/>
    </row>
    <row r="86" spans="1:17">
      <c r="A86" s="981"/>
      <c r="B86" s="982"/>
      <c r="C86" s="982"/>
      <c r="D86" s="982"/>
      <c r="E86" s="982"/>
      <c r="F86" s="982"/>
      <c r="G86" s="982"/>
      <c r="H86" s="985"/>
      <c r="I86" s="981"/>
      <c r="J86" s="982"/>
      <c r="K86" s="982"/>
      <c r="L86" s="982"/>
      <c r="M86" s="982"/>
      <c r="N86" s="982"/>
      <c r="O86" s="982"/>
      <c r="P86" s="982"/>
      <c r="Q86" s="985"/>
    </row>
    <row r="87" spans="1:17" ht="15.5">
      <c r="A87" s="981"/>
      <c r="B87" s="982"/>
      <c r="C87" s="982"/>
      <c r="D87" s="982"/>
      <c r="E87" s="982"/>
      <c r="F87" s="987" t="s">
        <v>1010</v>
      </c>
      <c r="G87" s="1008">
        <f>Transmitters!I41</f>
        <v>0.18</v>
      </c>
      <c r="H87" s="985"/>
      <c r="I87" s="981"/>
      <c r="J87" s="982"/>
      <c r="K87" s="982"/>
      <c r="L87" s="982"/>
      <c r="M87" s="982"/>
      <c r="N87" s="982"/>
      <c r="O87" s="982"/>
      <c r="P87" s="982"/>
      <c r="Q87" s="985"/>
    </row>
    <row r="88" spans="1:17">
      <c r="A88" s="981"/>
      <c r="B88" s="982"/>
      <c r="C88" s="982"/>
      <c r="D88" s="982"/>
      <c r="E88" s="982"/>
      <c r="F88" s="982"/>
      <c r="G88" s="982"/>
      <c r="H88" s="985"/>
      <c r="I88" s="981"/>
      <c r="J88" s="982"/>
      <c r="K88" s="982"/>
      <c r="L88" s="982"/>
      <c r="M88" s="982"/>
      <c r="N88" s="987" t="s">
        <v>1034</v>
      </c>
      <c r="O88" s="1029">
        <f>'Downlink Budget'!B56</f>
        <v>1000000</v>
      </c>
      <c r="P88" s="982"/>
      <c r="Q88" s="985"/>
    </row>
    <row r="89" spans="1:17">
      <c r="A89" s="981"/>
      <c r="B89" s="982"/>
      <c r="C89" s="982"/>
      <c r="D89" s="982"/>
      <c r="E89" s="982"/>
      <c r="F89" s="987" t="s">
        <v>1019</v>
      </c>
      <c r="G89" s="1008">
        <f>SUM(Transmitters!I37:I39)</f>
        <v>0.26</v>
      </c>
      <c r="H89" s="985"/>
      <c r="I89" s="981"/>
      <c r="J89" s="982"/>
      <c r="K89" s="982"/>
      <c r="L89" s="982"/>
      <c r="M89" s="982"/>
      <c r="N89" s="1068" t="s">
        <v>426</v>
      </c>
      <c r="O89" s="1068"/>
      <c r="P89" s="982"/>
      <c r="Q89" s="985"/>
    </row>
    <row r="90" spans="1:17">
      <c r="A90" s="981"/>
      <c r="B90" s="982"/>
      <c r="C90" s="982"/>
      <c r="D90" s="982"/>
      <c r="E90" s="982"/>
      <c r="F90" s="982"/>
      <c r="G90" s="982"/>
      <c r="H90" s="985"/>
      <c r="I90" s="981"/>
      <c r="J90" s="982"/>
      <c r="K90" s="982"/>
      <c r="L90" s="982"/>
      <c r="M90" s="982"/>
      <c r="N90" s="982"/>
      <c r="O90" s="982"/>
      <c r="P90" s="982"/>
      <c r="Q90" s="985"/>
    </row>
    <row r="91" spans="1:17">
      <c r="A91" s="981"/>
      <c r="B91" s="982"/>
      <c r="C91" s="982"/>
      <c r="D91" s="982"/>
      <c r="E91" s="982"/>
      <c r="F91" s="987" t="s">
        <v>1018</v>
      </c>
      <c r="G91" s="1008">
        <f>Transmitters!I36</f>
        <v>0.3</v>
      </c>
      <c r="H91" s="985"/>
      <c r="I91" s="981"/>
      <c r="J91" s="982"/>
      <c r="K91" s="982"/>
      <c r="L91" s="982"/>
      <c r="M91" s="982"/>
      <c r="N91" s="982"/>
      <c r="O91" s="982"/>
      <c r="P91" s="982"/>
      <c r="Q91" s="985"/>
    </row>
    <row r="92" spans="1:17">
      <c r="A92" s="981"/>
      <c r="B92" s="982"/>
      <c r="C92" s="982"/>
      <c r="D92" s="982"/>
      <c r="E92" s="982"/>
      <c r="F92" s="982"/>
      <c r="G92" s="982"/>
      <c r="H92" s="985"/>
      <c r="I92" s="981"/>
      <c r="J92" s="982"/>
      <c r="K92" s="982"/>
      <c r="L92" s="982"/>
      <c r="M92" s="982"/>
      <c r="N92" s="982"/>
      <c r="O92" s="982"/>
      <c r="P92" s="982"/>
      <c r="Q92" s="985"/>
    </row>
    <row r="93" spans="1:17">
      <c r="A93" s="981"/>
      <c r="B93" s="982"/>
      <c r="C93" s="982"/>
      <c r="D93" s="982"/>
      <c r="E93" s="982"/>
      <c r="F93" s="987" t="s">
        <v>1016</v>
      </c>
      <c r="G93" s="1006">
        <f>Transmitters!I32</f>
        <v>0.2</v>
      </c>
      <c r="H93" s="985"/>
      <c r="I93" s="981"/>
      <c r="J93" s="982"/>
      <c r="K93" s="982"/>
      <c r="L93" s="982"/>
      <c r="M93" s="982"/>
      <c r="N93" s="1030" t="s">
        <v>421</v>
      </c>
      <c r="O93" s="1002">
        <f>'Downlink Budget'!B35</f>
        <v>1E-4</v>
      </c>
      <c r="P93" s="982"/>
      <c r="Q93" s="985"/>
    </row>
    <row r="94" spans="1:17">
      <c r="A94" s="981"/>
      <c r="B94" s="982"/>
      <c r="C94" s="982"/>
      <c r="D94" s="982"/>
      <c r="E94" s="982"/>
      <c r="F94" s="982" t="s">
        <v>714</v>
      </c>
      <c r="G94" s="982"/>
      <c r="H94" s="985"/>
      <c r="I94" s="981"/>
      <c r="J94" s="982"/>
      <c r="K94" s="982"/>
      <c r="L94" s="982"/>
      <c r="M94" s="982"/>
      <c r="N94" s="1064" t="s">
        <v>1009</v>
      </c>
      <c r="O94" s="1065"/>
      <c r="P94" s="982"/>
      <c r="Q94" s="985"/>
    </row>
    <row r="95" spans="1:17">
      <c r="A95" s="981"/>
      <c r="B95" s="982"/>
      <c r="C95" s="982"/>
      <c r="D95" s="982"/>
      <c r="E95" s="982"/>
      <c r="F95" s="982" t="s">
        <v>714</v>
      </c>
      <c r="G95" s="982"/>
      <c r="H95" s="985"/>
      <c r="I95" s="981"/>
      <c r="J95" s="982"/>
      <c r="K95" s="982"/>
      <c r="L95" s="982"/>
      <c r="M95" s="982"/>
      <c r="N95" s="1058" t="str">
        <f>'Downlink Budget'!B32</f>
        <v>DBPSK</v>
      </c>
      <c r="O95" s="1059"/>
      <c r="P95" s="982"/>
      <c r="Q95" s="985"/>
    </row>
    <row r="96" spans="1:17">
      <c r="A96" s="981"/>
      <c r="B96" s="982"/>
      <c r="C96" s="982"/>
      <c r="D96" s="982"/>
      <c r="E96" s="982"/>
      <c r="F96" s="982" t="s">
        <v>714</v>
      </c>
      <c r="G96" s="982"/>
      <c r="H96" s="985"/>
      <c r="I96" s="981"/>
      <c r="J96" s="982"/>
      <c r="K96" s="982"/>
      <c r="L96" s="982"/>
      <c r="M96" s="982"/>
      <c r="N96" s="1031" t="s">
        <v>333</v>
      </c>
      <c r="O96" s="1005">
        <f>'Downlink Budget'!B41</f>
        <v>10.3</v>
      </c>
      <c r="P96" s="982"/>
      <c r="Q96" s="985"/>
    </row>
    <row r="97" spans="1:17">
      <c r="A97" s="981"/>
      <c r="B97" s="982"/>
      <c r="C97" s="982"/>
      <c r="D97" s="982"/>
      <c r="E97" s="982"/>
      <c r="F97" s="1012" t="s">
        <v>1037</v>
      </c>
      <c r="G97" s="1036">
        <f>Transmitters!E16</f>
        <v>10</v>
      </c>
      <c r="H97" s="985"/>
      <c r="I97" s="981"/>
      <c r="J97" s="982"/>
      <c r="K97" s="982"/>
      <c r="L97" s="982"/>
      <c r="M97" s="982"/>
      <c r="N97" s="982"/>
      <c r="O97" s="982"/>
      <c r="P97" s="982"/>
      <c r="Q97" s="985"/>
    </row>
    <row r="98" spans="1:17">
      <c r="A98" s="981"/>
      <c r="B98" s="982"/>
      <c r="C98" s="982"/>
      <c r="D98" s="982"/>
      <c r="E98" s="982"/>
      <c r="F98" s="982"/>
      <c r="G98" s="982"/>
      <c r="H98" s="985"/>
      <c r="I98" s="981"/>
      <c r="J98" s="982"/>
      <c r="K98" s="982"/>
      <c r="L98" s="982"/>
      <c r="M98" s="982"/>
      <c r="N98" s="982"/>
      <c r="O98" s="982"/>
      <c r="P98" s="982"/>
      <c r="Q98" s="985"/>
    </row>
    <row r="99" spans="1:17">
      <c r="A99" s="981"/>
      <c r="B99" s="982"/>
      <c r="C99" s="982"/>
      <c r="D99" s="982"/>
      <c r="E99" s="982"/>
      <c r="F99" s="982"/>
      <c r="G99" s="982"/>
      <c r="H99" s="985"/>
      <c r="I99" s="981"/>
      <c r="J99" s="982"/>
      <c r="K99" s="982"/>
      <c r="L99" s="982"/>
      <c r="M99" s="982"/>
      <c r="N99" s="982"/>
      <c r="O99" s="982"/>
      <c r="P99" s="982"/>
      <c r="Q99" s="985"/>
    </row>
    <row r="100" spans="1:17">
      <c r="A100" s="981"/>
      <c r="B100" s="982"/>
      <c r="C100" s="982"/>
      <c r="D100" s="982"/>
      <c r="E100" s="982"/>
      <c r="F100" s="982"/>
      <c r="G100" s="982"/>
      <c r="H100" s="985"/>
      <c r="I100" s="981"/>
      <c r="J100" s="982"/>
      <c r="K100" s="982"/>
      <c r="L100" s="982"/>
      <c r="M100" s="982"/>
      <c r="N100" s="1064" t="s">
        <v>1008</v>
      </c>
      <c r="O100" s="1065"/>
      <c r="P100" s="982"/>
      <c r="Q100" s="985"/>
    </row>
    <row r="101" spans="1:17">
      <c r="A101" s="981"/>
      <c r="B101" s="982"/>
      <c r="C101" s="982"/>
      <c r="D101" s="982"/>
      <c r="E101" s="982"/>
      <c r="F101" s="982"/>
      <c r="G101" s="982"/>
      <c r="H101" s="985"/>
      <c r="I101" s="981"/>
      <c r="J101" s="982"/>
      <c r="K101" s="982"/>
      <c r="L101" s="982"/>
      <c r="M101" s="982"/>
      <c r="N101" s="1058" t="str">
        <f>'Downlink Budget'!B33</f>
        <v>None</v>
      </c>
      <c r="O101" s="1059"/>
      <c r="P101" s="982"/>
      <c r="Q101" s="985"/>
    </row>
    <row r="102" spans="1:17">
      <c r="A102" s="981"/>
      <c r="B102" s="982"/>
      <c r="C102" s="982"/>
      <c r="D102" s="982"/>
      <c r="E102" s="982"/>
      <c r="F102" s="982"/>
      <c r="G102" s="982"/>
      <c r="H102" s="985"/>
      <c r="I102" s="981"/>
      <c r="J102" s="982"/>
      <c r="K102" s="982"/>
      <c r="L102" s="982"/>
      <c r="M102" s="982"/>
      <c r="N102" s="982"/>
      <c r="O102" s="982"/>
      <c r="P102" s="982"/>
      <c r="Q102" s="985"/>
    </row>
    <row r="103" spans="1:17">
      <c r="A103" s="981"/>
      <c r="B103" s="982"/>
      <c r="C103" s="982"/>
      <c r="D103" s="982"/>
      <c r="E103" s="982"/>
      <c r="F103" s="1064" t="s">
        <v>1005</v>
      </c>
      <c r="G103" s="1065"/>
      <c r="H103" s="985"/>
      <c r="I103" s="981"/>
      <c r="J103" s="982"/>
      <c r="K103" s="982"/>
      <c r="L103" s="982"/>
      <c r="M103" s="982"/>
      <c r="N103" s="982"/>
      <c r="O103" s="982"/>
      <c r="P103" s="982"/>
      <c r="Q103" s="985"/>
    </row>
    <row r="104" spans="1:17">
      <c r="A104" s="981"/>
      <c r="B104" s="982"/>
      <c r="C104" s="982"/>
      <c r="D104" s="982"/>
      <c r="E104" s="982"/>
      <c r="F104" s="1058" t="str">
        <f>'Uplink Budget'!B32</f>
        <v>DBPSK</v>
      </c>
      <c r="G104" s="1059"/>
      <c r="H104" s="985"/>
      <c r="I104" s="981"/>
      <c r="J104" s="982"/>
      <c r="K104" s="982"/>
      <c r="L104" s="982"/>
      <c r="M104" s="982"/>
      <c r="N104" s="982"/>
      <c r="O104" s="982"/>
      <c r="P104" s="982"/>
      <c r="Q104" s="985"/>
    </row>
    <row r="105" spans="1:17">
      <c r="A105" s="981"/>
      <c r="B105" s="982"/>
      <c r="C105" s="982"/>
      <c r="D105" s="982"/>
      <c r="E105" s="982"/>
      <c r="F105" s="982"/>
      <c r="G105" s="982"/>
      <c r="H105" s="985"/>
      <c r="I105" s="981"/>
      <c r="J105" s="982"/>
      <c r="K105" s="987" t="s">
        <v>1004</v>
      </c>
      <c r="L105" s="1029">
        <f>'Downlink Budget'!B28</f>
        <v>1000000</v>
      </c>
      <c r="M105" s="982"/>
      <c r="N105" s="982"/>
      <c r="O105" s="982" t="s">
        <v>714</v>
      </c>
      <c r="P105" s="982" t="s">
        <v>714</v>
      </c>
      <c r="Q105" s="985"/>
    </row>
    <row r="106" spans="1:17" ht="13" thickBot="1">
      <c r="A106" s="981"/>
      <c r="B106" s="982"/>
      <c r="C106" s="982"/>
      <c r="D106" s="982"/>
      <c r="E106" s="982"/>
      <c r="F106" s="1064" t="s">
        <v>1007</v>
      </c>
      <c r="G106" s="1065"/>
      <c r="H106" s="985"/>
      <c r="I106" s="981"/>
      <c r="J106" s="982"/>
      <c r="K106" s="982"/>
      <c r="L106" s="982"/>
      <c r="M106" s="982"/>
      <c r="N106" s="982"/>
      <c r="O106" s="982"/>
      <c r="P106" s="982"/>
      <c r="Q106" s="985"/>
    </row>
    <row r="107" spans="1:17" ht="13.5" thickBot="1">
      <c r="A107" s="981"/>
      <c r="B107" s="982"/>
      <c r="C107" s="982"/>
      <c r="D107" s="982"/>
      <c r="E107" s="982"/>
      <c r="F107" s="1058" t="str">
        <f>'Uplink Budget'!B33</f>
        <v>None</v>
      </c>
      <c r="G107" s="1059"/>
      <c r="H107" s="985"/>
      <c r="I107" s="1071" t="s">
        <v>1035</v>
      </c>
      <c r="J107" s="1072"/>
      <c r="K107" s="987" t="s">
        <v>1036</v>
      </c>
      <c r="L107" s="988">
        <f>'Downlink Budget'!B30</f>
        <v>20.334122964085026</v>
      </c>
      <c r="M107" s="982"/>
      <c r="N107" s="1032" t="s">
        <v>417</v>
      </c>
      <c r="O107" s="990">
        <f>'Downlink Budget'!B43</f>
        <v>10.034122964085025</v>
      </c>
      <c r="P107" s="991" t="str">
        <f>IF(O107&lt;0,"NO LINK !",IF(O107&lt;6,"MARGINAL LINK",IF(O107&gt;6,"LINK CLOSES")))</f>
        <v>LINK CLOSES</v>
      </c>
      <c r="Q107" s="985"/>
    </row>
    <row r="108" spans="1:17" ht="13" thickBot="1">
      <c r="A108" s="981"/>
      <c r="B108" s="982"/>
      <c r="C108" s="982"/>
      <c r="D108" s="982"/>
      <c r="E108" s="982"/>
      <c r="F108" s="982"/>
      <c r="G108" s="982"/>
      <c r="H108" s="985"/>
      <c r="I108" s="981"/>
      <c r="J108" s="982"/>
      <c r="K108" s="982"/>
      <c r="L108" s="982"/>
      <c r="M108" s="982"/>
      <c r="N108" s="982"/>
      <c r="O108" s="982"/>
      <c r="P108" s="982"/>
      <c r="Q108" s="985"/>
    </row>
    <row r="109" spans="1:17" ht="13.5" thickBot="1">
      <c r="A109" s="981"/>
      <c r="B109" s="982"/>
      <c r="C109" s="1023" t="s">
        <v>416</v>
      </c>
      <c r="D109" s="992">
        <f>'Uplink Budget'!B28</f>
        <v>1000000</v>
      </c>
      <c r="E109" s="982"/>
      <c r="F109" s="982"/>
      <c r="G109" s="982"/>
      <c r="H109" s="985"/>
      <c r="I109" s="1071" t="s">
        <v>420</v>
      </c>
      <c r="J109" s="1072"/>
      <c r="K109" s="987" t="s">
        <v>1006</v>
      </c>
      <c r="L109" s="988">
        <f>'Downlink Budget'!B60</f>
        <v>20.334122964085012</v>
      </c>
      <c r="M109" s="982"/>
      <c r="N109" s="1032" t="s">
        <v>428</v>
      </c>
      <c r="O109" s="990">
        <f>'Downlink Budget'!B64</f>
        <v>10.034122964085011</v>
      </c>
      <c r="P109" s="991" t="str">
        <f>IF(O109&lt;0,"NO LINK !",IF(O109&lt;6,"MARGINAL LINK",IF(O109&gt;6,"LINK CLOSES")))</f>
        <v>LINK CLOSES</v>
      </c>
      <c r="Q109" s="985"/>
    </row>
    <row r="110" spans="1:17">
      <c r="A110" s="981"/>
      <c r="B110" s="982"/>
      <c r="C110" s="982"/>
      <c r="D110" s="982"/>
      <c r="E110" s="982"/>
      <c r="F110" s="982"/>
      <c r="G110" s="982"/>
      <c r="H110" s="985"/>
      <c r="I110" s="981"/>
      <c r="J110" s="982"/>
      <c r="K110" s="982"/>
      <c r="L110" s="982"/>
      <c r="M110" s="982"/>
      <c r="N110" s="982"/>
      <c r="O110" s="982"/>
      <c r="P110" s="982"/>
      <c r="Q110" s="985"/>
    </row>
    <row r="111" spans="1:17">
      <c r="A111" s="981"/>
      <c r="B111" s="982"/>
      <c r="C111" s="982"/>
      <c r="D111" s="982"/>
      <c r="E111" s="982"/>
      <c r="F111" s="982"/>
      <c r="G111" s="982"/>
      <c r="H111" s="985"/>
      <c r="I111" s="982"/>
      <c r="J111" s="982"/>
      <c r="K111" s="982"/>
      <c r="L111" s="982"/>
      <c r="M111" s="982"/>
      <c r="N111" s="982"/>
      <c r="O111" s="982" t="s">
        <v>714</v>
      </c>
      <c r="P111" s="982"/>
      <c r="Q111" s="985"/>
    </row>
    <row r="112" spans="1:17" ht="13" thickBot="1">
      <c r="A112" s="1033"/>
      <c r="B112" s="1034"/>
      <c r="C112" s="1034"/>
      <c r="D112" s="1034"/>
      <c r="E112" s="1034"/>
      <c r="F112" s="1034"/>
      <c r="G112" s="1034"/>
      <c r="H112" s="1035"/>
      <c r="I112" s="1034"/>
      <c r="J112" s="1034"/>
      <c r="K112" s="1034"/>
      <c r="L112" s="1034"/>
      <c r="M112" s="1034"/>
      <c r="N112" s="1034"/>
      <c r="O112" s="1034"/>
      <c r="P112" s="1034"/>
      <c r="Q112" s="1035"/>
    </row>
  </sheetData>
  <mergeCells count="28">
    <mergeCell ref="B75:C75"/>
    <mergeCell ref="N89:O89"/>
    <mergeCell ref="N94:O94"/>
    <mergeCell ref="I109:J109"/>
    <mergeCell ref="N100:O100"/>
    <mergeCell ref="N101:O101"/>
    <mergeCell ref="F103:G103"/>
    <mergeCell ref="F104:G104"/>
    <mergeCell ref="F106:G106"/>
    <mergeCell ref="F107:G107"/>
    <mergeCell ref="I107:J107"/>
    <mergeCell ref="N95:O95"/>
    <mergeCell ref="B67:C67"/>
    <mergeCell ref="N9:O9"/>
    <mergeCell ref="N10:O10"/>
    <mergeCell ref="F13:G13"/>
    <mergeCell ref="F14:G14"/>
    <mergeCell ref="F19:G19"/>
    <mergeCell ref="F20:G20"/>
    <mergeCell ref="F26:G26"/>
    <mergeCell ref="J40:K40"/>
    <mergeCell ref="J49:K49"/>
    <mergeCell ref="N7:O7"/>
    <mergeCell ref="B2:C2"/>
    <mergeCell ref="J2:K2"/>
    <mergeCell ref="B3:C3"/>
    <mergeCell ref="J3:K3"/>
    <mergeCell ref="N6:O6"/>
  </mergeCells>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562</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714</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596</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563</v>
      </c>
      <c r="C8" s="886" t="s">
        <v>933</v>
      </c>
      <c r="D8" s="546" t="s">
        <v>155</v>
      </c>
      <c r="E8" s="366" t="s">
        <v>714</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569</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570</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714</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251</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252</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723</v>
      </c>
      <c r="J40" s="3" t="s">
        <v>389</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387</v>
      </c>
      <c r="G42" s="3"/>
      <c r="H42" s="492">
        <v>0</v>
      </c>
      <c r="I42" s="3" t="s">
        <v>723</v>
      </c>
      <c r="J42" s="3" t="s">
        <v>388</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714</v>
      </c>
      <c r="D44" s="406" t="s">
        <v>714</v>
      </c>
      <c r="E44" s="3"/>
      <c r="F44" s="3" t="s">
        <v>390</v>
      </c>
      <c r="G44" s="3"/>
      <c r="H44" s="3">
        <v>5.15</v>
      </c>
      <c r="I44" s="3" t="s">
        <v>36</v>
      </c>
      <c r="J44" s="3" t="s">
        <v>391</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714</v>
      </c>
      <c r="C46" s="3"/>
      <c r="D46" s="3"/>
      <c r="E46" s="3"/>
      <c r="F46" s="3" t="s">
        <v>392</v>
      </c>
      <c r="G46" s="3"/>
      <c r="H46" s="492">
        <v>0</v>
      </c>
      <c r="I46" s="3" t="s">
        <v>723</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714</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564</v>
      </c>
      <c r="C49" s="886" t="s">
        <v>933</v>
      </c>
      <c r="D49" s="546" t="s">
        <v>155</v>
      </c>
      <c r="E49" s="366"/>
      <c r="F49" t="s">
        <v>714</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714</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714</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714</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714</v>
      </c>
      <c r="F81" s="3"/>
      <c r="G81" s="3"/>
      <c r="H81" s="3"/>
      <c r="I81" s="3"/>
      <c r="J81" s="3"/>
      <c r="K81" s="3"/>
      <c r="L81" s="3"/>
      <c r="M81" s="4" t="s">
        <v>393</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723</v>
      </c>
      <c r="K85" s="3" t="s">
        <v>389</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714</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387</v>
      </c>
      <c r="H87" s="3"/>
      <c r="I87" s="492">
        <v>0</v>
      </c>
      <c r="J87" s="3" t="s">
        <v>723</v>
      </c>
      <c r="K87" s="3" t="s">
        <v>388</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390</v>
      </c>
      <c r="H89" s="3"/>
      <c r="I89" s="3">
        <v>2.15</v>
      </c>
      <c r="J89" s="3" t="s">
        <v>36</v>
      </c>
      <c r="K89" s="3" t="s">
        <v>391</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392</v>
      </c>
      <c r="H91" s="3"/>
      <c r="I91" s="492">
        <v>0</v>
      </c>
      <c r="J91" s="3" t="s">
        <v>723</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714</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571</v>
      </c>
      <c r="C98" s="886" t="s">
        <v>933</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253</v>
      </c>
      <c r="C99" s="79">
        <v>0</v>
      </c>
      <c r="D99" s="33">
        <f>2-0.00075*(C99)^2</f>
        <v>2</v>
      </c>
      <c r="E99" s="33">
        <f>0.5-0.00075*(180-C99)^2</f>
        <v>-23.8</v>
      </c>
      <c r="F99" t="s">
        <v>714</v>
      </c>
      <c r="G99" t="s">
        <v>714</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714</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714</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714</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714</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714</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714</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714</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572</v>
      </c>
      <c r="C175" s="446" t="s">
        <v>153</v>
      </c>
      <c r="D175" s="547" t="s">
        <v>155</v>
      </c>
      <c r="E175" s="547" t="s">
        <v>155</v>
      </c>
      <c r="F175" s="857"/>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7"/>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7"/>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7"/>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7"/>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7"/>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714</v>
      </c>
      <c r="F181" s="857"/>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7"/>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7"/>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7"/>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7"/>
      <c r="G185" s="418"/>
      <c r="H185" s="418" t="s">
        <v>714</v>
      </c>
      <c r="I185" s="418" t="s">
        <v>574</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7"/>
      <c r="G186" s="418"/>
      <c r="H186" s="418"/>
      <c r="I186" s="418"/>
      <c r="J186" s="418" t="s">
        <v>570</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7"/>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7"/>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7"/>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7"/>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7"/>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7"/>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7"/>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7"/>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7"/>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7"/>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7"/>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7"/>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7"/>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714</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714</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714</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573</v>
      </c>
      <c r="C215" s="858" t="s">
        <v>929</v>
      </c>
      <c r="D215" s="547" t="s">
        <v>155</v>
      </c>
      <c r="E215" s="550" t="s">
        <v>155</v>
      </c>
      <c r="F215" s="418"/>
      <c r="G215" s="418" t="s">
        <v>714</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6">
        <f>6-(-10*LOG10(3282.81*((SIN(RADIANS(C216*1.7724))^2)/((C216*1.7724)^2))))</f>
        <v>6.0000048287003951</v>
      </c>
      <c r="E216" s="79" t="s">
        <v>714</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6">
        <f t="shared" ref="D217:D252" si="13">6-(-10*LOG10(3282.81*((SIN(RADIANS(C217*1.7724))^2)/((C217*1.7724)^2))))</f>
        <v>5.9653447349382374</v>
      </c>
      <c r="E217" s="79" t="s">
        <v>714</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6">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6">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6">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6">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6">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6">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6">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6">
        <f t="shared" si="13"/>
        <v>2.9874513525559072</v>
      </c>
      <c r="E225" s="79"/>
      <c r="F225" s="418"/>
      <c r="G225" s="418"/>
      <c r="H225" s="418" t="s">
        <v>714</v>
      </c>
      <c r="I225" s="418" t="s">
        <v>575</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6">
        <f t="shared" si="13"/>
        <v>2.2093012463479962</v>
      </c>
      <c r="E226" s="79"/>
      <c r="F226" s="418"/>
      <c r="G226" s="418"/>
      <c r="H226" s="418"/>
      <c r="I226" s="418"/>
      <c r="J226" s="543" t="s">
        <v>570</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6">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6">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6">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6">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6">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6">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6">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6">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6">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6">
        <f t="shared" si="13"/>
        <v>-30.156464421918081</v>
      </c>
      <c r="E236" s="79" t="s">
        <v>895</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6">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6">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6">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6">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6">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6">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6">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6">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6">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6">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6">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6">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6">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6">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6">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6">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6">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6">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714</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714</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39"/>
      <c r="T1" s="839"/>
      <c r="U1" s="839"/>
    </row>
    <row r="2" spans="1:21" ht="18">
      <c r="A2" s="479" t="s">
        <v>54</v>
      </c>
      <c r="B2" s="480"/>
      <c r="C2" s="480"/>
      <c r="D2" s="480"/>
      <c r="E2" s="384"/>
      <c r="F2" s="384"/>
      <c r="G2" s="481"/>
      <c r="H2" s="3"/>
      <c r="I2" s="3"/>
      <c r="J2" s="3"/>
      <c r="K2" s="3"/>
      <c r="L2" s="3"/>
      <c r="M2" s="3"/>
      <c r="N2" s="3"/>
      <c r="O2" s="3"/>
      <c r="P2" s="3"/>
      <c r="Q2" s="3"/>
      <c r="R2" s="3"/>
      <c r="S2" s="839"/>
      <c r="T2" s="839"/>
      <c r="U2" s="839"/>
    </row>
    <row r="3" spans="1:21" ht="18" thickBot="1">
      <c r="A3" s="482" t="s">
        <v>341</v>
      </c>
      <c r="B3" s="483"/>
      <c r="C3" s="483"/>
      <c r="D3" s="483"/>
      <c r="E3" s="484"/>
      <c r="F3" s="127"/>
      <c r="G3" s="485"/>
      <c r="H3" s="3"/>
      <c r="I3" s="446" t="s">
        <v>38</v>
      </c>
      <c r="J3" s="460" t="str">
        <f>'Title Page'!F23</f>
        <v>2019 September 13</v>
      </c>
      <c r="K3" s="366"/>
      <c r="L3" s="4" t="s">
        <v>714</v>
      </c>
      <c r="M3" s="4" t="s">
        <v>714</v>
      </c>
      <c r="N3" s="3"/>
      <c r="O3" s="3"/>
      <c r="P3" s="3"/>
      <c r="Q3" s="3"/>
      <c r="R3" s="3"/>
      <c r="S3" s="839"/>
      <c r="T3" s="839"/>
      <c r="U3" s="839"/>
    </row>
    <row r="4" spans="1:21" ht="13.5" thickBot="1">
      <c r="A4" s="4"/>
      <c r="B4" s="3"/>
      <c r="C4" s="3"/>
      <c r="D4" s="3"/>
      <c r="E4" s="3"/>
      <c r="F4" s="3"/>
      <c r="G4" s="3"/>
      <c r="H4" s="3"/>
      <c r="I4" s="3"/>
      <c r="J4" s="3"/>
      <c r="K4" s="3"/>
      <c r="L4" s="3"/>
      <c r="M4" s="4"/>
      <c r="N4" s="3"/>
      <c r="O4" s="3"/>
      <c r="P4" s="3"/>
      <c r="Q4" s="3"/>
      <c r="R4" s="3"/>
      <c r="S4" s="839"/>
      <c r="T4" s="839"/>
      <c r="U4" s="839"/>
    </row>
    <row r="5" spans="1:21" ht="13.5" thickBot="1">
      <c r="A5" s="571" t="s">
        <v>752</v>
      </c>
      <c r="B5" s="570">
        <v>8.1999999999999993</v>
      </c>
      <c r="C5" s="3" t="s">
        <v>39</v>
      </c>
      <c r="D5" s="3"/>
      <c r="E5" s="491" t="s">
        <v>40</v>
      </c>
      <c r="F5" s="495">
        <f>20.4+20*LOG10(B6)+20*LOG10(B5)+10*LOG10(B7/100)</f>
        <v>58.686579312516898</v>
      </c>
      <c r="G5" s="3" t="s">
        <v>714</v>
      </c>
      <c r="H5" s="385" t="s">
        <v>602</v>
      </c>
      <c r="I5" s="315"/>
      <c r="J5" s="185"/>
      <c r="K5" s="3"/>
      <c r="L5" s="3"/>
      <c r="M5" s="3"/>
      <c r="N5" s="3"/>
      <c r="O5" s="3"/>
      <c r="P5" s="3"/>
      <c r="Q5" s="3"/>
      <c r="R5" s="3"/>
      <c r="S5" s="839"/>
      <c r="T5" s="839"/>
      <c r="U5" s="839"/>
    </row>
    <row r="6" spans="1:21" ht="13.5" thickBot="1">
      <c r="A6" s="571" t="s">
        <v>41</v>
      </c>
      <c r="B6" s="570">
        <v>13.5</v>
      </c>
      <c r="C6" s="3" t="s">
        <v>42</v>
      </c>
      <c r="D6" s="3"/>
      <c r="E6" s="3"/>
      <c r="F6" s="79"/>
      <c r="G6" s="3"/>
      <c r="H6" s="3"/>
      <c r="I6" s="3"/>
      <c r="J6" s="3"/>
      <c r="K6" s="3"/>
      <c r="L6" s="3"/>
      <c r="M6" s="3"/>
      <c r="N6" s="3"/>
      <c r="O6" s="3"/>
      <c r="P6" s="3"/>
      <c r="Q6" s="3"/>
      <c r="R6" s="3"/>
      <c r="S6" s="839"/>
      <c r="T6" s="839"/>
      <c r="U6" s="839"/>
    </row>
    <row r="7" spans="1:21" ht="13.5" thickBot="1">
      <c r="A7" s="572" t="s">
        <v>52</v>
      </c>
      <c r="B7" s="570">
        <v>55</v>
      </c>
      <c r="C7" s="3" t="s">
        <v>37</v>
      </c>
      <c r="D7" s="744" t="s">
        <v>150</v>
      </c>
      <c r="E7" s="4" t="s">
        <v>151</v>
      </c>
      <c r="F7" s="806">
        <f>21/(B5*B6)</f>
        <v>0.18970189701897022</v>
      </c>
      <c r="G7" s="3" t="s">
        <v>4</v>
      </c>
      <c r="H7" s="487" t="s">
        <v>162</v>
      </c>
      <c r="I7" s="3"/>
      <c r="J7" s="3"/>
      <c r="K7" s="3"/>
      <c r="L7" s="3"/>
      <c r="M7" s="3"/>
      <c r="N7" s="3"/>
      <c r="O7" s="3"/>
      <c r="P7" s="3"/>
      <c r="Q7" s="3"/>
      <c r="R7" s="28" t="s">
        <v>714</v>
      </c>
      <c r="S7" s="134">
        <f>F7/2</f>
        <v>9.4850948509485111E-2</v>
      </c>
      <c r="T7" s="839"/>
      <c r="U7" s="839"/>
    </row>
    <row r="8" spans="1:21" ht="13.5" thickBot="1">
      <c r="A8" s="846"/>
      <c r="B8" s="847"/>
      <c r="C8" s="848"/>
      <c r="D8" s="849"/>
      <c r="E8" s="850"/>
      <c r="F8" s="851"/>
      <c r="G8" s="3"/>
      <c r="H8" s="487"/>
      <c r="I8" s="3"/>
      <c r="J8" s="3"/>
      <c r="K8" s="3"/>
      <c r="L8" s="3"/>
      <c r="M8" s="3"/>
      <c r="N8" s="3"/>
      <c r="O8" s="3"/>
      <c r="P8" s="3"/>
      <c r="Q8" s="3"/>
      <c r="R8" s="28"/>
      <c r="S8" s="134"/>
      <c r="T8" s="839"/>
      <c r="U8" s="839"/>
    </row>
    <row r="9" spans="1:21" ht="13" customHeight="1" thickBot="1">
      <c r="A9" s="846"/>
      <c r="B9" s="847"/>
      <c r="C9" s="848"/>
      <c r="D9" s="849" t="s">
        <v>87</v>
      </c>
      <c r="E9" s="850"/>
      <c r="F9" s="852">
        <f>299.8/(B5*1000)</f>
        <v>3.6560975609756102E-2</v>
      </c>
      <c r="G9" s="3" t="s">
        <v>927</v>
      </c>
      <c r="H9" s="487"/>
      <c r="I9" s="3"/>
      <c r="J9" s="3"/>
      <c r="K9" s="3"/>
      <c r="L9" s="3"/>
      <c r="M9" s="3"/>
      <c r="N9" s="3"/>
      <c r="O9" s="3"/>
      <c r="P9" s="3"/>
      <c r="Q9" s="3"/>
      <c r="R9" s="28"/>
      <c r="S9" s="134"/>
      <c r="T9" s="839"/>
      <c r="U9" s="839"/>
    </row>
    <row r="10" spans="1:21" ht="13.5" thickBot="1">
      <c r="A10" s="846"/>
      <c r="B10" s="847"/>
      <c r="C10" s="848"/>
      <c r="D10" s="849"/>
      <c r="E10" s="850"/>
      <c r="F10" s="851"/>
      <c r="G10" s="3"/>
      <c r="H10" s="861" t="s">
        <v>930</v>
      </c>
      <c r="I10" s="3"/>
      <c r="J10" s="3"/>
      <c r="K10" s="3" t="s">
        <v>714</v>
      </c>
      <c r="L10" s="3"/>
      <c r="M10" s="3"/>
      <c r="N10" s="3"/>
      <c r="O10" s="3"/>
      <c r="P10" s="3"/>
      <c r="Q10" s="3"/>
      <c r="R10" s="28"/>
      <c r="S10" s="134"/>
      <c r="T10" s="839"/>
      <c r="U10" s="839"/>
    </row>
    <row r="11" spans="1:21" ht="13" customHeight="1" thickBot="1">
      <c r="A11" s="846"/>
      <c r="B11" s="847"/>
      <c r="C11" s="848"/>
      <c r="D11" s="853" t="s">
        <v>925</v>
      </c>
      <c r="E11" s="850"/>
      <c r="F11" s="854">
        <f>B6/F9</f>
        <v>369.24616410940621</v>
      </c>
      <c r="G11" s="3" t="s">
        <v>928</v>
      </c>
      <c r="H11" s="855" t="str">
        <f>IF(F11&gt;9.99, "OK", "Too Small")</f>
        <v>OK</v>
      </c>
      <c r="I11" s="3"/>
      <c r="J11" s="3"/>
      <c r="K11" s="3"/>
      <c r="L11" s="3"/>
      <c r="M11" s="3"/>
      <c r="N11" s="3"/>
      <c r="O11" s="3"/>
      <c r="P11" s="3"/>
      <c r="Q11" s="3"/>
      <c r="R11" s="28"/>
      <c r="S11" s="134"/>
      <c r="T11" s="839"/>
      <c r="U11" s="839"/>
    </row>
    <row r="12" spans="1:21" ht="13.5" thickBot="1">
      <c r="A12" s="486"/>
      <c r="B12" s="488"/>
      <c r="C12" s="94"/>
      <c r="D12" s="94"/>
      <c r="E12" s="4"/>
      <c r="F12" s="489"/>
      <c r="G12" s="94"/>
      <c r="H12" s="230"/>
      <c r="I12" s="94"/>
      <c r="J12" s="94"/>
      <c r="K12" s="94"/>
      <c r="L12" s="94"/>
      <c r="M12" s="94"/>
      <c r="N12" s="94"/>
      <c r="O12" s="94"/>
      <c r="P12" s="94"/>
      <c r="Q12" s="94"/>
      <c r="R12" s="490"/>
      <c r="S12" s="134"/>
      <c r="T12" s="839"/>
      <c r="U12" s="839"/>
    </row>
    <row r="13" spans="1:21">
      <c r="A13" s="685" t="s">
        <v>140</v>
      </c>
      <c r="B13" s="473" t="s">
        <v>129</v>
      </c>
      <c r="C13" s="474"/>
      <c r="D13" s="474"/>
      <c r="E13" s="474"/>
      <c r="F13" s="496"/>
      <c r="G13" s="80"/>
      <c r="H13" s="80"/>
      <c r="I13" s="80"/>
      <c r="J13" s="80"/>
      <c r="K13" s="96"/>
      <c r="L13" s="3"/>
      <c r="M13" s="3"/>
      <c r="N13" s="3"/>
      <c r="O13" s="3"/>
      <c r="P13" s="3"/>
      <c r="Q13" s="3"/>
      <c r="R13" s="839"/>
      <c r="S13" s="839"/>
      <c r="T13" s="839"/>
      <c r="U13" s="839"/>
    </row>
    <row r="14" spans="1:21" ht="13.5" thickBot="1">
      <c r="A14" s="871"/>
      <c r="B14" s="872"/>
      <c r="C14" s="871" t="s">
        <v>714</v>
      </c>
      <c r="D14" s="871"/>
      <c r="E14" s="871"/>
      <c r="F14" s="497" t="s">
        <v>55</v>
      </c>
      <c r="G14" s="498"/>
      <c r="H14" s="498"/>
      <c r="I14" s="499" t="s">
        <v>56</v>
      </c>
      <c r="J14" s="498"/>
      <c r="K14" s="500"/>
      <c r="L14" s="3"/>
      <c r="M14" s="3"/>
      <c r="N14" s="3"/>
      <c r="O14" s="3"/>
      <c r="P14" s="3"/>
      <c r="Q14" s="4"/>
      <c r="R14" s="839"/>
      <c r="S14" s="839"/>
      <c r="T14" s="839"/>
      <c r="U14" s="841"/>
    </row>
    <row r="15" spans="1:21" ht="13">
      <c r="A15" s="869"/>
      <c r="B15" s="869">
        <v>1E-4</v>
      </c>
      <c r="C15" s="870">
        <f>((SIN(RADIANS(B15)))^2)/B15^2</f>
        <v>3.046174197863993E-4</v>
      </c>
      <c r="D15" s="869">
        <f>C15*1000000</f>
        <v>304.6174197863993</v>
      </c>
      <c r="E15" s="870">
        <f>D15/304.6174</f>
        <v>1.0000000649549217</v>
      </c>
      <c r="F15" s="253">
        <v>0</v>
      </c>
      <c r="G15" s="251" t="s">
        <v>756</v>
      </c>
      <c r="H15" s="251"/>
      <c r="I15" s="262">
        <f>(S7*B15)/79.76</f>
        <v>1.1892044697778975E-7</v>
      </c>
      <c r="J15" s="263" t="s">
        <v>43</v>
      </c>
      <c r="K15" s="87"/>
      <c r="L15" s="3"/>
      <c r="M15" s="3"/>
      <c r="N15" s="3"/>
      <c r="O15" s="3"/>
      <c r="P15" s="3"/>
      <c r="Q15" s="3"/>
      <c r="R15" s="839"/>
      <c r="S15" s="840"/>
      <c r="T15" s="839"/>
      <c r="U15" s="842"/>
    </row>
    <row r="16" spans="1:21" ht="13">
      <c r="A16" s="869"/>
      <c r="B16" s="869">
        <v>0.1</v>
      </c>
      <c r="C16" s="870">
        <f>((SIN(RADIANS(B16)))^2)/B16^2</f>
        <v>3.0461711048092603E-4</v>
      </c>
      <c r="D16" s="869">
        <f>C16*1000000</f>
        <v>304.61711048092604</v>
      </c>
      <c r="E16" s="869">
        <f t="shared" ref="E16:E81" si="0">D16/304.6174</f>
        <v>0.99999904956488395</v>
      </c>
      <c r="F16" s="642">
        <f>10*LOG10(E16)</f>
        <v>-4.1276892246433878E-6</v>
      </c>
      <c r="G16" s="251" t="s">
        <v>756</v>
      </c>
      <c r="H16" s="251"/>
      <c r="I16" s="252">
        <f>(S7*B16)/79.76</f>
        <v>1.1892044697778976E-4</v>
      </c>
      <c r="J16" s="86"/>
      <c r="K16" s="87"/>
      <c r="L16" s="3"/>
      <c r="M16" s="3"/>
      <c r="N16" s="3"/>
      <c r="O16" s="3"/>
      <c r="P16" s="3"/>
      <c r="Q16" s="3"/>
      <c r="R16" s="839"/>
      <c r="S16" s="839"/>
      <c r="T16" s="839"/>
      <c r="U16" s="843"/>
    </row>
    <row r="17" spans="1:21" ht="13">
      <c r="A17" s="869" t="s">
        <v>714</v>
      </c>
      <c r="B17" s="869">
        <v>3.5</v>
      </c>
      <c r="C17" s="869">
        <f>((SIN(RADIANS(B17)))^2)/B17^2</f>
        <v>3.0423870851746797E-4</v>
      </c>
      <c r="D17" s="869">
        <f>C17*1000000</f>
        <v>304.23870851746796</v>
      </c>
      <c r="E17" s="869">
        <f t="shared" si="0"/>
        <v>0.99875682911569719</v>
      </c>
      <c r="F17" s="253">
        <f>10*LOG10(E17)</f>
        <v>-5.4023812889198589E-3</v>
      </c>
      <c r="G17" s="251" t="s">
        <v>756</v>
      </c>
      <c r="H17" s="251" t="s">
        <v>714</v>
      </c>
      <c r="I17" s="252">
        <f>(S7*B17)/79.76</f>
        <v>4.1622156442226417E-3</v>
      </c>
      <c r="J17" s="86" t="s">
        <v>714</v>
      </c>
      <c r="K17" s="87"/>
      <c r="L17" s="3"/>
      <c r="M17" s="3"/>
      <c r="N17" s="3"/>
      <c r="O17" s="3"/>
      <c r="P17" s="3"/>
      <c r="Q17" s="3"/>
      <c r="R17" s="839"/>
      <c r="S17" s="839"/>
      <c r="T17" s="839"/>
      <c r="U17" s="844"/>
    </row>
    <row r="18" spans="1:21" ht="13">
      <c r="A18" s="869"/>
      <c r="B18" s="869">
        <v>10</v>
      </c>
      <c r="C18" s="869">
        <f t="shared" ref="C18:C24" si="1">((SIN(RADIANS(B18)))^2)/B18^2</f>
        <v>3.0153689607045805E-4</v>
      </c>
      <c r="D18" s="869">
        <f t="shared" ref="D18:D83" si="2">C18*1000000</f>
        <v>301.53689607045806</v>
      </c>
      <c r="E18" s="869">
        <f t="shared" si="0"/>
        <v>0.98988730148198389</v>
      </c>
      <c r="F18" s="253">
        <f>10*LOG10(E18)</f>
        <v>-4.4142469484505009E-2</v>
      </c>
      <c r="G18" s="251" t="s">
        <v>756</v>
      </c>
      <c r="H18" s="251"/>
      <c r="I18" s="252">
        <f>(S7*B18)/79.76</f>
        <v>1.1892044697778974E-2</v>
      </c>
      <c r="J18" s="86"/>
      <c r="K18" s="87"/>
      <c r="L18" s="3"/>
      <c r="M18" s="3"/>
      <c r="N18" s="3"/>
      <c r="O18" s="3"/>
      <c r="P18" s="3"/>
      <c r="Q18" s="28"/>
      <c r="R18" s="839"/>
      <c r="S18" s="839"/>
      <c r="T18" s="839"/>
      <c r="U18" s="844"/>
    </row>
    <row r="19" spans="1:21" ht="13">
      <c r="A19" s="869"/>
      <c r="B19" s="869">
        <v>25</v>
      </c>
      <c r="C19" s="869">
        <f t="shared" si="1"/>
        <v>2.8576991225076853E-4</v>
      </c>
      <c r="D19" s="869">
        <f t="shared" si="2"/>
        <v>285.76991225076853</v>
      </c>
      <c r="E19" s="869">
        <f t="shared" si="0"/>
        <v>0.93812734351605831</v>
      </c>
      <c r="F19" s="255">
        <f t="shared" ref="F19:F84" si="3">10*LOG10(E19)</f>
        <v>-0.27738205509447322</v>
      </c>
      <c r="G19" s="251" t="s">
        <v>756</v>
      </c>
      <c r="H19" s="251"/>
      <c r="I19" s="254">
        <f>(S7*B19)/79.76</f>
        <v>2.9730111744447441E-2</v>
      </c>
      <c r="J19" s="86"/>
      <c r="K19" s="87"/>
      <c r="L19" s="3"/>
      <c r="M19" s="3"/>
      <c r="N19" s="3"/>
      <c r="O19" s="3"/>
      <c r="P19" s="3"/>
      <c r="Q19" s="492"/>
      <c r="R19" s="839"/>
      <c r="S19" s="839"/>
      <c r="T19" s="839"/>
      <c r="U19" s="844"/>
    </row>
    <row r="20" spans="1:21" ht="13">
      <c r="A20" s="869"/>
      <c r="B20" s="869">
        <v>30</v>
      </c>
      <c r="C20" s="869">
        <f t="shared" si="1"/>
        <v>2.7777777777777772E-4</v>
      </c>
      <c r="D20" s="869">
        <f t="shared" si="2"/>
        <v>277.77777777777771</v>
      </c>
      <c r="E20" s="869">
        <f t="shared" si="0"/>
        <v>0.91189071201375149</v>
      </c>
      <c r="F20" s="255">
        <f t="shared" si="3"/>
        <v>-0.4005720773893886</v>
      </c>
      <c r="G20" s="251" t="s">
        <v>756</v>
      </c>
      <c r="H20" s="251"/>
      <c r="I20" s="254">
        <f>(S7*B20)/79.76</f>
        <v>3.5676134093336927E-2</v>
      </c>
      <c r="J20" s="86"/>
      <c r="K20" s="87"/>
      <c r="L20" s="3"/>
      <c r="M20" s="3"/>
      <c r="N20" s="3"/>
      <c r="O20" s="3"/>
      <c r="P20" s="3"/>
      <c r="Q20" s="492"/>
      <c r="R20" s="839"/>
      <c r="S20" s="839"/>
      <c r="T20" s="839"/>
      <c r="U20" s="844"/>
    </row>
    <row r="21" spans="1:21" ht="13">
      <c r="A21" s="869"/>
      <c r="B21" s="869">
        <v>40</v>
      </c>
      <c r="C21" s="869">
        <f t="shared" si="1"/>
        <v>2.5823494447908422E-4</v>
      </c>
      <c r="D21" s="869">
        <f t="shared" si="2"/>
        <v>258.23494447908422</v>
      </c>
      <c r="E21" s="869">
        <f t="shared" si="0"/>
        <v>0.84773537059630943</v>
      </c>
      <c r="F21" s="255">
        <f t="shared" si="3"/>
        <v>-0.71739696122706598</v>
      </c>
      <c r="G21" s="251" t="s">
        <v>756</v>
      </c>
      <c r="H21" s="251"/>
      <c r="I21" s="878">
        <f>(S7*B21)/79.76</f>
        <v>4.7568178791115898E-2</v>
      </c>
      <c r="J21" s="86" t="s">
        <v>714</v>
      </c>
      <c r="K21" s="87"/>
      <c r="L21" s="3"/>
      <c r="M21" s="3"/>
      <c r="N21" s="3"/>
      <c r="O21" s="3"/>
      <c r="P21" s="3"/>
      <c r="Q21" s="492"/>
      <c r="R21" s="839"/>
      <c r="S21" s="839"/>
      <c r="T21" s="839"/>
      <c r="U21" s="844"/>
    </row>
    <row r="22" spans="1:21" ht="13">
      <c r="A22" s="869"/>
      <c r="B22" s="869">
        <v>47</v>
      </c>
      <c r="C22" s="869">
        <f t="shared" si="1"/>
        <v>2.4213591528839411E-4</v>
      </c>
      <c r="D22" s="869">
        <f t="shared" si="2"/>
        <v>242.1359152883941</v>
      </c>
      <c r="E22" s="869">
        <f t="shared" si="0"/>
        <v>0.79488537190716657</v>
      </c>
      <c r="F22" s="862">
        <f t="shared" si="3"/>
        <v>-0.99695495164283776</v>
      </c>
      <c r="G22" s="863" t="s">
        <v>756</v>
      </c>
      <c r="H22" s="863"/>
      <c r="I22" s="868">
        <f>(S7*B22)/79.76</f>
        <v>5.5892610079561179E-2</v>
      </c>
      <c r="J22" s="865"/>
      <c r="K22" s="866"/>
      <c r="L22" s="3"/>
      <c r="M22" s="3"/>
      <c r="N22" s="3"/>
      <c r="O22" s="3"/>
      <c r="P22" s="3"/>
      <c r="Q22" s="492"/>
      <c r="R22" s="839"/>
      <c r="S22" s="839"/>
      <c r="T22" s="839"/>
      <c r="U22" s="845"/>
    </row>
    <row r="23" spans="1:21" ht="13">
      <c r="A23" s="869"/>
      <c r="B23" s="869">
        <v>56.5</v>
      </c>
      <c r="C23" s="869">
        <f t="shared" si="1"/>
        <v>2.1782929414821425E-4</v>
      </c>
      <c r="D23" s="869">
        <f t="shared" si="2"/>
        <v>217.82929414821425</v>
      </c>
      <c r="E23" s="869">
        <f t="shared" si="0"/>
        <v>0.71509143649776497</v>
      </c>
      <c r="F23" s="255">
        <f t="shared" si="3"/>
        <v>-1.4563842277584849</v>
      </c>
      <c r="G23" s="251" t="s">
        <v>756</v>
      </c>
      <c r="H23" s="251"/>
      <c r="I23" s="254">
        <f>(S7*B23)/79.76</f>
        <v>6.7190052542451209E-2</v>
      </c>
      <c r="J23" s="86" t="s">
        <v>714</v>
      </c>
      <c r="K23" s="87"/>
      <c r="L23" s="3"/>
      <c r="M23" s="3"/>
      <c r="N23" s="3"/>
      <c r="O23" s="3"/>
      <c r="P23" s="3"/>
      <c r="Q23" s="492"/>
      <c r="R23" s="839"/>
      <c r="S23" s="839"/>
      <c r="T23" s="839"/>
      <c r="U23" s="845"/>
    </row>
    <row r="24" spans="1:21" ht="13">
      <c r="A24" s="869"/>
      <c r="B24" s="869">
        <v>60</v>
      </c>
      <c r="C24" s="869">
        <f t="shared" si="1"/>
        <v>2.0833333333333329E-4</v>
      </c>
      <c r="D24" s="869">
        <f t="shared" si="2"/>
        <v>208.33333333333329</v>
      </c>
      <c r="E24" s="869">
        <f t="shared" si="0"/>
        <v>0.68391803401031359</v>
      </c>
      <c r="F24" s="255">
        <f t="shared" si="3"/>
        <v>-1.6499594434723883</v>
      </c>
      <c r="G24" s="251" t="s">
        <v>756</v>
      </c>
      <c r="H24" s="251"/>
      <c r="I24" s="254">
        <f>(S7*B24)/79.76</f>
        <v>7.1352268186673853E-2</v>
      </c>
      <c r="J24" s="86"/>
      <c r="K24" s="87"/>
      <c r="L24" s="3"/>
      <c r="M24" s="3"/>
      <c r="N24" s="3"/>
      <c r="O24" s="3"/>
      <c r="P24" s="3"/>
      <c r="Q24" s="492"/>
      <c r="R24" s="839"/>
      <c r="S24" s="839"/>
      <c r="T24" s="839"/>
      <c r="U24" s="845"/>
    </row>
    <row r="25" spans="1:21" ht="13">
      <c r="A25" s="869"/>
      <c r="B25" s="869">
        <v>65</v>
      </c>
      <c r="C25" s="869">
        <f t="shared" ref="C25:C56" si="4">((SIN(RADIANS(B25)))^2)/B25^2</f>
        <v>1.9441273487414665E-4</v>
      </c>
      <c r="D25" s="869">
        <f>C25*1000000</f>
        <v>194.41273487414665</v>
      </c>
      <c r="E25" s="869">
        <f>D25/304.6174</f>
        <v>0.63821940202413474</v>
      </c>
      <c r="F25" s="867">
        <f>10*LOG10(E25)</f>
        <v>-1.9502999728456567</v>
      </c>
      <c r="G25" s="863" t="s">
        <v>756</v>
      </c>
      <c r="H25" s="863"/>
      <c r="I25" s="868">
        <f>(S7*B25)/79.76</f>
        <v>7.7298290535563335E-2</v>
      </c>
      <c r="J25" s="865"/>
      <c r="K25" s="866"/>
      <c r="L25" s="3"/>
      <c r="M25" s="3" t="s">
        <v>714</v>
      </c>
      <c r="N25" s="3"/>
      <c r="O25" s="3"/>
      <c r="P25" s="3"/>
      <c r="Q25" s="492"/>
      <c r="R25" s="848"/>
      <c r="S25" s="848"/>
      <c r="T25" s="848"/>
      <c r="U25" s="845"/>
    </row>
    <row r="26" spans="1:21" ht="13">
      <c r="A26" s="869"/>
      <c r="B26" s="869">
        <v>70</v>
      </c>
      <c r="C26" s="869">
        <f t="shared" si="4"/>
        <v>1.8020861664479364E-4</v>
      </c>
      <c r="D26" s="869">
        <f t="shared" si="2"/>
        <v>180.20861664479364</v>
      </c>
      <c r="E26" s="869">
        <f t="shared" si="0"/>
        <v>0.59159002947564276</v>
      </c>
      <c r="F26" s="255">
        <f t="shared" si="3"/>
        <v>-2.2797915411429233</v>
      </c>
      <c r="G26" s="251" t="s">
        <v>756</v>
      </c>
      <c r="H26" s="251"/>
      <c r="I26" s="254">
        <f>(S7*B26)/79.76</f>
        <v>8.3244312884452831E-2</v>
      </c>
      <c r="J26" s="86"/>
      <c r="K26" s="87"/>
      <c r="L26" s="3"/>
      <c r="M26" s="3"/>
      <c r="N26" s="3"/>
      <c r="O26" s="3"/>
      <c r="P26" s="3"/>
      <c r="Q26" s="493"/>
      <c r="R26" s="839"/>
      <c r="S26" s="840"/>
      <c r="T26" s="839"/>
      <c r="U26" s="843"/>
    </row>
    <row r="27" spans="1:21" ht="13">
      <c r="A27" s="869"/>
      <c r="B27" s="869">
        <v>79.760000000000005</v>
      </c>
      <c r="C27" s="869">
        <f t="shared" si="4"/>
        <v>1.5222403494475541E-4</v>
      </c>
      <c r="D27" s="869">
        <f t="shared" si="2"/>
        <v>152.2240349447554</v>
      </c>
      <c r="E27" s="869">
        <f t="shared" si="0"/>
        <v>0.49972206100096517</v>
      </c>
      <c r="F27" s="873">
        <f t="shared" si="3"/>
        <v>-3.0127147753460362</v>
      </c>
      <c r="G27" s="874" t="s">
        <v>756</v>
      </c>
      <c r="H27" s="874"/>
      <c r="I27" s="875">
        <f>(S7*B27)/79.76</f>
        <v>9.4850948509485111E-2</v>
      </c>
      <c r="J27" s="876" t="s">
        <v>53</v>
      </c>
      <c r="K27" s="877"/>
      <c r="L27" s="3"/>
      <c r="M27" s="3"/>
      <c r="N27" s="3"/>
      <c r="O27" s="3"/>
      <c r="P27" s="3"/>
      <c r="Q27" s="494"/>
      <c r="R27" s="839"/>
      <c r="S27" s="839"/>
      <c r="T27" s="839"/>
      <c r="U27" s="845"/>
    </row>
    <row r="28" spans="1:21" ht="13">
      <c r="A28" s="869"/>
      <c r="B28" s="869">
        <v>80</v>
      </c>
      <c r="C28" s="869">
        <f t="shared" si="4"/>
        <v>1.5153848599889908E-4</v>
      </c>
      <c r="D28" s="869">
        <f t="shared" si="2"/>
        <v>151.53848599889909</v>
      </c>
      <c r="E28" s="869">
        <f t="shared" si="0"/>
        <v>0.49747153642207931</v>
      </c>
      <c r="F28" s="253">
        <f t="shared" si="3"/>
        <v>-3.032317630156677</v>
      </c>
      <c r="G28" s="251" t="s">
        <v>756</v>
      </c>
      <c r="H28" s="251"/>
      <c r="I28" s="254">
        <f>(S7*B28)/79.76</f>
        <v>9.5136357582231795E-2</v>
      </c>
      <c r="J28" s="86" t="s">
        <v>714</v>
      </c>
      <c r="K28" s="87"/>
      <c r="L28" s="3"/>
      <c r="M28" s="3"/>
      <c r="N28" s="3"/>
      <c r="O28" s="3"/>
      <c r="P28" s="3"/>
      <c r="Q28" s="492"/>
      <c r="R28" s="839"/>
      <c r="S28" s="839"/>
      <c r="T28" s="839"/>
      <c r="U28" s="845"/>
    </row>
    <row r="29" spans="1:21" ht="13">
      <c r="A29" s="869"/>
      <c r="B29" s="869">
        <v>90.8</v>
      </c>
      <c r="C29" s="869">
        <f t="shared" si="4"/>
        <v>1.2126727880419004E-4</v>
      </c>
      <c r="D29" s="869">
        <f t="shared" si="2"/>
        <v>121.26727880419004</v>
      </c>
      <c r="E29" s="869">
        <f t="shared" si="0"/>
        <v>0.39809701876580278</v>
      </c>
      <c r="F29" s="862">
        <f t="shared" si="3"/>
        <v>-4.000110747103232</v>
      </c>
      <c r="G29" s="863" t="s">
        <v>756</v>
      </c>
      <c r="H29" s="863"/>
      <c r="I29" s="864">
        <f>(S7*B29)/79.76</f>
        <v>0.10797976585583309</v>
      </c>
      <c r="J29" s="865"/>
      <c r="K29" s="866"/>
      <c r="L29" s="3"/>
      <c r="M29" s="3"/>
      <c r="N29" s="3"/>
      <c r="O29" s="3"/>
      <c r="P29" s="3"/>
      <c r="Q29" s="492"/>
      <c r="R29" s="839"/>
      <c r="S29" s="839"/>
      <c r="T29" s="839"/>
      <c r="U29" s="845"/>
    </row>
    <row r="30" spans="1:21" ht="13">
      <c r="A30" s="869"/>
      <c r="B30" s="869">
        <v>100</v>
      </c>
      <c r="C30" s="869">
        <f t="shared" si="4"/>
        <v>9.6984631039295408E-5</v>
      </c>
      <c r="D30" s="869">
        <f t="shared" si="2"/>
        <v>96.984631039295408</v>
      </c>
      <c r="E30" s="869">
        <f t="shared" si="0"/>
        <v>0.31838178331013073</v>
      </c>
      <c r="F30" s="867">
        <f t="shared" si="3"/>
        <v>-4.9705178903178053</v>
      </c>
      <c r="G30" s="863" t="s">
        <v>756</v>
      </c>
      <c r="H30" s="863"/>
      <c r="I30" s="868">
        <f>(S7*B30)/79.76</f>
        <v>0.11892044697778976</v>
      </c>
      <c r="J30" s="865"/>
      <c r="K30" s="866"/>
      <c r="L30" s="3"/>
      <c r="M30" s="3"/>
      <c r="N30" s="3"/>
      <c r="O30" s="3"/>
      <c r="P30" s="3"/>
      <c r="Q30" s="492"/>
      <c r="R30" s="839"/>
      <c r="S30" s="839"/>
      <c r="T30" s="839"/>
      <c r="U30" s="845"/>
    </row>
    <row r="31" spans="1:21" ht="13">
      <c r="A31" s="869"/>
      <c r="B31" s="869">
        <v>110</v>
      </c>
      <c r="C31" s="869">
        <f t="shared" si="4"/>
        <v>7.2977043104090002E-5</v>
      </c>
      <c r="D31" s="869">
        <f t="shared" si="2"/>
        <v>72.977043104090001</v>
      </c>
      <c r="E31" s="869">
        <f t="shared" si="0"/>
        <v>0.23956951606864876</v>
      </c>
      <c r="F31" s="255">
        <f t="shared" si="3"/>
        <v>-6.2056844440222871</v>
      </c>
      <c r="G31" s="251" t="s">
        <v>756</v>
      </c>
      <c r="H31" s="251"/>
      <c r="I31" s="254">
        <f>(S7*B31)/79.76</f>
        <v>0.13081249167556874</v>
      </c>
      <c r="J31" s="86"/>
      <c r="K31" s="87"/>
      <c r="L31" s="3"/>
      <c r="M31" s="3"/>
      <c r="N31" s="3"/>
      <c r="O31" s="3"/>
      <c r="P31" s="3"/>
      <c r="Q31" s="492"/>
      <c r="R31" s="839"/>
      <c r="S31" s="839"/>
      <c r="T31" s="839"/>
      <c r="U31" s="845"/>
    </row>
    <row r="32" spans="1:21" ht="13">
      <c r="A32" s="869"/>
      <c r="B32" s="869">
        <v>122</v>
      </c>
      <c r="C32" s="869">
        <f t="shared" si="4"/>
        <v>4.8319374724169503E-5</v>
      </c>
      <c r="D32" s="869">
        <f t="shared" si="2"/>
        <v>48.319374724169499</v>
      </c>
      <c r="E32" s="869">
        <f t="shared" si="0"/>
        <v>0.15862316047661593</v>
      </c>
      <c r="F32" s="867">
        <f t="shared" si="3"/>
        <v>-7.9963340130062619</v>
      </c>
      <c r="G32" s="863" t="s">
        <v>756</v>
      </c>
      <c r="H32" s="863"/>
      <c r="I32" s="864">
        <f>(S7*B32)/79.76</f>
        <v>0.1450829453129035</v>
      </c>
      <c r="J32" s="865"/>
      <c r="K32" s="866"/>
      <c r="L32" s="3"/>
      <c r="M32" s="3"/>
      <c r="N32" s="3"/>
      <c r="O32" s="3"/>
      <c r="P32" s="3"/>
      <c r="Q32" s="492"/>
      <c r="R32" s="839"/>
      <c r="S32" s="839"/>
      <c r="T32" s="839"/>
      <c r="U32" s="845"/>
    </row>
    <row r="33" spans="1:21" ht="13">
      <c r="A33" s="869"/>
      <c r="B33" s="869">
        <v>130</v>
      </c>
      <c r="C33" s="869">
        <f t="shared" si="4"/>
        <v>3.4723318865885511E-5</v>
      </c>
      <c r="D33" s="869">
        <f t="shared" si="2"/>
        <v>34.72331886588551</v>
      </c>
      <c r="E33" s="869">
        <f t="shared" si="0"/>
        <v>0.11398993907073435</v>
      </c>
      <c r="F33" s="255">
        <f t="shared" si="3"/>
        <v>-9.4313347847828624</v>
      </c>
      <c r="G33" s="251" t="s">
        <v>756</v>
      </c>
      <c r="H33" s="251"/>
      <c r="I33" s="254">
        <f>(S7*B33)/79.76</f>
        <v>0.15459658107112667</v>
      </c>
      <c r="J33" s="86"/>
      <c r="K33" s="87"/>
      <c r="L33" s="3"/>
      <c r="M33" s="3"/>
      <c r="N33" s="3"/>
      <c r="O33" s="3"/>
      <c r="P33" s="3"/>
      <c r="Q33" s="492"/>
      <c r="R33" s="839"/>
      <c r="S33" s="839"/>
      <c r="T33" s="839"/>
      <c r="U33" s="845"/>
    </row>
    <row r="34" spans="1:21" ht="13">
      <c r="A34" s="869"/>
      <c r="B34" s="869">
        <v>132.85</v>
      </c>
      <c r="C34" s="869">
        <f t="shared" si="4"/>
        <v>3.0454169232105675E-5</v>
      </c>
      <c r="D34" s="869">
        <f>C34*1000000</f>
        <v>30.454169232105674</v>
      </c>
      <c r="E34" s="869">
        <f>D34/304.6174</f>
        <v>9.9975146633467668E-2</v>
      </c>
      <c r="F34" s="862">
        <f>10*LOG10(E34)</f>
        <v>-10.001079502146041</v>
      </c>
      <c r="G34" s="863" t="s">
        <v>756</v>
      </c>
      <c r="H34" s="863"/>
      <c r="I34" s="868">
        <f>(S7*B34)/79.76</f>
        <v>0.15798581380999369</v>
      </c>
      <c r="J34" s="865"/>
      <c r="K34" s="866"/>
      <c r="L34" s="3"/>
      <c r="M34" s="3"/>
      <c r="N34" s="3"/>
      <c r="O34" s="3"/>
      <c r="P34" s="3"/>
      <c r="Q34" s="492"/>
      <c r="R34" s="848"/>
      <c r="S34" s="848"/>
      <c r="T34" s="848"/>
      <c r="U34" s="845"/>
    </row>
    <row r="35" spans="1:21" ht="13">
      <c r="A35" s="869"/>
      <c r="B35" s="869">
        <v>140</v>
      </c>
      <c r="C35" s="869">
        <f t="shared" si="4"/>
        <v>2.1080403630945664E-5</v>
      </c>
      <c r="D35" s="869">
        <f t="shared" si="2"/>
        <v>21.080403630945664</v>
      </c>
      <c r="E35" s="869">
        <f t="shared" si="0"/>
        <v>6.9202887395617141E-2</v>
      </c>
      <c r="F35" s="255">
        <f t="shared" si="3"/>
        <v>-11.598757848232577</v>
      </c>
      <c r="G35" s="251" t="s">
        <v>756</v>
      </c>
      <c r="H35" s="251"/>
      <c r="I35" s="254">
        <f>(S7*B35)/79.76</f>
        <v>0.16648862576890566</v>
      </c>
      <c r="J35" s="86" t="s">
        <v>714</v>
      </c>
      <c r="K35" s="87"/>
      <c r="L35" s="3"/>
      <c r="M35" s="3"/>
      <c r="N35" s="3"/>
      <c r="O35" s="3"/>
      <c r="P35" s="3"/>
      <c r="Q35" s="492"/>
      <c r="R35" s="839"/>
      <c r="S35" s="839"/>
      <c r="T35" s="839"/>
      <c r="U35" s="845"/>
    </row>
    <row r="36" spans="1:21" ht="13">
      <c r="A36" s="869"/>
      <c r="B36" s="869">
        <v>150</v>
      </c>
      <c r="C36" s="869">
        <f t="shared" si="4"/>
        <v>1.1111111111111108E-5</v>
      </c>
      <c r="D36" s="869">
        <f t="shared" si="2"/>
        <v>11.111111111111109</v>
      </c>
      <c r="E36" s="869">
        <f t="shared" si="0"/>
        <v>3.6475628480550061E-2</v>
      </c>
      <c r="F36" s="255">
        <f t="shared" si="3"/>
        <v>-14.379972164109764</v>
      </c>
      <c r="G36" s="251" t="s">
        <v>756</v>
      </c>
      <c r="H36" s="251"/>
      <c r="I36" s="254">
        <f>(S7*B36)/79.76</f>
        <v>0.17838067046668463</v>
      </c>
      <c r="J36" s="86"/>
      <c r="K36" s="87"/>
      <c r="L36" s="3"/>
      <c r="M36" s="3"/>
      <c r="N36" s="3"/>
      <c r="O36" s="3"/>
      <c r="P36" s="3"/>
      <c r="Q36" s="492"/>
      <c r="R36" s="839"/>
      <c r="S36" s="839"/>
      <c r="T36" s="839"/>
      <c r="U36" s="845"/>
    </row>
    <row r="37" spans="1:21" ht="13">
      <c r="A37" s="869"/>
      <c r="B37" s="869">
        <v>160</v>
      </c>
      <c r="C37" s="869">
        <f t="shared" si="4"/>
        <v>4.5694444703324642E-6</v>
      </c>
      <c r="D37" s="869">
        <f t="shared" si="2"/>
        <v>4.5694444703324644</v>
      </c>
      <c r="E37" s="869">
        <f t="shared" si="0"/>
        <v>1.5000602297611576E-2</v>
      </c>
      <c r="F37" s="255">
        <f t="shared" si="3"/>
        <v>-18.23891302992466</v>
      </c>
      <c r="G37" s="251" t="s">
        <v>756</v>
      </c>
      <c r="H37" s="251"/>
      <c r="I37" s="254">
        <f>(S7*B37)/79.76</f>
        <v>0.19027271516446359</v>
      </c>
      <c r="J37" s="86"/>
      <c r="K37" s="87"/>
      <c r="L37" s="3"/>
      <c r="M37" s="3"/>
      <c r="N37" s="3"/>
      <c r="O37" s="3"/>
      <c r="P37" s="3"/>
      <c r="Q37" s="492"/>
      <c r="R37" s="839"/>
      <c r="S37" s="839"/>
      <c r="T37" s="839"/>
      <c r="U37" s="845"/>
    </row>
    <row r="38" spans="1:21" ht="13">
      <c r="A38" s="869">
        <v>170</v>
      </c>
      <c r="B38" s="869">
        <v>172.5</v>
      </c>
      <c r="C38" s="869">
        <f t="shared" si="4"/>
        <v>5.7255490377536986E-7</v>
      </c>
      <c r="D38" s="869">
        <f t="shared" si="2"/>
        <v>0.57255490377536988</v>
      </c>
      <c r="E38" s="869">
        <f t="shared" si="0"/>
        <v>1.8795869959344737E-3</v>
      </c>
      <c r="F38" s="255">
        <f t="shared" si="3"/>
        <v>-27.259375683380821</v>
      </c>
      <c r="G38" s="251" t="s">
        <v>756</v>
      </c>
      <c r="H38" s="251"/>
      <c r="I38" s="252">
        <f>(S7*B38)/79.76</f>
        <v>0.20513777103668729</v>
      </c>
      <c r="J38" s="86"/>
      <c r="K38" s="87"/>
      <c r="L38" s="3"/>
      <c r="M38" s="3"/>
      <c r="N38" s="3"/>
      <c r="O38" s="3"/>
      <c r="P38" s="3"/>
      <c r="Q38" s="492"/>
      <c r="R38" s="839"/>
      <c r="S38" s="839"/>
      <c r="T38" s="839"/>
      <c r="U38" s="845"/>
    </row>
    <row r="39" spans="1:21" ht="13">
      <c r="A39" s="869"/>
      <c r="B39" s="869">
        <v>180</v>
      </c>
      <c r="C39" s="869">
        <f t="shared" si="4"/>
        <v>4.6326812856943794E-37</v>
      </c>
      <c r="D39" s="869">
        <f t="shared" si="2"/>
        <v>4.6326812856943792E-31</v>
      </c>
      <c r="E39" s="869">
        <f t="shared" si="0"/>
        <v>1.5208196530120668E-33</v>
      </c>
      <c r="F39" s="256">
        <f t="shared" si="3"/>
        <v>-328.17922283873054</v>
      </c>
      <c r="G39" s="251" t="s">
        <v>756</v>
      </c>
      <c r="H39" s="251"/>
      <c r="I39" s="257">
        <f>(S7*B39)/79.76</f>
        <v>0.21405680456002157</v>
      </c>
      <c r="J39" s="191" t="s">
        <v>44</v>
      </c>
      <c r="K39" s="87"/>
      <c r="L39" s="3"/>
      <c r="M39" s="3"/>
      <c r="N39" s="3"/>
      <c r="O39" s="3"/>
      <c r="P39" s="3"/>
      <c r="Q39" s="492"/>
      <c r="R39" s="839"/>
      <c r="S39" s="839"/>
      <c r="T39" s="839"/>
      <c r="U39" s="845"/>
    </row>
    <row r="40" spans="1:21" ht="13">
      <c r="A40" s="869"/>
      <c r="B40" s="869">
        <v>190</v>
      </c>
      <c r="C40" s="869">
        <f t="shared" si="4"/>
        <v>8.3528226058298746E-7</v>
      </c>
      <c r="D40" s="869">
        <f t="shared" si="2"/>
        <v>0.83528226058298749</v>
      </c>
      <c r="E40" s="869">
        <f t="shared" si="0"/>
        <v>2.7420700872077155E-3</v>
      </c>
      <c r="F40" s="255">
        <f t="shared" si="3"/>
        <v>-25.619214488541079</v>
      </c>
      <c r="G40" s="251" t="s">
        <v>756</v>
      </c>
      <c r="H40" s="251"/>
      <c r="I40" s="254">
        <f>(S7*B40)/79.76</f>
        <v>0.22594884925780051</v>
      </c>
      <c r="J40" s="86"/>
      <c r="K40" s="87"/>
      <c r="L40" s="3"/>
      <c r="M40" s="3"/>
      <c r="N40" s="3"/>
      <c r="O40" s="3"/>
      <c r="P40" s="3"/>
      <c r="Q40" s="492"/>
      <c r="R40" s="839"/>
      <c r="S40" s="839"/>
      <c r="T40" s="839"/>
      <c r="U40" s="845"/>
    </row>
    <row r="41" spans="1:21" ht="13">
      <c r="A41" s="869"/>
      <c r="B41" s="869">
        <v>200</v>
      </c>
      <c r="C41" s="869">
        <f t="shared" si="4"/>
        <v>2.924444461012773E-6</v>
      </c>
      <c r="D41" s="869">
        <f t="shared" si="2"/>
        <v>2.9244444610127731</v>
      </c>
      <c r="E41" s="869">
        <f t="shared" si="0"/>
        <v>9.6003854704713957E-3</v>
      </c>
      <c r="F41" s="255">
        <f t="shared" si="3"/>
        <v>-20.177113290085799</v>
      </c>
      <c r="G41" s="251" t="s">
        <v>756</v>
      </c>
      <c r="H41" s="251"/>
      <c r="I41" s="254">
        <f>(S7*B41)/79.76</f>
        <v>0.23784089395557953</v>
      </c>
      <c r="J41" s="86"/>
      <c r="K41" s="87"/>
      <c r="L41" s="3"/>
      <c r="M41" s="3"/>
      <c r="N41" s="3"/>
      <c r="O41" s="3"/>
      <c r="P41" s="3"/>
      <c r="Q41" s="492"/>
      <c r="R41" s="839"/>
      <c r="S41" s="839"/>
      <c r="T41" s="839"/>
      <c r="U41" s="845"/>
    </row>
    <row r="42" spans="1:21" ht="13">
      <c r="A42" s="869"/>
      <c r="B42" s="869">
        <v>210</v>
      </c>
      <c r="C42" s="869">
        <f t="shared" si="4"/>
        <v>5.6689342403628144E-6</v>
      </c>
      <c r="D42" s="869">
        <f t="shared" si="2"/>
        <v>5.6689342403628142</v>
      </c>
      <c r="E42" s="869">
        <f t="shared" si="0"/>
        <v>1.86100145308929E-2</v>
      </c>
      <c r="F42" s="255">
        <f t="shared" si="3"/>
        <v>-17.302532877674523</v>
      </c>
      <c r="G42" s="251" t="s">
        <v>756</v>
      </c>
      <c r="H42" s="251"/>
      <c r="I42" s="254">
        <f>(S7*B42)/79.76</f>
        <v>0.24973293865335847</v>
      </c>
      <c r="J42" s="86"/>
      <c r="K42" s="87"/>
      <c r="L42" s="3"/>
      <c r="M42" s="3"/>
      <c r="N42" s="3"/>
      <c r="O42" s="3"/>
      <c r="P42" s="3"/>
      <c r="Q42" s="492"/>
      <c r="R42" s="839"/>
      <c r="S42" s="839"/>
      <c r="T42" s="839"/>
      <c r="U42" s="845"/>
    </row>
    <row r="43" spans="1:21" ht="13">
      <c r="A43" s="869"/>
      <c r="B43" s="869">
        <v>220</v>
      </c>
      <c r="C43" s="869">
        <f t="shared" si="4"/>
        <v>8.5366923794738577E-6</v>
      </c>
      <c r="D43" s="869">
        <f t="shared" si="2"/>
        <v>8.5366923794738572</v>
      </c>
      <c r="E43" s="869">
        <f t="shared" si="0"/>
        <v>2.8024309771778822E-2</v>
      </c>
      <c r="F43" s="255">
        <f t="shared" si="3"/>
        <v>-15.524650751111944</v>
      </c>
      <c r="G43" s="251" t="s">
        <v>756</v>
      </c>
      <c r="H43" s="251"/>
      <c r="I43" s="254">
        <f>(S7*B43)/79.76</f>
        <v>0.26162498335113749</v>
      </c>
      <c r="J43" s="86"/>
      <c r="K43" s="87"/>
      <c r="L43" s="3"/>
      <c r="M43" s="3"/>
      <c r="N43" s="3"/>
      <c r="O43" s="3"/>
      <c r="P43" s="3"/>
      <c r="Q43" s="492"/>
      <c r="R43" s="839"/>
      <c r="S43" s="839"/>
      <c r="T43" s="839"/>
      <c r="U43" s="845"/>
    </row>
    <row r="44" spans="1:21" ht="13">
      <c r="A44" s="869"/>
      <c r="B44" s="869">
        <v>230</v>
      </c>
      <c r="C44" s="869">
        <f t="shared" si="4"/>
        <v>1.1093082964715783E-5</v>
      </c>
      <c r="D44" s="869">
        <f t="shared" si="2"/>
        <v>11.093082964715784</v>
      </c>
      <c r="E44" s="869">
        <f t="shared" si="0"/>
        <v>3.6416445563240266E-2</v>
      </c>
      <c r="F44" s="255">
        <f t="shared" si="3"/>
        <v>-14.387024458997985</v>
      </c>
      <c r="G44" s="251" t="s">
        <v>756</v>
      </c>
      <c r="H44" s="251"/>
      <c r="I44" s="254">
        <f>(S7*B44)/79.76</f>
        <v>0.27351702804891642</v>
      </c>
      <c r="J44" s="86"/>
      <c r="K44" s="87"/>
      <c r="L44" s="3"/>
      <c r="M44" s="3"/>
      <c r="N44" s="3"/>
      <c r="O44" s="3"/>
      <c r="P44" s="3"/>
      <c r="Q44" s="492"/>
      <c r="R44" s="839"/>
      <c r="S44" s="839"/>
      <c r="T44" s="839"/>
      <c r="U44" s="845"/>
    </row>
    <row r="45" spans="1:21" ht="13">
      <c r="A45" s="869"/>
      <c r="B45" s="869">
        <v>240</v>
      </c>
      <c r="C45" s="869">
        <f t="shared" si="4"/>
        <v>1.3020833333333326E-5</v>
      </c>
      <c r="D45" s="869">
        <f t="shared" si="2"/>
        <v>13.020833333333325</v>
      </c>
      <c r="E45" s="869">
        <f t="shared" si="0"/>
        <v>4.2744877125644586E-2</v>
      </c>
      <c r="F45" s="255">
        <f t="shared" si="3"/>
        <v>-13.691159270031637</v>
      </c>
      <c r="G45" s="251" t="s">
        <v>756</v>
      </c>
      <c r="H45" s="251"/>
      <c r="I45" s="254">
        <f>(S7*B45)/79.76</f>
        <v>0.28540907274669541</v>
      </c>
      <c r="J45" s="86"/>
      <c r="K45" s="87"/>
      <c r="L45" s="3"/>
      <c r="M45" s="3"/>
      <c r="N45" s="3"/>
      <c r="O45" s="3"/>
      <c r="P45" s="3"/>
      <c r="Q45" s="492"/>
      <c r="R45" s="839"/>
      <c r="S45" s="840"/>
      <c r="T45" s="839"/>
      <c r="U45" s="845"/>
    </row>
    <row r="46" spans="1:21" ht="13">
      <c r="A46" s="869"/>
      <c r="B46" s="869">
        <v>250</v>
      </c>
      <c r="C46" s="869">
        <f t="shared" si="4"/>
        <v>1.4128355544951825E-5</v>
      </c>
      <c r="D46" s="869">
        <f t="shared" si="2"/>
        <v>14.128355544951825</v>
      </c>
      <c r="E46" s="869">
        <f t="shared" si="0"/>
        <v>4.6380658310890402E-2</v>
      </c>
      <c r="F46" s="258">
        <f t="shared" si="3"/>
        <v>-13.336630914298537</v>
      </c>
      <c r="G46" s="251" t="s">
        <v>756</v>
      </c>
      <c r="H46" s="251"/>
      <c r="I46" s="259">
        <f>(S7*B46)/79.76</f>
        <v>0.29730111744447435</v>
      </c>
      <c r="J46" s="260" t="s">
        <v>45</v>
      </c>
      <c r="K46" s="261"/>
      <c r="L46" s="3"/>
      <c r="M46" s="3"/>
      <c r="N46" s="3"/>
      <c r="O46" s="3"/>
      <c r="P46" s="3"/>
      <c r="Q46" s="492"/>
      <c r="R46" s="839"/>
      <c r="S46" s="839"/>
      <c r="T46" s="839"/>
      <c r="U46" s="845"/>
    </row>
    <row r="47" spans="1:21" ht="13">
      <c r="A47" s="869"/>
      <c r="B47" s="869">
        <v>260</v>
      </c>
      <c r="C47" s="869">
        <f t="shared" si="4"/>
        <v>1.4346838911138375E-5</v>
      </c>
      <c r="D47" s="869">
        <f t="shared" si="2"/>
        <v>14.346838911138374</v>
      </c>
      <c r="E47" s="869">
        <f t="shared" si="0"/>
        <v>4.7097896939368451E-2</v>
      </c>
      <c r="F47" s="255">
        <f t="shared" si="3"/>
        <v>-13.269984849734165</v>
      </c>
      <c r="G47" s="251" t="s">
        <v>756</v>
      </c>
      <c r="H47" s="251"/>
      <c r="I47" s="254">
        <f>(S7*B47)/79.76</f>
        <v>0.30919316214225334</v>
      </c>
      <c r="J47" s="86"/>
      <c r="K47" s="87"/>
      <c r="L47" s="3"/>
      <c r="M47" s="3"/>
      <c r="N47" s="3"/>
      <c r="O47" s="3"/>
      <c r="P47" s="3"/>
      <c r="Q47" s="492"/>
      <c r="R47" s="839"/>
      <c r="S47" s="839"/>
      <c r="T47" s="839"/>
      <c r="U47" s="845"/>
    </row>
    <row r="48" spans="1:21" ht="13">
      <c r="A48" s="869"/>
      <c r="B48" s="869">
        <v>270</v>
      </c>
      <c r="C48" s="869">
        <f t="shared" si="4"/>
        <v>1.3717421124828532E-5</v>
      </c>
      <c r="D48" s="869">
        <f t="shared" si="2"/>
        <v>13.717421124828531</v>
      </c>
      <c r="E48" s="869">
        <f t="shared" si="0"/>
        <v>4.5031640099444527E-2</v>
      </c>
      <c r="F48" s="255">
        <f t="shared" si="3"/>
        <v>-13.464822352896261</v>
      </c>
      <c r="G48" s="251" t="s">
        <v>756</v>
      </c>
      <c r="H48" s="251"/>
      <c r="I48" s="254">
        <f>(S7*B48)/79.76</f>
        <v>0.32108520684003233</v>
      </c>
      <c r="J48" s="86"/>
      <c r="K48" s="87"/>
      <c r="L48" s="3"/>
      <c r="M48" s="3"/>
      <c r="N48" s="3"/>
      <c r="O48" s="3"/>
      <c r="P48" s="3"/>
      <c r="Q48" s="492"/>
      <c r="R48" s="839"/>
      <c r="S48" s="839"/>
      <c r="T48" s="839"/>
      <c r="U48" s="845"/>
    </row>
    <row r="49" spans="1:21" ht="13">
      <c r="A49" s="869"/>
      <c r="B49" s="869">
        <v>280</v>
      </c>
      <c r="C49" s="869">
        <f t="shared" si="4"/>
        <v>1.2370488652971357E-5</v>
      </c>
      <c r="D49" s="869">
        <f t="shared" si="2"/>
        <v>12.370488652971357</v>
      </c>
      <c r="E49" s="869">
        <f t="shared" si="0"/>
        <v>4.0609921340577913E-2</v>
      </c>
      <c r="F49" s="255">
        <f t="shared" si="3"/>
        <v>-13.91367851716219</v>
      </c>
      <c r="G49" s="251" t="s">
        <v>756</v>
      </c>
      <c r="H49" s="251"/>
      <c r="I49" s="254">
        <f>(S7*B49)/79.76</f>
        <v>0.33297725153781133</v>
      </c>
      <c r="J49" s="86"/>
      <c r="K49" s="87"/>
      <c r="L49" s="3"/>
      <c r="M49" s="3"/>
      <c r="N49" s="3"/>
      <c r="O49" s="3"/>
      <c r="P49" s="3"/>
      <c r="Q49" s="492"/>
      <c r="R49" s="839"/>
      <c r="S49" s="839"/>
      <c r="T49" s="839"/>
      <c r="U49" s="845"/>
    </row>
    <row r="50" spans="1:21" ht="13">
      <c r="A50" s="869"/>
      <c r="B50" s="869">
        <v>290</v>
      </c>
      <c r="C50" s="869">
        <f t="shared" si="4"/>
        <v>1.0499669697496894E-5</v>
      </c>
      <c r="D50" s="869">
        <f t="shared" si="2"/>
        <v>10.499669697496895</v>
      </c>
      <c r="E50" s="869">
        <f t="shared" si="0"/>
        <v>3.4468384594894763E-2</v>
      </c>
      <c r="F50" s="255">
        <f t="shared" si="3"/>
        <v>-14.625790698836909</v>
      </c>
      <c r="G50" s="251" t="s">
        <v>756</v>
      </c>
      <c r="H50" s="251"/>
      <c r="I50" s="254">
        <f>(S7*B50)/79.76</f>
        <v>0.34486929623559026</v>
      </c>
      <c r="J50" s="86"/>
      <c r="K50" s="87"/>
      <c r="L50" s="3"/>
      <c r="M50" s="3"/>
      <c r="N50" s="3"/>
      <c r="O50" s="3"/>
      <c r="P50" s="3"/>
      <c r="Q50" s="492"/>
      <c r="R50" s="839"/>
      <c r="S50" s="839"/>
      <c r="T50" s="839"/>
      <c r="U50" s="845"/>
    </row>
    <row r="51" spans="1:21" ht="13">
      <c r="A51" s="869"/>
      <c r="B51" s="869">
        <v>300</v>
      </c>
      <c r="C51" s="869">
        <f t="shared" si="4"/>
        <v>8.333333333333332E-6</v>
      </c>
      <c r="D51" s="869">
        <f t="shared" si="2"/>
        <v>8.3333333333333321</v>
      </c>
      <c r="E51" s="869">
        <f t="shared" si="0"/>
        <v>2.7356721360412548E-2</v>
      </c>
      <c r="F51" s="255">
        <f t="shared" si="3"/>
        <v>-15.629359530192763</v>
      </c>
      <c r="G51" s="251" t="s">
        <v>756</v>
      </c>
      <c r="H51" s="251"/>
      <c r="I51" s="254">
        <f>(S7*B51)/79.76</f>
        <v>0.35676134093336925</v>
      </c>
      <c r="J51" s="86"/>
      <c r="K51" s="87"/>
      <c r="L51" s="3"/>
      <c r="M51" s="3"/>
      <c r="N51" s="3"/>
      <c r="O51" s="3"/>
      <c r="P51" s="3"/>
      <c r="Q51" s="492"/>
      <c r="R51" s="839"/>
      <c r="S51" s="839"/>
      <c r="T51" s="839"/>
      <c r="U51" s="845"/>
    </row>
    <row r="52" spans="1:21" ht="13">
      <c r="A52" s="869"/>
      <c r="B52" s="869">
        <v>310</v>
      </c>
      <c r="C52" s="869">
        <f t="shared" si="4"/>
        <v>6.1063901023253407E-6</v>
      </c>
      <c r="D52" s="869">
        <f t="shared" si="2"/>
        <v>6.1063901023253404</v>
      </c>
      <c r="E52" s="869">
        <f t="shared" si="0"/>
        <v>2.0046097505675452E-2</v>
      </c>
      <c r="F52" s="255">
        <f t="shared" si="3"/>
        <v>-16.979701615331578</v>
      </c>
      <c r="G52" s="251" t="s">
        <v>756</v>
      </c>
      <c r="H52" s="251"/>
      <c r="I52" s="254">
        <f>(S7*B52)/79.76</f>
        <v>0.36865338563114819</v>
      </c>
      <c r="J52" s="86"/>
      <c r="K52" s="87"/>
      <c r="L52" s="3"/>
      <c r="M52" s="3"/>
      <c r="N52" s="3"/>
      <c r="O52" s="3"/>
      <c r="P52" s="3"/>
      <c r="Q52" s="492"/>
      <c r="R52" s="839"/>
      <c r="S52" s="839"/>
      <c r="T52" s="839"/>
      <c r="U52" s="845"/>
    </row>
    <row r="53" spans="1:21" ht="13">
      <c r="A53" s="869"/>
      <c r="B53" s="869">
        <v>320</v>
      </c>
      <c r="C53" s="869">
        <f t="shared" si="4"/>
        <v>4.0349210074856952E-6</v>
      </c>
      <c r="D53" s="869">
        <f t="shared" si="2"/>
        <v>4.0349210074856954</v>
      </c>
      <c r="E53" s="869">
        <f t="shared" si="0"/>
        <v>1.3245865165567351E-2</v>
      </c>
      <c r="F53" s="255">
        <f t="shared" si="3"/>
        <v>-18.779196701065931</v>
      </c>
      <c r="G53" s="251" t="s">
        <v>756</v>
      </c>
      <c r="H53" s="251"/>
      <c r="I53" s="254">
        <f>(S7*B53)/79.76</f>
        <v>0.38054543032892718</v>
      </c>
      <c r="J53" s="86"/>
      <c r="K53" s="87"/>
      <c r="L53" s="3"/>
      <c r="M53" s="3"/>
      <c r="N53" s="3"/>
      <c r="O53" s="3"/>
      <c r="P53" s="3"/>
      <c r="Q53" s="492"/>
      <c r="R53" s="839"/>
      <c r="S53" s="839"/>
      <c r="T53" s="839"/>
      <c r="U53" s="845"/>
    </row>
    <row r="54" spans="1:21" ht="13">
      <c r="A54" s="869"/>
      <c r="B54" s="869">
        <v>330</v>
      </c>
      <c r="C54" s="869">
        <f t="shared" si="4"/>
        <v>2.2956841138659359E-6</v>
      </c>
      <c r="D54" s="869">
        <f t="shared" si="2"/>
        <v>2.2956841138659358</v>
      </c>
      <c r="E54" s="869">
        <f t="shared" si="0"/>
        <v>7.5362868761467208E-3</v>
      </c>
      <c r="F54" s="255">
        <f t="shared" si="3"/>
        <v>-21.228425780553884</v>
      </c>
      <c r="G54" s="251" t="s">
        <v>756</v>
      </c>
      <c r="H54" s="251" t="s">
        <v>714</v>
      </c>
      <c r="I54" s="254">
        <f>(S7*B54)/79.76</f>
        <v>0.39243747502670617</v>
      </c>
      <c r="J54" s="86"/>
      <c r="K54" s="87"/>
      <c r="L54" s="3"/>
      <c r="M54" s="3"/>
      <c r="N54" s="3"/>
      <c r="O54" s="3"/>
      <c r="P54" s="3"/>
      <c r="Q54" s="492"/>
      <c r="R54" s="839"/>
      <c r="S54" s="839"/>
      <c r="T54" s="839"/>
      <c r="U54" s="845"/>
    </row>
    <row r="55" spans="1:21" ht="13">
      <c r="A55" s="869"/>
      <c r="B55" s="869">
        <v>340</v>
      </c>
      <c r="C55" s="869">
        <f t="shared" si="4"/>
        <v>1.0119184986203364E-6</v>
      </c>
      <c r="D55" s="869">
        <f t="shared" si="2"/>
        <v>1.0119184986203364</v>
      </c>
      <c r="E55" s="869">
        <f t="shared" si="0"/>
        <v>3.3219326887444266E-3</v>
      </c>
      <c r="F55" s="255">
        <f t="shared" si="3"/>
        <v>-24.786091717651274</v>
      </c>
      <c r="G55" s="251" t="s">
        <v>756</v>
      </c>
      <c r="H55" s="251"/>
      <c r="I55" s="254">
        <f>(S7*B55)/79.76</f>
        <v>0.40432951972448516</v>
      </c>
      <c r="J55" s="86"/>
      <c r="K55" s="87"/>
      <c r="L55" s="3"/>
      <c r="M55" s="3"/>
      <c r="N55" s="3"/>
      <c r="O55" s="3"/>
      <c r="P55" s="3"/>
      <c r="Q55" s="492"/>
      <c r="R55" s="839"/>
      <c r="S55" s="839"/>
      <c r="T55" s="839"/>
      <c r="U55" s="845"/>
    </row>
    <row r="56" spans="1:21" ht="13">
      <c r="A56" s="869"/>
      <c r="B56" s="869">
        <v>350</v>
      </c>
      <c r="C56" s="869">
        <f t="shared" si="4"/>
        <v>2.4615256822078222E-7</v>
      </c>
      <c r="D56" s="869">
        <f t="shared" si="2"/>
        <v>0.24615256822078221</v>
      </c>
      <c r="E56" s="869">
        <f t="shared" si="0"/>
        <v>8.0807126651590564E-4</v>
      </c>
      <c r="F56" s="255">
        <f t="shared" si="3"/>
        <v>-30.925503356490015</v>
      </c>
      <c r="G56" s="251" t="s">
        <v>756</v>
      </c>
      <c r="H56" s="251"/>
      <c r="I56" s="254">
        <f>(S7*B56)/79.76</f>
        <v>0.41622156442226416</v>
      </c>
      <c r="J56" s="86"/>
      <c r="K56" s="87"/>
      <c r="L56" s="3"/>
      <c r="M56" s="3"/>
      <c r="N56" s="3"/>
      <c r="O56" s="3"/>
      <c r="P56" s="3"/>
      <c r="Q56" s="492"/>
      <c r="R56" s="839"/>
      <c r="S56" s="840"/>
      <c r="T56" s="839"/>
      <c r="U56" s="845"/>
    </row>
    <row r="57" spans="1:21" ht="13">
      <c r="A57" s="869"/>
      <c r="B57" s="869">
        <v>360</v>
      </c>
      <c r="C57" s="869">
        <f t="shared" ref="C57:C88" si="5">((SIN(RADIANS(B57)))^2)/B57^2</f>
        <v>4.6326812856943794E-37</v>
      </c>
      <c r="D57" s="869">
        <f t="shared" si="2"/>
        <v>4.6326812856943792E-31</v>
      </c>
      <c r="E57" s="869">
        <f t="shared" si="0"/>
        <v>1.5208196530120668E-33</v>
      </c>
      <c r="F57" s="256">
        <f t="shared" si="3"/>
        <v>-328.17922283873054</v>
      </c>
      <c r="G57" s="251" t="s">
        <v>756</v>
      </c>
      <c r="H57" s="251"/>
      <c r="I57" s="257">
        <f>(S7*B57)/79.76</f>
        <v>0.42811360912004315</v>
      </c>
      <c r="J57" s="260" t="s">
        <v>46</v>
      </c>
      <c r="K57" s="87"/>
      <c r="L57" s="3"/>
      <c r="M57" s="3"/>
      <c r="N57" s="3"/>
      <c r="O57" s="3"/>
      <c r="P57" s="3"/>
      <c r="Q57" s="492"/>
      <c r="R57" s="839"/>
      <c r="S57" s="839"/>
      <c r="T57" s="839"/>
      <c r="U57" s="845"/>
    </row>
    <row r="58" spans="1:21" ht="13">
      <c r="A58" s="869"/>
      <c r="B58" s="869">
        <v>370</v>
      </c>
      <c r="C58" s="869">
        <f t="shared" si="5"/>
        <v>2.2026069837140728E-7</v>
      </c>
      <c r="D58" s="869">
        <f t="shared" si="2"/>
        <v>0.22026069837140727</v>
      </c>
      <c r="E58" s="869">
        <f t="shared" si="0"/>
        <v>7.230732662395756E-4</v>
      </c>
      <c r="F58" s="255">
        <f t="shared" si="3"/>
        <v>-31.408176950824426</v>
      </c>
      <c r="G58" s="251" t="s">
        <v>756</v>
      </c>
      <c r="H58" s="251"/>
      <c r="I58" s="254">
        <f>(S7*B58)/79.76</f>
        <v>0.44000565381782203</v>
      </c>
      <c r="J58" s="86"/>
      <c r="K58" s="87"/>
      <c r="L58" s="3"/>
      <c r="M58" s="3"/>
      <c r="N58" s="3"/>
      <c r="O58" s="3"/>
      <c r="P58" s="3"/>
      <c r="Q58" s="492"/>
      <c r="R58" s="839"/>
      <c r="S58" s="839"/>
      <c r="T58" s="839"/>
      <c r="U58" s="845"/>
    </row>
    <row r="59" spans="1:21" ht="13">
      <c r="A59" s="869"/>
      <c r="B59" s="869">
        <v>380</v>
      </c>
      <c r="C59" s="869">
        <f t="shared" si="5"/>
        <v>8.1009541856309637E-7</v>
      </c>
      <c r="D59" s="869">
        <f t="shared" si="2"/>
        <v>0.81009541856309641</v>
      </c>
      <c r="E59" s="869">
        <f t="shared" si="0"/>
        <v>2.6593865569172885E-3</v>
      </c>
      <c r="F59" s="255">
        <f t="shared" si="3"/>
        <v>-25.752185309142369</v>
      </c>
      <c r="G59" s="251" t="s">
        <v>756</v>
      </c>
      <c r="H59" s="251"/>
      <c r="I59" s="254">
        <f>(S7*B59)/79.76</f>
        <v>0.45189769851560102</v>
      </c>
      <c r="J59" s="86"/>
      <c r="K59" s="87"/>
      <c r="L59" s="3"/>
      <c r="M59" s="3"/>
      <c r="N59" s="3"/>
      <c r="O59" s="3"/>
      <c r="P59" s="3"/>
      <c r="Q59" s="492"/>
      <c r="R59" s="839"/>
      <c r="S59" s="839"/>
      <c r="T59" s="839"/>
      <c r="U59" s="845"/>
    </row>
    <row r="60" spans="1:21" ht="13">
      <c r="A60" s="869"/>
      <c r="B60" s="869">
        <v>390</v>
      </c>
      <c r="C60" s="869">
        <f t="shared" si="5"/>
        <v>1.643655489809336E-6</v>
      </c>
      <c r="D60" s="869">
        <f t="shared" si="2"/>
        <v>1.6436554898093361</v>
      </c>
      <c r="E60" s="869">
        <f t="shared" si="0"/>
        <v>5.39580302966717E-3</v>
      </c>
      <c r="F60" s="255">
        <f t="shared" si="3"/>
        <v>-22.679439123526123</v>
      </c>
      <c r="G60" s="251" t="s">
        <v>756</v>
      </c>
      <c r="H60" s="251"/>
      <c r="I60" s="254">
        <f>(S7*B60)/79.76</f>
        <v>0.46378974321338007</v>
      </c>
      <c r="J60" s="86"/>
      <c r="K60" s="87"/>
      <c r="L60" s="3"/>
      <c r="M60" s="3"/>
      <c r="N60" s="3"/>
      <c r="O60" s="3"/>
      <c r="P60" s="3"/>
      <c r="Q60" s="492"/>
      <c r="R60" s="839"/>
      <c r="S60" s="839"/>
      <c r="T60" s="839"/>
      <c r="U60" s="845"/>
    </row>
    <row r="61" spans="1:21" ht="13">
      <c r="A61" s="869"/>
      <c r="B61" s="869">
        <v>400</v>
      </c>
      <c r="C61" s="869">
        <f t="shared" si="5"/>
        <v>2.5823494447908412E-6</v>
      </c>
      <c r="D61" s="869">
        <f t="shared" si="2"/>
        <v>2.5823494447908413</v>
      </c>
      <c r="E61" s="869">
        <f t="shared" si="0"/>
        <v>8.4773537059630918E-3</v>
      </c>
      <c r="F61" s="255">
        <f t="shared" si="3"/>
        <v>-20.717396961227067</v>
      </c>
      <c r="G61" s="251" t="s">
        <v>756</v>
      </c>
      <c r="H61" s="251"/>
      <c r="I61" s="254">
        <f>(S7*B61)/79.76</f>
        <v>0.47568178791115906</v>
      </c>
      <c r="J61" s="86"/>
      <c r="K61" s="87"/>
      <c r="L61" s="3"/>
      <c r="M61" s="3"/>
      <c r="N61" s="3"/>
      <c r="O61" s="3"/>
      <c r="P61" s="3"/>
      <c r="Q61" s="492"/>
      <c r="R61" s="839"/>
      <c r="S61" s="839"/>
      <c r="T61" s="839"/>
      <c r="U61" s="845"/>
    </row>
    <row r="62" spans="1:21" ht="13">
      <c r="A62" s="869"/>
      <c r="B62" s="869">
        <v>410</v>
      </c>
      <c r="C62" s="869">
        <f t="shared" si="5"/>
        <v>3.4909225986523783E-6</v>
      </c>
      <c r="D62" s="869">
        <f t="shared" si="2"/>
        <v>3.4909225986523782</v>
      </c>
      <c r="E62" s="869">
        <f t="shared" si="0"/>
        <v>1.1460023618652048E-2</v>
      </c>
      <c r="F62" s="255">
        <f t="shared" si="3"/>
        <v>-19.40814487304084</v>
      </c>
      <c r="G62" s="251" t="s">
        <v>756</v>
      </c>
      <c r="H62" s="251"/>
      <c r="I62" s="254">
        <f>(S7*B62)/79.76</f>
        <v>0.48757383260893794</v>
      </c>
      <c r="J62" s="86"/>
      <c r="K62" s="87"/>
      <c r="L62" s="3"/>
      <c r="M62" s="3"/>
      <c r="N62" s="3"/>
      <c r="O62" s="3"/>
      <c r="P62" s="3"/>
      <c r="Q62" s="492"/>
      <c r="R62" s="839"/>
      <c r="S62" s="839"/>
      <c r="T62" s="839"/>
      <c r="U62" s="845"/>
    </row>
    <row r="63" spans="1:21" ht="13">
      <c r="A63" s="869"/>
      <c r="B63" s="869">
        <v>420</v>
      </c>
      <c r="C63" s="869">
        <f t="shared" si="5"/>
        <v>4.2517006802721104E-6</v>
      </c>
      <c r="D63" s="869">
        <f t="shared" si="2"/>
        <v>4.2517006802721102</v>
      </c>
      <c r="E63" s="869">
        <f t="shared" si="0"/>
        <v>1.3957510898169673E-2</v>
      </c>
      <c r="F63" s="255">
        <f t="shared" si="3"/>
        <v>-18.551920243757522</v>
      </c>
      <c r="G63" s="251" t="s">
        <v>756</v>
      </c>
      <c r="H63" s="251"/>
      <c r="I63" s="254">
        <f>(S7*B63)/79.76</f>
        <v>0.49946587730671693</v>
      </c>
      <c r="J63" s="86"/>
      <c r="K63" s="87"/>
      <c r="L63" s="3"/>
      <c r="M63" s="3"/>
      <c r="N63" s="3"/>
      <c r="O63" s="3"/>
      <c r="P63" s="3"/>
      <c r="Q63" s="492"/>
      <c r="R63" s="839"/>
      <c r="S63" s="839"/>
      <c r="T63" s="839"/>
      <c r="U63" s="845"/>
    </row>
    <row r="64" spans="1:21" ht="13">
      <c r="A64" s="869"/>
      <c r="B64" s="869">
        <v>430</v>
      </c>
      <c r="C64" s="869">
        <f t="shared" si="5"/>
        <v>4.7756745352054575E-6</v>
      </c>
      <c r="D64" s="869">
        <f t="shared" si="2"/>
        <v>4.7756745352054573</v>
      </c>
      <c r="E64" s="869">
        <f t="shared" si="0"/>
        <v>1.5677615708116009E-2</v>
      </c>
      <c r="F64" s="255">
        <f t="shared" si="3"/>
        <v>-18.047199852449516</v>
      </c>
      <c r="G64" s="251" t="s">
        <v>756</v>
      </c>
      <c r="H64" s="251"/>
      <c r="I64" s="254">
        <f>(S7*B64)/79.76</f>
        <v>0.51135792200449592</v>
      </c>
      <c r="J64" s="86"/>
      <c r="K64" s="87"/>
      <c r="L64" s="3"/>
      <c r="M64" s="3"/>
      <c r="N64" s="3"/>
      <c r="O64" s="3"/>
      <c r="P64" s="3"/>
      <c r="Q64" s="492"/>
      <c r="R64" s="839"/>
      <c r="S64" s="840"/>
      <c r="T64" s="839"/>
      <c r="U64" s="845"/>
    </row>
    <row r="65" spans="1:21" ht="13">
      <c r="A65" s="869"/>
      <c r="B65" s="869">
        <v>440</v>
      </c>
      <c r="C65" s="869">
        <f t="shared" si="5"/>
        <v>5.0095367272363332E-6</v>
      </c>
      <c r="D65" s="869">
        <f t="shared" si="2"/>
        <v>5.0095367272363331</v>
      </c>
      <c r="E65" s="869">
        <f t="shared" si="0"/>
        <v>1.6445340047010884E-2</v>
      </c>
      <c r="F65" s="258">
        <f t="shared" si="3"/>
        <v>-17.839571420041555</v>
      </c>
      <c r="G65" s="251" t="s">
        <v>756</v>
      </c>
      <c r="H65" s="251"/>
      <c r="I65" s="259">
        <f>(S7*B65)/79.76</f>
        <v>0.52324996670227497</v>
      </c>
      <c r="J65" s="260" t="s">
        <v>47</v>
      </c>
      <c r="K65" s="261"/>
      <c r="L65" s="3"/>
      <c r="M65" s="3"/>
      <c r="N65" s="3"/>
      <c r="O65" s="3"/>
      <c r="P65" s="3"/>
      <c r="Q65" s="492"/>
      <c r="R65" s="839"/>
      <c r="S65" s="839"/>
      <c r="T65" s="839"/>
      <c r="U65" s="845"/>
    </row>
    <row r="66" spans="1:21" ht="13">
      <c r="A66" s="869"/>
      <c r="B66" s="869">
        <v>450</v>
      </c>
      <c r="C66" s="869">
        <f t="shared" si="5"/>
        <v>4.9382716049382717E-6</v>
      </c>
      <c r="D66" s="869">
        <f t="shared" si="2"/>
        <v>4.9382716049382713</v>
      </c>
      <c r="E66" s="869">
        <f t="shared" si="0"/>
        <v>1.6211390435800031E-2</v>
      </c>
      <c r="F66" s="255">
        <f t="shared" si="3"/>
        <v>-17.90179734522339</v>
      </c>
      <c r="G66" s="251" t="s">
        <v>756</v>
      </c>
      <c r="H66" s="251"/>
      <c r="I66" s="254">
        <f>(S7*B66)/79.76</f>
        <v>0.5351420114000538</v>
      </c>
      <c r="J66" s="86"/>
      <c r="K66" s="87"/>
      <c r="L66" s="3"/>
      <c r="M66" s="3"/>
      <c r="N66" s="3"/>
      <c r="O66" s="3"/>
      <c r="P66" s="3"/>
      <c r="Q66" s="492"/>
      <c r="R66" s="839"/>
      <c r="S66" s="839"/>
      <c r="T66" s="839"/>
      <c r="U66" s="845"/>
    </row>
    <row r="67" spans="1:21" ht="13">
      <c r="A67" s="869"/>
      <c r="B67" s="869">
        <v>460</v>
      </c>
      <c r="C67" s="869">
        <f t="shared" si="5"/>
        <v>4.5833946615924115E-6</v>
      </c>
      <c r="D67" s="869">
        <f t="shared" si="2"/>
        <v>4.5833946615924113</v>
      </c>
      <c r="E67" s="869">
        <f t="shared" si="0"/>
        <v>1.5046398077038316E-2</v>
      </c>
      <c r="F67" s="255">
        <f t="shared" si="3"/>
        <v>-18.225674523949287</v>
      </c>
      <c r="G67" s="251" t="s">
        <v>756</v>
      </c>
      <c r="H67" s="251"/>
      <c r="I67" s="254">
        <f>(S7*B67)/79.76</f>
        <v>0.54703405609783284</v>
      </c>
      <c r="J67" s="86"/>
      <c r="K67" s="87"/>
      <c r="L67" s="3"/>
      <c r="M67" s="3"/>
      <c r="N67" s="3"/>
      <c r="O67" s="3"/>
      <c r="P67" s="3"/>
      <c r="Q67" s="492"/>
      <c r="R67" s="839"/>
      <c r="S67" s="839"/>
      <c r="T67" s="839"/>
      <c r="U67" s="845"/>
    </row>
    <row r="68" spans="1:21" ht="13">
      <c r="A68" s="869"/>
      <c r="B68" s="869">
        <v>470</v>
      </c>
      <c r="C68" s="869">
        <f t="shared" si="5"/>
        <v>3.9973844344023967E-6</v>
      </c>
      <c r="D68" s="869">
        <f t="shared" si="2"/>
        <v>3.9973844344023965</v>
      </c>
      <c r="E68" s="869">
        <f t="shared" si="0"/>
        <v>1.3122639857087602E-2</v>
      </c>
      <c r="F68" s="255">
        <f t="shared" si="3"/>
        <v>-18.819787899572134</v>
      </c>
      <c r="G68" s="251" t="s">
        <v>756</v>
      </c>
      <c r="H68" s="251"/>
      <c r="I68" s="254">
        <f>(S7*B68)/79.76</f>
        <v>0.55892610079561178</v>
      </c>
      <c r="J68" s="86"/>
      <c r="K68" s="87"/>
      <c r="L68" s="3"/>
      <c r="M68" s="3"/>
      <c r="N68" s="3"/>
      <c r="O68" s="3"/>
      <c r="P68" s="3"/>
      <c r="Q68" s="492"/>
      <c r="R68" s="839"/>
      <c r="S68" s="839"/>
      <c r="T68" s="839"/>
      <c r="U68" s="845"/>
    </row>
    <row r="69" spans="1:21" ht="13">
      <c r="A69" s="869"/>
      <c r="B69" s="869">
        <v>480</v>
      </c>
      <c r="C69" s="869">
        <f t="shared" si="5"/>
        <v>3.2552083333333374E-6</v>
      </c>
      <c r="D69" s="869">
        <f t="shared" si="2"/>
        <v>3.2552083333333375</v>
      </c>
      <c r="E69" s="869">
        <f t="shared" si="0"/>
        <v>1.0686219281411165E-2</v>
      </c>
      <c r="F69" s="255">
        <f t="shared" si="3"/>
        <v>-19.711759183311251</v>
      </c>
      <c r="G69" s="251" t="s">
        <v>756</v>
      </c>
      <c r="H69" s="251"/>
      <c r="I69" s="254">
        <f>(S7*B69)/79.76</f>
        <v>0.57081814549339083</v>
      </c>
      <c r="J69" s="86"/>
      <c r="K69" s="87"/>
      <c r="L69" s="3"/>
      <c r="M69" s="3"/>
      <c r="N69" s="3"/>
      <c r="O69" s="3"/>
      <c r="P69" s="3"/>
      <c r="Q69" s="492"/>
      <c r="R69" s="839"/>
      <c r="S69" s="839"/>
      <c r="T69" s="839"/>
      <c r="U69" s="845"/>
    </row>
    <row r="70" spans="1:21" ht="13">
      <c r="A70" s="869"/>
      <c r="B70" s="869">
        <v>490</v>
      </c>
      <c r="C70" s="869">
        <f t="shared" si="5"/>
        <v>2.4440820026383361E-6</v>
      </c>
      <c r="D70" s="869">
        <f t="shared" si="2"/>
        <v>2.4440820026383361</v>
      </c>
      <c r="E70" s="869">
        <f t="shared" si="0"/>
        <v>8.023448439381126E-3</v>
      </c>
      <c r="F70" s="255">
        <f t="shared" si="3"/>
        <v>-20.956389339216408</v>
      </c>
      <c r="G70" s="251" t="s">
        <v>756</v>
      </c>
      <c r="H70" s="251"/>
      <c r="I70" s="254">
        <f>(S7*B70)/79.76</f>
        <v>0.58271019019116987</v>
      </c>
      <c r="J70" s="86"/>
      <c r="K70" s="87"/>
      <c r="L70" s="3"/>
      <c r="M70" s="3"/>
      <c r="N70" s="3"/>
      <c r="O70" s="3"/>
      <c r="P70" s="3"/>
      <c r="Q70" s="492"/>
      <c r="R70" s="839"/>
      <c r="S70" s="839"/>
      <c r="T70" s="839"/>
      <c r="U70" s="845"/>
    </row>
    <row r="71" spans="1:21" ht="13">
      <c r="A71" s="869"/>
      <c r="B71" s="869">
        <v>500</v>
      </c>
      <c r="C71" s="869">
        <f t="shared" si="5"/>
        <v>1.6527036446661378E-6</v>
      </c>
      <c r="D71" s="869">
        <f t="shared" si="2"/>
        <v>1.6527036446661378</v>
      </c>
      <c r="E71" s="869">
        <f t="shared" si="0"/>
        <v>5.4255063718163764E-3</v>
      </c>
      <c r="F71" s="255">
        <f t="shared" si="3"/>
        <v>-22.655597221388199</v>
      </c>
      <c r="G71" s="251" t="s">
        <v>756</v>
      </c>
      <c r="H71" s="251"/>
      <c r="I71" s="254">
        <f>(S7*B71)/79.76</f>
        <v>0.5946022348889487</v>
      </c>
      <c r="J71" s="86"/>
      <c r="K71" s="87"/>
      <c r="L71" s="3"/>
      <c r="M71" s="3"/>
      <c r="N71" s="3"/>
      <c r="O71" s="3"/>
      <c r="P71" s="3"/>
      <c r="Q71" s="492"/>
      <c r="R71" s="839"/>
      <c r="S71" s="839"/>
      <c r="T71" s="839"/>
      <c r="U71" s="845"/>
    </row>
    <row r="72" spans="1:21" ht="13">
      <c r="A72" s="869"/>
      <c r="B72" s="869">
        <v>510</v>
      </c>
      <c r="C72" s="869">
        <f t="shared" si="5"/>
        <v>9.6116878123798444E-7</v>
      </c>
      <c r="D72" s="869">
        <f t="shared" si="2"/>
        <v>0.96116878123798444</v>
      </c>
      <c r="E72" s="869">
        <f t="shared" si="0"/>
        <v>3.1553311834385841E-3</v>
      </c>
      <c r="F72" s="255">
        <f t="shared" si="3"/>
        <v>-25.009550504954873</v>
      </c>
      <c r="G72" s="251" t="s">
        <v>756</v>
      </c>
      <c r="H72" s="251"/>
      <c r="I72" s="254">
        <f>(S7*B72)/79.76</f>
        <v>0.60649427958672775</v>
      </c>
      <c r="J72" s="86"/>
      <c r="K72" s="87"/>
      <c r="L72" s="3"/>
      <c r="M72" s="3"/>
      <c r="N72" s="3"/>
      <c r="O72" s="3"/>
      <c r="P72" s="3"/>
      <c r="Q72" s="492"/>
      <c r="R72" s="839"/>
      <c r="S72" s="839"/>
      <c r="T72" s="839"/>
      <c r="U72" s="845"/>
    </row>
    <row r="73" spans="1:21" ht="13">
      <c r="A73" s="869"/>
      <c r="B73" s="869">
        <v>520</v>
      </c>
      <c r="C73" s="869">
        <f t="shared" si="5"/>
        <v>4.3261012736875356E-7</v>
      </c>
      <c r="D73" s="869">
        <f t="shared" si="2"/>
        <v>0.43261012736875354</v>
      </c>
      <c r="E73" s="869">
        <f t="shared" si="0"/>
        <v>1.4201753654543489E-3</v>
      </c>
      <c r="F73" s="255">
        <f t="shared" si="3"/>
        <v>-28.476580249502152</v>
      </c>
      <c r="G73" s="251" t="s">
        <v>756</v>
      </c>
      <c r="H73" s="251"/>
      <c r="I73" s="254">
        <f>(S7*B73)/79.76</f>
        <v>0.61838632428450668</v>
      </c>
      <c r="J73" s="86"/>
      <c r="K73" s="87"/>
      <c r="L73" s="3"/>
      <c r="M73" s="3"/>
      <c r="N73" s="3"/>
      <c r="O73" s="3"/>
      <c r="P73" s="3"/>
      <c r="Q73" s="492"/>
      <c r="R73" s="839"/>
      <c r="S73" s="839"/>
      <c r="T73" s="839"/>
      <c r="U73" s="845"/>
    </row>
    <row r="74" spans="1:21" ht="13">
      <c r="A74" s="869"/>
      <c r="B74" s="869">
        <v>530</v>
      </c>
      <c r="C74" s="869">
        <f t="shared" si="5"/>
        <v>1.0734670561426081E-7</v>
      </c>
      <c r="D74" s="869">
        <f t="shared" si="2"/>
        <v>0.10734670561426081</v>
      </c>
      <c r="E74" s="869">
        <f t="shared" si="0"/>
        <v>3.5239846973370801E-4</v>
      </c>
      <c r="F74" s="255">
        <f t="shared" si="3"/>
        <v>-34.529659861500278</v>
      </c>
      <c r="G74" s="251" t="s">
        <v>756</v>
      </c>
      <c r="H74" s="251"/>
      <c r="I74" s="254">
        <f>(S7*B74)/79.76</f>
        <v>0.63027836898228573</v>
      </c>
      <c r="J74" s="86"/>
      <c r="K74" s="87"/>
      <c r="L74" s="3"/>
      <c r="M74" s="3"/>
      <c r="N74" s="3"/>
      <c r="O74" s="3"/>
      <c r="P74" s="3"/>
      <c r="Q74" s="492"/>
      <c r="R74" s="839"/>
      <c r="S74" s="840"/>
      <c r="T74" s="839"/>
      <c r="U74" s="845"/>
    </row>
    <row r="75" spans="1:21" ht="13">
      <c r="A75" s="869"/>
      <c r="B75" s="869">
        <v>540</v>
      </c>
      <c r="C75" s="869">
        <f t="shared" si="5"/>
        <v>4.6326812856943794E-37</v>
      </c>
      <c r="D75" s="869">
        <f t="shared" si="2"/>
        <v>4.6326812856943792E-31</v>
      </c>
      <c r="E75" s="869">
        <f t="shared" si="0"/>
        <v>1.5208196530120668E-33</v>
      </c>
      <c r="F75" s="256">
        <f t="shared" si="3"/>
        <v>-328.17922283873054</v>
      </c>
      <c r="G75" s="251" t="s">
        <v>756</v>
      </c>
      <c r="H75" s="251"/>
      <c r="I75" s="257">
        <f>(S7*B75)/79.76</f>
        <v>0.64217041368006467</v>
      </c>
      <c r="J75" s="260" t="s">
        <v>48</v>
      </c>
      <c r="K75" s="87"/>
      <c r="L75" s="3"/>
      <c r="M75" s="3"/>
      <c r="N75" s="3"/>
      <c r="O75" s="3"/>
      <c r="P75" s="3"/>
      <c r="Q75" s="492"/>
      <c r="R75" s="839"/>
      <c r="S75" s="839"/>
      <c r="T75" s="839"/>
      <c r="U75" s="845"/>
    </row>
    <row r="76" spans="1:21" ht="13">
      <c r="A76" s="869"/>
      <c r="B76" s="869">
        <v>550</v>
      </c>
      <c r="C76" s="869">
        <f t="shared" si="5"/>
        <v>9.9681618535687958E-8</v>
      </c>
      <c r="D76" s="869">
        <f t="shared" si="2"/>
        <v>9.9681618535687952E-2</v>
      </c>
      <c r="E76" s="869">
        <f t="shared" si="0"/>
        <v>3.2723547156429005E-4</v>
      </c>
      <c r="F76" s="255">
        <f t="shared" si="3"/>
        <v>-34.851396259369409</v>
      </c>
      <c r="G76" s="251" t="s">
        <v>756</v>
      </c>
      <c r="H76" s="251"/>
      <c r="I76" s="254">
        <f>(S7*B76)/79.76</f>
        <v>0.6540624583778436</v>
      </c>
      <c r="J76" s="86"/>
      <c r="K76" s="87"/>
      <c r="L76" s="3"/>
      <c r="M76" s="3"/>
      <c r="N76" s="3"/>
      <c r="O76" s="3"/>
      <c r="P76" s="3"/>
      <c r="Q76" s="492"/>
      <c r="R76" s="839"/>
      <c r="S76" s="839"/>
      <c r="T76" s="839"/>
      <c r="U76" s="845"/>
    </row>
    <row r="77" spans="1:21" ht="13">
      <c r="A77" s="869"/>
      <c r="B77" s="869">
        <v>560</v>
      </c>
      <c r="C77" s="869">
        <f t="shared" si="5"/>
        <v>3.7301587512917883E-7</v>
      </c>
      <c r="D77" s="869">
        <f t="shared" si="2"/>
        <v>0.37301587512917883</v>
      </c>
      <c r="E77" s="869">
        <f t="shared" si="0"/>
        <v>1.2245389630703265E-3</v>
      </c>
      <c r="F77" s="255">
        <f t="shared" si="3"/>
        <v>-29.120273916930199</v>
      </c>
      <c r="G77" s="251" t="s">
        <v>756</v>
      </c>
      <c r="H77" s="251"/>
      <c r="I77" s="254">
        <f>(S7*B77)/79.76</f>
        <v>0.66595450307562265</v>
      </c>
      <c r="J77" s="86"/>
      <c r="K77" s="87"/>
      <c r="L77" s="3"/>
      <c r="M77" s="3"/>
      <c r="N77" s="3"/>
      <c r="O77" s="3"/>
      <c r="P77" s="3"/>
      <c r="Q77" s="492"/>
      <c r="R77" s="839"/>
      <c r="S77" s="839"/>
      <c r="T77" s="839"/>
      <c r="U77" s="845"/>
    </row>
    <row r="78" spans="1:21" ht="13">
      <c r="A78" s="869"/>
      <c r="B78" s="869">
        <v>570</v>
      </c>
      <c r="C78" s="869">
        <f t="shared" si="5"/>
        <v>7.6946752847029604E-7</v>
      </c>
      <c r="D78" s="869">
        <f t="shared" si="2"/>
        <v>0.76946752847029609</v>
      </c>
      <c r="E78" s="869">
        <f t="shared" si="0"/>
        <v>2.5260130526696643E-3</v>
      </c>
      <c r="F78" s="255">
        <f t="shared" si="3"/>
        <v>-25.975644096445979</v>
      </c>
      <c r="G78" s="251" t="s">
        <v>756</v>
      </c>
      <c r="H78" s="251"/>
      <c r="I78" s="254">
        <f>(S7*B78)/79.76</f>
        <v>0.67784654777340159</v>
      </c>
      <c r="J78" s="86"/>
      <c r="K78" s="87"/>
      <c r="L78" s="3"/>
      <c r="M78" s="3"/>
      <c r="N78" s="3"/>
      <c r="O78" s="3"/>
      <c r="P78" s="3"/>
      <c r="Q78" s="492"/>
      <c r="R78" s="839"/>
      <c r="S78" s="839"/>
      <c r="T78" s="839"/>
      <c r="U78" s="845"/>
    </row>
    <row r="79" spans="1:21" ht="13">
      <c r="A79" s="869"/>
      <c r="B79" s="869">
        <v>580</v>
      </c>
      <c r="C79" s="869">
        <f t="shared" si="5"/>
        <v>1.2282280355723409E-6</v>
      </c>
      <c r="D79" s="869">
        <f t="shared" si="2"/>
        <v>1.2282280355723409</v>
      </c>
      <c r="E79" s="869">
        <f t="shared" si="0"/>
        <v>4.0320350563439284E-3</v>
      </c>
      <c r="F79" s="255">
        <f t="shared" si="3"/>
        <v>-23.944757005926558</v>
      </c>
      <c r="G79" s="251" t="s">
        <v>756</v>
      </c>
      <c r="H79" s="251"/>
      <c r="I79" s="254">
        <f>(S7*B79)/79.76</f>
        <v>0.68973859247118052</v>
      </c>
      <c r="J79" s="86"/>
      <c r="K79" s="87"/>
      <c r="L79" s="3"/>
      <c r="M79" s="3"/>
      <c r="N79" s="3"/>
      <c r="O79" s="3"/>
      <c r="P79" s="3"/>
      <c r="Q79" s="492"/>
      <c r="R79" s="839"/>
      <c r="S79" s="839"/>
      <c r="T79" s="839"/>
      <c r="U79" s="845"/>
    </row>
    <row r="80" spans="1:21" ht="13">
      <c r="A80" s="869"/>
      <c r="B80" s="869">
        <v>590</v>
      </c>
      <c r="C80" s="869">
        <f t="shared" si="5"/>
        <v>1.6857916944368443E-6</v>
      </c>
      <c r="D80" s="869">
        <f t="shared" si="2"/>
        <v>1.6857916944368443</v>
      </c>
      <c r="E80" s="869">
        <f t="shared" si="0"/>
        <v>5.5341280387687783E-3</v>
      </c>
      <c r="F80" s="255">
        <f t="shared" si="3"/>
        <v>-22.56950797148901</v>
      </c>
      <c r="G80" s="251" t="s">
        <v>756</v>
      </c>
      <c r="H80" s="251"/>
      <c r="I80" s="254">
        <f>(S7*B80)/79.76</f>
        <v>0.70163063716895946</v>
      </c>
      <c r="J80" s="86"/>
      <c r="K80" s="87"/>
      <c r="L80" s="3"/>
      <c r="M80" s="3"/>
      <c r="N80" s="3"/>
      <c r="O80" s="3"/>
      <c r="P80" s="3"/>
      <c r="Q80" s="492"/>
      <c r="R80" s="839"/>
      <c r="S80" s="839"/>
      <c r="T80" s="839"/>
      <c r="U80" s="845"/>
    </row>
    <row r="81" spans="1:21" ht="13">
      <c r="A81" s="869"/>
      <c r="B81" s="869">
        <v>600</v>
      </c>
      <c r="C81" s="869">
        <f t="shared" si="5"/>
        <v>2.0833333333333334E-6</v>
      </c>
      <c r="D81" s="869">
        <f t="shared" si="2"/>
        <v>2.0833333333333335</v>
      </c>
      <c r="E81" s="869">
        <f t="shared" si="0"/>
        <v>6.8391803401031378E-3</v>
      </c>
      <c r="F81" s="255">
        <f t="shared" si="3"/>
        <v>-21.64995944347239</v>
      </c>
      <c r="G81" s="251" t="s">
        <v>756</v>
      </c>
      <c r="H81" s="251"/>
      <c r="I81" s="254">
        <f>(S7*B81)/79.76</f>
        <v>0.71352268186673851</v>
      </c>
      <c r="J81" s="86"/>
      <c r="K81" s="87"/>
      <c r="L81" s="3"/>
      <c r="M81" s="3"/>
      <c r="N81" s="3"/>
      <c r="O81" s="3"/>
      <c r="P81" s="3"/>
      <c r="Q81" s="492"/>
      <c r="R81" s="839"/>
      <c r="S81" s="839"/>
      <c r="T81" s="839"/>
      <c r="U81" s="845"/>
    </row>
    <row r="82" spans="1:21" ht="13">
      <c r="A82" s="869"/>
      <c r="B82" s="869">
        <v>610</v>
      </c>
      <c r="C82" s="869">
        <f t="shared" si="5"/>
        <v>2.3730777252337787E-6</v>
      </c>
      <c r="D82" s="869">
        <f t="shared" si="2"/>
        <v>2.3730777252337787</v>
      </c>
      <c r="E82" s="869">
        <f t="shared" ref="E82:E104" si="6">D82/304.6174</f>
        <v>7.7903551314986563E-3</v>
      </c>
      <c r="F82" s="255">
        <f t="shared" si="3"/>
        <v>-21.084427441073128</v>
      </c>
      <c r="G82" s="251" t="s">
        <v>756</v>
      </c>
      <c r="H82" s="251"/>
      <c r="I82" s="254">
        <f>(S7*B82)/79.76</f>
        <v>0.72541472656451755</v>
      </c>
      <c r="J82" s="86"/>
      <c r="K82" s="87"/>
      <c r="L82" s="3"/>
      <c r="M82" s="3"/>
      <c r="N82" s="3"/>
      <c r="O82" s="3"/>
      <c r="P82" s="3"/>
      <c r="Q82" s="492"/>
      <c r="R82" s="839"/>
      <c r="S82" s="840"/>
      <c r="T82" s="839"/>
      <c r="U82" s="845"/>
    </row>
    <row r="83" spans="1:21" ht="13">
      <c r="A83" s="869"/>
      <c r="B83" s="869">
        <v>620</v>
      </c>
      <c r="C83" s="869">
        <f t="shared" si="5"/>
        <v>2.5230132944665821E-6</v>
      </c>
      <c r="D83" s="869">
        <f t="shared" si="2"/>
        <v>2.523013294466582</v>
      </c>
      <c r="E83" s="869">
        <f t="shared" si="6"/>
        <v>8.2825646022406541E-3</v>
      </c>
      <c r="F83" s="258">
        <f t="shared" si="3"/>
        <v>-20.818351680282881</v>
      </c>
      <c r="G83" s="251" t="s">
        <v>756</v>
      </c>
      <c r="H83" s="251"/>
      <c r="I83" s="259">
        <f>(S7*B83)/79.76</f>
        <v>0.73730677126229638</v>
      </c>
      <c r="J83" s="260" t="s">
        <v>49</v>
      </c>
      <c r="K83" s="261"/>
      <c r="L83" s="3"/>
      <c r="M83" s="3"/>
      <c r="N83" s="3"/>
      <c r="O83" s="3"/>
      <c r="P83" s="3"/>
      <c r="Q83" s="492"/>
      <c r="R83" s="839"/>
      <c r="S83" s="839"/>
      <c r="T83" s="839"/>
      <c r="U83" s="845"/>
    </row>
    <row r="84" spans="1:21" ht="13">
      <c r="A84" s="869"/>
      <c r="B84" s="869">
        <v>630</v>
      </c>
      <c r="C84" s="869">
        <f t="shared" si="5"/>
        <v>2.5195263290501387E-6</v>
      </c>
      <c r="D84" s="869">
        <f t="shared" ref="D84:D104" si="7">C84*1000000</f>
        <v>2.5195263290501386</v>
      </c>
      <c r="E84" s="869">
        <f t="shared" si="6"/>
        <v>8.2711175692857294E-3</v>
      </c>
      <c r="F84" s="255">
        <f t="shared" si="3"/>
        <v>-20.82435805878815</v>
      </c>
      <c r="G84" s="251" t="s">
        <v>756</v>
      </c>
      <c r="H84" s="251"/>
      <c r="I84" s="254">
        <f>(S7*B84)/79.76</f>
        <v>0.74919881596007543</v>
      </c>
      <c r="J84" s="86"/>
      <c r="K84" s="87"/>
      <c r="L84" s="3"/>
      <c r="M84" s="3"/>
      <c r="N84" s="3"/>
      <c r="O84" s="3"/>
      <c r="P84" s="3"/>
      <c r="Q84" s="492"/>
      <c r="R84" s="839"/>
      <c r="S84" s="839"/>
      <c r="T84" s="839"/>
      <c r="U84" s="845"/>
    </row>
    <row r="85" spans="1:21" ht="13">
      <c r="A85" s="869"/>
      <c r="B85" s="869">
        <v>640</v>
      </c>
      <c r="C85" s="869">
        <f t="shared" si="5"/>
        <v>2.3677888437327986E-6</v>
      </c>
      <c r="D85" s="869">
        <f t="shared" si="7"/>
        <v>2.3677888437327987</v>
      </c>
      <c r="E85" s="869">
        <f t="shared" si="6"/>
        <v>7.7729927565949909E-3</v>
      </c>
      <c r="F85" s="255">
        <f t="shared" ref="F85:F104" si="8">10*LOG10(E85)</f>
        <v>-21.094117369995548</v>
      </c>
      <c r="G85" s="251" t="s">
        <v>756</v>
      </c>
      <c r="H85" s="251"/>
      <c r="I85" s="254">
        <f>(S7*B85)/79.76</f>
        <v>0.76109086065785436</v>
      </c>
      <c r="J85" s="86"/>
      <c r="K85" s="87"/>
      <c r="L85" s="3"/>
      <c r="M85" s="3"/>
      <c r="N85" s="3"/>
      <c r="O85" s="3"/>
      <c r="P85" s="3"/>
      <c r="Q85" s="492"/>
      <c r="R85" s="839"/>
      <c r="S85" s="839"/>
      <c r="T85" s="839"/>
      <c r="U85" s="845"/>
    </row>
    <row r="86" spans="1:21" ht="13">
      <c r="A86" s="869"/>
      <c r="B86" s="869">
        <v>650</v>
      </c>
      <c r="C86" s="869">
        <f t="shared" si="5"/>
        <v>2.0899934238094428E-6</v>
      </c>
      <c r="D86" s="869">
        <f t="shared" si="7"/>
        <v>2.0899934238094429</v>
      </c>
      <c r="E86" s="869">
        <f t="shared" si="6"/>
        <v>6.8610441288299451E-3</v>
      </c>
      <c r="F86" s="255">
        <f t="shared" si="8"/>
        <v>-21.636097873714895</v>
      </c>
      <c r="G86" s="251" t="s">
        <v>756</v>
      </c>
      <c r="H86" s="251"/>
      <c r="I86" s="254">
        <f>(S7*B86)/79.76</f>
        <v>0.77298290535563341</v>
      </c>
      <c r="J86" s="86"/>
      <c r="K86" s="87"/>
      <c r="L86" s="3"/>
      <c r="M86" s="3"/>
      <c r="N86" s="3"/>
      <c r="O86" s="3"/>
      <c r="P86" s="3"/>
      <c r="Q86" s="492"/>
      <c r="R86" s="839"/>
      <c r="S86" s="839"/>
      <c r="T86" s="839"/>
      <c r="U86" s="845"/>
    </row>
    <row r="87" spans="1:21" ht="13">
      <c r="A87" s="869"/>
      <c r="B87" s="869">
        <v>670</v>
      </c>
      <c r="C87" s="869">
        <f t="shared" si="5"/>
        <v>1.3072490283659268E-6</v>
      </c>
      <c r="D87" s="869">
        <f t="shared" si="7"/>
        <v>1.3072490283659268</v>
      </c>
      <c r="E87" s="869">
        <f t="shared" si="6"/>
        <v>4.2914456901212046E-3</v>
      </c>
      <c r="F87" s="255">
        <f t="shared" si="8"/>
        <v>-23.673963792662658</v>
      </c>
      <c r="G87" s="251" t="s">
        <v>756</v>
      </c>
      <c r="H87" s="251"/>
      <c r="I87" s="254">
        <f>(S7*B87)/79.76</f>
        <v>0.79676699475119128</v>
      </c>
      <c r="J87" s="86"/>
      <c r="K87" s="87"/>
      <c r="L87" s="3"/>
      <c r="M87" s="3"/>
      <c r="N87" s="3"/>
      <c r="O87" s="3"/>
      <c r="P87" s="3"/>
      <c r="Q87" s="492"/>
      <c r="R87" s="839"/>
      <c r="S87" s="839"/>
      <c r="T87" s="839"/>
      <c r="U87" s="845"/>
    </row>
    <row r="88" spans="1:21" ht="13">
      <c r="A88" s="869"/>
      <c r="B88" s="869">
        <v>680</v>
      </c>
      <c r="C88" s="869">
        <f t="shared" si="5"/>
        <v>8.9354652068887208E-7</v>
      </c>
      <c r="D88" s="869">
        <f t="shared" si="7"/>
        <v>0.89354652068887208</v>
      </c>
      <c r="E88" s="869">
        <f t="shared" si="6"/>
        <v>2.93334038268619E-3</v>
      </c>
      <c r="F88" s="255">
        <f t="shared" si="8"/>
        <v>-25.326375388792549</v>
      </c>
      <c r="G88" s="251" t="s">
        <v>756</v>
      </c>
      <c r="H88" s="251"/>
      <c r="I88" s="254">
        <f>(S7*B88)/79.76</f>
        <v>0.80865903944897033</v>
      </c>
      <c r="J88" s="86"/>
      <c r="K88" s="87"/>
      <c r="L88" s="3"/>
      <c r="M88" s="3"/>
      <c r="N88" s="3"/>
      <c r="O88" s="3"/>
      <c r="P88" s="3"/>
      <c r="Q88" s="492"/>
      <c r="R88" s="839"/>
      <c r="S88" s="839"/>
      <c r="T88" s="839"/>
      <c r="U88" s="845"/>
    </row>
    <row r="89" spans="1:21" ht="13">
      <c r="A89" s="869"/>
      <c r="B89" s="869">
        <v>690</v>
      </c>
      <c r="C89" s="869">
        <f t="shared" ref="C89:C104" si="9">((SIN(RADIANS(B89)))^2)/B89^2</f>
        <v>5.2509976895610143E-7</v>
      </c>
      <c r="D89" s="869">
        <f t="shared" si="7"/>
        <v>0.52509976895610144</v>
      </c>
      <c r="E89" s="869">
        <f t="shared" si="6"/>
        <v>1.7238009678898891E-3</v>
      </c>
      <c r="F89" s="255">
        <f t="shared" si="8"/>
        <v>-27.635128797741245</v>
      </c>
      <c r="G89" s="251" t="s">
        <v>756</v>
      </c>
      <c r="H89" s="251"/>
      <c r="I89" s="254">
        <f>(S7*B89)/79.76</f>
        <v>0.82055108414674915</v>
      </c>
      <c r="J89" s="86"/>
      <c r="K89" s="87"/>
      <c r="L89" s="3"/>
      <c r="M89" s="3"/>
      <c r="N89" s="3"/>
      <c r="O89" s="3"/>
      <c r="P89" s="3"/>
      <c r="Q89" s="492"/>
      <c r="R89" s="839"/>
      <c r="S89" s="839"/>
      <c r="T89" s="839"/>
      <c r="U89" s="845"/>
    </row>
    <row r="90" spans="1:21" ht="13">
      <c r="A90" s="869"/>
      <c r="B90" s="869">
        <v>700</v>
      </c>
      <c r="C90" s="869">
        <f t="shared" si="9"/>
        <v>2.3873016008267562E-7</v>
      </c>
      <c r="D90" s="869">
        <f t="shared" si="7"/>
        <v>0.23873016008267561</v>
      </c>
      <c r="E90" s="869">
        <f t="shared" si="6"/>
        <v>7.8370493636501274E-4</v>
      </c>
      <c r="F90" s="255">
        <f t="shared" si="8"/>
        <v>-31.058474177091306</v>
      </c>
      <c r="G90" s="251" t="s">
        <v>756</v>
      </c>
      <c r="H90" s="251"/>
      <c r="I90" s="254">
        <f>(S7*B90)/79.76</f>
        <v>0.83244312884452831</v>
      </c>
      <c r="J90" s="86"/>
      <c r="K90" s="87"/>
      <c r="L90" s="3"/>
      <c r="M90" s="3"/>
      <c r="N90" s="3"/>
      <c r="O90" s="3"/>
      <c r="P90" s="3"/>
      <c r="Q90" s="492"/>
      <c r="R90" s="839"/>
      <c r="S90" s="839"/>
      <c r="T90" s="839"/>
      <c r="U90" s="845"/>
    </row>
    <row r="91" spans="1:21" ht="13">
      <c r="A91" s="869"/>
      <c r="B91" s="869">
        <v>710</v>
      </c>
      <c r="C91" s="869">
        <f t="shared" si="9"/>
        <v>5.981688079160069E-8</v>
      </c>
      <c r="D91" s="869">
        <f t="shared" si="7"/>
        <v>5.9816880791600691E-2</v>
      </c>
      <c r="E91" s="869">
        <f t="shared" si="6"/>
        <v>1.9636724885578006E-4</v>
      </c>
      <c r="F91" s="255">
        <f t="shared" si="8"/>
        <v>-37.069309443865997</v>
      </c>
      <c r="G91" s="251" t="s">
        <v>756</v>
      </c>
      <c r="H91" s="251"/>
      <c r="I91" s="254">
        <f>(S7*B91)/79.76</f>
        <v>0.84433517354230725</v>
      </c>
      <c r="J91" s="86"/>
      <c r="K91" s="87"/>
      <c r="L91" s="3"/>
      <c r="M91" s="3"/>
      <c r="N91" s="3"/>
      <c r="O91" s="3"/>
      <c r="P91" s="3"/>
      <c r="Q91" s="492"/>
      <c r="R91" s="839"/>
      <c r="S91" s="840"/>
      <c r="T91" s="839"/>
      <c r="U91" s="845"/>
    </row>
    <row r="92" spans="1:21" ht="13">
      <c r="A92" s="869"/>
      <c r="B92" s="869">
        <v>720</v>
      </c>
      <c r="C92" s="869">
        <f t="shared" si="9"/>
        <v>4.6326812856943794E-37</v>
      </c>
      <c r="D92" s="869">
        <f t="shared" si="7"/>
        <v>4.6326812856943792E-31</v>
      </c>
      <c r="E92" s="869">
        <f t="shared" si="6"/>
        <v>1.5208196530120668E-33</v>
      </c>
      <c r="F92" s="256">
        <f t="shared" si="8"/>
        <v>-328.17922283873054</v>
      </c>
      <c r="G92" s="251" t="s">
        <v>756</v>
      </c>
      <c r="H92" s="251"/>
      <c r="I92" s="257">
        <f>(S7*B92)/79.76</f>
        <v>0.8562272182400863</v>
      </c>
      <c r="J92" s="260" t="s">
        <v>50</v>
      </c>
      <c r="K92" s="87"/>
      <c r="L92" s="3"/>
      <c r="M92" s="3"/>
      <c r="N92" s="3"/>
      <c r="O92" s="3"/>
      <c r="P92" s="3"/>
      <c r="Q92" s="492"/>
      <c r="R92" s="839"/>
      <c r="S92" s="839"/>
      <c r="T92" s="839"/>
      <c r="U92" s="845"/>
    </row>
    <row r="93" spans="1:21" ht="13">
      <c r="A93" s="869"/>
      <c r="B93" s="869">
        <v>730</v>
      </c>
      <c r="C93" s="869">
        <f t="shared" si="9"/>
        <v>5.6584142629096589E-8</v>
      </c>
      <c r="D93" s="869">
        <f t="shared" si="7"/>
        <v>5.6584142629096591E-2</v>
      </c>
      <c r="E93" s="869">
        <f t="shared" si="6"/>
        <v>1.8575479479864446E-4</v>
      </c>
      <c r="F93" s="255">
        <f t="shared" si="8"/>
        <v>-37.310599671893655</v>
      </c>
      <c r="G93" s="251" t="s">
        <v>756</v>
      </c>
      <c r="H93" s="251"/>
      <c r="I93" s="254">
        <f>(S7*B93)/79.76</f>
        <v>0.86811926293786523</v>
      </c>
      <c r="J93" s="86"/>
      <c r="K93" s="87"/>
      <c r="L93" s="3"/>
      <c r="M93" s="3"/>
      <c r="N93" s="3"/>
      <c r="O93" s="3"/>
      <c r="P93" s="3"/>
      <c r="Q93" s="492"/>
      <c r="R93" s="839"/>
      <c r="S93" s="839"/>
      <c r="T93" s="839"/>
      <c r="U93" s="845"/>
    </row>
    <row r="94" spans="1:21" ht="13">
      <c r="A94" s="869"/>
      <c r="B94" s="869">
        <v>740</v>
      </c>
      <c r="C94" s="869">
        <f t="shared" si="9"/>
        <v>2.1361902564008473E-7</v>
      </c>
      <c r="D94" s="869">
        <f t="shared" si="7"/>
        <v>0.21361902564008473</v>
      </c>
      <c r="E94" s="869">
        <f t="shared" si="6"/>
        <v>7.0126993940623468E-4</v>
      </c>
      <c r="F94" s="255">
        <f t="shared" si="8"/>
        <v>-31.541147771425713</v>
      </c>
      <c r="G94" s="251" t="s">
        <v>756</v>
      </c>
      <c r="H94" s="251"/>
      <c r="I94" s="254">
        <f>(S7*B94)/79.76</f>
        <v>0.88001130763564406</v>
      </c>
      <c r="J94" s="86"/>
      <c r="K94" s="87"/>
      <c r="L94" s="3"/>
      <c r="M94" s="3"/>
      <c r="N94" s="3"/>
      <c r="O94" s="3"/>
      <c r="P94" s="3"/>
      <c r="Q94" s="492"/>
      <c r="R94" s="839"/>
      <c r="S94" s="839"/>
      <c r="T94" s="839"/>
      <c r="U94" s="845"/>
    </row>
    <row r="95" spans="1:21" ht="13">
      <c r="A95" s="869"/>
      <c r="B95" s="869">
        <v>750</v>
      </c>
      <c r="C95" s="869">
        <f t="shared" si="9"/>
        <v>4.4444444444444274E-7</v>
      </c>
      <c r="D95" s="869">
        <f t="shared" si="7"/>
        <v>0.44444444444444275</v>
      </c>
      <c r="E95" s="869">
        <f t="shared" si="6"/>
        <v>1.4590251392219971E-3</v>
      </c>
      <c r="F95" s="255">
        <f t="shared" si="8"/>
        <v>-28.359372250830155</v>
      </c>
      <c r="G95" s="251" t="s">
        <v>756</v>
      </c>
      <c r="H95" s="251"/>
      <c r="I95" s="254">
        <f>(S7*B95)/79.76</f>
        <v>0.89190335233342322</v>
      </c>
      <c r="J95" s="86"/>
      <c r="K95" s="87"/>
      <c r="L95" s="3"/>
      <c r="M95" s="3"/>
      <c r="N95" s="3"/>
      <c r="O95" s="3"/>
      <c r="P95" s="3"/>
      <c r="Q95" s="492"/>
      <c r="R95" s="839"/>
      <c r="S95" s="839"/>
      <c r="T95" s="839"/>
      <c r="U95" s="845"/>
    </row>
    <row r="96" spans="1:21" ht="13">
      <c r="A96" s="869"/>
      <c r="B96" s="869">
        <v>760</v>
      </c>
      <c r="C96" s="869">
        <f t="shared" si="9"/>
        <v>7.1533225617474943E-7</v>
      </c>
      <c r="D96" s="869">
        <f t="shared" si="7"/>
        <v>0.71533225617474938</v>
      </c>
      <c r="E96" s="869">
        <f t="shared" si="6"/>
        <v>2.3482974254745441E-3</v>
      </c>
      <c r="F96" s="255">
        <f t="shared" si="8"/>
        <v>-26.292468980283637</v>
      </c>
      <c r="G96" s="251" t="s">
        <v>756</v>
      </c>
      <c r="H96" s="251"/>
      <c r="I96" s="254">
        <f>(S7*B96)/79.76</f>
        <v>0.90379539703120204</v>
      </c>
      <c r="J96" s="86"/>
      <c r="K96" s="87"/>
      <c r="L96" s="3"/>
      <c r="M96" s="3"/>
      <c r="N96" s="3"/>
      <c r="O96" s="3"/>
      <c r="P96" s="3"/>
      <c r="Q96" s="492"/>
      <c r="R96" s="839"/>
      <c r="S96" s="839"/>
      <c r="T96" s="839"/>
      <c r="U96" s="845"/>
    </row>
    <row r="97" spans="1:21" ht="13">
      <c r="A97" s="869"/>
      <c r="B97" s="869">
        <v>770</v>
      </c>
      <c r="C97" s="869">
        <f t="shared" si="9"/>
        <v>9.8975221594445192E-7</v>
      </c>
      <c r="D97" s="869">
        <f t="shared" si="7"/>
        <v>0.98975221594445195</v>
      </c>
      <c r="E97" s="869">
        <f t="shared" si="6"/>
        <v>3.2491650704931894E-3</v>
      </c>
      <c r="F97" s="255">
        <f t="shared" si="8"/>
        <v>-24.882282242095762</v>
      </c>
      <c r="G97" s="251" t="s">
        <v>756</v>
      </c>
      <c r="H97" s="251"/>
      <c r="I97" s="254">
        <f>(S7*B97)/79.76</f>
        <v>0.91568744172898098</v>
      </c>
      <c r="J97" s="86"/>
      <c r="K97" s="87"/>
      <c r="L97" s="3"/>
      <c r="M97" s="3"/>
      <c r="N97" s="3"/>
      <c r="O97" s="3"/>
      <c r="P97" s="3"/>
      <c r="Q97" s="492"/>
      <c r="R97" s="839"/>
      <c r="S97" s="839"/>
      <c r="T97" s="839"/>
      <c r="U97" s="845"/>
    </row>
    <row r="98" spans="1:21" ht="13">
      <c r="A98" s="869"/>
      <c r="B98" s="869">
        <v>780</v>
      </c>
      <c r="C98" s="869">
        <f t="shared" si="9"/>
        <v>1.2327416173570021E-6</v>
      </c>
      <c r="D98" s="869">
        <f t="shared" si="7"/>
        <v>1.2327416173570021</v>
      </c>
      <c r="E98" s="869">
        <f t="shared" si="6"/>
        <v>4.0468522722503777E-3</v>
      </c>
      <c r="F98" s="255">
        <f t="shared" si="8"/>
        <v>-23.928826489609122</v>
      </c>
      <c r="G98" s="251" t="s">
        <v>756</v>
      </c>
      <c r="H98" s="251"/>
      <c r="I98" s="254">
        <f>(S7*B98)/79.76</f>
        <v>0.92757948642676014</v>
      </c>
      <c r="J98" s="86"/>
      <c r="K98" s="87"/>
      <c r="L98" s="3"/>
      <c r="M98" s="3"/>
      <c r="N98" s="3"/>
      <c r="O98" s="3"/>
      <c r="P98" s="3"/>
      <c r="Q98" s="492"/>
      <c r="R98" s="839"/>
      <c r="S98" s="839"/>
      <c r="T98" s="839"/>
      <c r="U98" s="845"/>
    </row>
    <row r="99" spans="1:21" ht="13">
      <c r="A99" s="869"/>
      <c r="B99" s="869">
        <v>790</v>
      </c>
      <c r="C99" s="869">
        <f t="shared" si="9"/>
        <v>1.4148729715742491E-6</v>
      </c>
      <c r="D99" s="869">
        <f t="shared" si="7"/>
        <v>1.414872971574249</v>
      </c>
      <c r="E99" s="869">
        <f t="shared" si="6"/>
        <v>4.6447542772482765E-3</v>
      </c>
      <c r="F99" s="255">
        <f t="shared" si="8"/>
        <v>-23.330372566666618</v>
      </c>
      <c r="G99" s="251" t="s">
        <v>756</v>
      </c>
      <c r="H99" s="251"/>
      <c r="I99" s="254">
        <f>(S7*B99)/79.76</f>
        <v>0.93947153112453896</v>
      </c>
      <c r="J99" s="86"/>
      <c r="K99" s="87"/>
      <c r="L99" s="3"/>
      <c r="M99" s="3"/>
      <c r="N99" s="3"/>
      <c r="O99" s="3"/>
      <c r="P99" s="3"/>
      <c r="Q99" s="492"/>
      <c r="R99" s="839"/>
      <c r="S99" s="839"/>
      <c r="T99" s="839"/>
      <c r="U99" s="845"/>
    </row>
    <row r="100" spans="1:21" ht="13">
      <c r="A100" s="869"/>
      <c r="B100" s="869">
        <v>800</v>
      </c>
      <c r="C100" s="869">
        <f t="shared" si="9"/>
        <v>1.5153848599889908E-6</v>
      </c>
      <c r="D100" s="869">
        <f t="shared" si="7"/>
        <v>1.5153848599889908</v>
      </c>
      <c r="E100" s="869">
        <f t="shared" si="6"/>
        <v>4.9747153642207926E-3</v>
      </c>
      <c r="F100" s="255">
        <f t="shared" si="8"/>
        <v>-23.032317630156676</v>
      </c>
      <c r="G100" s="251" t="s">
        <v>756</v>
      </c>
      <c r="H100" s="251"/>
      <c r="I100" s="254">
        <f>(S7*B100)/79.76</f>
        <v>0.95136357582231812</v>
      </c>
      <c r="J100" s="86"/>
      <c r="K100" s="87"/>
      <c r="L100" s="3"/>
      <c r="M100" s="3"/>
      <c r="N100" s="3"/>
      <c r="O100" s="3"/>
      <c r="P100" s="3"/>
      <c r="Q100" s="492"/>
      <c r="R100" s="839"/>
      <c r="S100" s="840"/>
      <c r="T100" s="839"/>
      <c r="U100" s="845"/>
    </row>
    <row r="101" spans="1:21" ht="13">
      <c r="A101" s="869"/>
      <c r="B101" s="869">
        <v>810</v>
      </c>
      <c r="C101" s="869">
        <f t="shared" si="9"/>
        <v>1.5241579027587259E-6</v>
      </c>
      <c r="D101" s="869">
        <f t="shared" si="7"/>
        <v>1.5241579027587258</v>
      </c>
      <c r="E101" s="869">
        <f t="shared" si="6"/>
        <v>5.003515566604947E-3</v>
      </c>
      <c r="F101" s="258">
        <f t="shared" si="8"/>
        <v>-23.007247447289512</v>
      </c>
      <c r="G101" s="251" t="s">
        <v>756</v>
      </c>
      <c r="H101" s="251"/>
      <c r="I101" s="259">
        <f>(S7*B101)/79.76</f>
        <v>0.96325562052009694</v>
      </c>
      <c r="J101" s="260" t="s">
        <v>51</v>
      </c>
      <c r="K101" s="261"/>
      <c r="L101" s="3"/>
      <c r="M101" s="3"/>
      <c r="N101" s="3"/>
      <c r="O101" s="3"/>
      <c r="P101" s="3"/>
      <c r="Q101" s="492"/>
      <c r="R101" s="839"/>
      <c r="S101" s="839"/>
      <c r="T101" s="839"/>
      <c r="U101" s="845"/>
    </row>
    <row r="102" spans="1:21" ht="13">
      <c r="A102" s="869"/>
      <c r="B102" s="869">
        <v>820</v>
      </c>
      <c r="C102" s="869">
        <f t="shared" si="9"/>
        <v>1.4423651255100455E-6</v>
      </c>
      <c r="D102" s="869">
        <f t="shared" si="7"/>
        <v>1.4423651255100456</v>
      </c>
      <c r="E102" s="869">
        <f t="shared" si="6"/>
        <v>4.7350057006265754E-3</v>
      </c>
      <c r="F102" s="255">
        <f t="shared" si="8"/>
        <v>-23.246794937992135</v>
      </c>
      <c r="G102" s="251" t="s">
        <v>756</v>
      </c>
      <c r="H102" s="251"/>
      <c r="I102" s="254">
        <f>(S7*B102)/79.76</f>
        <v>0.97514766521787588</v>
      </c>
      <c r="J102" s="86"/>
      <c r="K102" s="87"/>
      <c r="L102" s="3"/>
      <c r="M102" s="3"/>
      <c r="N102" s="3"/>
      <c r="O102" s="3"/>
      <c r="P102" s="3"/>
      <c r="Q102" s="492"/>
      <c r="R102" s="839"/>
      <c r="S102" s="839"/>
      <c r="T102" s="839"/>
      <c r="U102" s="845"/>
    </row>
    <row r="103" spans="1:21" ht="13">
      <c r="A103" s="869"/>
      <c r="B103" s="869">
        <v>830</v>
      </c>
      <c r="C103" s="869">
        <f t="shared" si="9"/>
        <v>1.281785776686732E-6</v>
      </c>
      <c r="D103" s="869">
        <f t="shared" si="7"/>
        <v>1.281785776686732</v>
      </c>
      <c r="E103" s="869">
        <f t="shared" si="6"/>
        <v>4.2078547603870697E-3</v>
      </c>
      <c r="F103" s="255">
        <f t="shared" si="8"/>
        <v>-23.75939258837926</v>
      </c>
      <c r="G103" s="251" t="s">
        <v>756</v>
      </c>
      <c r="H103" s="251"/>
      <c r="I103" s="254">
        <f>(S7*B103)/79.76</f>
        <v>0.98703970991565493</v>
      </c>
      <c r="J103" s="86"/>
      <c r="K103" s="87"/>
      <c r="L103" s="3"/>
      <c r="M103" s="3"/>
      <c r="N103" s="3"/>
      <c r="O103" s="3"/>
      <c r="P103" s="3"/>
      <c r="Q103" s="492"/>
      <c r="R103" s="839"/>
      <c r="S103" s="839"/>
      <c r="T103" s="839"/>
      <c r="U103" s="845"/>
    </row>
    <row r="104" spans="1:21" ht="13">
      <c r="A104" s="869"/>
      <c r="B104" s="869">
        <v>840</v>
      </c>
      <c r="C104" s="869">
        <f t="shared" si="9"/>
        <v>1.0629251700680265E-6</v>
      </c>
      <c r="D104" s="869">
        <f t="shared" si="7"/>
        <v>1.0629251700680264</v>
      </c>
      <c r="E104" s="869">
        <f t="shared" si="6"/>
        <v>3.4893777245424145E-3</v>
      </c>
      <c r="F104" s="255">
        <f t="shared" si="8"/>
        <v>-24.572520157037154</v>
      </c>
      <c r="G104" s="251" t="s">
        <v>756</v>
      </c>
      <c r="H104" s="251"/>
      <c r="I104" s="254">
        <f>(S7*B104)/79.76</f>
        <v>0.99893175461343386</v>
      </c>
      <c r="J104" s="86"/>
      <c r="K104" s="87"/>
      <c r="L104" s="3"/>
      <c r="M104" s="3"/>
      <c r="N104" s="3"/>
      <c r="O104" s="3"/>
      <c r="P104" s="3"/>
      <c r="Q104" s="492"/>
      <c r="R104" s="839"/>
      <c r="S104" s="839"/>
      <c r="T104" s="839"/>
      <c r="U104" s="845"/>
    </row>
    <row r="105" spans="1:21">
      <c r="A105" s="869"/>
      <c r="B105" s="869"/>
      <c r="C105" s="869"/>
      <c r="D105" s="869"/>
      <c r="E105" s="869"/>
      <c r="F105" s="85"/>
      <c r="G105" s="86"/>
      <c r="H105" s="86"/>
      <c r="I105" s="86"/>
      <c r="J105" s="86"/>
      <c r="K105" s="87"/>
      <c r="L105" s="3"/>
      <c r="M105" s="3"/>
      <c r="N105" s="3"/>
      <c r="O105" s="3"/>
      <c r="P105" s="3"/>
      <c r="Q105" s="3"/>
      <c r="R105" s="839"/>
      <c r="S105" s="839"/>
      <c r="T105" s="839"/>
      <c r="U105" s="839"/>
    </row>
    <row r="106" spans="1:21">
      <c r="A106" s="869"/>
      <c r="B106" s="869"/>
      <c r="C106" s="869"/>
      <c r="D106" s="869"/>
      <c r="E106" s="869"/>
      <c r="F106" s="88"/>
      <c r="G106" s="89"/>
      <c r="H106" s="89"/>
      <c r="I106" s="89"/>
      <c r="J106" s="89"/>
      <c r="K106" s="90"/>
      <c r="L106" s="3"/>
      <c r="M106" s="3"/>
      <c r="N106" s="3"/>
      <c r="O106" s="3"/>
      <c r="P106" s="3"/>
      <c r="Q106" s="3"/>
      <c r="R106" s="839"/>
      <c r="S106" s="839"/>
      <c r="T106" s="839"/>
      <c r="U106" s="839"/>
    </row>
    <row r="107" spans="1:21">
      <c r="A107" s="469"/>
      <c r="B107" s="469"/>
      <c r="C107" s="469"/>
      <c r="D107" s="469"/>
      <c r="E107" s="469"/>
      <c r="F107" s="3"/>
      <c r="G107" s="3"/>
      <c r="H107" s="3"/>
      <c r="I107" s="3"/>
      <c r="J107" s="3"/>
      <c r="K107" s="3"/>
      <c r="L107" s="3"/>
      <c r="M107" s="3"/>
      <c r="N107" s="3"/>
      <c r="O107" s="3"/>
      <c r="P107" s="3"/>
      <c r="Q107" s="3"/>
      <c r="R107" s="839"/>
      <c r="S107" s="839"/>
      <c r="T107" s="839"/>
      <c r="U107" s="839"/>
    </row>
    <row r="108" spans="1:21">
      <c r="A108" s="469"/>
      <c r="B108" s="469"/>
      <c r="C108" s="469"/>
      <c r="D108" s="469"/>
      <c r="E108" s="469"/>
      <c r="F108" s="3"/>
      <c r="G108" s="3"/>
      <c r="H108" s="3"/>
      <c r="I108" s="3"/>
      <c r="J108" s="3"/>
      <c r="K108" s="3"/>
      <c r="L108" s="3"/>
      <c r="M108" s="3"/>
      <c r="N108" s="3"/>
      <c r="O108" s="3"/>
      <c r="P108" s="3"/>
      <c r="Q108" s="3"/>
      <c r="R108" s="839"/>
      <c r="S108" s="839"/>
      <c r="T108" s="839"/>
      <c r="U108" s="839"/>
    </row>
    <row r="109" spans="1:21">
      <c r="A109" s="469"/>
      <c r="B109" s="469"/>
      <c r="C109" s="469"/>
      <c r="D109" s="469"/>
      <c r="E109" s="469"/>
      <c r="F109" s="3"/>
      <c r="G109" s="3"/>
      <c r="H109" s="3"/>
      <c r="I109" s="3"/>
      <c r="J109" s="3"/>
      <c r="K109" s="3"/>
      <c r="L109" s="3"/>
      <c r="M109" s="3"/>
      <c r="N109" s="3"/>
      <c r="O109" s="3"/>
      <c r="P109" s="3"/>
      <c r="Q109" s="3"/>
      <c r="R109" s="839"/>
      <c r="S109" s="839"/>
      <c r="T109" s="839"/>
      <c r="U109" s="839"/>
    </row>
    <row r="110" spans="1:21">
      <c r="A110" s="469"/>
      <c r="B110" s="469"/>
      <c r="C110" s="469"/>
      <c r="D110" s="469"/>
      <c r="E110" s="469"/>
      <c r="F110" s="3"/>
      <c r="G110" s="3"/>
      <c r="H110" s="3"/>
      <c r="I110" s="3"/>
      <c r="J110" s="3"/>
      <c r="K110" s="3"/>
      <c r="L110" s="3"/>
      <c r="M110" s="3"/>
      <c r="N110" s="3"/>
      <c r="O110" s="3"/>
      <c r="P110" s="3"/>
      <c r="Q110" s="3"/>
      <c r="R110" s="839"/>
      <c r="S110" s="839"/>
      <c r="T110" s="839"/>
      <c r="U110" s="839"/>
    </row>
    <row r="111" spans="1:21">
      <c r="A111" s="469"/>
      <c r="B111" s="469"/>
      <c r="C111" s="469"/>
      <c r="D111" s="469"/>
      <c r="E111" s="469"/>
      <c r="F111" s="3"/>
      <c r="G111" s="3"/>
      <c r="H111" s="3"/>
      <c r="I111" s="3"/>
      <c r="J111" s="3"/>
      <c r="K111" s="3"/>
      <c r="L111" s="3"/>
      <c r="M111" s="3"/>
      <c r="N111" s="3"/>
      <c r="O111" s="3"/>
      <c r="P111" s="3"/>
      <c r="Q111" s="3"/>
      <c r="R111" s="839"/>
      <c r="S111" s="839"/>
      <c r="T111" s="839"/>
      <c r="U111" s="839"/>
    </row>
    <row r="112" spans="1:21">
      <c r="A112" s="3"/>
      <c r="B112" s="3"/>
      <c r="C112" s="3"/>
      <c r="D112" s="3"/>
      <c r="E112" s="3"/>
      <c r="F112" s="3"/>
      <c r="G112" s="3"/>
      <c r="H112" s="3"/>
      <c r="I112" s="3"/>
      <c r="J112" s="3"/>
      <c r="K112" s="3"/>
      <c r="L112" s="3"/>
      <c r="M112" s="3"/>
      <c r="N112" s="3"/>
      <c r="O112" s="3"/>
      <c r="P112" s="3"/>
      <c r="Q112" s="3"/>
      <c r="R112" s="839"/>
      <c r="S112" s="839"/>
      <c r="T112" s="839"/>
      <c r="U112" s="839"/>
    </row>
    <row r="113" spans="1:21">
      <c r="A113" s="3"/>
      <c r="B113" s="3"/>
      <c r="C113" s="3"/>
      <c r="D113" s="3"/>
      <c r="E113" s="3"/>
      <c r="F113" s="3"/>
      <c r="G113" s="3"/>
      <c r="H113" s="3"/>
      <c r="I113" s="3"/>
      <c r="J113" s="3"/>
      <c r="K113" s="3"/>
      <c r="L113" s="3"/>
      <c r="M113" s="3"/>
      <c r="N113" s="3"/>
      <c r="O113" s="3"/>
      <c r="P113" s="3"/>
      <c r="Q113" s="3"/>
      <c r="R113" s="839"/>
      <c r="S113" s="839"/>
      <c r="T113" s="839"/>
      <c r="U113" s="839"/>
    </row>
    <row r="114" spans="1:21">
      <c r="A114" s="3"/>
      <c r="B114" s="3"/>
      <c r="C114" s="3"/>
      <c r="D114" s="3"/>
      <c r="E114" s="3"/>
      <c r="F114" s="3"/>
      <c r="G114" s="3"/>
      <c r="H114" s="3"/>
      <c r="I114" s="3"/>
      <c r="J114" s="3"/>
      <c r="K114" s="3"/>
      <c r="L114" s="3"/>
      <c r="M114" s="3"/>
      <c r="N114" s="3"/>
      <c r="O114" s="3"/>
      <c r="P114" s="3"/>
      <c r="Q114" s="3"/>
      <c r="R114" s="839"/>
      <c r="S114" s="839"/>
      <c r="T114" s="839"/>
      <c r="U114" s="839"/>
    </row>
    <row r="115" spans="1:21">
      <c r="A115" s="3"/>
      <c r="B115" s="3"/>
      <c r="C115" s="3"/>
      <c r="D115" s="3"/>
      <c r="E115" s="3"/>
      <c r="F115" s="3"/>
      <c r="G115" s="3"/>
      <c r="H115" s="3"/>
      <c r="I115" s="3"/>
      <c r="J115" s="3"/>
      <c r="K115" s="3"/>
      <c r="L115" s="3"/>
      <c r="M115" s="3"/>
      <c r="N115" s="3"/>
      <c r="O115" s="3"/>
      <c r="P115" s="3"/>
      <c r="Q115" s="3"/>
      <c r="R115" s="839"/>
      <c r="S115" s="839"/>
      <c r="T115" s="839"/>
      <c r="U115" s="839"/>
    </row>
    <row r="116" spans="1:21">
      <c r="A116" s="3"/>
      <c r="B116" s="3"/>
      <c r="C116" s="3"/>
      <c r="D116" s="3"/>
      <c r="E116" s="3"/>
      <c r="F116" s="3"/>
      <c r="G116" s="3"/>
      <c r="H116" s="3"/>
      <c r="I116" s="3"/>
      <c r="J116" s="3"/>
      <c r="K116" s="3"/>
      <c r="L116" s="3"/>
      <c r="M116" s="3"/>
      <c r="N116" s="3"/>
      <c r="O116" s="3"/>
      <c r="P116" s="3"/>
      <c r="Q116" s="3"/>
      <c r="R116" s="839"/>
      <c r="S116" s="839"/>
      <c r="T116" s="839"/>
      <c r="U116" s="839"/>
    </row>
    <row r="117" spans="1:21">
      <c r="A117" s="3"/>
      <c r="B117" s="3"/>
      <c r="C117" s="3"/>
      <c r="D117" s="3"/>
      <c r="E117" s="3"/>
      <c r="F117" s="3"/>
      <c r="G117" s="3"/>
      <c r="H117" s="3"/>
      <c r="I117" s="3"/>
      <c r="J117" s="3"/>
      <c r="K117" s="3"/>
      <c r="L117" s="3"/>
      <c r="M117" s="3"/>
      <c r="N117" s="3"/>
      <c r="O117" s="3"/>
      <c r="P117" s="3"/>
      <c r="Q117" s="3"/>
      <c r="R117" s="839"/>
      <c r="S117" s="839"/>
      <c r="T117" s="839"/>
      <c r="U117" s="839"/>
    </row>
    <row r="118" spans="1:21">
      <c r="A118" s="3"/>
      <c r="B118" s="3"/>
      <c r="C118" s="3"/>
      <c r="D118" s="3"/>
      <c r="E118" s="3"/>
      <c r="F118" s="3"/>
      <c r="G118" s="3"/>
      <c r="H118" s="3"/>
      <c r="I118" s="3"/>
      <c r="J118" s="3"/>
      <c r="K118" s="3"/>
      <c r="L118" s="3"/>
      <c r="M118" s="3"/>
      <c r="N118" s="3"/>
      <c r="O118" s="3"/>
      <c r="P118" s="3"/>
      <c r="Q118" s="3"/>
      <c r="R118" s="839"/>
      <c r="S118" s="839"/>
      <c r="T118" s="839"/>
      <c r="U118" s="839"/>
    </row>
    <row r="119" spans="1:21">
      <c r="A119" s="3"/>
      <c r="B119" s="3"/>
      <c r="C119" s="3"/>
      <c r="D119" s="3"/>
      <c r="E119" s="3"/>
      <c r="F119" s="3"/>
      <c r="G119" s="3"/>
      <c r="H119" s="3"/>
      <c r="I119" s="3"/>
      <c r="J119" s="3"/>
      <c r="K119" s="3"/>
      <c r="L119" s="3"/>
      <c r="M119" s="3"/>
      <c r="N119" s="3"/>
      <c r="O119" s="3"/>
      <c r="P119" s="3"/>
      <c r="Q119" s="3"/>
      <c r="R119" s="839"/>
      <c r="S119" s="839"/>
      <c r="T119" s="839"/>
      <c r="U119" s="839"/>
    </row>
    <row r="120" spans="1:21">
      <c r="A120" s="3"/>
      <c r="B120" s="3"/>
      <c r="C120" s="3"/>
      <c r="D120" s="3"/>
      <c r="E120" s="3"/>
      <c r="F120" s="3"/>
      <c r="G120" s="3"/>
      <c r="H120" s="3"/>
      <c r="I120" s="3"/>
      <c r="J120" s="3"/>
      <c r="K120" s="3"/>
      <c r="L120" s="3"/>
      <c r="M120" s="3"/>
      <c r="N120" s="3"/>
      <c r="O120" s="3"/>
      <c r="P120" s="3"/>
      <c r="Q120" s="3"/>
      <c r="R120" s="839"/>
      <c r="S120" s="839"/>
      <c r="T120" s="839"/>
      <c r="U120" s="839"/>
    </row>
    <row r="121" spans="1:21">
      <c r="A121" s="3"/>
      <c r="B121" s="3"/>
      <c r="C121" s="3"/>
      <c r="D121" s="3"/>
      <c r="E121" s="3"/>
      <c r="F121" s="3"/>
      <c r="G121" s="3"/>
      <c r="H121" s="3"/>
      <c r="I121" s="3"/>
      <c r="J121" s="3"/>
      <c r="K121" s="3"/>
      <c r="L121" s="3"/>
      <c r="M121" s="3"/>
      <c r="N121" s="3"/>
      <c r="O121" s="3"/>
      <c r="P121" s="3"/>
      <c r="Q121" s="3"/>
      <c r="R121" s="839"/>
      <c r="S121" s="839"/>
      <c r="T121" s="839"/>
      <c r="U121" s="839"/>
    </row>
    <row r="122" spans="1:21">
      <c r="A122" s="3"/>
      <c r="B122" s="3"/>
      <c r="C122" s="3"/>
      <c r="D122" s="3"/>
      <c r="E122" s="3"/>
      <c r="F122" s="3"/>
      <c r="G122" s="3"/>
      <c r="H122" s="3"/>
      <c r="I122" s="3"/>
      <c r="J122" s="3"/>
      <c r="K122" s="3"/>
      <c r="L122" s="3"/>
      <c r="M122" s="3"/>
      <c r="N122" s="3"/>
      <c r="O122" s="3"/>
      <c r="P122" s="3"/>
      <c r="Q122" s="3"/>
      <c r="R122" s="839"/>
      <c r="S122" s="839"/>
      <c r="T122" s="839"/>
      <c r="U122" s="839"/>
    </row>
    <row r="123" spans="1:21">
      <c r="A123" s="3"/>
      <c r="B123" s="3"/>
      <c r="C123" s="3"/>
      <c r="D123" s="3"/>
      <c r="E123" s="3"/>
      <c r="F123" s="3"/>
      <c r="G123" s="3"/>
      <c r="H123" s="3"/>
      <c r="I123" s="3"/>
      <c r="J123" s="3"/>
      <c r="K123" s="3"/>
      <c r="L123" s="3"/>
      <c r="M123" s="3"/>
      <c r="N123" s="3"/>
      <c r="O123" s="3"/>
      <c r="P123" s="3"/>
      <c r="Q123" s="3"/>
      <c r="R123" s="839"/>
      <c r="S123" s="839"/>
      <c r="T123" s="839"/>
      <c r="U123" s="839"/>
    </row>
    <row r="124" spans="1:21">
      <c r="A124" s="3"/>
      <c r="B124" s="3"/>
      <c r="C124" s="3"/>
      <c r="D124" s="3"/>
      <c r="E124" s="3"/>
      <c r="F124" s="3"/>
      <c r="G124" s="3"/>
      <c r="H124" s="3"/>
      <c r="I124" s="3"/>
      <c r="J124" s="3"/>
      <c r="K124" s="3"/>
      <c r="L124" s="3"/>
      <c r="M124" s="3"/>
      <c r="N124" s="3"/>
      <c r="O124" s="3"/>
      <c r="P124" s="3"/>
      <c r="Q124" s="3"/>
      <c r="R124" s="839"/>
      <c r="S124" s="839"/>
      <c r="T124" s="839"/>
      <c r="U124" s="839"/>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67"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561</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249</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443</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444</v>
      </c>
      <c r="D10" s="3"/>
      <c r="E10" s="3"/>
      <c r="F10" s="3"/>
      <c r="G10" s="525" t="s">
        <v>447</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446</v>
      </c>
      <c r="D13" s="3"/>
      <c r="E13" s="3"/>
      <c r="F13" s="3"/>
      <c r="G13" s="525" t="s">
        <v>445</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448</v>
      </c>
      <c r="D16" s="3"/>
      <c r="E16" s="3"/>
      <c r="F16" s="3"/>
      <c r="G16" s="3"/>
      <c r="H16" s="3"/>
      <c r="I16" s="3"/>
      <c r="J16" s="3"/>
      <c r="K16" s="3"/>
      <c r="L16" s="3"/>
      <c r="M16" s="3"/>
      <c r="N16" s="3"/>
      <c r="O16" s="3"/>
      <c r="P16" s="3"/>
      <c r="Q16" s="3"/>
      <c r="R16" s="3"/>
      <c r="S16" s="3"/>
    </row>
    <row r="17" spans="1:19">
      <c r="A17" s="3"/>
      <c r="B17" s="3"/>
      <c r="C17" s="3"/>
      <c r="D17" s="3"/>
      <c r="E17" s="3"/>
      <c r="F17" s="3"/>
      <c r="G17" s="525" t="s">
        <v>449</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450</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451</v>
      </c>
      <c r="D22" s="3"/>
      <c r="E22" s="3"/>
      <c r="F22" s="3"/>
      <c r="G22" s="525" t="s">
        <v>560</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558</v>
      </c>
      <c r="D24" s="3"/>
      <c r="E24" s="3"/>
      <c r="F24" s="3"/>
      <c r="G24" s="525" t="s">
        <v>559</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452</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472</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462</v>
      </c>
      <c r="D33" s="141"/>
      <c r="E33" s="141"/>
      <c r="F33" s="141"/>
      <c r="G33" s="141"/>
      <c r="H33" s="141"/>
      <c r="I33" s="141"/>
      <c r="J33" s="141"/>
      <c r="K33" s="141"/>
      <c r="L33" s="141"/>
      <c r="M33" s="143"/>
      <c r="N33" s="3"/>
      <c r="O33" s="3"/>
      <c r="P33" s="3"/>
      <c r="Q33" s="3"/>
      <c r="R33" s="3"/>
      <c r="S33" s="3"/>
    </row>
    <row r="34" spans="1:19" ht="13" thickBot="1">
      <c r="A34" s="3"/>
      <c r="B34" s="504"/>
      <c r="C34" s="146" t="s">
        <v>531</v>
      </c>
      <c r="D34" s="146"/>
      <c r="E34" s="146"/>
      <c r="F34" s="146"/>
      <c r="G34" s="146"/>
      <c r="H34" s="146"/>
      <c r="I34" s="146"/>
      <c r="J34" s="146"/>
      <c r="K34" s="146"/>
      <c r="L34" s="146"/>
      <c r="M34" s="150"/>
      <c r="N34" s="3"/>
      <c r="O34" s="3"/>
      <c r="P34" s="3"/>
      <c r="Q34" s="3"/>
      <c r="R34" s="3"/>
      <c r="S34" s="3"/>
    </row>
    <row r="35" spans="1:19" ht="13">
      <c r="A35" s="3"/>
      <c r="B35" s="519" t="s">
        <v>459</v>
      </c>
      <c r="C35" s="520" t="s">
        <v>458</v>
      </c>
      <c r="D35" s="521"/>
      <c r="E35" s="522" t="s">
        <v>453</v>
      </c>
      <c r="F35" s="521"/>
      <c r="G35" s="521"/>
      <c r="H35" s="520" t="s">
        <v>454</v>
      </c>
      <c r="I35" s="523"/>
      <c r="J35" s="309"/>
      <c r="K35" s="297"/>
      <c r="L35" s="297"/>
      <c r="M35" s="311"/>
      <c r="N35" s="3"/>
      <c r="O35" s="3"/>
      <c r="P35" s="3"/>
      <c r="Q35" s="3"/>
      <c r="R35" s="3"/>
      <c r="S35" s="3"/>
    </row>
    <row r="36" spans="1:19">
      <c r="A36" s="3"/>
      <c r="B36" s="513">
        <v>1</v>
      </c>
      <c r="C36" s="505">
        <v>10</v>
      </c>
      <c r="D36" s="505" t="s">
        <v>753</v>
      </c>
      <c r="E36" s="507">
        <v>12</v>
      </c>
      <c r="F36" s="505" t="s">
        <v>455</v>
      </c>
      <c r="G36" s="505"/>
      <c r="H36" s="508">
        <f>E36/100</f>
        <v>0.12</v>
      </c>
      <c r="I36" s="506" t="s">
        <v>457</v>
      </c>
      <c r="J36" s="309"/>
      <c r="K36" s="297" t="s">
        <v>714</v>
      </c>
      <c r="L36" s="297"/>
      <c r="M36" s="311"/>
      <c r="N36" s="3"/>
      <c r="O36" s="3"/>
      <c r="P36" s="3"/>
      <c r="Q36" s="3"/>
      <c r="R36" s="3"/>
      <c r="S36" s="3"/>
    </row>
    <row r="37" spans="1:19">
      <c r="A37" s="3"/>
      <c r="B37" s="513">
        <v>2</v>
      </c>
      <c r="C37" s="515">
        <v>30</v>
      </c>
      <c r="D37" s="515" t="s">
        <v>753</v>
      </c>
      <c r="E37" s="507">
        <v>17</v>
      </c>
      <c r="F37" s="505" t="s">
        <v>455</v>
      </c>
      <c r="G37" s="505" t="s">
        <v>714</v>
      </c>
      <c r="H37" s="508">
        <f t="shared" ref="H37:H47" si="0">E37/100</f>
        <v>0.17</v>
      </c>
      <c r="I37" s="506" t="s">
        <v>457</v>
      </c>
      <c r="J37" s="309"/>
      <c r="K37" s="297" t="s">
        <v>459</v>
      </c>
      <c r="L37" s="264">
        <v>8</v>
      </c>
      <c r="M37" s="311"/>
      <c r="N37" s="3"/>
      <c r="O37" s="3"/>
      <c r="P37" s="3"/>
      <c r="Q37" s="3"/>
      <c r="R37" s="3"/>
      <c r="S37" s="3"/>
    </row>
    <row r="38" spans="1:19">
      <c r="A38" s="3"/>
      <c r="B38" s="513">
        <v>3</v>
      </c>
      <c r="C38" s="505">
        <v>50</v>
      </c>
      <c r="D38" s="505" t="s">
        <v>753</v>
      </c>
      <c r="E38" s="507" t="s">
        <v>456</v>
      </c>
      <c r="F38" s="505" t="s">
        <v>455</v>
      </c>
      <c r="G38" s="505"/>
      <c r="H38" s="508" t="s">
        <v>456</v>
      </c>
      <c r="I38" s="506" t="s">
        <v>457</v>
      </c>
      <c r="J38" s="309"/>
      <c r="K38" s="297"/>
      <c r="L38" s="297"/>
      <c r="M38" s="311"/>
      <c r="N38" s="3"/>
      <c r="O38" s="3"/>
      <c r="P38" s="3"/>
      <c r="Q38" s="3"/>
      <c r="R38" s="3"/>
      <c r="S38" s="3"/>
    </row>
    <row r="39" spans="1:19">
      <c r="A39" s="3"/>
      <c r="B39" s="513">
        <v>4</v>
      </c>
      <c r="C39" s="505">
        <v>100</v>
      </c>
      <c r="D39" s="505" t="s">
        <v>753</v>
      </c>
      <c r="E39" s="507">
        <v>28</v>
      </c>
      <c r="F39" s="505" t="s">
        <v>455</v>
      </c>
      <c r="G39" s="505"/>
      <c r="H39" s="508">
        <f t="shared" si="0"/>
        <v>0.28000000000000003</v>
      </c>
      <c r="I39" s="506" t="s">
        <v>457</v>
      </c>
      <c r="J39" s="309"/>
      <c r="K39" s="297" t="s">
        <v>752</v>
      </c>
      <c r="L39" s="516">
        <f>INDEX(C36:C48,L37,1)</f>
        <v>435</v>
      </c>
      <c r="M39" s="311"/>
      <c r="N39" s="3"/>
      <c r="O39" s="3"/>
      <c r="P39" s="3"/>
      <c r="Q39" s="3"/>
      <c r="R39" s="3"/>
      <c r="S39" s="3"/>
    </row>
    <row r="40" spans="1:19">
      <c r="A40" s="3"/>
      <c r="B40" s="513">
        <v>5</v>
      </c>
      <c r="C40" s="515">
        <v>145</v>
      </c>
      <c r="D40" s="515" t="s">
        <v>753</v>
      </c>
      <c r="E40" s="507">
        <v>32</v>
      </c>
      <c r="F40" s="505" t="s">
        <v>455</v>
      </c>
      <c r="G40" s="505"/>
      <c r="H40" s="508">
        <f t="shared" si="0"/>
        <v>0.32</v>
      </c>
      <c r="I40" s="506" t="s">
        <v>457</v>
      </c>
      <c r="J40" s="309"/>
      <c r="K40" s="297"/>
      <c r="L40" s="297"/>
      <c r="M40" s="311"/>
      <c r="N40" s="3"/>
      <c r="O40" s="3"/>
      <c r="P40" s="3"/>
      <c r="Q40" s="3"/>
      <c r="R40" s="3"/>
      <c r="S40" s="3"/>
    </row>
    <row r="41" spans="1:19">
      <c r="A41" s="3"/>
      <c r="B41" s="513">
        <v>6</v>
      </c>
      <c r="C41" s="505">
        <v>200</v>
      </c>
      <c r="D41" s="505" t="s">
        <v>753</v>
      </c>
      <c r="E41" s="507">
        <v>40</v>
      </c>
      <c r="F41" s="505" t="s">
        <v>455</v>
      </c>
      <c r="G41" s="505" t="s">
        <v>714</v>
      </c>
      <c r="H41" s="508">
        <f t="shared" si="0"/>
        <v>0.4</v>
      </c>
      <c r="I41" s="506" t="s">
        <v>457</v>
      </c>
      <c r="J41" s="309"/>
      <c r="K41" s="297" t="s">
        <v>460</v>
      </c>
      <c r="L41" s="517">
        <v>0.25</v>
      </c>
      <c r="M41" s="311"/>
      <c r="N41" s="3"/>
      <c r="O41" s="3"/>
      <c r="P41" s="3"/>
      <c r="Q41" s="3"/>
      <c r="R41" s="3"/>
      <c r="S41" s="3"/>
    </row>
    <row r="42" spans="1:19">
      <c r="A42" s="3"/>
      <c r="B42" s="513">
        <v>7</v>
      </c>
      <c r="C42" s="505">
        <v>400</v>
      </c>
      <c r="D42" s="505" t="s">
        <v>753</v>
      </c>
      <c r="E42" s="507" t="s">
        <v>456</v>
      </c>
      <c r="F42" s="505" t="s">
        <v>455</v>
      </c>
      <c r="G42" s="505"/>
      <c r="H42" s="508" t="s">
        <v>456</v>
      </c>
      <c r="I42" s="506" t="s">
        <v>457</v>
      </c>
      <c r="J42" s="309"/>
      <c r="K42" s="297"/>
      <c r="L42" s="297"/>
      <c r="M42" s="311"/>
      <c r="N42" s="3"/>
      <c r="O42" s="3"/>
      <c r="P42" s="3"/>
      <c r="Q42" s="3"/>
      <c r="R42" s="3"/>
      <c r="S42" s="3"/>
    </row>
    <row r="43" spans="1:19">
      <c r="A43" s="3"/>
      <c r="B43" s="513">
        <v>8</v>
      </c>
      <c r="C43" s="515">
        <v>435</v>
      </c>
      <c r="D43" s="515" t="s">
        <v>753</v>
      </c>
      <c r="E43" s="507">
        <v>58</v>
      </c>
      <c r="F43" s="505" t="s">
        <v>455</v>
      </c>
      <c r="G43" s="505"/>
      <c r="H43" s="508">
        <f t="shared" si="0"/>
        <v>0.57999999999999996</v>
      </c>
      <c r="I43" s="506" t="s">
        <v>457</v>
      </c>
      <c r="J43" s="309"/>
      <c r="K43" s="297" t="s">
        <v>461</v>
      </c>
      <c r="L43" s="518">
        <f>(INDEX(H36:H48,L37,1))*L41</f>
        <v>0.14499999999999999</v>
      </c>
      <c r="M43" s="311"/>
      <c r="N43" s="3"/>
      <c r="O43" s="3"/>
      <c r="P43" s="3"/>
      <c r="Q43" s="3"/>
      <c r="R43" s="3"/>
      <c r="S43" s="3"/>
    </row>
    <row r="44" spans="1:19">
      <c r="A44" s="3"/>
      <c r="B44" s="513">
        <v>9</v>
      </c>
      <c r="C44" s="505">
        <v>500</v>
      </c>
      <c r="D44" s="505" t="s">
        <v>753</v>
      </c>
      <c r="E44" s="507">
        <v>68</v>
      </c>
      <c r="F44" s="505" t="s">
        <v>455</v>
      </c>
      <c r="G44" s="505"/>
      <c r="H44" s="508">
        <f t="shared" si="0"/>
        <v>0.68</v>
      </c>
      <c r="I44" s="506" t="s">
        <v>457</v>
      </c>
      <c r="J44" s="309"/>
      <c r="K44" s="297"/>
      <c r="L44" s="297"/>
      <c r="M44" s="311"/>
      <c r="N44" s="3"/>
      <c r="O44" s="3"/>
      <c r="P44" s="3"/>
      <c r="Q44" s="3"/>
      <c r="R44" s="3"/>
      <c r="S44" s="3"/>
    </row>
    <row r="45" spans="1:19">
      <c r="A45" s="3"/>
      <c r="B45" s="513">
        <v>10</v>
      </c>
      <c r="C45" s="515">
        <v>1270</v>
      </c>
      <c r="D45" s="515" t="s">
        <v>753</v>
      </c>
      <c r="E45" s="507">
        <v>113</v>
      </c>
      <c r="F45" s="505" t="s">
        <v>455</v>
      </c>
      <c r="G45" s="505"/>
      <c r="H45" s="508">
        <f t="shared" si="0"/>
        <v>1.1299999999999999</v>
      </c>
      <c r="I45" s="506" t="s">
        <v>457</v>
      </c>
      <c r="J45" s="309"/>
      <c r="K45" s="297"/>
      <c r="L45" s="297"/>
      <c r="M45" s="311"/>
      <c r="N45" s="3"/>
      <c r="O45" s="3"/>
      <c r="P45" s="3"/>
      <c r="Q45" s="3"/>
      <c r="R45" s="3"/>
      <c r="S45" s="3"/>
    </row>
    <row r="46" spans="1:19">
      <c r="A46" s="3"/>
      <c r="B46" s="513">
        <v>11</v>
      </c>
      <c r="C46" s="515">
        <v>2400</v>
      </c>
      <c r="D46" s="515" t="s">
        <v>753</v>
      </c>
      <c r="E46" s="507">
        <v>165</v>
      </c>
      <c r="F46" s="505" t="s">
        <v>455</v>
      </c>
      <c r="G46" s="505"/>
      <c r="H46" s="508">
        <f t="shared" si="0"/>
        <v>1.65</v>
      </c>
      <c r="I46" s="506" t="s">
        <v>457</v>
      </c>
      <c r="J46" s="309"/>
      <c r="K46" s="297"/>
      <c r="L46" s="345" t="s">
        <v>140</v>
      </c>
      <c r="M46" s="311"/>
      <c r="N46" s="3"/>
      <c r="O46" s="3"/>
      <c r="P46" s="3"/>
      <c r="Q46" s="3"/>
      <c r="R46" s="3"/>
      <c r="S46" s="3"/>
    </row>
    <row r="47" spans="1:19">
      <c r="A47" s="3"/>
      <c r="B47" s="513">
        <v>12</v>
      </c>
      <c r="C47" s="505">
        <v>3300</v>
      </c>
      <c r="D47" s="505" t="s">
        <v>753</v>
      </c>
      <c r="E47" s="507">
        <v>268</v>
      </c>
      <c r="F47" s="505" t="s">
        <v>455</v>
      </c>
      <c r="G47" s="505"/>
      <c r="H47" s="508">
        <f t="shared" si="0"/>
        <v>2.68</v>
      </c>
      <c r="I47" s="506" t="s">
        <v>457</v>
      </c>
      <c r="J47" s="309"/>
      <c r="K47" s="297"/>
      <c r="L47" s="297"/>
      <c r="M47" s="311"/>
      <c r="N47" s="3"/>
      <c r="O47" s="3"/>
      <c r="P47" s="3"/>
      <c r="Q47" s="3"/>
      <c r="R47" s="3"/>
      <c r="S47" s="3"/>
    </row>
    <row r="48" spans="1:19" ht="13" thickBot="1">
      <c r="A48" s="3"/>
      <c r="B48" s="514">
        <v>13</v>
      </c>
      <c r="C48" s="509">
        <v>5000</v>
      </c>
      <c r="D48" s="509" t="s">
        <v>753</v>
      </c>
      <c r="E48" s="510" t="s">
        <v>456</v>
      </c>
      <c r="F48" s="509" t="s">
        <v>455</v>
      </c>
      <c r="G48" s="509"/>
      <c r="H48" s="511" t="s">
        <v>456</v>
      </c>
      <c r="I48" s="512" t="s">
        <v>457</v>
      </c>
      <c r="J48" s="312" t="s">
        <v>534</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714</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535</v>
      </c>
      <c r="C52" s="501"/>
      <c r="D52" s="501"/>
      <c r="E52" s="501"/>
      <c r="F52" s="501"/>
      <c r="G52" s="501"/>
      <c r="H52" s="501"/>
      <c r="I52" s="501"/>
      <c r="J52" s="501"/>
      <c r="K52" s="501"/>
      <c r="L52" s="501"/>
      <c r="M52" s="502"/>
      <c r="N52" s="3"/>
      <c r="O52" s="3"/>
      <c r="P52" s="3"/>
      <c r="Q52" s="3"/>
      <c r="R52" s="3"/>
      <c r="S52" s="3"/>
    </row>
    <row r="53" spans="1:19">
      <c r="A53" s="3"/>
      <c r="B53" s="503"/>
      <c r="C53" s="141" t="s">
        <v>475</v>
      </c>
      <c r="D53" s="141"/>
      <c r="E53" s="141"/>
      <c r="F53" s="141"/>
      <c r="G53" s="141"/>
      <c r="H53" s="141"/>
      <c r="I53" s="141"/>
      <c r="J53" s="141"/>
      <c r="K53" s="141"/>
      <c r="L53" s="141"/>
      <c r="M53" s="143"/>
      <c r="N53" s="3"/>
      <c r="O53" s="3"/>
      <c r="P53" s="3"/>
      <c r="Q53" s="3"/>
      <c r="R53" s="3"/>
      <c r="S53" s="3"/>
    </row>
    <row r="54" spans="1:19">
      <c r="A54" s="3"/>
      <c r="B54" s="503"/>
      <c r="C54" s="141" t="s">
        <v>529</v>
      </c>
      <c r="D54" s="141"/>
      <c r="E54" s="141"/>
      <c r="F54" s="141"/>
      <c r="G54" s="141"/>
      <c r="H54" s="141"/>
      <c r="I54" s="141"/>
      <c r="J54" s="141"/>
      <c r="K54" s="141"/>
      <c r="L54" s="141"/>
      <c r="M54" s="143"/>
      <c r="N54" s="3"/>
      <c r="O54" s="3"/>
      <c r="P54" s="3"/>
      <c r="Q54" s="3"/>
      <c r="R54" s="3"/>
      <c r="S54" s="3"/>
    </row>
    <row r="55" spans="1:19" ht="13" thickBot="1">
      <c r="A55" s="3"/>
      <c r="B55" s="504"/>
      <c r="C55" s="146" t="s">
        <v>532</v>
      </c>
      <c r="D55" s="146"/>
      <c r="E55" s="146"/>
      <c r="F55" s="146"/>
      <c r="G55" s="146"/>
      <c r="H55" s="146"/>
      <c r="I55" s="146"/>
      <c r="J55" s="146"/>
      <c r="K55" s="146"/>
      <c r="L55" s="146"/>
      <c r="M55" s="150"/>
      <c r="N55" s="3"/>
      <c r="O55" s="3"/>
      <c r="P55" s="3"/>
      <c r="Q55" s="3"/>
      <c r="R55" s="3"/>
      <c r="S55" s="3"/>
    </row>
    <row r="56" spans="1:19" ht="13">
      <c r="A56" s="3"/>
      <c r="B56" s="519" t="s">
        <v>459</v>
      </c>
      <c r="C56" s="520" t="s">
        <v>458</v>
      </c>
      <c r="D56" s="521"/>
      <c r="E56" s="522" t="s">
        <v>453</v>
      </c>
      <c r="F56" s="521"/>
      <c r="G56" s="521"/>
      <c r="H56" s="520" t="s">
        <v>454</v>
      </c>
      <c r="I56" s="523"/>
      <c r="J56" s="309"/>
      <c r="K56" s="297"/>
      <c r="L56" s="297"/>
      <c r="M56" s="311"/>
      <c r="N56" s="3"/>
      <c r="O56" s="3"/>
      <c r="P56" s="3"/>
      <c r="Q56" s="3"/>
      <c r="R56" s="3"/>
      <c r="S56" s="3"/>
    </row>
    <row r="57" spans="1:19">
      <c r="A57" s="3"/>
      <c r="B57" s="513">
        <v>1</v>
      </c>
      <c r="C57" s="505">
        <v>10</v>
      </c>
      <c r="D57" s="505" t="s">
        <v>753</v>
      </c>
      <c r="E57" s="507">
        <v>7</v>
      </c>
      <c r="F57" s="505" t="s">
        <v>455</v>
      </c>
      <c r="G57" s="505"/>
      <c r="H57" s="508">
        <f>E57/100</f>
        <v>7.0000000000000007E-2</v>
      </c>
      <c r="I57" s="506" t="s">
        <v>457</v>
      </c>
      <c r="J57" s="309"/>
      <c r="K57" s="297" t="s">
        <v>714</v>
      </c>
      <c r="L57" s="297"/>
      <c r="M57" s="311"/>
      <c r="N57" s="3"/>
      <c r="O57" s="3"/>
      <c r="P57" s="3"/>
      <c r="Q57" s="3"/>
      <c r="R57" s="3"/>
      <c r="S57" s="3"/>
    </row>
    <row r="58" spans="1:19">
      <c r="A58" s="3"/>
      <c r="B58" s="513">
        <v>2</v>
      </c>
      <c r="C58" s="515">
        <v>30</v>
      </c>
      <c r="D58" s="515" t="s">
        <v>753</v>
      </c>
      <c r="E58" s="507">
        <v>9</v>
      </c>
      <c r="F58" s="505" t="s">
        <v>455</v>
      </c>
      <c r="G58" s="505" t="s">
        <v>714</v>
      </c>
      <c r="H58" s="508">
        <f>E58/100</f>
        <v>0.09</v>
      </c>
      <c r="I58" s="506" t="s">
        <v>457</v>
      </c>
      <c r="J58" s="309"/>
      <c r="K58" s="297" t="s">
        <v>459</v>
      </c>
      <c r="L58" s="264">
        <v>10</v>
      </c>
      <c r="M58" s="311"/>
      <c r="N58" s="3"/>
      <c r="O58" s="3"/>
      <c r="P58" s="3"/>
      <c r="Q58" s="3"/>
      <c r="R58" s="3"/>
      <c r="S58" s="3"/>
    </row>
    <row r="59" spans="1:19">
      <c r="A59" s="3"/>
      <c r="B59" s="513">
        <v>3</v>
      </c>
      <c r="C59" s="505">
        <v>50</v>
      </c>
      <c r="D59" s="505" t="s">
        <v>753</v>
      </c>
      <c r="E59" s="507" t="s">
        <v>456</v>
      </c>
      <c r="F59" s="505" t="s">
        <v>455</v>
      </c>
      <c r="G59" s="505"/>
      <c r="H59" s="508" t="s">
        <v>456</v>
      </c>
      <c r="I59" s="506" t="s">
        <v>457</v>
      </c>
      <c r="J59" s="309"/>
      <c r="K59" s="297"/>
      <c r="L59" s="297"/>
      <c r="M59" s="311"/>
      <c r="N59" s="3"/>
      <c r="O59" s="3"/>
      <c r="P59" s="3"/>
      <c r="Q59" s="3"/>
      <c r="R59" s="3"/>
      <c r="S59" s="3"/>
    </row>
    <row r="60" spans="1:19">
      <c r="A60" s="3"/>
      <c r="B60" s="513">
        <v>4</v>
      </c>
      <c r="C60" s="505">
        <v>100</v>
      </c>
      <c r="D60" s="505" t="s">
        <v>753</v>
      </c>
      <c r="E60" s="507">
        <v>14</v>
      </c>
      <c r="F60" s="505" t="s">
        <v>455</v>
      </c>
      <c r="G60" s="505"/>
      <c r="H60" s="508">
        <f t="shared" ref="H60:H69" si="1">E60/100</f>
        <v>0.14000000000000001</v>
      </c>
      <c r="I60" s="506" t="s">
        <v>457</v>
      </c>
      <c r="J60" s="309"/>
      <c r="K60" s="297" t="s">
        <v>752</v>
      </c>
      <c r="L60" s="516">
        <f>INDEX(C57:C69,L58,1)</f>
        <v>1270</v>
      </c>
      <c r="M60" s="311"/>
      <c r="N60" s="3"/>
      <c r="O60" s="3"/>
      <c r="P60" s="3"/>
      <c r="Q60" s="3"/>
      <c r="R60" s="3"/>
      <c r="S60" s="3"/>
    </row>
    <row r="61" spans="1:19">
      <c r="A61" s="3"/>
      <c r="B61" s="513">
        <v>5</v>
      </c>
      <c r="C61" s="515">
        <v>145</v>
      </c>
      <c r="D61" s="515" t="s">
        <v>753</v>
      </c>
      <c r="E61" s="507">
        <v>15</v>
      </c>
      <c r="F61" s="505" t="s">
        <v>455</v>
      </c>
      <c r="G61" s="505"/>
      <c r="H61" s="508">
        <f t="shared" si="1"/>
        <v>0.15</v>
      </c>
      <c r="I61" s="506" t="s">
        <v>457</v>
      </c>
      <c r="J61" s="309"/>
      <c r="K61" s="297"/>
      <c r="L61" s="297"/>
      <c r="M61" s="311"/>
      <c r="N61" s="3"/>
      <c r="O61" s="3"/>
      <c r="P61" s="3"/>
      <c r="Q61" s="3"/>
      <c r="R61" s="3"/>
      <c r="S61" s="3"/>
    </row>
    <row r="62" spans="1:19">
      <c r="A62" s="3"/>
      <c r="B62" s="513">
        <v>6</v>
      </c>
      <c r="C62" s="505">
        <v>200</v>
      </c>
      <c r="D62" s="505" t="s">
        <v>753</v>
      </c>
      <c r="E62" s="507">
        <v>20</v>
      </c>
      <c r="F62" s="505" t="s">
        <v>455</v>
      </c>
      <c r="G62" s="505" t="s">
        <v>714</v>
      </c>
      <c r="H62" s="508">
        <f t="shared" si="1"/>
        <v>0.2</v>
      </c>
      <c r="I62" s="506" t="s">
        <v>457</v>
      </c>
      <c r="J62" s="309"/>
      <c r="K62" s="297" t="s">
        <v>460</v>
      </c>
      <c r="L62" s="517">
        <v>0.75</v>
      </c>
      <c r="M62" s="311"/>
      <c r="N62" s="3"/>
      <c r="O62" s="3"/>
      <c r="P62" s="3"/>
      <c r="Q62" s="3"/>
      <c r="R62" s="3"/>
      <c r="S62" s="3"/>
    </row>
    <row r="63" spans="1:19">
      <c r="A63" s="3"/>
      <c r="B63" s="513">
        <v>7</v>
      </c>
      <c r="C63" s="505">
        <v>400</v>
      </c>
      <c r="D63" s="505" t="s">
        <v>753</v>
      </c>
      <c r="E63" s="507">
        <v>28</v>
      </c>
      <c r="F63" s="505" t="s">
        <v>455</v>
      </c>
      <c r="G63" s="505"/>
      <c r="H63" s="508">
        <f t="shared" si="1"/>
        <v>0.28000000000000003</v>
      </c>
      <c r="I63" s="506" t="s">
        <v>457</v>
      </c>
      <c r="J63" s="309"/>
      <c r="K63" s="297"/>
      <c r="L63" s="297"/>
      <c r="M63" s="311"/>
      <c r="N63" s="3"/>
      <c r="O63" s="3"/>
      <c r="P63" s="3"/>
      <c r="Q63" s="3"/>
      <c r="R63" s="3"/>
      <c r="S63" s="3"/>
    </row>
    <row r="64" spans="1:19">
      <c r="A64" s="3"/>
      <c r="B64" s="513">
        <v>8</v>
      </c>
      <c r="C64" s="515">
        <v>435</v>
      </c>
      <c r="D64" s="515" t="s">
        <v>753</v>
      </c>
      <c r="E64" s="507">
        <v>30</v>
      </c>
      <c r="F64" s="505" t="s">
        <v>455</v>
      </c>
      <c r="G64" s="505"/>
      <c r="H64" s="508">
        <f t="shared" si="1"/>
        <v>0.3</v>
      </c>
      <c r="I64" s="506" t="s">
        <v>457</v>
      </c>
      <c r="J64" s="309"/>
      <c r="K64" s="297" t="s">
        <v>461</v>
      </c>
      <c r="L64" s="518">
        <f>(INDEX(H57:H69,L58,1))*L62</f>
        <v>0.36749999999999999</v>
      </c>
      <c r="M64" s="311"/>
      <c r="N64" s="3"/>
      <c r="O64" s="3"/>
      <c r="P64" s="3"/>
      <c r="Q64" s="3"/>
      <c r="R64" s="3"/>
      <c r="S64" s="3"/>
    </row>
    <row r="65" spans="1:19">
      <c r="A65" s="3"/>
      <c r="B65" s="513">
        <v>9</v>
      </c>
      <c r="C65" s="505">
        <v>500</v>
      </c>
      <c r="D65" s="505" t="s">
        <v>753</v>
      </c>
      <c r="E65" s="507">
        <v>35</v>
      </c>
      <c r="F65" s="505" t="s">
        <v>455</v>
      </c>
      <c r="G65" s="505"/>
      <c r="H65" s="508">
        <f t="shared" si="1"/>
        <v>0.35</v>
      </c>
      <c r="I65" s="506" t="s">
        <v>457</v>
      </c>
      <c r="J65" s="309"/>
      <c r="K65" s="297"/>
      <c r="L65" s="297"/>
      <c r="M65" s="311"/>
      <c r="N65" s="3"/>
      <c r="O65" s="3"/>
      <c r="P65" s="3"/>
      <c r="Q65" s="3"/>
      <c r="R65" s="3"/>
      <c r="S65" s="3"/>
    </row>
    <row r="66" spans="1:19">
      <c r="A66" s="3"/>
      <c r="B66" s="513">
        <v>10</v>
      </c>
      <c r="C66" s="515">
        <v>1270</v>
      </c>
      <c r="D66" s="515" t="s">
        <v>753</v>
      </c>
      <c r="E66" s="507">
        <v>49</v>
      </c>
      <c r="F66" s="505" t="s">
        <v>455</v>
      </c>
      <c r="G66" s="505"/>
      <c r="H66" s="508">
        <f t="shared" si="1"/>
        <v>0.49</v>
      </c>
      <c r="I66" s="506" t="s">
        <v>457</v>
      </c>
      <c r="J66" s="309"/>
      <c r="K66" s="297"/>
      <c r="L66" s="297"/>
      <c r="M66" s="311"/>
      <c r="N66" s="3"/>
      <c r="O66" s="3"/>
      <c r="P66" s="3"/>
      <c r="Q66" s="3"/>
      <c r="R66" s="3"/>
      <c r="S66" s="3"/>
    </row>
    <row r="67" spans="1:19">
      <c r="A67" s="3"/>
      <c r="B67" s="513">
        <v>11</v>
      </c>
      <c r="C67" s="515">
        <v>2400</v>
      </c>
      <c r="D67" s="515" t="s">
        <v>753</v>
      </c>
      <c r="E67" s="507">
        <v>72</v>
      </c>
      <c r="F67" s="505" t="s">
        <v>455</v>
      </c>
      <c r="G67" s="505"/>
      <c r="H67" s="508">
        <f t="shared" si="1"/>
        <v>0.72</v>
      </c>
      <c r="I67" s="506" t="s">
        <v>457</v>
      </c>
      <c r="J67" s="309"/>
      <c r="K67" s="297"/>
      <c r="L67" s="345" t="s">
        <v>140</v>
      </c>
      <c r="M67" s="311"/>
      <c r="N67" s="3"/>
      <c r="O67" s="3"/>
      <c r="P67" s="3"/>
      <c r="Q67" s="3"/>
      <c r="R67" s="3"/>
      <c r="S67" s="3"/>
    </row>
    <row r="68" spans="1:19">
      <c r="A68" s="3"/>
      <c r="B68" s="513">
        <v>12</v>
      </c>
      <c r="C68" s="505">
        <v>3300</v>
      </c>
      <c r="D68" s="505" t="s">
        <v>753</v>
      </c>
      <c r="E68" s="507">
        <v>95</v>
      </c>
      <c r="F68" s="505" t="s">
        <v>455</v>
      </c>
      <c r="G68" s="505"/>
      <c r="H68" s="508">
        <f t="shared" si="1"/>
        <v>0.95</v>
      </c>
      <c r="I68" s="506" t="s">
        <v>457</v>
      </c>
      <c r="J68" s="309"/>
      <c r="K68" s="297"/>
      <c r="L68" s="297"/>
      <c r="M68" s="311"/>
      <c r="N68" s="3"/>
      <c r="O68" s="3"/>
      <c r="P68" s="3"/>
      <c r="Q68" s="3"/>
      <c r="R68" s="3"/>
      <c r="S68" s="3"/>
    </row>
    <row r="69" spans="1:19" ht="13" thickBot="1">
      <c r="A69" s="3"/>
      <c r="B69" s="514">
        <v>13</v>
      </c>
      <c r="C69" s="509">
        <v>5000</v>
      </c>
      <c r="D69" s="509" t="s">
        <v>753</v>
      </c>
      <c r="E69" s="510">
        <v>128</v>
      </c>
      <c r="F69" s="509" t="s">
        <v>455</v>
      </c>
      <c r="G69" s="509"/>
      <c r="H69" s="511">
        <f t="shared" si="1"/>
        <v>1.28</v>
      </c>
      <c r="I69" s="512" t="s">
        <v>457</v>
      </c>
      <c r="J69" s="312" t="s">
        <v>533</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714</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538</v>
      </c>
      <c r="C73" s="501"/>
      <c r="D73" s="501"/>
      <c r="E73" s="501"/>
      <c r="F73" s="501"/>
      <c r="G73" s="501"/>
      <c r="H73" s="501"/>
      <c r="I73" s="501"/>
      <c r="J73" s="501"/>
      <c r="K73" s="501"/>
      <c r="L73" s="501"/>
      <c r="M73" s="502"/>
      <c r="N73" s="3"/>
      <c r="O73" s="3"/>
      <c r="P73" s="3"/>
      <c r="Q73" s="3"/>
      <c r="R73" s="3"/>
      <c r="S73" s="3"/>
    </row>
    <row r="74" spans="1:19">
      <c r="A74" s="3"/>
      <c r="B74" s="503"/>
      <c r="C74" s="141" t="s">
        <v>530</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427</v>
      </c>
      <c r="D76" s="146"/>
      <c r="E76" s="146"/>
      <c r="F76" s="146"/>
      <c r="G76" s="146"/>
      <c r="H76" s="146"/>
      <c r="I76" s="146"/>
      <c r="J76" s="146"/>
      <c r="K76" s="146"/>
      <c r="L76" s="146"/>
      <c r="M76" s="150"/>
      <c r="N76" s="3"/>
      <c r="O76" s="3"/>
      <c r="P76" s="3"/>
      <c r="Q76" s="3"/>
      <c r="R76" s="3"/>
      <c r="S76" s="3"/>
    </row>
    <row r="77" spans="1:19" ht="13">
      <c r="A77" s="3"/>
      <c r="B77" s="519" t="s">
        <v>459</v>
      </c>
      <c r="C77" s="520" t="s">
        <v>458</v>
      </c>
      <c r="D77" s="521"/>
      <c r="E77" s="522" t="s">
        <v>453</v>
      </c>
      <c r="F77" s="521"/>
      <c r="G77" s="521"/>
      <c r="H77" s="520" t="s">
        <v>454</v>
      </c>
      <c r="I77" s="523"/>
      <c r="J77" s="309"/>
      <c r="K77" s="297"/>
      <c r="L77" s="297"/>
      <c r="M77" s="311"/>
      <c r="N77" s="3"/>
      <c r="O77" s="3"/>
      <c r="P77" s="3"/>
      <c r="Q77" s="3"/>
      <c r="R77" s="3"/>
      <c r="S77" s="3"/>
    </row>
    <row r="78" spans="1:19">
      <c r="A78" s="3"/>
      <c r="B78" s="513">
        <v>1</v>
      </c>
      <c r="C78" s="505">
        <v>10</v>
      </c>
      <c r="D78" s="505" t="s">
        <v>753</v>
      </c>
      <c r="E78" s="507">
        <v>9.31</v>
      </c>
      <c r="F78" s="505" t="s">
        <v>455</v>
      </c>
      <c r="G78" s="505"/>
      <c r="H78" s="508">
        <f>E78/100</f>
        <v>9.3100000000000002E-2</v>
      </c>
      <c r="I78" s="506" t="s">
        <v>457</v>
      </c>
      <c r="J78" s="309"/>
      <c r="K78" s="297" t="s">
        <v>714</v>
      </c>
      <c r="L78" s="297"/>
      <c r="M78" s="311"/>
      <c r="N78" s="3"/>
      <c r="O78" s="3"/>
      <c r="P78" s="3"/>
      <c r="Q78" s="3"/>
      <c r="R78" s="3"/>
      <c r="S78" s="3"/>
    </row>
    <row r="79" spans="1:19">
      <c r="A79" s="3"/>
      <c r="B79" s="513">
        <v>2</v>
      </c>
      <c r="C79" s="515">
        <v>30</v>
      </c>
      <c r="D79" s="515" t="s">
        <v>753</v>
      </c>
      <c r="E79" s="507">
        <v>12</v>
      </c>
      <c r="F79" s="505" t="s">
        <v>455</v>
      </c>
      <c r="G79" s="505" t="s">
        <v>714</v>
      </c>
      <c r="H79" s="508">
        <f>E79/100</f>
        <v>0.12</v>
      </c>
      <c r="I79" s="506" t="s">
        <v>457</v>
      </c>
      <c r="J79" s="309"/>
      <c r="K79" s="297" t="s">
        <v>459</v>
      </c>
      <c r="L79" s="264">
        <v>11</v>
      </c>
      <c r="M79" s="311"/>
      <c r="N79" s="3"/>
      <c r="O79" s="3"/>
      <c r="P79" s="3"/>
      <c r="Q79" s="3"/>
      <c r="R79" s="3"/>
      <c r="S79" s="3"/>
    </row>
    <row r="80" spans="1:19">
      <c r="A80" s="3"/>
      <c r="B80" s="513">
        <v>3</v>
      </c>
      <c r="C80" s="505">
        <v>50</v>
      </c>
      <c r="D80" s="505" t="s">
        <v>753</v>
      </c>
      <c r="E80" s="507" t="s">
        <v>456</v>
      </c>
      <c r="F80" s="505" t="s">
        <v>455</v>
      </c>
      <c r="G80" s="505"/>
      <c r="H80" s="508" t="s">
        <v>456</v>
      </c>
      <c r="I80" s="506" t="s">
        <v>457</v>
      </c>
      <c r="J80" s="309"/>
      <c r="K80" s="297"/>
      <c r="L80" s="297"/>
      <c r="M80" s="311"/>
      <c r="N80" s="3"/>
      <c r="O80" s="3"/>
      <c r="P80" s="3"/>
      <c r="Q80" s="3"/>
      <c r="R80" s="3"/>
      <c r="S80" s="3"/>
    </row>
    <row r="81" spans="1:19">
      <c r="A81" s="3"/>
      <c r="B81" s="513">
        <v>4</v>
      </c>
      <c r="C81" s="505">
        <v>100</v>
      </c>
      <c r="D81" s="505" t="s">
        <v>753</v>
      </c>
      <c r="E81" s="507">
        <v>18.600000000000001</v>
      </c>
      <c r="F81" s="505" t="s">
        <v>455</v>
      </c>
      <c r="G81" s="505"/>
      <c r="H81" s="508">
        <f t="shared" ref="H81:H90" si="2">E81/100</f>
        <v>0.18600000000000003</v>
      </c>
      <c r="I81" s="506" t="s">
        <v>457</v>
      </c>
      <c r="J81" s="309"/>
      <c r="K81" s="297" t="s">
        <v>752</v>
      </c>
      <c r="L81" s="516">
        <f>INDEX(C78:C90,L79,1)</f>
        <v>2400</v>
      </c>
      <c r="M81" s="311"/>
      <c r="N81" s="3"/>
      <c r="O81" s="3"/>
      <c r="P81" s="3"/>
      <c r="Q81" s="3"/>
      <c r="R81" s="3"/>
      <c r="S81" s="3"/>
    </row>
    <row r="82" spans="1:19">
      <c r="A82" s="3"/>
      <c r="B82" s="513">
        <v>5</v>
      </c>
      <c r="C82" s="515">
        <v>145</v>
      </c>
      <c r="D82" s="515" t="s">
        <v>753</v>
      </c>
      <c r="E82" s="507">
        <v>19.95</v>
      </c>
      <c r="F82" s="505" t="s">
        <v>455</v>
      </c>
      <c r="G82" s="505"/>
      <c r="H82" s="508">
        <f t="shared" si="2"/>
        <v>0.19949999999999998</v>
      </c>
      <c r="I82" s="506" t="s">
        <v>457</v>
      </c>
      <c r="J82" s="309"/>
      <c r="K82" s="297"/>
      <c r="L82" s="297"/>
      <c r="M82" s="311"/>
      <c r="N82" s="3"/>
      <c r="O82" s="3"/>
      <c r="P82" s="3"/>
      <c r="Q82" s="3"/>
      <c r="R82" s="3"/>
      <c r="S82" s="3"/>
    </row>
    <row r="83" spans="1:19">
      <c r="A83" s="3"/>
      <c r="B83" s="513">
        <v>6</v>
      </c>
      <c r="C83" s="505">
        <v>200</v>
      </c>
      <c r="D83" s="505" t="s">
        <v>753</v>
      </c>
      <c r="E83" s="507">
        <v>26.6</v>
      </c>
      <c r="F83" s="505" t="s">
        <v>455</v>
      </c>
      <c r="G83" s="505" t="s">
        <v>714</v>
      </c>
      <c r="H83" s="508">
        <f t="shared" si="2"/>
        <v>0.26600000000000001</v>
      </c>
      <c r="I83" s="506" t="s">
        <v>457</v>
      </c>
      <c r="J83" s="309"/>
      <c r="K83" s="297" t="s">
        <v>460</v>
      </c>
      <c r="L83" s="517">
        <v>0.5</v>
      </c>
      <c r="M83" s="311"/>
      <c r="N83" s="3"/>
      <c r="O83" s="3"/>
      <c r="P83" s="3"/>
      <c r="Q83" s="3"/>
      <c r="R83" s="3"/>
      <c r="S83" s="3"/>
    </row>
    <row r="84" spans="1:19">
      <c r="A84" s="3"/>
      <c r="B84" s="513">
        <v>7</v>
      </c>
      <c r="C84" s="505">
        <v>400</v>
      </c>
      <c r="D84" s="505" t="s">
        <v>753</v>
      </c>
      <c r="E84" s="507">
        <v>37.24</v>
      </c>
      <c r="F84" s="505" t="s">
        <v>455</v>
      </c>
      <c r="G84" s="505"/>
      <c r="H84" s="508">
        <f>E84/100</f>
        <v>0.37240000000000001</v>
      </c>
      <c r="I84" s="506" t="s">
        <v>457</v>
      </c>
      <c r="J84" s="309"/>
      <c r="K84" s="297"/>
      <c r="L84" s="297"/>
      <c r="M84" s="311"/>
      <c r="N84" s="3"/>
      <c r="O84" s="3"/>
      <c r="P84" s="3"/>
      <c r="Q84" s="3"/>
      <c r="R84" s="3"/>
      <c r="S84" s="3"/>
    </row>
    <row r="85" spans="1:19">
      <c r="A85" s="3"/>
      <c r="B85" s="513">
        <v>8</v>
      </c>
      <c r="C85" s="515">
        <v>435</v>
      </c>
      <c r="D85" s="515" t="s">
        <v>753</v>
      </c>
      <c r="E85" s="507">
        <v>40</v>
      </c>
      <c r="F85" s="505" t="s">
        <v>455</v>
      </c>
      <c r="G85" s="505"/>
      <c r="H85" s="508">
        <f t="shared" si="2"/>
        <v>0.4</v>
      </c>
      <c r="I85" s="506" t="s">
        <v>457</v>
      </c>
      <c r="J85" s="309"/>
      <c r="K85" s="297" t="s">
        <v>461</v>
      </c>
      <c r="L85" s="518">
        <f>(INDEX(H78:H90,L79,1))*L83</f>
        <v>0.47875000000000001</v>
      </c>
      <c r="M85" s="311"/>
      <c r="N85" s="3"/>
      <c r="O85" s="3"/>
      <c r="P85" s="3"/>
      <c r="Q85" s="3"/>
      <c r="R85" s="3"/>
      <c r="S85" s="3"/>
    </row>
    <row r="86" spans="1:19">
      <c r="A86" s="3"/>
      <c r="B86" s="513">
        <v>9</v>
      </c>
      <c r="C86" s="505">
        <v>500</v>
      </c>
      <c r="D86" s="505" t="s">
        <v>753</v>
      </c>
      <c r="E86" s="507">
        <v>46.55</v>
      </c>
      <c r="F86" s="505" t="s">
        <v>455</v>
      </c>
      <c r="G86" s="505"/>
      <c r="H86" s="508">
        <f t="shared" si="2"/>
        <v>0.46549999999999997</v>
      </c>
      <c r="I86" s="506" t="s">
        <v>457</v>
      </c>
      <c r="J86" s="309"/>
      <c r="K86" s="297"/>
      <c r="L86" s="297"/>
      <c r="M86" s="311"/>
      <c r="N86" s="3"/>
      <c r="O86" s="3"/>
      <c r="P86" s="3"/>
      <c r="Q86" s="3"/>
      <c r="R86" s="3"/>
      <c r="S86" s="3"/>
    </row>
    <row r="87" spans="1:19">
      <c r="A87" s="3"/>
      <c r="B87" s="513">
        <v>10</v>
      </c>
      <c r="C87" s="515">
        <v>1270</v>
      </c>
      <c r="D87" s="515" t="s">
        <v>753</v>
      </c>
      <c r="E87" s="507">
        <v>65.2</v>
      </c>
      <c r="F87" s="505" t="s">
        <v>455</v>
      </c>
      <c r="G87" s="505"/>
      <c r="H87" s="508">
        <f t="shared" si="2"/>
        <v>0.65200000000000002</v>
      </c>
      <c r="I87" s="506" t="s">
        <v>457</v>
      </c>
      <c r="J87" s="309"/>
      <c r="K87" s="297"/>
      <c r="L87" s="297"/>
      <c r="M87" s="311"/>
      <c r="N87" s="3"/>
      <c r="O87" s="3"/>
      <c r="P87" s="3"/>
      <c r="Q87" s="3"/>
      <c r="R87" s="3"/>
      <c r="S87" s="3"/>
    </row>
    <row r="88" spans="1:19">
      <c r="A88" s="3"/>
      <c r="B88" s="513">
        <v>11</v>
      </c>
      <c r="C88" s="515">
        <v>2400</v>
      </c>
      <c r="D88" s="515" t="s">
        <v>753</v>
      </c>
      <c r="E88" s="507">
        <v>95.75</v>
      </c>
      <c r="F88" s="505" t="s">
        <v>455</v>
      </c>
      <c r="G88" s="505"/>
      <c r="H88" s="508">
        <f t="shared" si="2"/>
        <v>0.95750000000000002</v>
      </c>
      <c r="I88" s="506" t="s">
        <v>457</v>
      </c>
      <c r="J88" s="309"/>
      <c r="K88" s="297"/>
      <c r="L88" s="345" t="s">
        <v>140</v>
      </c>
      <c r="M88" s="311"/>
      <c r="N88" s="3"/>
      <c r="O88" s="3"/>
      <c r="P88" s="3"/>
      <c r="Q88" s="3"/>
      <c r="R88" s="3"/>
      <c r="S88" s="3"/>
    </row>
    <row r="89" spans="1:19">
      <c r="A89" s="3"/>
      <c r="B89" s="513">
        <v>12</v>
      </c>
      <c r="C89" s="505">
        <v>3300</v>
      </c>
      <c r="D89" s="505" t="s">
        <v>753</v>
      </c>
      <c r="E89" s="507">
        <v>126.4</v>
      </c>
      <c r="F89" s="505" t="s">
        <v>455</v>
      </c>
      <c r="G89" s="505"/>
      <c r="H89" s="508">
        <f t="shared" si="2"/>
        <v>1.264</v>
      </c>
      <c r="I89" s="506" t="s">
        <v>457</v>
      </c>
      <c r="J89" s="309"/>
      <c r="K89" s="297"/>
      <c r="L89" s="297"/>
      <c r="M89" s="311"/>
      <c r="N89" s="3"/>
      <c r="O89" s="3"/>
      <c r="P89" s="3"/>
      <c r="Q89" s="3"/>
      <c r="R89" s="3"/>
      <c r="S89" s="3"/>
    </row>
    <row r="90" spans="1:19" ht="13" thickBot="1">
      <c r="A90" s="3"/>
      <c r="B90" s="514">
        <v>13</v>
      </c>
      <c r="C90" s="509">
        <v>5000</v>
      </c>
      <c r="D90" s="509" t="s">
        <v>753</v>
      </c>
      <c r="E90" s="510">
        <v>170.2</v>
      </c>
      <c r="F90" s="509" t="s">
        <v>455</v>
      </c>
      <c r="G90" s="509"/>
      <c r="H90" s="511">
        <f t="shared" si="2"/>
        <v>1.702</v>
      </c>
      <c r="I90" s="512" t="s">
        <v>457</v>
      </c>
      <c r="J90" s="312" t="s">
        <v>536</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714</v>
      </c>
      <c r="O93" s="3"/>
      <c r="P93" s="3"/>
      <c r="Q93" s="3"/>
      <c r="R93" s="3"/>
      <c r="S93" s="3"/>
    </row>
    <row r="94" spans="1:19" ht="13">
      <c r="A94" s="3"/>
      <c r="B94" s="524" t="s">
        <v>539</v>
      </c>
      <c r="C94" s="501"/>
      <c r="D94" s="501"/>
      <c r="E94" s="501"/>
      <c r="F94" s="501"/>
      <c r="G94" s="501"/>
      <c r="H94" s="501"/>
      <c r="I94" s="501"/>
      <c r="J94" s="501"/>
      <c r="K94" s="501"/>
      <c r="L94" s="501"/>
      <c r="M94" s="502"/>
      <c r="N94" s="3"/>
      <c r="O94" s="3"/>
      <c r="P94" s="3"/>
      <c r="Q94" s="3"/>
      <c r="R94" s="3"/>
      <c r="S94" s="3"/>
    </row>
    <row r="95" spans="1:19">
      <c r="A95" s="3"/>
      <c r="B95" s="503"/>
      <c r="C95" s="141" t="s">
        <v>807</v>
      </c>
      <c r="D95" s="141"/>
      <c r="E95" s="141"/>
      <c r="F95" s="141"/>
      <c r="G95" s="141"/>
      <c r="H95" s="141"/>
      <c r="I95" s="141"/>
      <c r="J95" s="141"/>
      <c r="K95" s="141"/>
      <c r="L95" s="141"/>
      <c r="M95" s="143"/>
      <c r="N95" s="3"/>
      <c r="O95" s="3"/>
      <c r="P95" s="3"/>
      <c r="Q95" s="3"/>
      <c r="R95" s="3"/>
      <c r="S95" s="3"/>
    </row>
    <row r="96" spans="1:19">
      <c r="A96" s="3"/>
      <c r="B96" s="503"/>
      <c r="C96" s="141" t="s">
        <v>543</v>
      </c>
      <c r="D96" s="141"/>
      <c r="E96" s="141"/>
      <c r="F96" s="141"/>
      <c r="G96" s="141"/>
      <c r="H96" s="141"/>
      <c r="I96" s="141"/>
      <c r="J96" s="141"/>
      <c r="K96" s="141"/>
      <c r="L96" s="141"/>
      <c r="M96" s="143"/>
      <c r="N96" s="3"/>
      <c r="O96" s="3"/>
      <c r="P96" s="3"/>
      <c r="Q96" s="3"/>
      <c r="R96" s="3"/>
      <c r="S96" s="3"/>
    </row>
    <row r="97" spans="1:19" ht="13" thickBot="1">
      <c r="A97" s="3"/>
      <c r="B97" s="504"/>
      <c r="C97" s="146" t="s">
        <v>544</v>
      </c>
      <c r="D97" s="146"/>
      <c r="E97" s="146"/>
      <c r="F97" s="146"/>
      <c r="G97" s="146"/>
      <c r="H97" s="146"/>
      <c r="I97" s="146"/>
      <c r="J97" s="146"/>
      <c r="K97" s="146"/>
      <c r="L97" s="146"/>
      <c r="M97" s="150"/>
      <c r="N97" s="3"/>
      <c r="O97" s="3"/>
      <c r="P97" s="3"/>
      <c r="Q97" s="3"/>
      <c r="R97" s="3"/>
      <c r="S97" s="3"/>
    </row>
    <row r="98" spans="1:19" ht="13">
      <c r="A98" s="3"/>
      <c r="B98" s="519" t="s">
        <v>459</v>
      </c>
      <c r="C98" s="520" t="s">
        <v>458</v>
      </c>
      <c r="D98" s="521"/>
      <c r="E98" s="522" t="s">
        <v>453</v>
      </c>
      <c r="F98" s="521"/>
      <c r="G98" s="521"/>
      <c r="H98" s="520" t="s">
        <v>454</v>
      </c>
      <c r="I98" s="521"/>
      <c r="J98" s="530"/>
      <c r="K98" s="307"/>
      <c r="L98" s="307"/>
      <c r="M98" s="308"/>
      <c r="N98" s="3"/>
      <c r="O98" s="3"/>
      <c r="P98" s="3"/>
      <c r="Q98" s="3"/>
      <c r="R98" s="3"/>
      <c r="S98" s="3"/>
    </row>
    <row r="99" spans="1:19">
      <c r="A99" s="3"/>
      <c r="B99" s="513">
        <v>1</v>
      </c>
      <c r="C99" s="515">
        <v>30</v>
      </c>
      <c r="D99" s="515" t="s">
        <v>753</v>
      </c>
      <c r="E99" s="507">
        <v>13</v>
      </c>
      <c r="F99" s="505" t="s">
        <v>455</v>
      </c>
      <c r="G99" s="505" t="s">
        <v>714</v>
      </c>
      <c r="H99" s="508">
        <v>0.13</v>
      </c>
      <c r="I99" s="505" t="s">
        <v>457</v>
      </c>
      <c r="J99" s="309"/>
      <c r="K99" s="297" t="s">
        <v>714</v>
      </c>
      <c r="L99" s="297"/>
      <c r="M99" s="311"/>
      <c r="N99" s="3"/>
      <c r="O99" s="3"/>
      <c r="P99" s="3"/>
      <c r="Q99" s="3"/>
      <c r="R99" s="3"/>
      <c r="S99" s="3"/>
    </row>
    <row r="100" spans="1:19">
      <c r="A100" s="3"/>
      <c r="B100" s="513">
        <v>2</v>
      </c>
      <c r="C100" s="515">
        <v>145</v>
      </c>
      <c r="D100" s="515" t="s">
        <v>753</v>
      </c>
      <c r="E100" s="507">
        <v>25</v>
      </c>
      <c r="F100" s="505" t="s">
        <v>455</v>
      </c>
      <c r="G100" s="505"/>
      <c r="H100" s="508">
        <v>0.25</v>
      </c>
      <c r="I100" s="505" t="s">
        <v>457</v>
      </c>
      <c r="J100" s="309"/>
      <c r="K100" s="297" t="s">
        <v>459</v>
      </c>
      <c r="L100" s="264">
        <v>3</v>
      </c>
      <c r="M100" s="311"/>
      <c r="N100" s="3"/>
      <c r="O100" s="3"/>
      <c r="P100" s="3"/>
      <c r="Q100" s="3"/>
      <c r="R100" s="3"/>
      <c r="S100" s="3"/>
    </row>
    <row r="101" spans="1:19">
      <c r="A101" s="3"/>
      <c r="B101" s="513">
        <v>3</v>
      </c>
      <c r="C101" s="515">
        <v>435</v>
      </c>
      <c r="D101" s="515" t="s">
        <v>753</v>
      </c>
      <c r="E101" s="507">
        <v>33</v>
      </c>
      <c r="F101" s="505" t="s">
        <v>455</v>
      </c>
      <c r="G101" s="505"/>
      <c r="H101" s="508">
        <v>0.33</v>
      </c>
      <c r="I101" s="505" t="s">
        <v>457</v>
      </c>
      <c r="J101" s="309"/>
      <c r="K101" s="297"/>
      <c r="L101" s="297"/>
      <c r="M101" s="311"/>
      <c r="N101" s="3"/>
      <c r="O101" s="3"/>
      <c r="P101" s="3"/>
      <c r="Q101" s="3"/>
      <c r="R101" s="3"/>
      <c r="S101" s="3"/>
    </row>
    <row r="102" spans="1:19">
      <c r="A102" s="3"/>
      <c r="B102" s="513">
        <v>4</v>
      </c>
      <c r="C102" s="515">
        <v>1270</v>
      </c>
      <c r="D102" s="515" t="s">
        <v>753</v>
      </c>
      <c r="E102" s="507">
        <v>53</v>
      </c>
      <c r="F102" s="505" t="s">
        <v>455</v>
      </c>
      <c r="G102" s="505"/>
      <c r="H102" s="508">
        <v>0.53</v>
      </c>
      <c r="I102" s="505" t="s">
        <v>457</v>
      </c>
      <c r="J102" s="309"/>
      <c r="K102" s="297" t="s">
        <v>752</v>
      </c>
      <c r="L102" s="536">
        <f>INDEX(C99:C112,L100,1)</f>
        <v>435</v>
      </c>
      <c r="M102" s="311"/>
      <c r="N102" s="3"/>
      <c r="O102" s="3"/>
      <c r="P102" s="3"/>
      <c r="Q102" s="3"/>
      <c r="R102" s="3"/>
      <c r="S102" s="3"/>
    </row>
    <row r="103" spans="1:19" ht="13">
      <c r="A103" s="3"/>
      <c r="B103" s="513">
        <v>5</v>
      </c>
      <c r="C103" s="505">
        <v>2000</v>
      </c>
      <c r="D103" s="505" t="s">
        <v>753</v>
      </c>
      <c r="E103" s="529">
        <v>88.6</v>
      </c>
      <c r="F103" s="505" t="s">
        <v>455</v>
      </c>
      <c r="G103" s="505"/>
      <c r="H103" s="528">
        <v>0.88600000000000001</v>
      </c>
      <c r="I103" s="505" t="s">
        <v>457</v>
      </c>
      <c r="J103" s="309"/>
      <c r="K103" s="297"/>
      <c r="L103" s="297"/>
      <c r="M103" s="311"/>
      <c r="N103" s="3"/>
      <c r="O103" s="3"/>
      <c r="P103" s="3"/>
      <c r="Q103" s="3"/>
      <c r="R103" s="3"/>
      <c r="S103" s="3"/>
    </row>
    <row r="104" spans="1:19">
      <c r="A104" s="3"/>
      <c r="B104" s="513">
        <v>6</v>
      </c>
      <c r="C104" s="515">
        <v>2400</v>
      </c>
      <c r="D104" s="515" t="s">
        <v>753</v>
      </c>
      <c r="E104" s="507">
        <v>96</v>
      </c>
      <c r="F104" s="505" t="s">
        <v>455</v>
      </c>
      <c r="G104" s="505"/>
      <c r="H104" s="508">
        <v>0.96</v>
      </c>
      <c r="I104" s="505" t="s">
        <v>457</v>
      </c>
      <c r="J104" s="309"/>
      <c r="K104" s="297" t="s">
        <v>460</v>
      </c>
      <c r="L104" s="517">
        <v>0.5</v>
      </c>
      <c r="M104" s="311"/>
      <c r="N104" s="3"/>
      <c r="O104" s="3"/>
      <c r="P104" s="3"/>
      <c r="Q104" s="3"/>
      <c r="R104" s="3"/>
      <c r="S104" s="3"/>
    </row>
    <row r="105" spans="1:19" ht="13">
      <c r="A105" s="3"/>
      <c r="B105" s="513">
        <v>7</v>
      </c>
      <c r="C105" s="535">
        <v>10000</v>
      </c>
      <c r="D105" s="505" t="s">
        <v>753</v>
      </c>
      <c r="E105" s="529">
        <v>200.1</v>
      </c>
      <c r="F105" s="505" t="s">
        <v>455</v>
      </c>
      <c r="G105" s="505"/>
      <c r="H105" s="528">
        <v>2.0009999999999999</v>
      </c>
      <c r="I105" s="505" t="s">
        <v>457</v>
      </c>
      <c r="J105" s="309"/>
      <c r="K105" s="297"/>
      <c r="L105" s="297"/>
      <c r="M105" s="311"/>
      <c r="N105" s="3"/>
      <c r="O105" s="3"/>
      <c r="P105" s="3"/>
      <c r="Q105" s="3"/>
      <c r="R105" s="3"/>
      <c r="S105" s="3"/>
    </row>
    <row r="106" spans="1:19" ht="13">
      <c r="A106" s="3"/>
      <c r="B106" s="513">
        <v>8</v>
      </c>
      <c r="C106" s="535">
        <v>18000</v>
      </c>
      <c r="D106" s="505" t="s">
        <v>753</v>
      </c>
      <c r="E106" s="529">
        <v>275.5</v>
      </c>
      <c r="F106" s="505" t="s">
        <v>455</v>
      </c>
      <c r="G106" s="505"/>
      <c r="H106" s="528">
        <v>2.7549999999999999</v>
      </c>
      <c r="I106" s="505" t="s">
        <v>457</v>
      </c>
      <c r="J106" s="309"/>
      <c r="K106" s="297" t="s">
        <v>461</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714</v>
      </c>
      <c r="G108" s="505"/>
      <c r="H108" s="508"/>
      <c r="I108" s="505"/>
      <c r="J108" s="309"/>
      <c r="K108" s="297"/>
      <c r="L108" s="297"/>
      <c r="M108" s="311"/>
      <c r="N108" s="3" t="s">
        <v>714</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548</v>
      </c>
      <c r="K111" s="297"/>
      <c r="L111" s="297"/>
      <c r="M111" s="311"/>
      <c r="N111" s="3"/>
      <c r="O111" s="3"/>
      <c r="P111" s="3"/>
      <c r="Q111" s="3"/>
      <c r="R111" s="3"/>
      <c r="S111" s="3"/>
    </row>
    <row r="112" spans="1:19" ht="13" thickBot="1">
      <c r="A112" s="3"/>
      <c r="B112" s="514" t="s">
        <v>714</v>
      </c>
      <c r="C112" s="509" t="s">
        <v>714</v>
      </c>
      <c r="D112" s="509" t="s">
        <v>714</v>
      </c>
      <c r="E112" s="510"/>
      <c r="F112" s="509"/>
      <c r="G112" s="509"/>
      <c r="H112" s="511"/>
      <c r="I112" s="509"/>
      <c r="J112" s="312" t="s">
        <v>545</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714</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546</v>
      </c>
      <c r="C116" s="501"/>
      <c r="D116" s="501"/>
      <c r="E116" s="501"/>
      <c r="F116" s="501"/>
      <c r="G116" s="501"/>
      <c r="H116" s="501"/>
      <c r="I116" s="501"/>
      <c r="J116" s="501"/>
      <c r="K116" s="501"/>
      <c r="L116" s="501"/>
      <c r="M116" s="502"/>
      <c r="N116" s="3"/>
      <c r="O116" s="3"/>
      <c r="P116" s="3"/>
      <c r="Q116" s="3"/>
      <c r="R116" s="3"/>
      <c r="S116" s="3"/>
    </row>
    <row r="117" spans="1:19">
      <c r="A117" s="3"/>
      <c r="B117" s="503"/>
      <c r="C117" s="141" t="s">
        <v>808</v>
      </c>
      <c r="D117" s="141"/>
      <c r="E117" s="141"/>
      <c r="F117" s="141"/>
      <c r="G117" s="141"/>
      <c r="H117" s="141"/>
      <c r="I117" s="141"/>
      <c r="J117" s="141"/>
      <c r="K117" s="141"/>
      <c r="L117" s="141"/>
      <c r="M117" s="143"/>
      <c r="N117" s="3"/>
      <c r="O117" s="3"/>
      <c r="P117" s="3"/>
      <c r="Q117" s="3"/>
      <c r="R117" s="3"/>
      <c r="S117" s="3"/>
    </row>
    <row r="118" spans="1:19">
      <c r="A118" s="3"/>
      <c r="B118" s="503"/>
      <c r="C118" s="141" t="s">
        <v>547</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544</v>
      </c>
      <c r="D119" s="146"/>
      <c r="E119" s="146"/>
      <c r="F119" s="146"/>
      <c r="G119" s="146"/>
      <c r="H119" s="146"/>
      <c r="I119" s="146"/>
      <c r="J119" s="146"/>
      <c r="K119" s="146"/>
      <c r="L119" s="146"/>
      <c r="M119" s="150"/>
      <c r="N119" s="3"/>
      <c r="O119" s="3"/>
      <c r="P119" s="3"/>
      <c r="Q119" s="3"/>
      <c r="R119" s="3"/>
      <c r="S119" s="3"/>
    </row>
    <row r="120" spans="1:19" ht="13">
      <c r="A120" s="3"/>
      <c r="B120" s="519" t="s">
        <v>459</v>
      </c>
      <c r="C120" s="520" t="s">
        <v>458</v>
      </c>
      <c r="D120" s="521"/>
      <c r="E120" s="522" t="s">
        <v>453</v>
      </c>
      <c r="F120" s="521"/>
      <c r="G120" s="521"/>
      <c r="H120" s="520" t="s">
        <v>454</v>
      </c>
      <c r="I120" s="521"/>
      <c r="J120" s="530"/>
      <c r="K120" s="307"/>
      <c r="L120" s="307"/>
      <c r="M120" s="308"/>
      <c r="N120" s="3"/>
      <c r="O120" s="3"/>
      <c r="P120" s="3"/>
      <c r="Q120" s="3"/>
      <c r="R120" s="3"/>
      <c r="S120" s="3"/>
    </row>
    <row r="121" spans="1:19">
      <c r="A121" s="3"/>
      <c r="B121" s="513">
        <v>1</v>
      </c>
      <c r="C121" s="515">
        <v>30</v>
      </c>
      <c r="D121" s="515" t="s">
        <v>753</v>
      </c>
      <c r="E121" s="507">
        <v>8</v>
      </c>
      <c r="F121" s="505" t="s">
        <v>455</v>
      </c>
      <c r="G121" s="505" t="s">
        <v>714</v>
      </c>
      <c r="H121" s="508">
        <v>0.08</v>
      </c>
      <c r="I121" s="505" t="s">
        <v>457</v>
      </c>
      <c r="J121" s="309"/>
      <c r="K121" s="297" t="s">
        <v>714</v>
      </c>
      <c r="L121" s="297"/>
      <c r="M121" s="311"/>
      <c r="N121" s="3"/>
      <c r="O121" s="3"/>
      <c r="P121" s="3"/>
      <c r="Q121" s="3"/>
      <c r="R121" s="3"/>
      <c r="S121" s="3"/>
    </row>
    <row r="122" spans="1:19">
      <c r="A122" s="3"/>
      <c r="B122" s="513">
        <v>2</v>
      </c>
      <c r="C122" s="515">
        <v>145</v>
      </c>
      <c r="D122" s="515" t="s">
        <v>753</v>
      </c>
      <c r="E122" s="507">
        <v>15</v>
      </c>
      <c r="F122" s="505" t="s">
        <v>455</v>
      </c>
      <c r="G122" s="505"/>
      <c r="H122" s="508">
        <v>0.15</v>
      </c>
      <c r="I122" s="505" t="s">
        <v>457</v>
      </c>
      <c r="J122" s="309"/>
      <c r="K122" s="297" t="s">
        <v>459</v>
      </c>
      <c r="L122" s="264">
        <v>7</v>
      </c>
      <c r="M122" s="311"/>
      <c r="N122" s="3"/>
      <c r="O122" s="3"/>
      <c r="P122" s="3"/>
      <c r="Q122" s="3"/>
      <c r="R122" s="3"/>
      <c r="S122" s="3"/>
    </row>
    <row r="123" spans="1:19">
      <c r="A123" s="3"/>
      <c r="B123" s="513">
        <v>3</v>
      </c>
      <c r="C123" s="515">
        <v>435</v>
      </c>
      <c r="D123" s="515" t="s">
        <v>753</v>
      </c>
      <c r="E123" s="507">
        <v>24</v>
      </c>
      <c r="F123" s="505" t="s">
        <v>455</v>
      </c>
      <c r="G123" s="505"/>
      <c r="H123" s="508">
        <v>0.24</v>
      </c>
      <c r="I123" s="505" t="s">
        <v>457</v>
      </c>
      <c r="J123" s="309"/>
      <c r="K123" s="297"/>
      <c r="L123" s="297"/>
      <c r="M123" s="311"/>
      <c r="N123" s="3"/>
      <c r="O123" s="3"/>
      <c r="P123" s="3"/>
      <c r="Q123" s="3"/>
      <c r="R123" s="3"/>
      <c r="S123" s="3"/>
    </row>
    <row r="124" spans="1:19">
      <c r="A124" s="3"/>
      <c r="B124" s="513">
        <v>4</v>
      </c>
      <c r="C124" s="515">
        <v>1270</v>
      </c>
      <c r="D124" s="515" t="s">
        <v>753</v>
      </c>
      <c r="E124" s="507">
        <v>57.5</v>
      </c>
      <c r="F124" s="505" t="s">
        <v>455</v>
      </c>
      <c r="G124" s="505"/>
      <c r="H124" s="527">
        <v>0.57499999999999996</v>
      </c>
      <c r="I124" s="505" t="s">
        <v>457</v>
      </c>
      <c r="J124" s="309"/>
      <c r="K124" s="297" t="s">
        <v>752</v>
      </c>
      <c r="L124" s="516">
        <f>INDEX(C121:C134,L122,1)</f>
        <v>10000</v>
      </c>
      <c r="M124" s="311"/>
      <c r="N124" s="3"/>
      <c r="O124" s="3"/>
      <c r="P124" s="3"/>
      <c r="Q124" s="3"/>
      <c r="R124" s="3"/>
      <c r="S124" s="3"/>
    </row>
    <row r="125" spans="1:19" ht="13">
      <c r="A125" s="3"/>
      <c r="B125" s="513">
        <v>5</v>
      </c>
      <c r="C125" s="505">
        <v>2000</v>
      </c>
      <c r="D125" s="505" t="s">
        <v>753</v>
      </c>
      <c r="E125" s="529">
        <v>65.599999999999994</v>
      </c>
      <c r="F125" s="505" t="s">
        <v>455</v>
      </c>
      <c r="G125" s="505"/>
      <c r="H125" s="528">
        <v>0.65600000000000003</v>
      </c>
      <c r="I125" s="505" t="s">
        <v>457</v>
      </c>
      <c r="J125" s="309"/>
      <c r="K125" s="297"/>
      <c r="L125" s="297"/>
      <c r="M125" s="311"/>
      <c r="N125" s="3"/>
      <c r="O125" s="3"/>
      <c r="P125" s="3"/>
      <c r="Q125" s="3"/>
      <c r="R125" s="3"/>
      <c r="S125" s="3"/>
    </row>
    <row r="126" spans="1:19">
      <c r="A126" s="3"/>
      <c r="B126" s="513">
        <v>6</v>
      </c>
      <c r="C126" s="515">
        <v>2400</v>
      </c>
      <c r="D126" s="515" t="s">
        <v>753</v>
      </c>
      <c r="E126" s="507">
        <v>68.5</v>
      </c>
      <c r="F126" s="505" t="s">
        <v>455</v>
      </c>
      <c r="G126" s="505"/>
      <c r="H126" s="527">
        <v>0.68500000000000005</v>
      </c>
      <c r="I126" s="505" t="s">
        <v>457</v>
      </c>
      <c r="J126" s="309"/>
      <c r="K126" s="297" t="s">
        <v>460</v>
      </c>
      <c r="L126" s="517">
        <v>0.5</v>
      </c>
      <c r="M126" s="311"/>
      <c r="N126" s="3"/>
      <c r="O126" s="3"/>
      <c r="P126" s="3"/>
      <c r="Q126" s="3"/>
      <c r="R126" s="3"/>
      <c r="S126" s="3"/>
    </row>
    <row r="127" spans="1:19" ht="13">
      <c r="A127" s="3"/>
      <c r="B127" s="513">
        <v>7</v>
      </c>
      <c r="C127" s="535">
        <v>10000</v>
      </c>
      <c r="D127" s="505" t="s">
        <v>753</v>
      </c>
      <c r="E127" s="529">
        <v>91.8</v>
      </c>
      <c r="F127" s="505" t="s">
        <v>455</v>
      </c>
      <c r="G127" s="505"/>
      <c r="H127" s="528">
        <v>0.91800000000000004</v>
      </c>
      <c r="I127" s="505" t="s">
        <v>457</v>
      </c>
      <c r="J127" s="309"/>
      <c r="K127" s="297"/>
      <c r="L127" s="297"/>
      <c r="M127" s="311"/>
      <c r="N127" s="3"/>
      <c r="O127" s="3"/>
      <c r="P127" s="3"/>
      <c r="Q127" s="3"/>
      <c r="R127" s="3"/>
      <c r="S127" s="3"/>
    </row>
    <row r="128" spans="1:19" ht="13">
      <c r="A128" s="3"/>
      <c r="B128" s="513">
        <v>8</v>
      </c>
      <c r="C128" s="535">
        <v>18000</v>
      </c>
      <c r="D128" s="505" t="s">
        <v>753</v>
      </c>
      <c r="E128" s="529">
        <v>124.6</v>
      </c>
      <c r="F128" s="505" t="s">
        <v>455</v>
      </c>
      <c r="G128" s="505"/>
      <c r="H128" s="528">
        <v>1.246</v>
      </c>
      <c r="I128" s="505" t="s">
        <v>457</v>
      </c>
      <c r="J128" s="309"/>
      <c r="K128" s="297" t="s">
        <v>461</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714</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549</v>
      </c>
      <c r="K133" s="297"/>
      <c r="L133" s="297"/>
      <c r="M133" s="311"/>
      <c r="N133" s="3"/>
      <c r="O133" s="3"/>
      <c r="P133" s="3"/>
      <c r="Q133" s="3"/>
      <c r="R133" s="3"/>
      <c r="S133" s="3"/>
    </row>
    <row r="134" spans="1:19" ht="13" thickBot="1">
      <c r="A134" s="3"/>
      <c r="B134" s="514" t="s">
        <v>714</v>
      </c>
      <c r="C134" s="509" t="s">
        <v>714</v>
      </c>
      <c r="D134" s="509" t="s">
        <v>714</v>
      </c>
      <c r="E134" s="510"/>
      <c r="F134" s="509"/>
      <c r="G134" s="509"/>
      <c r="H134" s="511"/>
      <c r="I134" s="509"/>
      <c r="J134" s="312" t="s">
        <v>545</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8" sqref="H8"/>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603</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433</v>
      </c>
      <c r="E6" s="3"/>
      <c r="F6" s="3"/>
      <c r="G6" s="3" t="s">
        <v>714</v>
      </c>
      <c r="H6" s="470">
        <v>2</v>
      </c>
      <c r="I6" s="287" t="s">
        <v>780</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555</v>
      </c>
      <c r="L7" s="3"/>
      <c r="M7" s="3"/>
      <c r="N7" s="3"/>
      <c r="O7" s="3"/>
      <c r="P7" s="3"/>
      <c r="Q7" s="3"/>
      <c r="R7" s="3"/>
      <c r="S7" s="3"/>
      <c r="T7" s="3"/>
      <c r="U7" s="3"/>
      <c r="V7" s="3"/>
      <c r="W7" s="3"/>
      <c r="X7" s="3"/>
    </row>
    <row r="8" spans="1:24" ht="13">
      <c r="A8" s="3"/>
      <c r="B8" s="3"/>
      <c r="C8" s="3"/>
      <c r="D8" s="3" t="s">
        <v>432</v>
      </c>
      <c r="E8" s="3"/>
      <c r="F8" s="3"/>
      <c r="G8" s="467" t="s">
        <v>714</v>
      </c>
      <c r="H8" s="471">
        <v>1.5</v>
      </c>
      <c r="I8" s="461" t="s">
        <v>436</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434</v>
      </c>
      <c r="E10" s="3"/>
      <c r="F10" s="3"/>
      <c r="G10" s="3"/>
      <c r="H10" s="462">
        <f>(H6*((H8-1)^2))/((H8+1)^2)</f>
        <v>0.08</v>
      </c>
      <c r="I10" s="185" t="s">
        <v>780</v>
      </c>
      <c r="J10" s="3"/>
      <c r="K10" s="464">
        <f>H10/H6</f>
        <v>0.04</v>
      </c>
      <c r="L10" s="3" t="s">
        <v>554</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435</v>
      </c>
      <c r="E12" s="3"/>
      <c r="F12" s="3"/>
      <c r="G12" s="3"/>
      <c r="H12" s="462">
        <f>H6-H10</f>
        <v>1.92</v>
      </c>
      <c r="I12" s="185" t="s">
        <v>780</v>
      </c>
      <c r="J12" s="3"/>
      <c r="K12" s="463">
        <f>1-K10</f>
        <v>0.96</v>
      </c>
      <c r="L12" s="3" t="s">
        <v>554</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439</v>
      </c>
      <c r="E14" s="3"/>
      <c r="F14" s="3"/>
      <c r="G14" s="3"/>
      <c r="H14" s="465">
        <f>-10*LOG10(H12/H6)</f>
        <v>0.17728766960431602</v>
      </c>
      <c r="I14" s="185" t="s">
        <v>756</v>
      </c>
      <c r="J14" s="3"/>
      <c r="K14" s="3" t="s">
        <v>437</v>
      </c>
      <c r="L14" s="3"/>
      <c r="M14" s="3"/>
      <c r="N14" s="3"/>
      <c r="O14" s="3"/>
      <c r="P14" s="3"/>
      <c r="Q14" s="3"/>
      <c r="R14" s="3"/>
      <c r="S14" s="3"/>
      <c r="T14" s="3"/>
      <c r="U14" s="3"/>
      <c r="V14" s="3"/>
      <c r="W14" s="3"/>
      <c r="X14" s="3"/>
    </row>
    <row r="15" spans="1:24">
      <c r="A15" s="3"/>
      <c r="B15" s="3"/>
      <c r="C15" s="3"/>
      <c r="D15" s="3"/>
      <c r="E15" s="3"/>
      <c r="F15" s="3"/>
      <c r="G15" s="3"/>
      <c r="H15" s="469"/>
      <c r="I15" s="469"/>
      <c r="J15" s="469"/>
      <c r="K15" s="468" t="s">
        <v>438</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550</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556</v>
      </c>
      <c r="V18" s="33">
        <f>SQRT(O19^2+Q19^2)</f>
        <v>50</v>
      </c>
      <c r="W18" s="534" t="s">
        <v>551</v>
      </c>
      <c r="X18" s="3"/>
    </row>
    <row r="19" spans="1:24" ht="13">
      <c r="A19" s="3"/>
      <c r="B19" s="3"/>
      <c r="C19" s="3"/>
      <c r="D19" s="3"/>
      <c r="E19" s="3"/>
      <c r="F19" s="3"/>
      <c r="G19" s="3"/>
      <c r="H19" s="469"/>
      <c r="I19" s="469"/>
      <c r="J19" s="469"/>
      <c r="K19" s="469"/>
      <c r="L19" s="469"/>
      <c r="M19" s="94" t="s">
        <v>473</v>
      </c>
      <c r="N19" s="469"/>
      <c r="O19" s="264">
        <v>50</v>
      </c>
      <c r="P19" s="531" t="s">
        <v>809</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557</v>
      </c>
      <c r="V20" s="33">
        <f>SQRT(O21^2+Q21^2)</f>
        <v>79.05694150420949</v>
      </c>
      <c r="W20" s="534" t="s">
        <v>551</v>
      </c>
      <c r="X20" s="3"/>
    </row>
    <row r="21" spans="1:24" ht="13">
      <c r="A21" s="3"/>
      <c r="B21" s="3"/>
      <c r="C21" s="3"/>
      <c r="D21" s="3"/>
      <c r="E21" s="3"/>
      <c r="F21" s="3"/>
      <c r="G21" s="3"/>
      <c r="H21" s="469"/>
      <c r="I21" s="469"/>
      <c r="J21" s="469"/>
      <c r="K21" s="469"/>
      <c r="L21" s="469"/>
      <c r="M21" s="94" t="s">
        <v>474</v>
      </c>
      <c r="N21" s="469"/>
      <c r="O21" s="264">
        <v>75</v>
      </c>
      <c r="P21" s="531" t="s">
        <v>809</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442</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552</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714</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553</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440</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441</v>
      </c>
      <c r="N34" s="468"/>
      <c r="O34" s="468"/>
      <c r="P34" s="468"/>
      <c r="Q34" s="682">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442</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606</v>
      </c>
      <c r="B1" s="127"/>
      <c r="C1" s="127"/>
      <c r="D1" s="127"/>
      <c r="E1" s="127"/>
      <c r="F1" s="127"/>
      <c r="G1" s="127"/>
      <c r="H1" s="127"/>
      <c r="I1" s="127"/>
      <c r="J1" s="611" t="str">
        <f>'Title Page'!F3</f>
        <v>OreSat - CS0</v>
      </c>
      <c r="K1" s="127"/>
      <c r="L1" s="127"/>
      <c r="M1" s="610" t="str">
        <f>'Title Page'!F23</f>
        <v>2019 September 13</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607</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608</v>
      </c>
      <c r="C7" s="599"/>
      <c r="D7" s="599"/>
      <c r="E7" s="599"/>
      <c r="F7" s="599"/>
      <c r="G7" s="599"/>
      <c r="H7" s="599"/>
      <c r="I7" s="599"/>
      <c r="J7" s="599"/>
      <c r="K7" s="599"/>
      <c r="L7" s="599"/>
      <c r="M7" s="599"/>
      <c r="N7" s="599"/>
      <c r="O7" s="599"/>
      <c r="P7" s="599"/>
      <c r="Q7" s="599"/>
      <c r="R7" s="599"/>
      <c r="S7" s="233"/>
    </row>
    <row r="8" spans="1:19">
      <c r="A8" s="233"/>
      <c r="B8" s="599" t="s">
        <v>669</v>
      </c>
      <c r="C8" s="599"/>
      <c r="D8" s="599"/>
      <c r="E8" s="599"/>
      <c r="F8" s="599"/>
      <c r="G8" s="599"/>
      <c r="H8" s="599"/>
      <c r="I8" s="599"/>
      <c r="J8" s="599"/>
      <c r="K8" s="599"/>
      <c r="L8" s="599"/>
      <c r="M8" s="599"/>
      <c r="N8" s="599"/>
      <c r="O8" s="599"/>
      <c r="P8" s="599"/>
      <c r="Q8" s="599"/>
      <c r="R8" s="599"/>
      <c r="S8" s="233"/>
    </row>
    <row r="9" spans="1:19">
      <c r="A9" s="233"/>
      <c r="B9" s="599" t="s">
        <v>692</v>
      </c>
      <c r="C9" s="599"/>
      <c r="D9" s="599"/>
      <c r="E9" s="599"/>
      <c r="F9" s="599"/>
      <c r="G9" s="599"/>
      <c r="H9" s="599"/>
      <c r="I9" s="599"/>
      <c r="J9" s="599"/>
      <c r="K9" s="599"/>
      <c r="L9" s="599"/>
      <c r="M9" s="599"/>
      <c r="N9" s="599"/>
      <c r="O9" s="599"/>
      <c r="P9" s="599"/>
      <c r="Q9" s="599"/>
      <c r="R9" s="599"/>
      <c r="S9" s="233"/>
    </row>
    <row r="10" spans="1:19">
      <c r="A10" s="233"/>
      <c r="B10" s="599" t="s">
        <v>693</v>
      </c>
      <c r="C10" s="599"/>
      <c r="D10" s="599"/>
      <c r="E10" s="599"/>
      <c r="F10" s="599"/>
      <c r="G10" s="599"/>
      <c r="H10" s="599"/>
      <c r="I10" s="599"/>
      <c r="J10" s="599"/>
      <c r="K10" s="599"/>
      <c r="L10" s="599"/>
      <c r="M10" s="599"/>
      <c r="N10" s="599"/>
      <c r="O10" s="599"/>
      <c r="P10" s="599"/>
      <c r="Q10" s="599"/>
      <c r="R10" s="599"/>
      <c r="S10" s="233"/>
    </row>
    <row r="11" spans="1:19">
      <c r="A11" s="233"/>
      <c r="B11" s="599" t="s">
        <v>634</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609</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610</v>
      </c>
      <c r="D15" s="599" t="s">
        <v>660</v>
      </c>
      <c r="E15" s="599"/>
      <c r="F15" s="599"/>
      <c r="G15" s="599"/>
      <c r="H15" s="599"/>
      <c r="I15" s="599"/>
      <c r="J15" s="599"/>
      <c r="K15" s="599"/>
      <c r="L15" s="599"/>
      <c r="M15" s="599"/>
      <c r="N15" s="599"/>
      <c r="O15" s="599"/>
      <c r="P15" s="599"/>
      <c r="Q15" s="599"/>
      <c r="R15" s="599"/>
      <c r="S15" s="233"/>
    </row>
    <row r="16" spans="1:19">
      <c r="A16" s="233"/>
      <c r="B16" s="233"/>
      <c r="C16" s="233" t="s">
        <v>626</v>
      </c>
      <c r="D16" s="233"/>
      <c r="E16" s="233"/>
      <c r="F16" s="233"/>
      <c r="G16" s="233"/>
      <c r="H16" s="233"/>
      <c r="I16" s="233"/>
      <c r="J16" s="233"/>
      <c r="K16" s="233"/>
      <c r="L16" s="233"/>
      <c r="M16" s="233"/>
      <c r="N16" s="233"/>
      <c r="O16" s="233"/>
      <c r="P16" s="233"/>
      <c r="Q16" s="233"/>
      <c r="R16" s="233"/>
      <c r="S16" s="233"/>
    </row>
    <row r="17" spans="1:19">
      <c r="A17" s="233"/>
      <c r="B17" s="233"/>
      <c r="C17" s="233" t="s">
        <v>611</v>
      </c>
      <c r="D17" s="233"/>
      <c r="E17" s="233"/>
      <c r="F17" s="233"/>
      <c r="G17" s="233"/>
      <c r="H17" s="233"/>
      <c r="I17" s="233"/>
      <c r="J17" s="233"/>
      <c r="K17" s="233"/>
      <c r="L17" s="233"/>
      <c r="M17" s="233"/>
      <c r="N17" s="233"/>
      <c r="O17" s="233"/>
      <c r="P17" s="233"/>
      <c r="Q17" s="233"/>
      <c r="R17" s="233"/>
      <c r="S17" s="233"/>
    </row>
    <row r="18" spans="1:19">
      <c r="A18" s="233"/>
      <c r="B18" s="233"/>
      <c r="C18" s="233" t="s">
        <v>625</v>
      </c>
      <c r="D18" s="233"/>
      <c r="E18" s="233"/>
      <c r="F18" s="233"/>
      <c r="G18" s="233"/>
      <c r="H18" s="233"/>
      <c r="I18" s="233"/>
      <c r="J18" s="233"/>
      <c r="K18" s="233"/>
      <c r="L18" s="233"/>
      <c r="M18" s="233"/>
      <c r="N18" s="233"/>
      <c r="O18" s="233"/>
      <c r="P18" s="233"/>
      <c r="Q18" s="233"/>
      <c r="R18" s="233"/>
      <c r="S18" s="233"/>
    </row>
    <row r="19" spans="1:19">
      <c r="A19" s="233"/>
      <c r="B19" s="233"/>
      <c r="C19" s="233" t="s">
        <v>612</v>
      </c>
      <c r="D19" s="233"/>
      <c r="E19" s="233"/>
      <c r="F19" s="233"/>
      <c r="G19" s="233"/>
      <c r="H19" s="233"/>
      <c r="I19" s="233"/>
      <c r="J19" s="233"/>
      <c r="K19" s="233"/>
      <c r="L19" s="233"/>
      <c r="M19" s="233"/>
      <c r="N19" s="233"/>
      <c r="O19" s="233"/>
      <c r="P19" s="233"/>
      <c r="Q19" s="233"/>
      <c r="R19" s="233"/>
      <c r="S19" s="233"/>
    </row>
    <row r="20" spans="1:19">
      <c r="A20" s="233"/>
      <c r="B20" s="233"/>
      <c r="C20" t="s">
        <v>613</v>
      </c>
      <c r="H20" s="3"/>
      <c r="I20" t="s">
        <v>614</v>
      </c>
      <c r="J20" s="573"/>
      <c r="K20" t="s">
        <v>615</v>
      </c>
      <c r="L20" s="419"/>
      <c r="M20" s="233" t="s">
        <v>616</v>
      </c>
      <c r="N20" s="233"/>
      <c r="O20" s="233"/>
      <c r="P20" s="233"/>
      <c r="Q20" s="233"/>
      <c r="R20" s="233"/>
      <c r="S20" s="233"/>
    </row>
    <row r="21" spans="1:19">
      <c r="A21" s="233"/>
      <c r="B21" s="233"/>
      <c r="C21" s="233" t="s">
        <v>681</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659</v>
      </c>
      <c r="F23" s="233"/>
      <c r="G23" s="233"/>
      <c r="H23" s="233"/>
      <c r="I23" s="233"/>
      <c r="J23" s="233"/>
      <c r="K23" s="233"/>
      <c r="L23" s="233"/>
      <c r="M23" s="233"/>
      <c r="N23" s="233"/>
      <c r="O23" s="233"/>
      <c r="P23" s="233"/>
      <c r="Q23" s="233"/>
      <c r="R23" s="233"/>
      <c r="S23" s="233"/>
    </row>
    <row r="24" spans="1:19">
      <c r="A24" s="233"/>
      <c r="B24" s="233"/>
      <c r="C24" s="233"/>
      <c r="D24" s="233" t="s">
        <v>617</v>
      </c>
      <c r="E24" s="233"/>
      <c r="F24" s="233"/>
      <c r="G24" s="233"/>
      <c r="H24" s="233"/>
      <c r="I24" s="233"/>
      <c r="J24" s="233"/>
      <c r="K24" s="233"/>
      <c r="L24" s="233"/>
      <c r="M24" s="233"/>
      <c r="N24" s="233"/>
      <c r="O24" s="233"/>
      <c r="P24" s="233"/>
      <c r="Q24" s="233"/>
      <c r="R24" s="233"/>
      <c r="S24" s="233"/>
    </row>
    <row r="25" spans="1:19">
      <c r="A25" s="233"/>
      <c r="B25" s="233"/>
      <c r="C25" s="233"/>
      <c r="D25" s="233" t="s">
        <v>618</v>
      </c>
      <c r="E25" s="233"/>
      <c r="F25" s="233"/>
      <c r="G25" s="233"/>
      <c r="H25" s="233"/>
      <c r="I25" s="233"/>
      <c r="J25" s="233"/>
      <c r="K25" s="233"/>
      <c r="L25" s="233"/>
      <c r="M25" s="233"/>
      <c r="N25" s="233"/>
      <c r="O25" s="233"/>
      <c r="P25" s="233"/>
      <c r="Q25" s="233"/>
      <c r="R25" s="233"/>
      <c r="S25" s="233"/>
    </row>
    <row r="26" spans="1:19">
      <c r="A26" s="233"/>
      <c r="B26" s="233"/>
      <c r="C26" s="233"/>
      <c r="D26" s="233" t="s">
        <v>620</v>
      </c>
      <c r="E26" s="233"/>
      <c r="F26" s="233"/>
      <c r="G26" s="233"/>
      <c r="H26" s="233"/>
      <c r="I26" s="233"/>
      <c r="J26" s="233"/>
      <c r="K26" s="233"/>
      <c r="L26" s="233"/>
      <c r="M26" s="233"/>
      <c r="N26" s="233"/>
      <c r="O26" s="233"/>
      <c r="P26" s="233"/>
      <c r="Q26" s="233"/>
      <c r="R26" s="233"/>
      <c r="S26" s="233"/>
    </row>
    <row r="27" spans="1:19">
      <c r="A27" s="233"/>
      <c r="B27" s="233"/>
      <c r="C27" s="233"/>
      <c r="D27" s="233" t="s">
        <v>619</v>
      </c>
      <c r="E27" s="233"/>
      <c r="F27" s="233"/>
      <c r="G27" s="233"/>
      <c r="H27" s="233"/>
      <c r="I27" s="233"/>
      <c r="J27" s="233"/>
      <c r="K27" s="233"/>
      <c r="L27" s="233"/>
      <c r="M27" s="233"/>
      <c r="N27" s="233"/>
      <c r="O27" s="233"/>
      <c r="P27" s="233"/>
      <c r="Q27" s="233"/>
      <c r="R27" s="233"/>
      <c r="S27" s="233"/>
    </row>
    <row r="28" spans="1:19">
      <c r="A28" s="233"/>
      <c r="B28" s="233"/>
      <c r="C28" s="233"/>
      <c r="D28" s="233" t="s">
        <v>348</v>
      </c>
      <c r="E28" s="233"/>
      <c r="F28" s="233"/>
      <c r="G28" s="233"/>
      <c r="H28" s="233"/>
      <c r="I28" s="233"/>
      <c r="J28" s="233"/>
      <c r="K28" s="233"/>
      <c r="L28" s="233"/>
      <c r="M28" s="233"/>
      <c r="N28" s="233"/>
      <c r="O28" s="233"/>
      <c r="P28" s="233"/>
      <c r="Q28" s="233"/>
      <c r="R28" s="233"/>
      <c r="S28" s="233"/>
    </row>
    <row r="29" spans="1:19">
      <c r="A29" s="233"/>
      <c r="B29" s="233"/>
      <c r="C29" s="233"/>
      <c r="D29" s="233" t="s">
        <v>463</v>
      </c>
      <c r="E29" s="233"/>
      <c r="F29" s="233"/>
      <c r="G29" s="233"/>
      <c r="H29" s="233"/>
      <c r="I29" s="233"/>
      <c r="J29" s="233"/>
      <c r="K29" s="233"/>
      <c r="L29" s="233"/>
      <c r="M29" s="233"/>
      <c r="N29" s="233"/>
      <c r="O29" s="233"/>
      <c r="P29" s="233"/>
      <c r="Q29" s="233"/>
      <c r="R29" s="233"/>
      <c r="S29" s="233"/>
    </row>
    <row r="30" spans="1:19">
      <c r="A30" s="233"/>
      <c r="B30" s="233"/>
      <c r="C30" s="233"/>
      <c r="D30" s="233" t="s">
        <v>621</v>
      </c>
      <c r="E30" s="233"/>
      <c r="F30" s="233"/>
      <c r="G30" s="233"/>
      <c r="H30" s="233"/>
      <c r="I30" s="233"/>
      <c r="J30" s="233"/>
      <c r="K30" s="233"/>
      <c r="L30" s="233"/>
      <c r="M30" s="233"/>
      <c r="N30" s="233"/>
      <c r="O30" s="233"/>
      <c r="P30" s="233"/>
      <c r="Q30" s="233"/>
      <c r="R30" s="233"/>
      <c r="S30" s="233"/>
    </row>
    <row r="31" spans="1:19">
      <c r="A31" s="233"/>
      <c r="B31" s="233"/>
      <c r="C31" s="233"/>
      <c r="D31" s="233" t="s">
        <v>334</v>
      </c>
      <c r="E31" s="233"/>
      <c r="F31" s="233"/>
      <c r="G31" s="233"/>
      <c r="H31" s="233"/>
      <c r="I31" s="233"/>
      <c r="J31" s="233"/>
      <c r="K31" s="233"/>
      <c r="L31" s="233"/>
      <c r="M31" s="233"/>
      <c r="N31" s="233"/>
      <c r="O31" s="233"/>
      <c r="P31" s="233"/>
      <c r="Q31" s="233"/>
      <c r="R31" s="233"/>
      <c r="S31" s="233"/>
    </row>
    <row r="32" spans="1:19">
      <c r="A32" s="233"/>
      <c r="B32" s="233"/>
      <c r="C32" s="233"/>
      <c r="D32" s="233" t="s">
        <v>335</v>
      </c>
      <c r="E32" s="233"/>
      <c r="F32" s="233"/>
      <c r="G32" s="233"/>
      <c r="H32" s="233"/>
      <c r="I32" s="233"/>
      <c r="J32" s="233"/>
      <c r="K32" s="233"/>
      <c r="L32" s="233"/>
      <c r="M32" s="233"/>
      <c r="N32" s="233"/>
      <c r="O32" s="233"/>
      <c r="P32" s="233"/>
      <c r="Q32" s="233"/>
      <c r="R32" s="233"/>
      <c r="S32" s="233"/>
    </row>
    <row r="33" spans="1:19">
      <c r="A33" s="233"/>
      <c r="B33" s="233"/>
      <c r="C33" s="233"/>
      <c r="D33" s="233" t="s">
        <v>336</v>
      </c>
      <c r="E33" s="233"/>
      <c r="F33" s="233"/>
      <c r="G33" s="233"/>
      <c r="H33" s="233"/>
      <c r="I33" s="233"/>
      <c r="J33" s="233"/>
      <c r="K33" s="233"/>
      <c r="L33" s="233"/>
      <c r="M33" s="233"/>
      <c r="N33" s="233"/>
      <c r="O33" s="233"/>
      <c r="P33" s="233"/>
      <c r="Q33" s="233"/>
      <c r="R33" s="233"/>
      <c r="S33" s="233"/>
    </row>
    <row r="34" spans="1:19">
      <c r="A34" s="233"/>
      <c r="B34" s="233"/>
      <c r="C34" s="233"/>
      <c r="D34" s="233" t="s">
        <v>337</v>
      </c>
      <c r="E34" s="233"/>
      <c r="F34" s="233"/>
      <c r="G34" s="233"/>
      <c r="H34" s="233"/>
      <c r="I34" s="233"/>
      <c r="J34" s="233"/>
      <c r="K34" s="233"/>
      <c r="L34" s="233"/>
      <c r="M34" s="233"/>
      <c r="N34" s="233"/>
      <c r="O34" s="233"/>
      <c r="P34" s="233"/>
      <c r="Q34" s="233"/>
      <c r="R34" s="233"/>
      <c r="S34" s="233"/>
    </row>
    <row r="35" spans="1:19">
      <c r="A35" s="233"/>
      <c r="B35" s="233"/>
      <c r="C35" s="233"/>
      <c r="D35" s="233" t="s">
        <v>338</v>
      </c>
      <c r="E35" s="233"/>
      <c r="F35" s="233"/>
      <c r="G35" s="233"/>
      <c r="H35" s="233"/>
      <c r="I35" s="233"/>
      <c r="J35" s="233"/>
      <c r="K35" s="233"/>
      <c r="L35" s="233"/>
      <c r="M35" s="233"/>
      <c r="N35" s="233"/>
      <c r="O35" s="233"/>
      <c r="P35" s="233"/>
      <c r="Q35" s="233"/>
      <c r="R35" s="233"/>
      <c r="S35" s="233"/>
    </row>
    <row r="36" spans="1:19">
      <c r="A36" s="233"/>
      <c r="B36" s="233"/>
      <c r="C36" s="233"/>
      <c r="D36" s="233" t="s">
        <v>339</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623</v>
      </c>
      <c r="E38" s="233" t="s">
        <v>645</v>
      </c>
      <c r="F38" s="233"/>
      <c r="G38" s="233"/>
      <c r="H38" s="233"/>
      <c r="I38" s="233"/>
      <c r="J38" s="233"/>
      <c r="K38" s="233"/>
      <c r="L38" s="233"/>
      <c r="M38" s="233"/>
      <c r="N38" s="233"/>
      <c r="O38" s="233"/>
      <c r="P38" s="233"/>
      <c r="Q38" s="233"/>
      <c r="R38" s="233"/>
      <c r="S38" s="233"/>
    </row>
    <row r="39" spans="1:19">
      <c r="A39" s="233"/>
      <c r="B39" s="233"/>
      <c r="C39" s="233"/>
      <c r="D39" s="233" t="s">
        <v>349</v>
      </c>
      <c r="E39" s="233"/>
      <c r="F39" s="233"/>
      <c r="G39" s="233"/>
      <c r="H39" s="233"/>
      <c r="I39" s="233"/>
      <c r="J39" s="233"/>
      <c r="K39" s="233"/>
      <c r="L39" s="233"/>
      <c r="M39" s="233"/>
      <c r="N39" s="233"/>
      <c r="O39" s="233"/>
      <c r="P39" s="233"/>
      <c r="Q39" s="233"/>
      <c r="R39" s="233"/>
      <c r="S39" s="233"/>
    </row>
    <row r="40" spans="1:19">
      <c r="A40" s="233"/>
      <c r="B40" s="233"/>
      <c r="C40" s="233"/>
      <c r="D40" s="233" t="s">
        <v>624</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623</v>
      </c>
      <c r="E42" s="233" t="s">
        <v>350</v>
      </c>
      <c r="F42" s="233"/>
      <c r="G42" s="233"/>
      <c r="H42" s="233"/>
      <c r="I42" s="233"/>
      <c r="J42" s="233"/>
      <c r="K42" s="233"/>
      <c r="L42" s="233"/>
      <c r="M42" s="233"/>
      <c r="N42" s="233"/>
      <c r="O42" s="233"/>
      <c r="P42" s="233"/>
      <c r="Q42" s="233"/>
      <c r="R42" s="233"/>
      <c r="S42" s="233"/>
    </row>
    <row r="43" spans="1:19">
      <c r="A43" s="233"/>
      <c r="B43" s="233"/>
      <c r="C43" s="233"/>
      <c r="D43" s="620"/>
      <c r="E43" s="233" t="s">
        <v>351</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623</v>
      </c>
      <c r="E45" s="233" t="s">
        <v>644</v>
      </c>
      <c r="F45" s="233"/>
      <c r="G45" s="233"/>
      <c r="H45" s="233"/>
      <c r="I45" s="233"/>
      <c r="J45" s="233"/>
      <c r="K45" s="233"/>
      <c r="L45" s="233"/>
      <c r="M45" s="233"/>
      <c r="N45" s="233"/>
      <c r="O45" s="233"/>
      <c r="P45" s="233"/>
      <c r="Q45" s="233"/>
      <c r="R45" s="233"/>
      <c r="S45" s="233"/>
    </row>
    <row r="46" spans="1:19">
      <c r="A46" s="233"/>
      <c r="B46" s="233"/>
      <c r="C46" s="233"/>
      <c r="D46" s="233" t="s">
        <v>627</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623</v>
      </c>
      <c r="E48" s="245" t="s">
        <v>228</v>
      </c>
      <c r="F48" s="575" t="s">
        <v>623</v>
      </c>
      <c r="G48" s="233" t="s">
        <v>340</v>
      </c>
      <c r="H48" s="233"/>
      <c r="I48" s="233"/>
      <c r="J48" s="233"/>
      <c r="K48" s="233"/>
      <c r="L48" s="233"/>
      <c r="M48" s="233"/>
      <c r="N48" s="233"/>
      <c r="O48" s="233"/>
      <c r="P48" s="233"/>
      <c r="Q48" s="233"/>
      <c r="R48" s="233"/>
      <c r="S48" s="233"/>
    </row>
    <row r="49" spans="1:19">
      <c r="A49" s="233"/>
      <c r="B49" s="233"/>
      <c r="C49" s="233"/>
      <c r="D49" s="233" t="s">
        <v>343</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623</v>
      </c>
      <c r="E51" s="233" t="s">
        <v>641</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732</v>
      </c>
      <c r="E53" s="245" t="s">
        <v>228</v>
      </c>
      <c r="F53" s="577" t="s">
        <v>732</v>
      </c>
      <c r="G53" s="18" t="s">
        <v>228</v>
      </c>
      <c r="H53" s="578" t="s">
        <v>732</v>
      </c>
      <c r="I53" t="s">
        <v>635</v>
      </c>
      <c r="Q53" s="86"/>
      <c r="R53" s="86"/>
      <c r="S53" s="233"/>
    </row>
    <row r="54" spans="1:19">
      <c r="A54" s="233"/>
      <c r="B54" s="233"/>
      <c r="C54" s="233"/>
      <c r="D54" s="233" t="s">
        <v>628</v>
      </c>
      <c r="E54" s="233"/>
      <c r="F54" s="233"/>
      <c r="G54" s="233"/>
      <c r="H54" s="233"/>
      <c r="I54" s="233"/>
      <c r="J54" s="233"/>
      <c r="K54" s="233"/>
      <c r="L54" s="233"/>
      <c r="M54" s="233"/>
      <c r="N54" s="233"/>
      <c r="O54" s="233"/>
      <c r="P54" s="233"/>
      <c r="Q54" s="233"/>
      <c r="R54" s="233"/>
      <c r="S54" s="233"/>
    </row>
    <row r="55" spans="1:19">
      <c r="A55" s="233"/>
      <c r="B55" s="233"/>
      <c r="C55" s="233"/>
      <c r="D55" s="233" t="s">
        <v>629</v>
      </c>
      <c r="E55" s="233"/>
      <c r="F55" s="233"/>
      <c r="G55" s="233"/>
      <c r="H55" s="233"/>
      <c r="I55" s="233"/>
      <c r="J55" s="233"/>
      <c r="K55" s="233"/>
      <c r="L55" s="233"/>
      <c r="M55" s="233"/>
      <c r="N55" s="233"/>
      <c r="O55" s="233"/>
      <c r="P55" s="233"/>
      <c r="Q55" s="233"/>
      <c r="R55" s="233"/>
      <c r="S55" s="233"/>
    </row>
    <row r="56" spans="1:19">
      <c r="A56" s="233"/>
      <c r="B56" s="233"/>
      <c r="C56" s="233"/>
      <c r="D56" s="233" t="s">
        <v>464</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630</v>
      </c>
      <c r="E58" s="248"/>
      <c r="F58" t="s">
        <v>638</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623</v>
      </c>
      <c r="E60" s="233" t="s">
        <v>637</v>
      </c>
      <c r="F60" s="233"/>
      <c r="G60" s="233"/>
      <c r="H60" s="233"/>
      <c r="I60" s="233"/>
      <c r="J60" s="233"/>
      <c r="K60" s="233"/>
      <c r="L60" s="233"/>
      <c r="M60" s="233"/>
      <c r="N60" s="233"/>
      <c r="O60" s="233"/>
      <c r="P60" s="233"/>
      <c r="Q60" s="233"/>
      <c r="R60" s="233"/>
      <c r="S60" s="233"/>
    </row>
    <row r="61" spans="1:19">
      <c r="A61" s="233"/>
      <c r="B61" s="233"/>
      <c r="C61" s="233"/>
      <c r="D61" s="233" t="s">
        <v>631</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632</v>
      </c>
      <c r="E63" s="233" t="s">
        <v>352</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633</v>
      </c>
      <c r="E65" s="456"/>
      <c r="F65" s="233" t="s">
        <v>622</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674</v>
      </c>
      <c r="D70" s="602"/>
      <c r="E70" s="233" t="s">
        <v>164</v>
      </c>
      <c r="F70" s="233"/>
      <c r="G70" s="233"/>
      <c r="H70" s="233"/>
      <c r="I70" s="233"/>
      <c r="J70" s="233"/>
      <c r="K70" s="233"/>
      <c r="L70" s="233"/>
      <c r="M70" s="233"/>
      <c r="N70" s="233"/>
      <c r="O70" s="233"/>
      <c r="P70" s="233"/>
      <c r="Q70" s="233"/>
      <c r="R70" s="233"/>
    </row>
    <row r="71" spans="1:19">
      <c r="A71" s="233"/>
      <c r="B71" s="233"/>
      <c r="C71" s="233" t="s">
        <v>466</v>
      </c>
      <c r="D71" s="233"/>
      <c r="E71" s="233"/>
      <c r="F71" s="233"/>
      <c r="G71" s="233"/>
      <c r="H71" s="233"/>
      <c r="I71" s="233"/>
      <c r="J71" s="233"/>
      <c r="K71" s="233"/>
      <c r="L71" s="233"/>
      <c r="M71" s="233"/>
      <c r="N71" s="233"/>
      <c r="O71" s="233"/>
      <c r="P71" s="233"/>
      <c r="Q71" s="233"/>
      <c r="R71" s="233"/>
    </row>
    <row r="72" spans="1:19">
      <c r="A72" s="233"/>
      <c r="B72" s="233"/>
      <c r="C72" s="233" t="s">
        <v>636</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672</v>
      </c>
      <c r="D74" s="233"/>
      <c r="E74" s="233"/>
      <c r="F74" s="233"/>
      <c r="G74" s="233"/>
      <c r="H74" s="233"/>
      <c r="I74" s="233"/>
      <c r="J74" s="233"/>
      <c r="K74" s="233"/>
      <c r="L74" s="233"/>
      <c r="M74" s="233"/>
      <c r="N74" s="233"/>
      <c r="O74" s="233"/>
      <c r="P74" s="233"/>
      <c r="Q74" s="233"/>
      <c r="R74" s="233"/>
    </row>
    <row r="75" spans="1:19" ht="13">
      <c r="A75" s="233"/>
      <c r="B75" s="233"/>
      <c r="C75" s="233" t="s">
        <v>357</v>
      </c>
      <c r="D75" s="233"/>
      <c r="E75" s="233"/>
      <c r="F75" s="233"/>
      <c r="G75" s="233"/>
      <c r="H75" s="233"/>
      <c r="I75" s="233"/>
      <c r="J75" s="233"/>
      <c r="K75" s="233"/>
      <c r="L75" s="233"/>
      <c r="M75" s="233"/>
      <c r="N75" s="233"/>
      <c r="O75" s="233"/>
      <c r="P75" s="233"/>
      <c r="Q75" s="233"/>
      <c r="R75" s="233"/>
    </row>
    <row r="76" spans="1:19">
      <c r="A76" s="233"/>
      <c r="B76" s="233"/>
      <c r="C76" s="233" t="s">
        <v>467</v>
      </c>
      <c r="D76" s="233"/>
      <c r="E76" s="233"/>
      <c r="F76" s="233"/>
      <c r="G76" s="233"/>
      <c r="H76" s="233"/>
      <c r="I76" s="233"/>
      <c r="J76" s="233"/>
      <c r="K76" s="233"/>
      <c r="L76" s="233"/>
      <c r="M76" s="233"/>
      <c r="N76" s="233"/>
      <c r="O76" s="233"/>
      <c r="P76" s="233"/>
      <c r="Q76" s="233"/>
      <c r="R76" s="233"/>
    </row>
    <row r="77" spans="1:19" ht="13">
      <c r="A77" s="233"/>
      <c r="B77" s="233"/>
      <c r="C77" s="233" t="s">
        <v>358</v>
      </c>
      <c r="D77" s="233"/>
      <c r="E77" s="233"/>
      <c r="F77" s="233"/>
      <c r="G77" s="233"/>
      <c r="H77" s="233"/>
      <c r="I77" s="233"/>
      <c r="J77" s="233"/>
      <c r="K77" s="233"/>
      <c r="L77" s="233"/>
      <c r="M77" s="233"/>
      <c r="N77" s="233"/>
      <c r="O77" s="233"/>
      <c r="P77" s="233"/>
      <c r="Q77" s="233"/>
      <c r="R77" s="233"/>
    </row>
    <row r="78" spans="1:19" ht="13">
      <c r="A78" s="233"/>
      <c r="B78" s="233"/>
      <c r="C78" s="233" t="s">
        <v>359</v>
      </c>
      <c r="D78" s="233"/>
      <c r="E78" s="233"/>
      <c r="F78" s="233"/>
      <c r="G78" s="233"/>
      <c r="H78" s="233"/>
      <c r="I78" s="233"/>
      <c r="J78" s="233"/>
      <c r="K78" s="233"/>
      <c r="L78" s="233"/>
      <c r="M78" s="233"/>
      <c r="N78" s="233"/>
      <c r="O78" s="233"/>
      <c r="P78" s="233"/>
      <c r="Q78" s="233"/>
      <c r="R78" s="233"/>
    </row>
    <row r="79" spans="1:19">
      <c r="A79" s="233"/>
      <c r="B79" s="233"/>
      <c r="C79" s="233" t="s">
        <v>360</v>
      </c>
      <c r="D79" s="233"/>
      <c r="E79" s="233"/>
      <c r="F79" s="233"/>
      <c r="G79" s="233"/>
      <c r="H79" s="233"/>
      <c r="I79" s="233"/>
      <c r="J79" s="233"/>
      <c r="K79" s="233"/>
      <c r="L79" s="233"/>
      <c r="M79" s="233"/>
      <c r="N79" s="233"/>
      <c r="O79" s="233"/>
      <c r="P79" s="233"/>
      <c r="Q79" s="233"/>
      <c r="R79" s="233"/>
    </row>
    <row r="80" spans="1:19">
      <c r="A80" s="233"/>
      <c r="B80" s="233"/>
      <c r="C80" s="233" t="s">
        <v>714</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673</v>
      </c>
      <c r="D83" s="601"/>
      <c r="E83" s="602"/>
      <c r="F83" s="233" t="s">
        <v>671</v>
      </c>
      <c r="G83" s="233"/>
      <c r="H83" s="233"/>
      <c r="I83" s="233"/>
      <c r="J83" s="233"/>
      <c r="K83" s="233"/>
      <c r="L83" s="233"/>
      <c r="M83" s="233"/>
      <c r="N83" s="233"/>
      <c r="O83" s="233"/>
      <c r="P83" s="233"/>
      <c r="Q83" s="233"/>
      <c r="R83" s="233"/>
    </row>
    <row r="84" spans="1:18">
      <c r="A84" s="233"/>
      <c r="B84" s="233"/>
      <c r="C84" s="233" t="s">
        <v>468</v>
      </c>
      <c r="D84" s="233"/>
      <c r="E84" s="233"/>
      <c r="F84" s="233"/>
      <c r="G84" s="233"/>
      <c r="H84" s="233"/>
      <c r="I84" s="233"/>
      <c r="J84" s="233"/>
      <c r="K84" s="233"/>
      <c r="L84" s="233"/>
      <c r="M84" s="233"/>
      <c r="N84" s="233"/>
      <c r="O84" s="233"/>
      <c r="P84" s="233"/>
      <c r="Q84" s="233"/>
      <c r="R84" s="233"/>
    </row>
    <row r="85" spans="1:18" ht="13">
      <c r="A85" s="233"/>
      <c r="B85" s="233"/>
      <c r="C85" s="233" t="s">
        <v>670</v>
      </c>
      <c r="D85" s="233"/>
      <c r="E85" s="233"/>
      <c r="F85" s="233"/>
      <c r="G85" s="233"/>
      <c r="H85" s="233"/>
      <c r="I85" s="233"/>
      <c r="J85" s="233"/>
      <c r="K85" s="233"/>
      <c r="L85" s="233"/>
      <c r="M85" s="233"/>
      <c r="N85" s="233"/>
      <c r="O85" s="233"/>
      <c r="P85" s="233"/>
      <c r="Q85" s="233"/>
      <c r="R85" s="233"/>
    </row>
    <row r="86" spans="1:18">
      <c r="A86" s="233"/>
      <c r="B86" s="233"/>
      <c r="C86" s="233" t="s">
        <v>675</v>
      </c>
      <c r="D86" s="233"/>
      <c r="E86" s="233"/>
      <c r="F86" s="233"/>
      <c r="G86" s="233"/>
      <c r="H86" s="233"/>
      <c r="I86" s="233"/>
      <c r="J86" s="233"/>
      <c r="K86" s="233"/>
      <c r="L86" s="233"/>
      <c r="M86" s="233"/>
      <c r="N86" s="233"/>
      <c r="O86" s="233"/>
      <c r="P86" s="233"/>
      <c r="Q86" s="233"/>
      <c r="R86" s="233"/>
    </row>
    <row r="87" spans="1:18" ht="13">
      <c r="A87" s="233"/>
      <c r="B87" s="233"/>
      <c r="C87" s="233" t="s">
        <v>289</v>
      </c>
      <c r="D87" s="233"/>
      <c r="E87" s="233"/>
      <c r="F87" s="233"/>
      <c r="G87" s="233"/>
      <c r="H87" s="233"/>
      <c r="I87" s="233"/>
      <c r="J87" s="233"/>
      <c r="K87" s="233"/>
      <c r="L87" s="233"/>
      <c r="M87" s="233"/>
      <c r="N87" s="233"/>
      <c r="O87" s="233"/>
      <c r="P87" s="233"/>
      <c r="Q87" s="233"/>
      <c r="R87" s="233"/>
    </row>
    <row r="88" spans="1:18">
      <c r="A88" s="233"/>
      <c r="B88" s="233"/>
      <c r="C88" s="233" t="s">
        <v>362</v>
      </c>
      <c r="D88" s="233"/>
      <c r="E88" s="233"/>
      <c r="F88" s="233"/>
      <c r="G88" s="233"/>
      <c r="H88" s="233"/>
      <c r="I88" s="233"/>
      <c r="J88" s="233"/>
      <c r="K88" s="233"/>
      <c r="L88" s="233"/>
      <c r="M88" s="233"/>
      <c r="N88" s="233"/>
      <c r="O88" s="233"/>
      <c r="P88" s="233"/>
      <c r="Q88" s="233"/>
      <c r="R88" s="233"/>
    </row>
    <row r="89" spans="1:18">
      <c r="A89" s="233"/>
      <c r="B89" s="233"/>
      <c r="C89" s="233" t="s">
        <v>361</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680</v>
      </c>
      <c r="D91" s="233"/>
      <c r="E91" s="233"/>
      <c r="F91" s="233"/>
      <c r="G91" s="233"/>
      <c r="H91" s="233"/>
      <c r="I91" s="233"/>
      <c r="J91" s="233"/>
      <c r="K91" s="233"/>
      <c r="L91" s="233"/>
      <c r="M91" s="233"/>
      <c r="N91" s="233"/>
      <c r="O91" s="233"/>
      <c r="P91" s="233"/>
      <c r="Q91" s="233"/>
      <c r="R91" s="233"/>
    </row>
    <row r="92" spans="1:18" ht="13">
      <c r="A92" s="233"/>
      <c r="B92" s="233"/>
      <c r="C92" s="233" t="s">
        <v>677</v>
      </c>
      <c r="D92" s="233"/>
      <c r="E92" s="233"/>
      <c r="F92" s="233"/>
      <c r="G92" s="233"/>
      <c r="H92" s="233"/>
      <c r="I92" s="233"/>
      <c r="J92" s="233"/>
      <c r="K92" s="233"/>
      <c r="L92" s="233"/>
      <c r="M92" s="233"/>
      <c r="N92" s="233"/>
      <c r="O92" s="233"/>
      <c r="P92" s="233"/>
      <c r="Q92" s="233"/>
      <c r="R92" s="233"/>
    </row>
    <row r="93" spans="1:18" ht="13">
      <c r="A93" s="233"/>
      <c r="B93" s="233"/>
      <c r="C93" s="233" t="s">
        <v>679</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714</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682</v>
      </c>
      <c r="D98" s="604"/>
      <c r="E98" s="604"/>
      <c r="F98" s="602"/>
      <c r="G98" s="233" t="s">
        <v>363</v>
      </c>
      <c r="H98" s="233"/>
      <c r="I98" s="233"/>
      <c r="J98" s="233"/>
      <c r="K98" s="233"/>
      <c r="L98" s="233"/>
      <c r="M98" s="233"/>
      <c r="N98" s="233"/>
      <c r="O98" s="233"/>
      <c r="P98" s="233"/>
      <c r="Q98" s="233"/>
      <c r="R98" s="233"/>
    </row>
    <row r="99" spans="1:19">
      <c r="A99" s="233"/>
      <c r="B99" s="233"/>
      <c r="C99" s="233" t="s">
        <v>364</v>
      </c>
      <c r="D99" s="233"/>
      <c r="E99" s="233"/>
      <c r="F99" s="233"/>
      <c r="G99" s="233"/>
      <c r="H99" s="233"/>
      <c r="I99" s="233"/>
      <c r="J99" s="233"/>
      <c r="K99" s="233"/>
      <c r="L99" s="233"/>
      <c r="M99" s="233"/>
      <c r="N99" s="233"/>
      <c r="O99" s="233"/>
      <c r="P99" s="233"/>
      <c r="Q99" s="233"/>
      <c r="R99" s="233"/>
    </row>
    <row r="100" spans="1:19">
      <c r="A100" s="233"/>
      <c r="B100" s="233"/>
      <c r="C100" s="233" t="s">
        <v>684</v>
      </c>
      <c r="D100" s="233"/>
      <c r="E100" s="233"/>
      <c r="F100" s="233"/>
      <c r="G100" s="233"/>
      <c r="H100" s="233"/>
      <c r="I100" s="233"/>
      <c r="J100" s="233"/>
      <c r="K100" s="233"/>
      <c r="L100" s="233"/>
      <c r="M100" s="233"/>
      <c r="N100" s="233"/>
      <c r="O100" s="233"/>
      <c r="P100" s="233"/>
      <c r="Q100" s="233"/>
      <c r="R100" s="233"/>
    </row>
    <row r="101" spans="1:19" ht="13">
      <c r="A101" s="233"/>
      <c r="B101" s="233"/>
      <c r="C101" s="233" t="s">
        <v>365</v>
      </c>
      <c r="D101" s="233"/>
      <c r="E101" s="233"/>
      <c r="F101" s="233"/>
      <c r="G101" s="233"/>
      <c r="H101" s="233"/>
      <c r="I101" s="233"/>
      <c r="J101" s="233"/>
      <c r="K101" s="233"/>
      <c r="L101" s="233"/>
      <c r="M101" s="233"/>
      <c r="N101" s="233"/>
      <c r="O101" s="233"/>
      <c r="P101" s="233"/>
      <c r="Q101" s="233"/>
      <c r="R101" s="233"/>
    </row>
    <row r="102" spans="1:19">
      <c r="A102" s="233"/>
      <c r="B102" s="233"/>
      <c r="C102" s="233" t="s">
        <v>683</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694</v>
      </c>
      <c r="C107" s="190"/>
      <c r="D107" s="233" t="s">
        <v>695</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696</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806</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697</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698</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699</v>
      </c>
      <c r="D117" s="233"/>
      <c r="E117" s="233"/>
      <c r="F117" s="233"/>
      <c r="G117" s="233"/>
      <c r="H117" s="233"/>
      <c r="I117" s="233"/>
      <c r="J117" s="233"/>
      <c r="K117" s="233"/>
      <c r="L117" s="233"/>
      <c r="M117" s="233"/>
      <c r="N117" s="233"/>
      <c r="O117" s="233"/>
      <c r="P117" s="233"/>
      <c r="Q117" s="233"/>
      <c r="R117" s="233"/>
      <c r="S117" s="233"/>
    </row>
    <row r="118" spans="1:19">
      <c r="A118" s="233"/>
      <c r="B118" s="245"/>
      <c r="C118" s="233" t="s">
        <v>700</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701</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702</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703</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366</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704</v>
      </c>
      <c r="C129" s="190"/>
      <c r="D129" s="233" t="s">
        <v>705</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8" t="s">
        <v>706</v>
      </c>
      <c r="C131" s="808" t="s">
        <v>707</v>
      </c>
      <c r="D131" s="810" t="s">
        <v>193</v>
      </c>
      <c r="E131" s="809"/>
      <c r="F131" s="586"/>
      <c r="G131" s="586"/>
      <c r="H131" s="586"/>
      <c r="I131" s="586"/>
      <c r="J131" s="586"/>
      <c r="K131" s="586"/>
      <c r="L131" s="586"/>
      <c r="M131" s="586"/>
      <c r="N131" s="586"/>
      <c r="O131" s="603"/>
      <c r="P131" s="233"/>
      <c r="Q131" s="233"/>
      <c r="R131" s="233"/>
      <c r="S131" s="233"/>
    </row>
    <row r="132" spans="1:19">
      <c r="A132" s="233"/>
      <c r="B132" s="608">
        <v>2</v>
      </c>
      <c r="C132" s="640">
        <v>38382</v>
      </c>
      <c r="D132" s="609" t="s">
        <v>708</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471</v>
      </c>
      <c r="E133" s="586"/>
      <c r="F133" s="586"/>
      <c r="G133" s="586"/>
      <c r="H133" s="586"/>
      <c r="I133" s="586"/>
      <c r="J133" s="586"/>
      <c r="K133" s="586"/>
      <c r="L133" s="586"/>
      <c r="M133" s="586"/>
      <c r="N133" s="586"/>
      <c r="O133" s="603"/>
      <c r="P133" s="233"/>
      <c r="Q133" s="233"/>
      <c r="R133" s="233"/>
      <c r="S133" s="233"/>
    </row>
    <row r="134" spans="1:19">
      <c r="A134" s="233"/>
      <c r="B134" s="641" t="s">
        <v>639</v>
      </c>
      <c r="C134" s="640">
        <v>38395</v>
      </c>
      <c r="D134" s="607" t="s">
        <v>640</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661</v>
      </c>
      <c r="C136" s="640">
        <v>38409</v>
      </c>
      <c r="D136" s="607" t="s">
        <v>662</v>
      </c>
      <c r="E136" s="586"/>
      <c r="F136" s="586"/>
      <c r="G136" s="586"/>
      <c r="H136" s="586"/>
      <c r="I136" s="586"/>
      <c r="J136" s="586"/>
      <c r="K136" s="586"/>
      <c r="L136" s="586"/>
      <c r="M136" s="586"/>
      <c r="N136" s="586"/>
      <c r="O136" s="603"/>
      <c r="P136" s="233"/>
      <c r="Q136" s="233"/>
      <c r="R136" s="233"/>
      <c r="S136" s="233"/>
    </row>
    <row r="137" spans="1:19">
      <c r="A137" s="233"/>
      <c r="B137" s="641" t="s">
        <v>541</v>
      </c>
      <c r="C137" s="640">
        <v>38410</v>
      </c>
      <c r="D137" s="607" t="s">
        <v>542</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642</v>
      </c>
      <c r="C140" s="640">
        <v>38526</v>
      </c>
      <c r="D140" s="607" t="s">
        <v>643</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658</v>
      </c>
      <c r="E141" s="586"/>
      <c r="F141" s="586"/>
      <c r="G141" s="586"/>
      <c r="H141" s="586"/>
      <c r="I141" s="586"/>
      <c r="J141" s="586"/>
      <c r="K141" s="586"/>
      <c r="L141" s="586"/>
      <c r="M141" s="586"/>
      <c r="N141" s="586"/>
      <c r="O141" s="603"/>
      <c r="P141" s="233"/>
      <c r="Q141" s="233"/>
      <c r="R141" s="233"/>
      <c r="S141" s="233"/>
    </row>
    <row r="142" spans="1:19" ht="13">
      <c r="A142" s="233"/>
      <c r="B142" s="641" t="s">
        <v>290</v>
      </c>
      <c r="C142" s="640">
        <v>38623</v>
      </c>
      <c r="D142" s="607" t="s">
        <v>291</v>
      </c>
      <c r="E142" s="586"/>
      <c r="F142" s="586"/>
      <c r="G142" s="586"/>
      <c r="H142" s="586"/>
      <c r="I142" s="586"/>
      <c r="J142" s="586"/>
      <c r="K142" s="586"/>
      <c r="L142" s="586"/>
      <c r="M142" s="586"/>
      <c r="N142" s="586"/>
      <c r="O142" s="603"/>
      <c r="P142" s="233"/>
      <c r="Q142" s="233"/>
      <c r="R142" s="233"/>
      <c r="S142" s="233"/>
    </row>
    <row r="143" spans="1:19">
      <c r="A143" s="233"/>
      <c r="B143" s="641" t="s">
        <v>747</v>
      </c>
      <c r="C143" s="640">
        <v>38629</v>
      </c>
      <c r="D143" s="607" t="s">
        <v>748</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1" t="s">
        <v>208</v>
      </c>
      <c r="D145" s="607" t="s">
        <v>207</v>
      </c>
      <c r="E145" s="586"/>
      <c r="F145" s="586"/>
      <c r="G145" s="586"/>
      <c r="H145" s="586"/>
      <c r="I145" s="586"/>
      <c r="J145" s="586"/>
      <c r="K145" s="586"/>
      <c r="L145" s="586"/>
      <c r="M145" s="586"/>
      <c r="N145" s="586"/>
      <c r="O145" s="603"/>
      <c r="P145" s="233"/>
      <c r="Q145" s="233"/>
      <c r="R145" s="233"/>
      <c r="S145" s="233"/>
    </row>
    <row r="146" spans="1:19">
      <c r="A146" s="233"/>
      <c r="B146" s="829" t="s">
        <v>919</v>
      </c>
      <c r="C146" s="640">
        <v>39513</v>
      </c>
      <c r="D146" s="830" t="s">
        <v>921</v>
      </c>
      <c r="E146" s="586"/>
      <c r="F146" s="586"/>
      <c r="G146" s="586"/>
      <c r="H146" s="586"/>
      <c r="I146" s="586"/>
      <c r="J146" s="586"/>
      <c r="K146" s="586"/>
      <c r="L146" s="586"/>
      <c r="M146" s="586"/>
      <c r="N146" s="586"/>
      <c r="O146" s="603"/>
      <c r="P146" s="233"/>
      <c r="Q146" s="233"/>
      <c r="R146" s="233"/>
      <c r="S146" s="233"/>
    </row>
    <row r="147" spans="1:19">
      <c r="A147" s="233"/>
      <c r="B147" s="641" t="s">
        <v>920</v>
      </c>
      <c r="C147" s="640">
        <v>39525</v>
      </c>
      <c r="D147" s="607" t="s">
        <v>922</v>
      </c>
      <c r="E147" s="586"/>
      <c r="F147" s="586"/>
      <c r="G147" s="586"/>
      <c r="H147" s="586"/>
      <c r="I147" s="586"/>
      <c r="J147" s="586"/>
      <c r="K147" s="586"/>
      <c r="L147" s="586"/>
      <c r="M147" s="586"/>
      <c r="N147" s="586"/>
      <c r="O147" s="603"/>
      <c r="P147" s="233"/>
      <c r="Q147" s="233"/>
      <c r="R147" s="233"/>
      <c r="S147" s="233"/>
    </row>
    <row r="148" spans="1:19">
      <c r="A148" s="233"/>
      <c r="B148" s="829" t="s">
        <v>923</v>
      </c>
      <c r="C148" s="640">
        <v>39799</v>
      </c>
      <c r="D148" s="830" t="s">
        <v>924</v>
      </c>
      <c r="E148" s="586"/>
      <c r="F148" s="586"/>
      <c r="G148" s="586"/>
      <c r="H148" s="586"/>
      <c r="I148" s="586"/>
      <c r="J148" s="586"/>
      <c r="K148" s="586"/>
      <c r="L148" s="586"/>
      <c r="M148" s="586"/>
      <c r="N148" s="586"/>
      <c r="O148" s="603"/>
      <c r="P148" s="233"/>
      <c r="Q148" s="233"/>
      <c r="R148" s="233"/>
      <c r="S148" s="233"/>
    </row>
    <row r="149" spans="1:19">
      <c r="A149" s="233"/>
      <c r="B149" s="641" t="s">
        <v>926</v>
      </c>
      <c r="C149" s="640">
        <v>41709</v>
      </c>
      <c r="D149" s="607" t="s">
        <v>931</v>
      </c>
      <c r="E149" s="586"/>
      <c r="F149" s="586"/>
      <c r="G149" s="586"/>
      <c r="H149" s="586"/>
      <c r="I149" s="586"/>
      <c r="J149" s="586"/>
      <c r="K149" s="586"/>
      <c r="L149" s="586"/>
      <c r="M149" s="586"/>
      <c r="N149" s="586"/>
      <c r="O149" s="603"/>
      <c r="P149" s="233"/>
      <c r="Q149" s="233"/>
      <c r="R149" s="233"/>
      <c r="S149" s="233"/>
    </row>
    <row r="150" spans="1:19">
      <c r="A150" s="233"/>
      <c r="B150" s="888" t="s">
        <v>934</v>
      </c>
      <c r="C150" s="887">
        <v>42663</v>
      </c>
      <c r="D150" s="607" t="s">
        <v>936</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5"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6" t="s">
        <v>499</v>
      </c>
      <c r="C3" s="101"/>
      <c r="D3" s="101"/>
      <c r="E3" s="101"/>
      <c r="F3" s="101"/>
      <c r="G3" s="101"/>
      <c r="H3" s="101"/>
      <c r="I3" s="101"/>
      <c r="J3" s="105"/>
      <c r="K3" s="23"/>
      <c r="L3" s="23"/>
      <c r="M3" s="23"/>
      <c r="N3" s="23"/>
      <c r="O3" s="23"/>
      <c r="P3" s="23"/>
      <c r="Q3" s="23"/>
      <c r="R3" s="23"/>
      <c r="S3" s="23"/>
      <c r="T3" s="23"/>
      <c r="U3" s="23"/>
    </row>
    <row r="4" spans="1:21">
      <c r="A4" s="23"/>
      <c r="B4" s="100" t="s">
        <v>303</v>
      </c>
      <c r="C4" s="101"/>
      <c r="D4" s="101"/>
      <c r="E4" s="101"/>
      <c r="F4" s="101"/>
      <c r="G4" s="101"/>
      <c r="H4" s="101"/>
      <c r="I4" s="101"/>
      <c r="J4" s="105"/>
      <c r="K4" s="23"/>
      <c r="L4" s="23"/>
      <c r="M4" s="23"/>
      <c r="N4" s="23"/>
      <c r="O4" s="23"/>
      <c r="P4" s="23"/>
      <c r="Q4" s="23"/>
      <c r="R4" s="23"/>
      <c r="S4" s="23"/>
      <c r="T4" s="23"/>
      <c r="U4" s="23"/>
    </row>
    <row r="5" spans="1:21" ht="13">
      <c r="A5" s="23"/>
      <c r="B5" s="790" t="s">
        <v>312</v>
      </c>
      <c r="C5" s="787">
        <f>Orbit!B98</f>
        <v>19.062200000000001</v>
      </c>
      <c r="D5" s="101" t="s">
        <v>4</v>
      </c>
      <c r="E5" s="101"/>
      <c r="F5" s="101"/>
      <c r="G5" s="101"/>
      <c r="H5" s="101"/>
      <c r="I5" s="101"/>
      <c r="J5" s="105"/>
      <c r="K5" s="23"/>
      <c r="L5" s="23"/>
      <c r="M5" s="23"/>
      <c r="N5" s="23"/>
      <c r="O5" s="23"/>
      <c r="P5" s="23"/>
      <c r="Q5" s="23"/>
      <c r="R5" s="23"/>
      <c r="S5" s="23"/>
      <c r="T5" s="23"/>
      <c r="U5" s="23"/>
    </row>
    <row r="6" spans="1:21">
      <c r="A6" s="23"/>
      <c r="B6" s="100" t="s">
        <v>313</v>
      </c>
      <c r="C6" s="31">
        <f>IF(C5&gt;0,1,0)</f>
        <v>1</v>
      </c>
      <c r="D6" s="101"/>
      <c r="E6" s="101" t="s">
        <v>714</v>
      </c>
      <c r="F6" s="101"/>
      <c r="G6" s="101" t="s">
        <v>314</v>
      </c>
      <c r="H6" s="101"/>
      <c r="I6" s="101"/>
      <c r="J6" s="105"/>
      <c r="K6" s="23"/>
      <c r="L6" s="23"/>
      <c r="M6" s="23"/>
      <c r="N6" s="23"/>
      <c r="O6" s="23"/>
      <c r="P6" s="23"/>
      <c r="Q6" s="23"/>
      <c r="R6" s="23"/>
      <c r="S6" s="23"/>
      <c r="T6" s="23"/>
      <c r="U6" s="23"/>
    </row>
    <row r="7" spans="1:21">
      <c r="A7" s="23"/>
      <c r="B7" s="100"/>
      <c r="C7" s="31">
        <f>N(NOT(C6))</f>
        <v>0</v>
      </c>
      <c r="D7" s="101"/>
      <c r="E7" s="101"/>
      <c r="F7" s="101"/>
      <c r="G7" s="101" t="s">
        <v>315</v>
      </c>
      <c r="H7" s="101"/>
      <c r="I7" s="101"/>
      <c r="J7" s="105"/>
      <c r="K7" s="23"/>
      <c r="L7" s="23"/>
      <c r="M7" s="23"/>
      <c r="N7" s="23"/>
      <c r="O7" s="23"/>
      <c r="P7" s="23"/>
      <c r="Q7" s="23"/>
      <c r="R7" s="23"/>
      <c r="S7" s="23"/>
      <c r="T7" s="23"/>
      <c r="U7" s="23"/>
    </row>
    <row r="8" spans="1:21" ht="13">
      <c r="A8" s="23"/>
      <c r="B8" s="791" t="s">
        <v>319</v>
      </c>
      <c r="C8" s="787">
        <f>Orbit!B101</f>
        <v>-16.625799999999998</v>
      </c>
      <c r="D8" s="101" t="s">
        <v>4</v>
      </c>
      <c r="E8" s="101" t="s">
        <v>714</v>
      </c>
      <c r="F8" s="101"/>
      <c r="G8" s="101" t="s">
        <v>714</v>
      </c>
      <c r="H8" s="101"/>
      <c r="I8" s="101"/>
      <c r="J8" s="105"/>
      <c r="K8" s="23"/>
      <c r="L8" s="23"/>
      <c r="M8" s="23"/>
      <c r="N8" s="23"/>
      <c r="O8" s="23"/>
      <c r="P8" s="23"/>
      <c r="Q8" s="23"/>
      <c r="R8" s="23"/>
      <c r="S8" s="23"/>
      <c r="T8" s="23"/>
      <c r="U8" s="23"/>
    </row>
    <row r="9" spans="1:21">
      <c r="A9" s="23"/>
      <c r="B9" s="100" t="s">
        <v>304</v>
      </c>
      <c r="C9" s="31">
        <f>IF(C8&gt;0,1,0)</f>
        <v>0</v>
      </c>
      <c r="D9" s="101"/>
      <c r="E9" s="101"/>
      <c r="F9" s="101"/>
      <c r="G9" s="101" t="s">
        <v>316</v>
      </c>
      <c r="H9" s="101"/>
      <c r="I9" s="101"/>
      <c r="J9" s="105"/>
      <c r="K9" s="23"/>
      <c r="L9" s="23"/>
      <c r="M9" s="23"/>
      <c r="N9" s="23"/>
      <c r="O9" s="23"/>
      <c r="P9" s="23"/>
      <c r="Q9" s="23"/>
      <c r="R9" s="23"/>
      <c r="S9" s="23"/>
      <c r="T9" s="23"/>
      <c r="U9" s="23"/>
    </row>
    <row r="10" spans="1:21">
      <c r="A10" s="23"/>
      <c r="B10" s="100"/>
      <c r="C10" s="31">
        <f>N(NOT(C9))</f>
        <v>1</v>
      </c>
      <c r="D10" s="101"/>
      <c r="E10" s="101"/>
      <c r="F10" s="101"/>
      <c r="G10" s="101" t="s">
        <v>317</v>
      </c>
      <c r="H10" s="101"/>
      <c r="I10" s="101"/>
      <c r="J10" s="105"/>
      <c r="K10" s="23"/>
      <c r="L10" s="23"/>
      <c r="M10" s="23"/>
      <c r="N10" s="23"/>
      <c r="O10" s="23"/>
      <c r="P10" s="23"/>
      <c r="Q10" s="23"/>
      <c r="R10" s="23"/>
      <c r="S10" s="23"/>
      <c r="T10" s="23"/>
      <c r="U10" s="23"/>
    </row>
    <row r="11" spans="1:21">
      <c r="A11" s="23"/>
      <c r="B11" s="100"/>
      <c r="C11" s="794" t="s">
        <v>327</v>
      </c>
      <c r="D11" s="101"/>
      <c r="E11" s="794" t="s">
        <v>325</v>
      </c>
      <c r="F11" s="101"/>
      <c r="G11" s="794" t="s">
        <v>206</v>
      </c>
      <c r="H11" s="101"/>
      <c r="I11" s="101"/>
      <c r="J11" s="105"/>
      <c r="K11" s="23"/>
      <c r="L11" s="23"/>
      <c r="M11" s="23"/>
      <c r="N11" s="23"/>
      <c r="O11" s="23"/>
      <c r="P11" s="23"/>
      <c r="Q11" s="23"/>
      <c r="R11" s="23"/>
      <c r="S11" s="23"/>
      <c r="T11" s="23"/>
      <c r="U11" s="23"/>
    </row>
    <row r="12" spans="1:21">
      <c r="A12" s="23"/>
      <c r="B12" s="792" t="s">
        <v>305</v>
      </c>
      <c r="C12" s="31">
        <f>N(AND(C7,C10))</f>
        <v>0</v>
      </c>
      <c r="D12" s="101"/>
      <c r="E12" s="793">
        <f>C12*(-C17)</f>
        <v>0</v>
      </c>
      <c r="F12" s="101" t="s">
        <v>4</v>
      </c>
      <c r="G12" s="101" t="s">
        <v>309</v>
      </c>
      <c r="H12" s="101"/>
      <c r="I12" s="101"/>
      <c r="J12" s="105"/>
      <c r="K12" s="23"/>
      <c r="L12" s="23"/>
      <c r="M12" s="23"/>
      <c r="N12" s="23"/>
      <c r="O12" s="23"/>
      <c r="P12" s="23"/>
      <c r="Q12" s="23"/>
      <c r="R12" s="23"/>
      <c r="S12" s="23"/>
      <c r="T12" s="23"/>
      <c r="U12" s="23"/>
    </row>
    <row r="13" spans="1:21">
      <c r="A13" s="23"/>
      <c r="B13" s="100" t="s">
        <v>307</v>
      </c>
      <c r="C13" s="31">
        <f>N(AND(C6,C10))</f>
        <v>1</v>
      </c>
      <c r="D13" s="101"/>
      <c r="E13" s="793">
        <f>C13*(180-C17)</f>
        <v>137.56350986344964</v>
      </c>
      <c r="F13" s="101" t="s">
        <v>4</v>
      </c>
      <c r="G13" s="101" t="s">
        <v>311</v>
      </c>
      <c r="H13" s="101"/>
      <c r="I13" s="101"/>
      <c r="J13" s="105"/>
      <c r="K13" s="23"/>
      <c r="L13" s="23"/>
      <c r="M13" s="23"/>
      <c r="N13" s="23"/>
      <c r="O13" s="23"/>
      <c r="P13" s="23"/>
      <c r="Q13" s="23"/>
      <c r="R13" s="23"/>
      <c r="S13" s="23"/>
      <c r="T13" s="23"/>
      <c r="U13" s="23"/>
    </row>
    <row r="14" spans="1:21">
      <c r="A14" s="23"/>
      <c r="B14" s="792" t="s">
        <v>308</v>
      </c>
      <c r="C14" s="31">
        <f>N(AND(C6,C9))</f>
        <v>0</v>
      </c>
      <c r="D14" s="101"/>
      <c r="E14" s="793">
        <f>C14*(180-C17)</f>
        <v>0</v>
      </c>
      <c r="F14" s="101" t="s">
        <v>4</v>
      </c>
      <c r="G14" s="101" t="s">
        <v>318</v>
      </c>
      <c r="H14" s="101"/>
      <c r="I14" s="101"/>
      <c r="J14" s="105"/>
      <c r="K14" s="23"/>
      <c r="L14" s="23"/>
      <c r="M14" s="23"/>
      <c r="N14" s="23"/>
      <c r="O14" s="23"/>
      <c r="P14" s="23"/>
      <c r="Q14" s="23"/>
      <c r="R14" s="23"/>
      <c r="S14" s="23"/>
      <c r="T14" s="23"/>
      <c r="U14" s="23"/>
    </row>
    <row r="15" spans="1:21">
      <c r="A15" s="23"/>
      <c r="B15" s="792" t="s">
        <v>306</v>
      </c>
      <c r="C15" s="31">
        <f>N(AND(C7,C9))</f>
        <v>0</v>
      </c>
      <c r="D15" s="101"/>
      <c r="E15" s="793">
        <f>C15*(360-C17)</f>
        <v>0</v>
      </c>
      <c r="F15" s="101" t="s">
        <v>4</v>
      </c>
      <c r="G15" s="101" t="s">
        <v>310</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0" t="s">
        <v>320</v>
      </c>
      <c r="C17" s="786">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0" t="s">
        <v>321</v>
      </c>
      <c r="C19" s="101"/>
      <c r="D19" s="101"/>
      <c r="E19" s="788">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8"/>
      <c r="C23" s="798"/>
      <c r="D23" s="798"/>
      <c r="E23" s="798"/>
      <c r="F23" s="798"/>
      <c r="G23" s="798"/>
      <c r="H23" s="798"/>
      <c r="I23" s="798"/>
      <c r="J23" s="798"/>
      <c r="K23" s="23"/>
      <c r="L23" s="23"/>
      <c r="M23" s="23"/>
      <c r="N23" s="23"/>
      <c r="O23" s="23"/>
      <c r="P23" s="23"/>
      <c r="Q23" s="23"/>
      <c r="R23" s="23"/>
      <c r="S23" s="23"/>
      <c r="T23" s="23"/>
      <c r="U23" s="23"/>
    </row>
    <row r="24" spans="1:21" ht="13">
      <c r="A24" s="23"/>
      <c r="B24" s="796" t="s">
        <v>28</v>
      </c>
      <c r="C24" s="101"/>
      <c r="D24" s="101"/>
      <c r="E24" s="101"/>
      <c r="F24" s="101"/>
      <c r="G24" s="101"/>
      <c r="H24" s="101"/>
      <c r="I24" s="101"/>
      <c r="J24" s="105"/>
      <c r="K24" s="23"/>
      <c r="L24" s="23"/>
      <c r="M24" s="23"/>
      <c r="N24" s="23"/>
      <c r="O24" s="23"/>
      <c r="P24" s="23"/>
      <c r="Q24" s="23"/>
      <c r="R24" s="23"/>
      <c r="S24" s="23"/>
      <c r="T24" s="23"/>
      <c r="U24" s="23"/>
    </row>
    <row r="25" spans="1:21">
      <c r="A25" s="23"/>
      <c r="B25" s="100" t="s">
        <v>303</v>
      </c>
      <c r="C25" s="101"/>
      <c r="D25" s="101"/>
      <c r="E25" s="101"/>
      <c r="F25" s="101"/>
      <c r="G25" s="101"/>
      <c r="H25" s="101"/>
      <c r="I25" s="101"/>
      <c r="J25" s="105"/>
      <c r="K25" s="23"/>
      <c r="L25" s="23"/>
      <c r="M25" s="23"/>
      <c r="N25" s="23"/>
      <c r="O25" s="23"/>
      <c r="P25" s="23"/>
      <c r="Q25" s="23"/>
      <c r="R25" s="23"/>
      <c r="S25" s="23"/>
      <c r="T25" s="23"/>
      <c r="U25" s="23"/>
    </row>
    <row r="26" spans="1:21" ht="13">
      <c r="A26" s="23"/>
      <c r="B26" s="790" t="s">
        <v>312</v>
      </c>
      <c r="C26" s="787">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313</v>
      </c>
      <c r="C27" s="31">
        <f>IF(C26&gt;0,1,0)</f>
        <v>1</v>
      </c>
      <c r="D27" s="101"/>
      <c r="E27" s="101" t="s">
        <v>714</v>
      </c>
      <c r="F27" s="101"/>
      <c r="G27" s="101" t="s">
        <v>314</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315</v>
      </c>
      <c r="H28" s="101"/>
      <c r="I28" s="101"/>
      <c r="J28" s="105"/>
      <c r="K28" s="23"/>
      <c r="L28" s="23"/>
      <c r="M28" s="23"/>
      <c r="N28" s="23"/>
      <c r="O28" s="23"/>
      <c r="P28" s="23"/>
      <c r="Q28" s="23"/>
      <c r="R28" s="23"/>
      <c r="S28" s="23"/>
      <c r="T28" s="23"/>
      <c r="U28" s="23"/>
    </row>
    <row r="29" spans="1:21" ht="13">
      <c r="A29" s="23"/>
      <c r="B29" s="791" t="s">
        <v>319</v>
      </c>
      <c r="C29" s="787">
        <f>Orbit!O101</f>
        <v>-11.034199999999998</v>
      </c>
      <c r="D29" s="101" t="s">
        <v>4</v>
      </c>
      <c r="E29" s="101" t="s">
        <v>714</v>
      </c>
      <c r="F29" s="101"/>
      <c r="G29" s="101" t="s">
        <v>714</v>
      </c>
      <c r="H29" s="101"/>
      <c r="I29" s="101"/>
      <c r="J29" s="105"/>
      <c r="K29" s="23"/>
      <c r="L29" s="23"/>
      <c r="M29" s="23"/>
      <c r="N29" s="23" t="s">
        <v>714</v>
      </c>
      <c r="O29" s="23"/>
      <c r="P29" s="23"/>
      <c r="Q29" s="23"/>
      <c r="R29" s="23"/>
      <c r="S29" s="23"/>
      <c r="T29" s="23"/>
      <c r="U29" s="23"/>
    </row>
    <row r="30" spans="1:21">
      <c r="A30" s="23"/>
      <c r="B30" s="100" t="s">
        <v>304</v>
      </c>
      <c r="C30" s="31">
        <f>IF(C29&gt;0,1,0)</f>
        <v>0</v>
      </c>
      <c r="D30" s="101"/>
      <c r="E30" s="101"/>
      <c r="F30" s="101"/>
      <c r="G30" s="101" t="s">
        <v>316</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317</v>
      </c>
      <c r="H31" s="101"/>
      <c r="I31" s="101"/>
      <c r="J31" s="105"/>
      <c r="K31" s="23"/>
      <c r="L31" s="23"/>
      <c r="M31" s="23"/>
      <c r="N31" s="23"/>
      <c r="O31" s="23"/>
      <c r="P31" s="23"/>
      <c r="Q31" s="23"/>
      <c r="R31" s="23"/>
      <c r="S31" s="23"/>
      <c r="T31" s="23"/>
      <c r="U31" s="23"/>
    </row>
    <row r="32" spans="1:21">
      <c r="A32" s="23"/>
      <c r="B32" s="100"/>
      <c r="C32" s="794" t="s">
        <v>327</v>
      </c>
      <c r="D32" s="101"/>
      <c r="E32" s="794" t="s">
        <v>325</v>
      </c>
      <c r="F32" s="101"/>
      <c r="G32" s="794" t="s">
        <v>326</v>
      </c>
      <c r="H32" s="101"/>
      <c r="I32" s="101"/>
      <c r="J32" s="105"/>
      <c r="K32" s="23"/>
      <c r="L32" s="23"/>
      <c r="M32" s="23"/>
      <c r="N32" s="23"/>
      <c r="O32" s="23"/>
      <c r="P32" s="23"/>
      <c r="Q32" s="23"/>
      <c r="R32" s="23"/>
      <c r="S32" s="23"/>
      <c r="T32" s="23"/>
      <c r="U32" s="23"/>
    </row>
    <row r="33" spans="1:21">
      <c r="A33" s="23"/>
      <c r="B33" s="792" t="s">
        <v>305</v>
      </c>
      <c r="C33" s="31">
        <f>N(AND(C28,C31))</f>
        <v>0</v>
      </c>
      <c r="D33" s="101"/>
      <c r="E33" s="793">
        <f>C33*(-C38)</f>
        <v>0</v>
      </c>
      <c r="F33" s="101" t="s">
        <v>4</v>
      </c>
      <c r="G33" s="101" t="s">
        <v>309</v>
      </c>
      <c r="H33" s="101"/>
      <c r="I33" s="101"/>
      <c r="J33" s="105"/>
      <c r="K33" s="23"/>
      <c r="L33" s="23"/>
      <c r="M33" s="23"/>
      <c r="N33" s="23"/>
      <c r="O33" s="23"/>
      <c r="P33" s="23"/>
      <c r="Q33" s="23"/>
      <c r="R33" s="23"/>
      <c r="S33" s="23"/>
      <c r="T33" s="23"/>
      <c r="U33" s="23"/>
    </row>
    <row r="34" spans="1:21">
      <c r="A34" s="23"/>
      <c r="B34" s="100" t="s">
        <v>307</v>
      </c>
      <c r="C34" s="31">
        <f>N(AND(C27,C31))</f>
        <v>1</v>
      </c>
      <c r="D34" s="101"/>
      <c r="E34" s="793">
        <f>C34*(180-C38)</f>
        <v>146.93483583660557</v>
      </c>
      <c r="F34" s="101" t="s">
        <v>4</v>
      </c>
      <c r="G34" s="101" t="s">
        <v>311</v>
      </c>
      <c r="H34" s="101"/>
      <c r="I34" s="101"/>
      <c r="J34" s="105"/>
      <c r="K34" s="23"/>
      <c r="L34" s="23"/>
      <c r="M34" s="23"/>
      <c r="N34" s="23"/>
      <c r="O34" s="23"/>
      <c r="P34" s="23"/>
      <c r="Q34" s="23"/>
      <c r="R34" s="23"/>
      <c r="S34" s="23"/>
      <c r="T34" s="23"/>
      <c r="U34" s="23"/>
    </row>
    <row r="35" spans="1:21">
      <c r="A35" s="23"/>
      <c r="B35" s="792" t="s">
        <v>308</v>
      </c>
      <c r="C35" s="31">
        <f>N(AND(C27,C30))</f>
        <v>0</v>
      </c>
      <c r="D35" s="101"/>
      <c r="E35" s="793">
        <f>C35*(180-C38)</f>
        <v>0</v>
      </c>
      <c r="F35" s="101" t="s">
        <v>4</v>
      </c>
      <c r="G35" s="101" t="s">
        <v>318</v>
      </c>
      <c r="H35" s="101"/>
      <c r="I35" s="101"/>
      <c r="J35" s="105"/>
      <c r="K35" s="23"/>
      <c r="L35" s="23"/>
      <c r="M35" s="23"/>
      <c r="N35" s="23"/>
      <c r="O35" s="23"/>
      <c r="P35" s="23"/>
      <c r="Q35" s="23"/>
      <c r="R35" s="23"/>
      <c r="S35" s="23"/>
      <c r="T35" s="23"/>
      <c r="U35" s="23"/>
    </row>
    <row r="36" spans="1:21">
      <c r="A36" s="23"/>
      <c r="B36" s="792" t="s">
        <v>306</v>
      </c>
      <c r="C36" s="31">
        <f>N(AND(C28,C30))</f>
        <v>0</v>
      </c>
      <c r="D36" s="101"/>
      <c r="E36" s="793">
        <f>C36*(360-C38)</f>
        <v>0</v>
      </c>
      <c r="F36" s="101" t="s">
        <v>4</v>
      </c>
      <c r="G36" s="101" t="s">
        <v>310</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0" t="s">
        <v>320</v>
      </c>
      <c r="C38" s="786">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0" t="s">
        <v>321</v>
      </c>
      <c r="C40" s="101"/>
      <c r="D40" s="101"/>
      <c r="E40" s="788">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275</v>
      </c>
      <c r="B1" s="18"/>
      <c r="C1" s="18"/>
      <c r="D1" s="18"/>
    </row>
    <row r="2" spans="1:9">
      <c r="A2" s="345" t="s">
        <v>140</v>
      </c>
      <c r="B2" s="18" t="s">
        <v>733</v>
      </c>
      <c r="C2" s="18" t="s">
        <v>732</v>
      </c>
      <c r="D2" s="18" t="s">
        <v>734</v>
      </c>
      <c r="E2" s="18" t="s">
        <v>736</v>
      </c>
      <c r="F2" s="18" t="s">
        <v>735</v>
      </c>
      <c r="G2" s="18" t="s">
        <v>737</v>
      </c>
      <c r="I2" t="s">
        <v>714</v>
      </c>
    </row>
    <row r="3" spans="1:9">
      <c r="B3" s="18">
        <f>SQRT(D3-(C3)^2)</f>
        <v>3.5199431813596083</v>
      </c>
      <c r="C3" s="19">
        <v>-1.9</v>
      </c>
      <c r="D3" s="19">
        <v>16</v>
      </c>
      <c r="E3" s="18">
        <f>SQRT(G3-(F4)^2)</f>
        <v>3.5745629103430252</v>
      </c>
      <c r="F3" s="18">
        <v>-1.9</v>
      </c>
      <c r="G3" s="19">
        <v>16.2</v>
      </c>
      <c r="I3" t="s">
        <v>714</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714</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714</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34" sqref="B3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492</v>
      </c>
      <c r="B1" s="24"/>
      <c r="C1" s="24"/>
      <c r="D1" s="24"/>
      <c r="E1" s="612" t="str">
        <f>'Title Page'!F3</f>
        <v>OreSat - CS0</v>
      </c>
      <c r="F1" s="24"/>
      <c r="G1" s="51" t="s">
        <v>714</v>
      </c>
      <c r="H1" s="24"/>
      <c r="I1" s="51" t="str">
        <f>'Title Page'!F23</f>
        <v>2019 September 13</v>
      </c>
      <c r="J1" s="51"/>
      <c r="K1" s="51" t="str">
        <f>'Title Page'!G1</f>
        <v xml:space="preserve"> Version: 2.5.5</v>
      </c>
      <c r="L1" s="51"/>
      <c r="M1" s="24"/>
      <c r="N1" s="24"/>
      <c r="O1" s="24"/>
      <c r="P1" s="24"/>
      <c r="Q1" s="127"/>
      <c r="R1" s="127"/>
      <c r="S1" s="127"/>
      <c r="T1" s="127"/>
      <c r="U1" s="291"/>
    </row>
    <row r="2" spans="1:21" ht="12.75" customHeight="1">
      <c r="A2" s="814" t="s">
        <v>587</v>
      </c>
      <c r="B2" s="101"/>
      <c r="C2" s="101"/>
      <c r="D2" s="101"/>
      <c r="E2" s="733"/>
      <c r="F2" s="101"/>
      <c r="G2" s="455"/>
      <c r="H2" s="101"/>
      <c r="I2" s="455"/>
      <c r="J2" s="455"/>
      <c r="K2" s="455"/>
      <c r="L2" s="455"/>
      <c r="M2" s="101"/>
      <c r="N2" s="101"/>
      <c r="O2" s="101"/>
      <c r="P2" s="101"/>
      <c r="Q2" s="101"/>
      <c r="R2" s="101"/>
      <c r="S2" s="101"/>
      <c r="T2" s="101"/>
      <c r="U2" s="101"/>
    </row>
    <row r="3" spans="1:21" s="734" customFormat="1" ht="12.75" customHeight="1" thickBot="1">
      <c r="A3" s="814" t="s">
        <v>588</v>
      </c>
      <c r="B3" s="488"/>
      <c r="C3" s="488"/>
      <c r="D3" s="488"/>
      <c r="E3" s="733"/>
      <c r="F3" s="488"/>
      <c r="G3" s="455"/>
      <c r="H3" s="488"/>
      <c r="I3" s="455"/>
      <c r="J3" s="455"/>
      <c r="K3" s="455"/>
      <c r="L3" s="455"/>
      <c r="M3" s="488"/>
      <c r="N3" s="488"/>
      <c r="O3" s="488"/>
      <c r="P3" s="488"/>
      <c r="Q3" s="488"/>
      <c r="R3" s="488"/>
      <c r="S3" s="488"/>
      <c r="T3" s="488"/>
      <c r="U3" s="488"/>
    </row>
    <row r="4" spans="1:21" s="734" customFormat="1" ht="12.75" customHeight="1" thickBot="1">
      <c r="A4" s="815" t="s">
        <v>586</v>
      </c>
      <c r="B4" s="737" t="s">
        <v>523</v>
      </c>
      <c r="C4" s="383">
        <v>1</v>
      </c>
      <c r="D4" s="773" t="str">
        <f>INDEX(C6:DC9,C4,1)</f>
        <v>LEO</v>
      </c>
      <c r="E4" s="733"/>
      <c r="F4" s="737" t="s">
        <v>691</v>
      </c>
      <c r="G4" s="775">
        <f>INDEX(D6:D9,C4,1)</f>
        <v>557.26495080391339</v>
      </c>
      <c r="H4" s="774" t="s">
        <v>719</v>
      </c>
      <c r="I4" s="488" t="s">
        <v>525</v>
      </c>
      <c r="J4" s="455"/>
      <c r="K4" s="455"/>
      <c r="L4" s="455"/>
      <c r="M4" s="488"/>
      <c r="N4" s="488"/>
      <c r="O4" s="488"/>
      <c r="P4" s="488"/>
      <c r="Q4" s="488"/>
      <c r="R4" s="488"/>
      <c r="S4" s="488"/>
      <c r="T4" s="488"/>
      <c r="U4" s="488"/>
    </row>
    <row r="5" spans="1:21" s="734" customFormat="1" ht="12.75" customHeight="1">
      <c r="A5" s="455"/>
      <c r="B5" s="735" t="s">
        <v>526</v>
      </c>
      <c r="C5" s="735" t="s">
        <v>711</v>
      </c>
      <c r="D5" s="735" t="s">
        <v>524</v>
      </c>
      <c r="E5" s="733"/>
      <c r="F5" s="738"/>
      <c r="G5" s="455"/>
      <c r="H5" s="488"/>
      <c r="I5" s="488"/>
      <c r="J5" s="455"/>
      <c r="K5" s="455"/>
      <c r="L5" s="455"/>
      <c r="M5" s="488"/>
      <c r="N5" s="488"/>
      <c r="O5" s="488"/>
      <c r="P5" s="488"/>
      <c r="Q5" s="488"/>
      <c r="R5" s="488"/>
      <c r="S5" s="488"/>
      <c r="T5" s="488"/>
      <c r="U5" s="488"/>
    </row>
    <row r="6" spans="1:21" ht="12.75" customHeight="1">
      <c r="A6" s="732"/>
      <c r="B6" s="736">
        <v>1</v>
      </c>
      <c r="C6" s="736" t="s">
        <v>520</v>
      </c>
      <c r="D6" s="741">
        <f>B36</f>
        <v>557.26495080391339</v>
      </c>
      <c r="E6" s="488" t="s">
        <v>719</v>
      </c>
      <c r="F6" s="101"/>
      <c r="G6" s="455"/>
      <c r="H6" s="101"/>
      <c r="I6" s="455"/>
      <c r="J6" s="455"/>
      <c r="K6" s="455"/>
      <c r="L6" s="455"/>
      <c r="M6" s="101" t="s">
        <v>714</v>
      </c>
      <c r="N6" s="101"/>
      <c r="O6" s="101"/>
      <c r="P6" s="101"/>
      <c r="Q6" s="101"/>
      <c r="R6" s="101"/>
      <c r="S6" s="101"/>
      <c r="T6" s="101"/>
      <c r="U6" s="101"/>
    </row>
    <row r="7" spans="1:21" ht="12.75" customHeight="1">
      <c r="A7" s="732"/>
      <c r="B7" s="736">
        <v>2</v>
      </c>
      <c r="C7" s="736" t="s">
        <v>521</v>
      </c>
      <c r="D7" s="746">
        <f>K63</f>
        <v>41126.753187550428</v>
      </c>
      <c r="E7" s="488" t="s">
        <v>719</v>
      </c>
      <c r="F7" s="101"/>
      <c r="G7" s="455"/>
      <c r="H7" s="101"/>
      <c r="I7" s="455"/>
      <c r="J7" s="455"/>
      <c r="K7" s="455"/>
      <c r="L7" s="455"/>
      <c r="M7" s="101"/>
      <c r="N7" s="101"/>
      <c r="O7" s="101"/>
      <c r="P7" s="101"/>
      <c r="Q7" s="101"/>
      <c r="R7" s="101"/>
      <c r="S7" s="101"/>
      <c r="T7" s="101"/>
      <c r="U7" s="101"/>
    </row>
    <row r="8" spans="1:21" ht="12.75" customHeight="1">
      <c r="A8" s="732"/>
      <c r="B8" s="736">
        <v>3</v>
      </c>
      <c r="C8" s="736" t="s">
        <v>522</v>
      </c>
      <c r="D8" s="741">
        <f>B104</f>
        <v>36488.15588571554</v>
      </c>
      <c r="E8" s="488" t="s">
        <v>719</v>
      </c>
      <c r="F8" s="101"/>
      <c r="G8" s="455"/>
      <c r="H8" s="101"/>
      <c r="I8" s="455"/>
      <c r="J8" s="455"/>
      <c r="K8" s="455"/>
      <c r="L8" s="455"/>
      <c r="M8" s="101"/>
      <c r="N8" s="101"/>
      <c r="O8" s="101"/>
      <c r="P8" s="101"/>
      <c r="Q8" s="101"/>
      <c r="R8" s="101"/>
      <c r="S8" s="101"/>
      <c r="T8" s="101"/>
      <c r="U8" s="101"/>
    </row>
    <row r="9" spans="1:21" ht="12.75" customHeight="1">
      <c r="A9" s="732"/>
      <c r="B9" s="736">
        <v>4</v>
      </c>
      <c r="C9" s="772" t="s">
        <v>690</v>
      </c>
      <c r="D9" s="818">
        <f>D125</f>
        <v>315000000.00000006</v>
      </c>
      <c r="E9" s="488" t="s">
        <v>719</v>
      </c>
      <c r="F9" s="101"/>
      <c r="G9" s="455"/>
      <c r="H9" s="101"/>
      <c r="I9" s="455"/>
      <c r="J9" s="455"/>
      <c r="K9" s="455"/>
      <c r="L9" s="455"/>
      <c r="M9" s="101"/>
      <c r="N9" s="101"/>
      <c r="O9" s="101"/>
      <c r="P9" s="101"/>
      <c r="Q9" s="101"/>
      <c r="R9" s="101"/>
      <c r="S9" s="101"/>
      <c r="T9" s="101"/>
      <c r="U9" s="101"/>
    </row>
    <row r="10" spans="1:21" ht="12.75" customHeight="1" thickBot="1">
      <c r="A10" s="720"/>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740</v>
      </c>
      <c r="E11" s="26" t="s">
        <v>741</v>
      </c>
      <c r="F11" s="26"/>
      <c r="G11" s="3"/>
      <c r="H11" s="3"/>
      <c r="I11" s="48" t="s">
        <v>742</v>
      </c>
      <c r="J11" s="27" t="s">
        <v>743</v>
      </c>
      <c r="K11" s="3"/>
      <c r="L11" s="4" t="s">
        <v>823</v>
      </c>
      <c r="M11" s="3"/>
      <c r="N11" s="3"/>
      <c r="O11" s="3"/>
      <c r="P11" s="3"/>
      <c r="Q11" s="3"/>
      <c r="R11" s="3"/>
      <c r="S11" s="3"/>
      <c r="T11" s="3"/>
      <c r="U11" s="3"/>
    </row>
    <row r="12" spans="1:21" ht="13">
      <c r="A12" s="3" t="s">
        <v>826</v>
      </c>
      <c r="B12" s="653" t="s">
        <v>167</v>
      </c>
      <c r="C12" s="3"/>
      <c r="D12" s="49" t="s">
        <v>744</v>
      </c>
      <c r="E12" s="26" t="s">
        <v>833</v>
      </c>
      <c r="F12" s="26"/>
      <c r="G12" s="3"/>
      <c r="H12" s="3"/>
      <c r="I12" s="379" t="s">
        <v>820</v>
      </c>
      <c r="J12" s="27" t="s">
        <v>825</v>
      </c>
      <c r="K12" s="3"/>
      <c r="L12" s="3"/>
      <c r="M12" s="3"/>
      <c r="N12" s="3"/>
      <c r="O12" s="3"/>
      <c r="P12" s="3"/>
      <c r="Q12" s="3"/>
      <c r="R12" s="3"/>
      <c r="S12" s="3"/>
      <c r="T12" s="3"/>
      <c r="U12" s="3"/>
    </row>
    <row r="13" spans="1:21" ht="13" thickBot="1">
      <c r="A13" s="112"/>
      <c r="B13" s="748"/>
      <c r="C13" s="112"/>
      <c r="D13" s="749"/>
      <c r="E13" s="750"/>
      <c r="F13" s="750"/>
      <c r="G13" s="112"/>
      <c r="H13" s="112"/>
      <c r="I13" s="751"/>
      <c r="J13" s="752"/>
      <c r="K13" s="112"/>
      <c r="L13" s="112"/>
      <c r="M13" s="112"/>
      <c r="N13" s="112"/>
      <c r="O13" s="112"/>
      <c r="P13" s="112"/>
      <c r="Q13" s="112"/>
      <c r="R13" s="112"/>
      <c r="S13" s="112"/>
      <c r="T13" s="112"/>
      <c r="U13" s="112"/>
    </row>
    <row r="14" spans="1:21" ht="15.5">
      <c r="A14" s="800" t="s">
        <v>511</v>
      </c>
      <c r="B14" s="345" t="s">
        <v>249</v>
      </c>
      <c r="C14" s="23"/>
      <c r="D14" s="23"/>
      <c r="E14" s="23"/>
      <c r="F14" s="23"/>
      <c r="G14" s="23"/>
      <c r="H14" s="23"/>
      <c r="I14" s="23"/>
      <c r="J14" s="23"/>
      <c r="K14" s="23"/>
      <c r="L14" s="23"/>
      <c r="M14" s="23"/>
      <c r="N14" s="23"/>
      <c r="O14" s="23"/>
      <c r="P14" s="23"/>
      <c r="Q14" s="23"/>
      <c r="R14" s="23"/>
      <c r="S14" s="23"/>
      <c r="T14" s="23"/>
      <c r="U14" s="23"/>
    </row>
    <row r="15" spans="1:21" ht="15.5">
      <c r="A15" s="721" t="s">
        <v>493</v>
      </c>
      <c r="B15" s="719"/>
      <c r="C15" s="719"/>
      <c r="Q15" s="3"/>
      <c r="R15" s="3"/>
      <c r="S15" s="3"/>
      <c r="T15" s="3"/>
      <c r="U15" s="3"/>
    </row>
    <row r="16" spans="1:21" ht="13">
      <c r="A16" s="4" t="s">
        <v>749</v>
      </c>
      <c r="B16" s="4"/>
      <c r="C16" s="4"/>
      <c r="Q16" s="3"/>
      <c r="R16" s="3"/>
      <c r="S16" s="3"/>
      <c r="T16" s="3"/>
      <c r="U16" s="3"/>
    </row>
    <row r="17" spans="1:21" ht="13">
      <c r="A17" s="9" t="s">
        <v>715</v>
      </c>
      <c r="B17" s="10" t="s">
        <v>716</v>
      </c>
      <c r="C17" s="11" t="s">
        <v>717</v>
      </c>
      <c r="Q17" s="3"/>
      <c r="R17" s="3"/>
      <c r="S17" s="3"/>
      <c r="T17" s="3"/>
      <c r="U17" s="3"/>
    </row>
    <row r="18" spans="1:21">
      <c r="A18" s="12" t="s">
        <v>718</v>
      </c>
      <c r="B18" s="13">
        <v>6378.1360000000004</v>
      </c>
      <c r="C18" s="12" t="s">
        <v>719</v>
      </c>
      <c r="Q18" s="3"/>
      <c r="R18" s="3"/>
      <c r="S18" s="3"/>
      <c r="T18" s="3"/>
      <c r="U18" s="3"/>
    </row>
    <row r="19" spans="1:21">
      <c r="A19" s="12" t="s">
        <v>738</v>
      </c>
      <c r="B19" s="629">
        <v>408</v>
      </c>
      <c r="C19" s="12" t="s">
        <v>719</v>
      </c>
      <c r="Q19" s="3"/>
      <c r="R19" s="3"/>
      <c r="S19" s="3"/>
      <c r="T19" s="3"/>
      <c r="U19" s="3"/>
    </row>
    <row r="20" spans="1:21">
      <c r="A20" s="12" t="s">
        <v>739</v>
      </c>
      <c r="B20" s="628">
        <v>403</v>
      </c>
      <c r="C20" s="12" t="s">
        <v>719</v>
      </c>
      <c r="Q20" s="3"/>
      <c r="R20" s="3"/>
      <c r="S20" s="3"/>
      <c r="T20" s="3"/>
      <c r="U20" s="3"/>
    </row>
    <row r="21" spans="1:21">
      <c r="A21" s="3" t="s">
        <v>720</v>
      </c>
      <c r="B21" s="630">
        <f>(B19+B20+2*B18)/2</f>
        <v>6783.6360000000004</v>
      </c>
      <c r="C21" s="3" t="s">
        <v>719</v>
      </c>
      <c r="Q21" s="3"/>
      <c r="R21" s="3"/>
      <c r="S21" s="3"/>
      <c r="T21" s="3"/>
      <c r="U21" s="3"/>
    </row>
    <row r="22" spans="1:21">
      <c r="A22" s="3" t="s">
        <v>721</v>
      </c>
      <c r="B22" s="14">
        <f>((B19+B18)-(B20+B18))/((B19+B18)+(B20+B18))</f>
        <v>3.6853392487450683E-4</v>
      </c>
      <c r="C22" s="3"/>
      <c r="Q22" s="3"/>
      <c r="R22" s="3"/>
      <c r="S22" s="3"/>
      <c r="T22" s="3"/>
      <c r="U22" s="3"/>
    </row>
    <row r="23" spans="1:21">
      <c r="A23" s="3" t="s">
        <v>722</v>
      </c>
      <c r="B23" s="60">
        <v>51.6</v>
      </c>
      <c r="C23" s="3" t="s">
        <v>4</v>
      </c>
      <c r="Q23" s="3"/>
      <c r="R23" s="3"/>
      <c r="S23" s="3"/>
      <c r="T23" s="3"/>
      <c r="U23" s="3"/>
    </row>
    <row r="24" spans="1:21">
      <c r="A24" s="3" t="s">
        <v>724</v>
      </c>
      <c r="B24" s="61">
        <v>180</v>
      </c>
      <c r="C24" s="3" t="s">
        <v>4</v>
      </c>
      <c r="Q24" s="3"/>
      <c r="R24" s="3"/>
      <c r="S24" s="3"/>
      <c r="T24" s="3"/>
      <c r="U24" s="3"/>
    </row>
    <row r="25" spans="1:21">
      <c r="A25" s="3" t="s">
        <v>725</v>
      </c>
      <c r="B25" s="756">
        <v>123.7</v>
      </c>
      <c r="C25" s="3" t="s">
        <v>4</v>
      </c>
      <c r="Q25" s="3"/>
      <c r="R25" s="3"/>
      <c r="S25" s="3"/>
      <c r="T25" s="3"/>
      <c r="U25" s="3"/>
    </row>
    <row r="26" spans="1:21">
      <c r="A26" s="3" t="s">
        <v>726</v>
      </c>
      <c r="B26" s="62">
        <v>0</v>
      </c>
      <c r="C26" s="3" t="s">
        <v>4</v>
      </c>
      <c r="Q26" s="3"/>
      <c r="R26" s="3"/>
      <c r="S26" s="3"/>
      <c r="T26" s="3"/>
      <c r="U26" s="3"/>
    </row>
    <row r="27" spans="1:21">
      <c r="A27" s="3" t="s">
        <v>727</v>
      </c>
      <c r="B27" s="32">
        <f xml:space="preserve"> 84.4892*((B21/B18)^1.5)</f>
        <v>92.673238367165595</v>
      </c>
      <c r="C27" s="3" t="s">
        <v>728</v>
      </c>
      <c r="Q27" s="3"/>
      <c r="R27" s="3"/>
      <c r="S27" s="3"/>
      <c r="T27" s="3"/>
      <c r="U27" s="3"/>
    </row>
    <row r="28" spans="1:21">
      <c r="A28" s="3" t="s">
        <v>729</v>
      </c>
      <c r="B28" s="16">
        <f>19.919482*((B18/B21)^3.5)*(1-1.25*((SIN(B23/57.29578))^2))/((1-B22^2)^2)</f>
        <v>3.7290709859689151</v>
      </c>
      <c r="C28" s="3" t="s">
        <v>730</v>
      </c>
      <c r="Q28" s="3"/>
      <c r="R28" s="3"/>
      <c r="S28" s="3"/>
      <c r="T28" s="3"/>
      <c r="U28" s="3"/>
    </row>
    <row r="29" spans="1:21">
      <c r="A29" s="3" t="s">
        <v>731</v>
      </c>
      <c r="B29" s="16">
        <f>(-9.9597408/(1-B22^2)^2)*((B18/B21)^3.5)*COS(B23/57.29578)</f>
        <v>-4.9860018218750062</v>
      </c>
      <c r="C29" s="3" t="s">
        <v>730</v>
      </c>
      <c r="Q29" s="3"/>
      <c r="R29" s="3"/>
      <c r="S29" s="3"/>
      <c r="T29" s="3"/>
      <c r="U29" s="3"/>
    </row>
    <row r="30" spans="1:21">
      <c r="A30" s="3" t="s">
        <v>819</v>
      </c>
      <c r="B30" s="49" t="s">
        <v>836</v>
      </c>
      <c r="C30" s="3" t="s">
        <v>730</v>
      </c>
      <c r="Q30" s="3"/>
      <c r="R30" s="3"/>
      <c r="S30" s="3"/>
      <c r="T30" s="3"/>
      <c r="U30" s="3"/>
    </row>
    <row r="31" spans="1:21">
      <c r="A31" s="3" t="s">
        <v>745</v>
      </c>
      <c r="B31" s="15">
        <f>(B19+B20)/2</f>
        <v>405.5</v>
      </c>
      <c r="C31" s="3" t="s">
        <v>719</v>
      </c>
      <c r="Q31" s="3"/>
      <c r="R31" s="3"/>
      <c r="S31" s="3"/>
      <c r="T31" s="3"/>
      <c r="U31" s="3"/>
    </row>
    <row r="32" spans="1:21">
      <c r="A32" s="3" t="s">
        <v>751</v>
      </c>
      <c r="B32" s="30">
        <f>B31+B18</f>
        <v>6783.6360000000004</v>
      </c>
      <c r="C32" s="3" t="s">
        <v>719</v>
      </c>
      <c r="Q32" s="3"/>
      <c r="R32" s="3"/>
      <c r="S32" s="3"/>
      <c r="T32" s="3"/>
      <c r="U32" s="3"/>
    </row>
    <row r="33" spans="1:21">
      <c r="A33" s="3" t="s">
        <v>760</v>
      </c>
      <c r="B33" s="15">
        <f>57.2958*ACOS((0.98561)/(-9.95974/(((1-B22^2)^2))*(B18/B21)^3.5))</f>
        <v>97.052932990475142</v>
      </c>
      <c r="C33" s="3" t="s">
        <v>135</v>
      </c>
      <c r="Q33" s="3"/>
      <c r="R33" s="3"/>
      <c r="S33" s="3"/>
      <c r="T33" s="3"/>
      <c r="U33" s="3"/>
    </row>
    <row r="34" spans="1:21" ht="13">
      <c r="A34" s="3" t="s">
        <v>746</v>
      </c>
      <c r="B34" s="382">
        <v>45</v>
      </c>
      <c r="C34" s="3" t="s">
        <v>135</v>
      </c>
      <c r="Q34" s="3"/>
      <c r="R34" s="3"/>
      <c r="S34" s="3"/>
      <c r="T34" s="3"/>
      <c r="U34" s="3"/>
    </row>
    <row r="35" spans="1:21" ht="13" thickBot="1">
      <c r="A35" s="3"/>
      <c r="B35" s="17"/>
      <c r="C35" s="3"/>
      <c r="Q35" s="3"/>
      <c r="R35" s="3"/>
      <c r="S35" s="3"/>
      <c r="T35" s="3"/>
      <c r="U35" s="3"/>
    </row>
    <row r="36" spans="1:21" ht="13.5" thickBot="1">
      <c r="A36" s="3" t="s">
        <v>838</v>
      </c>
      <c r="B36" s="740">
        <f>B18*((((B32^2/B18^2)-(COS(B34/57.2958))^2)^0.5)-SIN(B34/57.2958))</f>
        <v>557.26495080391339</v>
      </c>
      <c r="C36" s="3" t="s">
        <v>750</v>
      </c>
      <c r="Q36" s="3"/>
      <c r="R36" s="3"/>
      <c r="S36" s="3"/>
      <c r="T36" s="3"/>
      <c r="U36" s="3"/>
    </row>
    <row r="37" spans="1:21" ht="13" thickBot="1">
      <c r="A37" s="112"/>
      <c r="B37" s="686"/>
      <c r="C37" s="112"/>
      <c r="D37" s="687"/>
      <c r="E37" s="687"/>
      <c r="F37" s="687"/>
      <c r="G37" s="687"/>
      <c r="H37" s="687"/>
      <c r="I37" s="687"/>
      <c r="J37" s="687"/>
      <c r="K37" s="687"/>
      <c r="L37" s="687"/>
      <c r="M37" s="687"/>
      <c r="N37" s="687"/>
      <c r="O37" s="687"/>
      <c r="P37" s="687"/>
      <c r="Q37" s="112"/>
      <c r="R37" s="112"/>
      <c r="S37" s="112"/>
      <c r="T37" s="112"/>
      <c r="U37" s="112"/>
    </row>
    <row r="38" spans="1:21" ht="16" thickBot="1">
      <c r="A38" s="801" t="s">
        <v>512</v>
      </c>
      <c r="B38" s="23"/>
      <c r="C38" s="782" t="s">
        <v>140</v>
      </c>
      <c r="D38" s="23"/>
      <c r="E38" s="23"/>
      <c r="F38" s="23"/>
      <c r="G38" s="688"/>
      <c r="H38" s="23"/>
      <c r="I38" s="23"/>
      <c r="J38" s="23" t="s">
        <v>653</v>
      </c>
      <c r="K38" s="23"/>
      <c r="L38" s="23"/>
      <c r="M38" s="23"/>
      <c r="N38" s="23"/>
      <c r="O38" s="23"/>
      <c r="P38" s="23"/>
      <c r="Q38" s="23"/>
      <c r="R38" s="23"/>
      <c r="S38" s="23"/>
      <c r="T38" s="23"/>
      <c r="U38" s="23"/>
    </row>
    <row r="39" spans="1:21" ht="15.5">
      <c r="A39" s="721" t="s">
        <v>494</v>
      </c>
      <c r="B39" s="719"/>
      <c r="C39" s="719"/>
      <c r="D39" s="689"/>
      <c r="E39" s="690"/>
      <c r="F39" s="690"/>
      <c r="G39" s="690"/>
      <c r="H39" s="690"/>
      <c r="I39" s="690"/>
      <c r="J39" s="690"/>
      <c r="K39" s="690"/>
      <c r="L39" s="690"/>
      <c r="M39" s="691"/>
      <c r="N39" s="3"/>
      <c r="O39" s="3"/>
      <c r="P39" s="3"/>
      <c r="Q39" s="3"/>
      <c r="R39" s="3"/>
      <c r="S39" s="3"/>
      <c r="T39" s="3"/>
      <c r="U39" s="3"/>
    </row>
    <row r="40" spans="1:21" ht="13">
      <c r="A40" s="4" t="s">
        <v>477</v>
      </c>
      <c r="B40" s="4"/>
      <c r="C40" s="4"/>
      <c r="D40" s="692"/>
      <c r="E40" s="693"/>
      <c r="F40" s="693"/>
      <c r="G40" s="693"/>
      <c r="H40" s="693"/>
      <c r="I40" s="693"/>
      <c r="J40" s="693"/>
      <c r="K40" s="693"/>
      <c r="L40" s="693"/>
      <c r="M40" s="694"/>
      <c r="N40" s="3"/>
      <c r="O40" s="3"/>
      <c r="P40" s="3"/>
      <c r="Q40" s="3"/>
      <c r="R40" s="3"/>
      <c r="S40" s="3"/>
      <c r="T40" s="3"/>
      <c r="U40" s="3"/>
    </row>
    <row r="41" spans="1:21" ht="13">
      <c r="A41" s="9" t="s">
        <v>715</v>
      </c>
      <c r="B41" s="10" t="s">
        <v>716</v>
      </c>
      <c r="C41" s="10" t="s">
        <v>717</v>
      </c>
      <c r="D41" s="692"/>
      <c r="E41" s="693"/>
      <c r="F41" s="693"/>
      <c r="G41" s="693"/>
      <c r="H41" s="693"/>
      <c r="I41" s="693"/>
      <c r="J41" s="693"/>
      <c r="K41" s="693"/>
      <c r="L41" s="693"/>
      <c r="M41" s="694"/>
      <c r="N41" s="3"/>
      <c r="O41" s="3"/>
      <c r="P41" s="3"/>
      <c r="Q41" s="3"/>
      <c r="R41" s="3"/>
      <c r="S41" s="3"/>
      <c r="T41" s="3"/>
      <c r="U41" s="3"/>
    </row>
    <row r="42" spans="1:21">
      <c r="A42" s="12" t="s">
        <v>718</v>
      </c>
      <c r="B42" s="13">
        <v>6378.1369999999997</v>
      </c>
      <c r="C42" s="12" t="s">
        <v>719</v>
      </c>
      <c r="D42" s="692"/>
      <c r="E42" s="693"/>
      <c r="F42" s="693"/>
      <c r="G42" s="693"/>
      <c r="H42" s="693"/>
      <c r="I42" s="693"/>
      <c r="J42" s="693"/>
      <c r="K42" s="693"/>
      <c r="L42" s="693"/>
      <c r="M42" s="694"/>
      <c r="N42" s="3"/>
      <c r="O42" s="3"/>
      <c r="P42" s="3"/>
      <c r="Q42" s="3"/>
      <c r="R42" s="3"/>
      <c r="S42" s="3"/>
      <c r="T42" s="3"/>
      <c r="U42" s="3"/>
    </row>
    <row r="43" spans="1:21">
      <c r="A43" s="12" t="s">
        <v>478</v>
      </c>
      <c r="B43" s="803">
        <v>35786</v>
      </c>
      <c r="C43" s="12" t="s">
        <v>719</v>
      </c>
      <c r="D43" s="692"/>
      <c r="E43" s="693"/>
      <c r="F43" s="693"/>
      <c r="G43" s="693"/>
      <c r="H43" s="693"/>
      <c r="I43" s="693"/>
      <c r="J43" s="693"/>
      <c r="K43" s="693"/>
      <c r="L43" s="693"/>
      <c r="M43" s="694"/>
      <c r="N43" s="3"/>
      <c r="O43" s="3"/>
      <c r="P43" s="3"/>
      <c r="Q43" s="3"/>
      <c r="R43" s="3"/>
      <c r="S43" s="3"/>
      <c r="T43" s="3"/>
      <c r="U43" s="3"/>
    </row>
    <row r="44" spans="1:21">
      <c r="A44" s="12" t="s">
        <v>479</v>
      </c>
      <c r="B44" s="804">
        <v>500</v>
      </c>
      <c r="C44" s="12" t="s">
        <v>719</v>
      </c>
      <c r="D44" s="692"/>
      <c r="E44" s="693"/>
      <c r="F44" s="693"/>
      <c r="G44" s="693"/>
      <c r="H44" s="693"/>
      <c r="I44" s="693"/>
      <c r="J44" s="693"/>
      <c r="K44" s="693"/>
      <c r="L44" s="693"/>
      <c r="M44" s="694"/>
      <c r="N44" s="3"/>
      <c r="O44" s="3"/>
      <c r="P44" s="3"/>
      <c r="Q44" s="3"/>
      <c r="R44" s="3"/>
      <c r="S44" s="3"/>
      <c r="T44" s="3"/>
      <c r="U44" s="3"/>
    </row>
    <row r="45" spans="1:21">
      <c r="A45" s="3" t="s">
        <v>720</v>
      </c>
      <c r="B45" s="13">
        <f>(B43+B44+2*B42)/2</f>
        <v>24521.136999999999</v>
      </c>
      <c r="C45" s="3" t="s">
        <v>719</v>
      </c>
      <c r="D45" s="692"/>
      <c r="E45" s="693"/>
      <c r="F45" s="693"/>
      <c r="G45" s="693"/>
      <c r="H45" s="693"/>
      <c r="I45" s="693"/>
      <c r="J45" s="693"/>
      <c r="K45" s="693"/>
      <c r="L45" s="693"/>
      <c r="M45" s="694"/>
      <c r="N45" s="3"/>
      <c r="O45" s="3"/>
      <c r="P45" s="3"/>
      <c r="Q45" s="3"/>
      <c r="R45" s="3"/>
      <c r="S45" s="3"/>
      <c r="T45" s="3"/>
      <c r="U45" s="3"/>
    </row>
    <row r="46" spans="1:21">
      <c r="A46" s="3" t="s">
        <v>721</v>
      </c>
      <c r="B46" s="14">
        <f>((B43+B42)-(B44+B42))/((B43+B42)+(B44+B42))</f>
        <v>0.71950170989216355</v>
      </c>
      <c r="C46" s="3"/>
      <c r="D46" s="692"/>
      <c r="E46" s="693"/>
      <c r="F46" s="693"/>
      <c r="G46" s="693"/>
      <c r="H46" s="693"/>
      <c r="I46" s="693"/>
      <c r="J46" s="693"/>
      <c r="K46" s="693"/>
      <c r="L46" s="693"/>
      <c r="M46" s="694"/>
      <c r="N46" s="3"/>
      <c r="O46" s="3"/>
      <c r="P46" s="3"/>
      <c r="Q46" s="3"/>
      <c r="R46" s="3"/>
      <c r="S46" s="3"/>
      <c r="T46" s="3"/>
      <c r="U46" s="3"/>
    </row>
    <row r="47" spans="1:21">
      <c r="A47" s="3" t="s">
        <v>722</v>
      </c>
      <c r="B47" s="60">
        <v>7</v>
      </c>
      <c r="C47" s="3" t="s">
        <v>723</v>
      </c>
      <c r="D47" s="692"/>
      <c r="E47" s="693"/>
      <c r="F47" s="693"/>
      <c r="G47" s="693"/>
      <c r="H47" s="693"/>
      <c r="I47" s="693"/>
      <c r="J47" s="693"/>
      <c r="K47" s="693"/>
      <c r="L47" s="693"/>
      <c r="M47" s="694"/>
      <c r="N47" s="3"/>
      <c r="O47" s="3"/>
      <c r="P47" s="3"/>
      <c r="Q47" s="3"/>
      <c r="R47" s="3"/>
      <c r="S47" s="3"/>
      <c r="T47" s="3"/>
      <c r="U47" s="3"/>
    </row>
    <row r="48" spans="1:21">
      <c r="A48" s="3" t="s">
        <v>724</v>
      </c>
      <c r="B48" s="61">
        <v>180</v>
      </c>
      <c r="C48" s="3" t="s">
        <v>723</v>
      </c>
      <c r="D48" s="692"/>
      <c r="E48" s="693"/>
      <c r="F48" s="693"/>
      <c r="G48" s="693"/>
      <c r="H48" s="693"/>
      <c r="I48" s="693"/>
      <c r="J48" s="693"/>
      <c r="K48" s="693"/>
      <c r="L48" s="693"/>
      <c r="M48" s="694"/>
      <c r="N48" s="3"/>
      <c r="O48" s="3"/>
      <c r="P48" s="3"/>
      <c r="Q48" s="3"/>
      <c r="R48" s="3"/>
      <c r="S48" s="3"/>
      <c r="T48" s="3"/>
      <c r="U48" s="3"/>
    </row>
    <row r="49" spans="1:21">
      <c r="A49" s="3" t="s">
        <v>725</v>
      </c>
      <c r="B49" s="62">
        <v>0</v>
      </c>
      <c r="C49" s="3" t="s">
        <v>723</v>
      </c>
      <c r="D49" s="692"/>
      <c r="E49" s="693"/>
      <c r="F49" s="693"/>
      <c r="G49" s="693"/>
      <c r="H49" s="693"/>
      <c r="I49" s="693"/>
      <c r="J49" s="693"/>
      <c r="K49" s="693"/>
      <c r="L49" s="693"/>
      <c r="M49" s="694"/>
      <c r="N49" s="3"/>
      <c r="O49" s="3"/>
      <c r="P49" s="3"/>
      <c r="Q49" s="3"/>
      <c r="R49" s="3"/>
      <c r="S49" s="3"/>
      <c r="T49" s="3"/>
      <c r="U49" s="3"/>
    </row>
    <row r="50" spans="1:21">
      <c r="A50" s="3" t="s">
        <v>726</v>
      </c>
      <c r="B50" s="807">
        <f>INDEX(C65:C78,B63,1)</f>
        <v>179.99999</v>
      </c>
      <c r="C50" s="3" t="s">
        <v>723</v>
      </c>
      <c r="D50" s="692"/>
      <c r="E50" s="693"/>
      <c r="F50" s="693"/>
      <c r="G50" s="693"/>
      <c r="H50" s="693"/>
      <c r="I50" s="693"/>
      <c r="J50" s="693"/>
      <c r="K50" s="693"/>
      <c r="L50" s="693"/>
      <c r="M50" s="694"/>
      <c r="N50" s="3"/>
      <c r="O50" s="3"/>
      <c r="P50" s="3"/>
      <c r="Q50" s="3"/>
      <c r="R50" s="3"/>
      <c r="S50" s="3"/>
      <c r="T50" s="3"/>
      <c r="U50" s="3"/>
    </row>
    <row r="51" spans="1:21">
      <c r="A51" s="3" t="s">
        <v>727</v>
      </c>
      <c r="B51" s="15">
        <f xml:space="preserve"> 84.4892*((B45/B42)^1.5)</f>
        <v>636.90013117168326</v>
      </c>
      <c r="C51" s="3" t="s">
        <v>728</v>
      </c>
      <c r="D51" s="692"/>
      <c r="E51" s="693"/>
      <c r="F51" s="693"/>
      <c r="G51" s="693"/>
      <c r="H51" s="693"/>
      <c r="I51" s="693"/>
      <c r="J51" s="693"/>
      <c r="K51" s="693"/>
      <c r="L51" s="693"/>
      <c r="M51" s="694"/>
      <c r="N51" s="3"/>
      <c r="O51" s="3"/>
      <c r="P51" s="3"/>
      <c r="Q51" s="3"/>
      <c r="R51" s="3"/>
      <c r="S51" s="3"/>
      <c r="T51" s="3"/>
      <c r="U51" s="3"/>
    </row>
    <row r="52" spans="1:21">
      <c r="A52" s="3" t="s">
        <v>729</v>
      </c>
      <c r="B52" s="16">
        <f>19.919482*((B42/B45)^3.5)*(1-1.25*((SIN(B47/57.29578))^2))/((1-B46^2)^2)</f>
        <v>0.75424108469762274</v>
      </c>
      <c r="C52" s="3" t="s">
        <v>730</v>
      </c>
      <c r="D52" s="692"/>
      <c r="E52" s="693"/>
      <c r="F52" s="693"/>
      <c r="G52" s="693"/>
      <c r="H52" s="693"/>
      <c r="I52" s="693"/>
      <c r="J52" s="693"/>
      <c r="K52" s="693"/>
      <c r="L52" s="693"/>
      <c r="M52" s="694"/>
      <c r="N52" s="3"/>
      <c r="O52" s="3"/>
      <c r="P52" s="3"/>
      <c r="Q52" s="3"/>
      <c r="R52" s="3"/>
      <c r="S52" s="3"/>
      <c r="T52" s="3"/>
      <c r="U52" s="3"/>
    </row>
    <row r="53" spans="1:21">
      <c r="A53" s="3" t="s">
        <v>731</v>
      </c>
      <c r="B53" s="16">
        <f>(-9.9597408/(1-B46^2)^2)*((B42/B45)^3.5)*COS(B47/57.29578)</f>
        <v>-0.38139010802751916</v>
      </c>
      <c r="C53" s="3" t="s">
        <v>730</v>
      </c>
      <c r="D53" s="692"/>
      <c r="E53" s="693"/>
      <c r="F53" s="693"/>
      <c r="G53" s="693"/>
      <c r="H53" s="693"/>
      <c r="I53" s="693"/>
      <c r="J53" s="693"/>
      <c r="K53" s="693"/>
      <c r="L53" s="693"/>
      <c r="M53" s="694"/>
      <c r="N53" s="3"/>
      <c r="O53" s="3"/>
      <c r="P53" s="3"/>
      <c r="Q53" s="3"/>
      <c r="R53" s="3"/>
      <c r="S53" s="3"/>
      <c r="T53" s="3"/>
      <c r="U53" s="3"/>
    </row>
    <row r="54" spans="1:21">
      <c r="A54" s="3"/>
      <c r="B54" s="17"/>
      <c r="C54" s="3"/>
      <c r="D54" s="692"/>
      <c r="E54" s="693"/>
      <c r="F54" s="693"/>
      <c r="G54" s="693"/>
      <c r="H54" s="693"/>
      <c r="I54" s="693"/>
      <c r="J54" s="693"/>
      <c r="K54" s="693"/>
      <c r="L54" s="693"/>
      <c r="M54" s="694"/>
      <c r="N54" s="3"/>
      <c r="O54" s="3"/>
      <c r="P54" s="3"/>
      <c r="Q54" s="3"/>
      <c r="R54" s="3"/>
      <c r="S54" s="3"/>
      <c r="T54" s="3"/>
      <c r="U54" s="3"/>
    </row>
    <row r="55" spans="1:21">
      <c r="A55" s="3"/>
      <c r="B55" s="17" t="s">
        <v>714</v>
      </c>
      <c r="C55" s="3"/>
      <c r="D55" s="692"/>
      <c r="E55" s="693"/>
      <c r="F55" s="693"/>
      <c r="G55" s="693"/>
      <c r="H55" s="693"/>
      <c r="I55" s="693"/>
      <c r="J55" s="693"/>
      <c r="K55" s="693"/>
      <c r="L55" s="693"/>
      <c r="M55" s="694"/>
      <c r="N55" s="3"/>
      <c r="O55" s="3"/>
      <c r="P55" s="3"/>
      <c r="Q55" s="3"/>
      <c r="R55" s="3"/>
      <c r="S55" s="3"/>
      <c r="T55" s="3"/>
      <c r="U55" s="3"/>
    </row>
    <row r="56" spans="1:21">
      <c r="A56" s="3"/>
      <c r="B56" s="17"/>
      <c r="C56" s="3"/>
      <c r="D56" s="692"/>
      <c r="E56" s="693"/>
      <c r="F56" s="693"/>
      <c r="G56" s="693"/>
      <c r="H56" s="693"/>
      <c r="I56" s="693"/>
      <c r="J56" s="693"/>
      <c r="K56" s="693"/>
      <c r="L56" s="693"/>
      <c r="M56" s="694"/>
      <c r="N56" s="3"/>
      <c r="O56" s="3"/>
      <c r="P56" s="3"/>
      <c r="Q56" s="3"/>
      <c r="R56" s="3"/>
      <c r="S56" s="3"/>
      <c r="T56" s="3"/>
      <c r="U56" s="3"/>
    </row>
    <row r="57" spans="1:21">
      <c r="A57" s="3"/>
      <c r="B57" s="17"/>
      <c r="C57" s="3"/>
      <c r="D57" s="692"/>
      <c r="E57" s="693"/>
      <c r="F57" s="693"/>
      <c r="G57" s="693"/>
      <c r="H57" s="693"/>
      <c r="I57" s="693"/>
      <c r="J57" s="693"/>
      <c r="K57" s="693"/>
      <c r="L57" s="693"/>
      <c r="M57" s="694"/>
      <c r="N57" s="3"/>
      <c r="O57" s="3"/>
      <c r="P57" s="3"/>
      <c r="Q57" s="3"/>
      <c r="R57" s="3"/>
      <c r="S57" s="3"/>
      <c r="T57" s="3"/>
      <c r="U57" s="3"/>
    </row>
    <row r="58" spans="1:21" ht="13">
      <c r="A58" s="3"/>
      <c r="B58" s="17"/>
      <c r="C58" s="816" t="s">
        <v>521</v>
      </c>
      <c r="D58" s="692"/>
      <c r="E58" s="693"/>
      <c r="F58" s="693"/>
      <c r="G58" s="693"/>
      <c r="H58" s="693"/>
      <c r="I58" s="693"/>
      <c r="J58" s="693"/>
      <c r="K58" s="693"/>
      <c r="L58" s="693"/>
      <c r="M58" s="694"/>
      <c r="N58" s="3"/>
      <c r="O58" s="3"/>
      <c r="P58" s="3"/>
      <c r="Q58" s="3"/>
      <c r="R58" s="3"/>
      <c r="S58" s="3"/>
      <c r="T58" s="3"/>
      <c r="U58" s="3"/>
    </row>
    <row r="59" spans="1:21" ht="13">
      <c r="A59" s="3"/>
      <c r="B59" s="17"/>
      <c r="C59" s="816" t="s">
        <v>654</v>
      </c>
      <c r="D59" s="692"/>
      <c r="E59" s="693"/>
      <c r="F59" s="693"/>
      <c r="G59" s="693"/>
      <c r="H59" s="693"/>
      <c r="I59" s="693"/>
      <c r="J59" s="693"/>
      <c r="K59" s="693"/>
      <c r="L59" s="695"/>
      <c r="M59" s="694"/>
      <c r="N59" s="3"/>
      <c r="O59" s="3"/>
      <c r="P59" s="3"/>
      <c r="Q59" s="3"/>
      <c r="R59" s="3"/>
      <c r="S59" s="3"/>
      <c r="T59" s="3"/>
      <c r="U59" s="3"/>
    </row>
    <row r="60" spans="1:21" ht="13">
      <c r="A60" s="3"/>
      <c r="B60" s="17"/>
      <c r="C60" s="816" t="s">
        <v>655</v>
      </c>
      <c r="D60" s="692"/>
      <c r="E60" s="693"/>
      <c r="F60" s="693"/>
      <c r="G60" s="693"/>
      <c r="H60" s="693"/>
      <c r="I60" s="693"/>
      <c r="J60" s="693"/>
      <c r="K60" s="693"/>
      <c r="L60" s="693"/>
      <c r="M60" s="694"/>
      <c r="N60" s="3"/>
      <c r="O60" s="3"/>
      <c r="P60" s="3"/>
      <c r="Q60" s="3"/>
      <c r="R60" s="3"/>
      <c r="S60" s="3"/>
      <c r="T60" s="3"/>
      <c r="U60" s="3"/>
    </row>
    <row r="61" spans="1:21" ht="13" thickBot="1">
      <c r="A61" s="3"/>
      <c r="B61" s="17"/>
      <c r="C61" s="3"/>
      <c r="D61" s="730"/>
      <c r="E61" s="696"/>
      <c r="F61" s="696"/>
      <c r="G61" s="696"/>
      <c r="H61" s="696"/>
      <c r="I61" s="696"/>
      <c r="J61" s="696"/>
      <c r="K61" s="696"/>
      <c r="L61" s="696"/>
      <c r="M61" s="697"/>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8" t="s">
        <v>480</v>
      </c>
      <c r="B63" s="805">
        <v>13</v>
      </c>
      <c r="C63" s="699">
        <f>INDEX(D65:D78,B63,1)</f>
        <v>35785.99999999781</v>
      </c>
      <c r="D63" s="700" t="s">
        <v>481</v>
      </c>
      <c r="E63" s="3"/>
      <c r="F63" s="744" t="s">
        <v>2</v>
      </c>
      <c r="G63" s="739">
        <v>5</v>
      </c>
      <c r="H63" s="94" t="s">
        <v>4</v>
      </c>
      <c r="I63" s="745" t="s">
        <v>527</v>
      </c>
      <c r="J63" s="3"/>
      <c r="K63" s="777">
        <f>B90*(((((C63+B90)^2/B90^2)-(COS(G63/57.2958))^2)^0.5)-SIN(G63/57.2958))</f>
        <v>41126.753187550428</v>
      </c>
      <c r="L63" s="221" t="s">
        <v>719</v>
      </c>
      <c r="M63" s="3"/>
      <c r="N63" s="3"/>
      <c r="O63" s="3"/>
      <c r="P63" s="3"/>
      <c r="Q63" s="3"/>
      <c r="R63" s="3"/>
      <c r="S63" s="3"/>
      <c r="T63" s="3"/>
      <c r="U63" s="3"/>
    </row>
    <row r="64" spans="1:21" ht="13">
      <c r="A64" s="742" t="s">
        <v>482</v>
      </c>
      <c r="B64" s="742" t="s">
        <v>483</v>
      </c>
      <c r="C64" s="742" t="s">
        <v>484</v>
      </c>
      <c r="D64" s="742" t="s">
        <v>485</v>
      </c>
      <c r="E64" s="743" t="s">
        <v>486</v>
      </c>
      <c r="F64" s="3"/>
      <c r="G64" s="743" t="s">
        <v>487</v>
      </c>
      <c r="H64" s="3"/>
      <c r="I64" s="3"/>
      <c r="J64" s="3"/>
      <c r="K64" s="3"/>
      <c r="L64" s="3"/>
      <c r="M64" s="3"/>
      <c r="N64" s="3"/>
      <c r="O64" s="3"/>
      <c r="P64" s="3"/>
      <c r="Q64" s="3"/>
      <c r="R64" s="3"/>
      <c r="S64" s="3"/>
      <c r="T64" s="3"/>
      <c r="U64" s="3"/>
    </row>
    <row r="65" spans="1:21">
      <c r="A65" s="214">
        <v>1</v>
      </c>
      <c r="B65" s="701">
        <f>(B45*(1-(B46)^2))/(1+B46*COS(C65/57.29578))</f>
        <v>6878.1370000000024</v>
      </c>
      <c r="C65" s="702">
        <v>0</v>
      </c>
      <c r="D65" s="703">
        <f>B65-B42</f>
        <v>500.00000000000273</v>
      </c>
      <c r="E65" s="64">
        <f t="shared" ref="E65:E75" si="0">180-C65</f>
        <v>180</v>
      </c>
      <c r="F65" s="23" t="s">
        <v>12</v>
      </c>
      <c r="G65" s="704">
        <v>35</v>
      </c>
      <c r="H65" s="23" t="s">
        <v>714</v>
      </c>
      <c r="I65" s="23"/>
      <c r="J65" s="23"/>
      <c r="K65" s="23"/>
      <c r="L65" s="23"/>
      <c r="M65" s="23"/>
      <c r="N65" s="3"/>
      <c r="O65" s="3"/>
      <c r="P65" s="3"/>
      <c r="Q65" s="3"/>
      <c r="R65" s="3"/>
      <c r="S65" s="3"/>
      <c r="T65" s="3"/>
      <c r="U65" s="3"/>
    </row>
    <row r="66" spans="1:21" ht="13" thickBot="1">
      <c r="A66" s="214">
        <v>2</v>
      </c>
      <c r="B66" s="701">
        <f>(B45*(1-(B46)^2))/(1+B46*COS(C66/57.29578))</f>
        <v>6977.6230175021201</v>
      </c>
      <c r="C66" s="214">
        <v>15</v>
      </c>
      <c r="D66" s="703">
        <f>B66-B42</f>
        <v>599.48601750212038</v>
      </c>
      <c r="E66" s="64">
        <f t="shared" si="0"/>
        <v>165</v>
      </c>
      <c r="F66" s="23" t="s">
        <v>12</v>
      </c>
      <c r="G66" s="704">
        <v>35</v>
      </c>
      <c r="H66" s="23"/>
      <c r="I66" s="23"/>
      <c r="J66" s="23"/>
      <c r="K66" s="23"/>
      <c r="L66" s="23"/>
      <c r="M66" s="23"/>
      <c r="N66" s="3"/>
      <c r="O66" s="3"/>
      <c r="P66" s="3"/>
      <c r="Q66" s="3"/>
      <c r="R66" s="3"/>
      <c r="S66" s="3"/>
      <c r="T66" s="3"/>
      <c r="U66" s="3"/>
    </row>
    <row r="67" spans="1:21" ht="13" thickBot="1">
      <c r="A67" s="214">
        <v>3</v>
      </c>
      <c r="B67" s="701">
        <f>(B45*(1-(B46)^2))/(1+B46*COS(C67/57.29578))</f>
        <v>7286.6237888209216</v>
      </c>
      <c r="C67" s="214">
        <v>30</v>
      </c>
      <c r="D67" s="703">
        <f>B67-B42</f>
        <v>908.4867888209219</v>
      </c>
      <c r="E67" s="64">
        <f t="shared" si="0"/>
        <v>150</v>
      </c>
      <c r="F67" s="23" t="s">
        <v>12</v>
      </c>
      <c r="G67" s="704">
        <v>35</v>
      </c>
      <c r="H67" s="705"/>
      <c r="I67" s="706" t="s">
        <v>425</v>
      </c>
      <c r="J67" s="706"/>
      <c r="K67" s="706"/>
      <c r="L67" s="707"/>
      <c r="M67" s="23"/>
      <c r="N67" s="3"/>
      <c r="O67" s="3"/>
      <c r="P67" s="3"/>
      <c r="Q67" s="3"/>
      <c r="R67" s="3"/>
      <c r="S67" s="3"/>
      <c r="T67" s="3"/>
      <c r="U67" s="3"/>
    </row>
    <row r="68" spans="1:21" ht="13" thickBot="1">
      <c r="A68" s="214">
        <v>4</v>
      </c>
      <c r="B68" s="701">
        <f>(B45*(1-(B46)^2))/(1+B46*COS(C68/57.29578))</f>
        <v>7838.8429783306747</v>
      </c>
      <c r="C68" s="214">
        <v>45</v>
      </c>
      <c r="D68" s="703">
        <f>B68-B42</f>
        <v>1460.705978330675</v>
      </c>
      <c r="E68" s="64">
        <f t="shared" si="0"/>
        <v>135</v>
      </c>
      <c r="F68" s="23" t="s">
        <v>12</v>
      </c>
      <c r="G68" s="704">
        <v>35</v>
      </c>
      <c r="H68" s="819" t="s">
        <v>877</v>
      </c>
      <c r="I68" s="24"/>
      <c r="J68" s="393"/>
      <c r="K68" s="708">
        <f>2*((ASIN(B42/(B42+C63)))*57.2958)</f>
        <v>17.400982397943942</v>
      </c>
      <c r="L68" s="822" t="s">
        <v>4</v>
      </c>
      <c r="M68" s="23"/>
      <c r="N68" s="3"/>
      <c r="O68" s="3"/>
      <c r="P68" s="3"/>
      <c r="Q68" s="3"/>
      <c r="R68" s="3"/>
      <c r="S68" s="3"/>
      <c r="T68" s="3"/>
      <c r="U68" s="3"/>
    </row>
    <row r="69" spans="1:21" ht="13" thickBot="1">
      <c r="A69" s="214">
        <v>5</v>
      </c>
      <c r="B69" s="701">
        <f>(B45*(1-(B46)^2))/(1+B46*COS(C69/57.29578))</f>
        <v>8697.8936186138471</v>
      </c>
      <c r="C69" s="214">
        <v>60</v>
      </c>
      <c r="D69" s="703">
        <f>B69-B42</f>
        <v>2319.7566186138474</v>
      </c>
      <c r="E69" s="64">
        <f t="shared" si="0"/>
        <v>120</v>
      </c>
      <c r="F69" s="23" t="s">
        <v>12</v>
      </c>
      <c r="G69" s="704">
        <v>35</v>
      </c>
      <c r="H69" s="820" t="s">
        <v>878</v>
      </c>
      <c r="I69" s="24"/>
      <c r="J69" s="393"/>
      <c r="K69" s="821">
        <v>10</v>
      </c>
      <c r="L69" s="823" t="s">
        <v>4</v>
      </c>
      <c r="M69" s="23"/>
      <c r="N69" s="3"/>
      <c r="O69" s="3"/>
      <c r="P69" s="3"/>
      <c r="Q69" s="3"/>
      <c r="R69" s="3"/>
      <c r="S69" s="3"/>
      <c r="T69" s="3"/>
      <c r="U69" s="3"/>
    </row>
    <row r="70" spans="1:21" ht="13" thickBot="1">
      <c r="A70" s="214">
        <v>6</v>
      </c>
      <c r="B70" s="701">
        <f>(B45*(1-(B46)^2))/(1+B46*COS(C70/57.29578))</f>
        <v>9970.292881925574</v>
      </c>
      <c r="C70" s="214">
        <v>75</v>
      </c>
      <c r="D70" s="703">
        <f>B70-B42</f>
        <v>3592.1558819255742</v>
      </c>
      <c r="E70" s="64">
        <f t="shared" si="0"/>
        <v>105</v>
      </c>
      <c r="F70" s="23" t="s">
        <v>12</v>
      </c>
      <c r="G70" s="704">
        <v>35</v>
      </c>
      <c r="H70" s="249" t="s">
        <v>488</v>
      </c>
      <c r="I70" s="24"/>
      <c r="J70" s="393"/>
      <c r="K70" s="708">
        <f>K68/2+K69</f>
        <v>18.700491198971971</v>
      </c>
      <c r="L70" s="822" t="s">
        <v>4</v>
      </c>
      <c r="M70" s="23"/>
      <c r="N70" s="3"/>
      <c r="O70" s="3"/>
      <c r="P70" s="3"/>
      <c r="Q70" s="3"/>
      <c r="R70" s="3"/>
      <c r="S70" s="3"/>
      <c r="T70" s="3"/>
      <c r="U70" s="3"/>
    </row>
    <row r="71" spans="1:21" ht="13" thickBot="1">
      <c r="A71" s="214">
        <v>7</v>
      </c>
      <c r="B71" s="701">
        <f>(B45*(1-(B46)^2))/(1+B46*COS(C71/57.29578))</f>
        <v>11826.968218777867</v>
      </c>
      <c r="C71" s="214">
        <v>90</v>
      </c>
      <c r="D71" s="703">
        <f>B71-B42</f>
        <v>5448.8312187778674</v>
      </c>
      <c r="E71" s="64">
        <f t="shared" si="0"/>
        <v>90</v>
      </c>
      <c r="F71" s="23" t="s">
        <v>12</v>
      </c>
      <c r="G71" s="704">
        <v>35</v>
      </c>
      <c r="H71" s="249" t="s">
        <v>489</v>
      </c>
      <c r="I71" s="24"/>
      <c r="J71" s="393"/>
      <c r="K71" s="710">
        <f>'Antenna Pointing Losses'!K63</f>
        <v>0</v>
      </c>
      <c r="L71" s="709" t="s">
        <v>756</v>
      </c>
      <c r="M71" s="23"/>
      <c r="N71" s="3"/>
      <c r="O71" s="3"/>
      <c r="P71" s="3"/>
      <c r="Q71" s="3"/>
      <c r="R71" s="3"/>
      <c r="S71" s="3"/>
      <c r="T71" s="3"/>
      <c r="U71" s="3"/>
    </row>
    <row r="72" spans="1:21" ht="13" thickBot="1">
      <c r="A72" s="214">
        <v>8</v>
      </c>
      <c r="B72" s="701">
        <f>(B45*(1-(B46)^2))/(1+B46*COS(C72/57.29578))</f>
        <v>14533.386185165687</v>
      </c>
      <c r="C72" s="214">
        <v>105</v>
      </c>
      <c r="D72" s="703">
        <f>B72-B42</f>
        <v>8155.2491851656878</v>
      </c>
      <c r="E72" s="64">
        <f t="shared" si="0"/>
        <v>75</v>
      </c>
      <c r="F72" s="23" t="s">
        <v>12</v>
      </c>
      <c r="G72" s="704">
        <v>35</v>
      </c>
      <c r="H72" s="249" t="s">
        <v>490</v>
      </c>
      <c r="I72" s="24"/>
      <c r="J72" s="393"/>
      <c r="K72" s="710">
        <f>'Antenna Pointing Losses'!K85</f>
        <v>0</v>
      </c>
      <c r="L72" s="709" t="s">
        <v>756</v>
      </c>
      <c r="M72" s="23"/>
      <c r="N72" s="3"/>
      <c r="O72" s="3"/>
      <c r="P72" s="3"/>
      <c r="Q72" s="3"/>
      <c r="R72" s="3"/>
      <c r="S72" s="3"/>
      <c r="T72" s="3"/>
      <c r="U72" s="3"/>
    </row>
    <row r="73" spans="1:21" ht="13" thickBot="1">
      <c r="A73" s="214">
        <v>9</v>
      </c>
      <c r="B73" s="701">
        <f>(B45*(1-(B46)^2))/(1+B46*COS(C73/57.29578))</f>
        <v>18472.446576256712</v>
      </c>
      <c r="C73" s="214">
        <v>120</v>
      </c>
      <c r="D73" s="703">
        <f>B73-B42</f>
        <v>12094.309576256714</v>
      </c>
      <c r="E73" s="64">
        <f t="shared" si="0"/>
        <v>60</v>
      </c>
      <c r="F73" s="23" t="s">
        <v>12</v>
      </c>
      <c r="G73" s="704">
        <v>35</v>
      </c>
      <c r="H73" s="249" t="s">
        <v>424</v>
      </c>
      <c r="I73" s="24"/>
      <c r="J73" s="393"/>
      <c r="K73" s="708">
        <f>'Downlink Budget'!B30</f>
        <v>20.334122964085026</v>
      </c>
      <c r="L73" s="709" t="s">
        <v>756</v>
      </c>
      <c r="M73" s="23"/>
      <c r="N73" s="3"/>
      <c r="O73" s="3"/>
      <c r="P73" s="3"/>
      <c r="Q73" s="3"/>
      <c r="R73" s="3"/>
      <c r="S73" s="3"/>
      <c r="T73" s="3"/>
      <c r="U73" s="3"/>
    </row>
    <row r="74" spans="1:21" ht="13" thickBot="1">
      <c r="A74" s="214">
        <v>10</v>
      </c>
      <c r="B74" s="701">
        <f>(B45*(1-(B46)^2))/(1+B46*COS(C74/57.29578))</f>
        <v>24075.965611934313</v>
      </c>
      <c r="C74" s="214">
        <v>135</v>
      </c>
      <c r="D74" s="703">
        <f>B74-B42</f>
        <v>17697.828611934314</v>
      </c>
      <c r="E74" s="64">
        <f t="shared" si="0"/>
        <v>45</v>
      </c>
      <c r="F74" s="23" t="s">
        <v>12</v>
      </c>
      <c r="G74" s="704">
        <v>40</v>
      </c>
      <c r="H74" s="556" t="s">
        <v>879</v>
      </c>
      <c r="I74" s="127"/>
      <c r="J74" s="291"/>
      <c r="K74" s="824">
        <f>'Uplink Budget'!B30</f>
        <v>17.58676019590952</v>
      </c>
      <c r="L74" s="711" t="s">
        <v>756</v>
      </c>
      <c r="M74" s="23"/>
      <c r="N74" s="3"/>
      <c r="O74" s="3"/>
      <c r="P74" s="3"/>
      <c r="Q74" s="3"/>
      <c r="R74" s="3"/>
      <c r="S74" s="3"/>
      <c r="T74" s="3"/>
      <c r="U74" s="3"/>
    </row>
    <row r="75" spans="1:21">
      <c r="A75" s="214">
        <v>11</v>
      </c>
      <c r="B75" s="701">
        <f>(B45*(1-(B46)^2))/(1+B46*COS(C75/57.29578))</f>
        <v>31380.154349772623</v>
      </c>
      <c r="C75" s="214">
        <v>150</v>
      </c>
      <c r="D75" s="703">
        <f>B75-B42</f>
        <v>25002.017349772625</v>
      </c>
      <c r="E75" s="64">
        <f t="shared" si="0"/>
        <v>30</v>
      </c>
      <c r="F75" s="23" t="s">
        <v>12</v>
      </c>
      <c r="G75" s="704">
        <v>50</v>
      </c>
      <c r="H75" s="23"/>
      <c r="I75" s="23"/>
      <c r="J75" s="23"/>
      <c r="K75" s="23"/>
      <c r="L75" s="23"/>
      <c r="M75" s="23"/>
      <c r="N75" s="3"/>
      <c r="O75" s="3"/>
      <c r="P75" s="3"/>
      <c r="Q75" s="3"/>
      <c r="R75" s="3"/>
      <c r="S75" s="3"/>
      <c r="T75" s="3"/>
      <c r="U75" s="3"/>
    </row>
    <row r="76" spans="1:21">
      <c r="A76" s="214">
        <v>12</v>
      </c>
      <c r="B76" s="701">
        <f>(B45*(1-(B46)^2))/(1+B46*COS(C76/57.29578))</f>
        <v>38775.073861854115</v>
      </c>
      <c r="C76" s="214">
        <v>165</v>
      </c>
      <c r="D76" s="703">
        <f>B76-B42</f>
        <v>32396.936861854116</v>
      </c>
      <c r="E76" s="64">
        <f>180-C76</f>
        <v>15</v>
      </c>
      <c r="F76" s="23" t="s">
        <v>12</v>
      </c>
      <c r="G76" s="704">
        <v>90</v>
      </c>
      <c r="H76" s="23"/>
      <c r="I76" s="23"/>
      <c r="J76" s="23"/>
      <c r="K76" s="23"/>
      <c r="L76" s="23"/>
      <c r="M76" s="23"/>
      <c r="N76" s="3"/>
      <c r="O76" s="3"/>
      <c r="P76" s="3"/>
      <c r="Q76" s="3"/>
      <c r="R76" s="3"/>
      <c r="S76" s="3"/>
      <c r="T76" s="3"/>
      <c r="U76" s="3"/>
    </row>
    <row r="77" spans="1:21">
      <c r="A77" s="214">
        <v>13</v>
      </c>
      <c r="B77" s="701">
        <f>(B45*(1-(B46)^2))/(1+B46*COS(C77/57.29578))</f>
        <v>42164.136999997812</v>
      </c>
      <c r="C77" s="702">
        <v>179.99999</v>
      </c>
      <c r="D77" s="703">
        <f>B77-B42</f>
        <v>35785.99999999781</v>
      </c>
      <c r="E77" s="64">
        <f>180-C77</f>
        <v>1.0000000003174137E-5</v>
      </c>
      <c r="F77" s="23" t="s">
        <v>12</v>
      </c>
      <c r="G77" s="704">
        <v>170</v>
      </c>
      <c r="H77" s="23"/>
      <c r="I77" s="23"/>
      <c r="J77" s="23"/>
      <c r="K77" s="23"/>
      <c r="L77" s="23"/>
      <c r="M77" s="23"/>
      <c r="N77" s="3"/>
      <c r="O77" s="3"/>
      <c r="P77" s="3"/>
      <c r="Q77" s="3"/>
      <c r="R77" s="3"/>
      <c r="S77" s="3"/>
      <c r="T77" s="3"/>
      <c r="U77" s="3"/>
    </row>
    <row r="78" spans="1:21">
      <c r="A78" s="712">
        <v>14</v>
      </c>
      <c r="B78" s="713">
        <f>(B45*(1-(B46)^2))/(1+B46*COS(C78/57.29578))</f>
        <v>41756.554391673679</v>
      </c>
      <c r="C78" s="714">
        <v>175</v>
      </c>
      <c r="D78" s="715">
        <f>B78-B42</f>
        <v>35378.417391673676</v>
      </c>
      <c r="E78" s="716">
        <f>180-C78</f>
        <v>5</v>
      </c>
      <c r="F78" s="545" t="s">
        <v>12</v>
      </c>
      <c r="G78" s="717">
        <v>160</v>
      </c>
      <c r="H78" s="545"/>
      <c r="I78" s="718" t="s">
        <v>491</v>
      </c>
      <c r="J78" s="545"/>
      <c r="K78" s="545"/>
      <c r="L78" s="545"/>
      <c r="M78" s="366"/>
      <c r="N78" s="3"/>
      <c r="O78" s="3"/>
      <c r="P78" s="3"/>
      <c r="Q78" s="3"/>
      <c r="R78" s="3"/>
      <c r="S78" s="3"/>
      <c r="T78" s="3"/>
      <c r="U78" s="3"/>
    </row>
    <row r="79" spans="1:21">
      <c r="A79" s="3"/>
      <c r="B79" s="3" t="s">
        <v>714</v>
      </c>
      <c r="C79" s="3"/>
      <c r="D79" s="3"/>
      <c r="E79" s="3" t="s">
        <v>714</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1" t="s">
        <v>518</v>
      </c>
      <c r="B85" s="23"/>
      <c r="C85" s="23"/>
      <c r="D85" s="782"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508</v>
      </c>
      <c r="B87" s="3"/>
      <c r="C87" s="3"/>
      <c r="D87" s="3"/>
      <c r="E87" s="3"/>
      <c r="F87" s="3"/>
      <c r="G87" s="3"/>
      <c r="H87" s="3"/>
      <c r="I87" s="3"/>
      <c r="J87" s="3"/>
      <c r="K87" s="3"/>
      <c r="L87" s="3"/>
      <c r="M87" s="3"/>
      <c r="N87" s="3"/>
      <c r="O87" s="3"/>
      <c r="P87" s="3"/>
      <c r="Q87" s="3"/>
      <c r="R87" s="3"/>
      <c r="S87" s="3"/>
      <c r="T87" s="3"/>
      <c r="U87" s="3"/>
    </row>
    <row r="88" spans="1:21" ht="13">
      <c r="A88" s="722" t="s">
        <v>715</v>
      </c>
      <c r="B88" s="723" t="s">
        <v>716</v>
      </c>
      <c r="C88" s="722" t="s">
        <v>717</v>
      </c>
      <c r="D88" s="729" t="s">
        <v>495</v>
      </c>
      <c r="E88" s="3"/>
      <c r="F88" s="3"/>
      <c r="G88" s="3"/>
      <c r="H88" s="3"/>
      <c r="I88" s="3"/>
      <c r="J88" s="3"/>
      <c r="K88" s="3"/>
      <c r="L88" s="3"/>
      <c r="M88" s="3"/>
      <c r="N88" s="3"/>
      <c r="O88" s="3"/>
      <c r="P88" s="3"/>
      <c r="Q88" s="3"/>
      <c r="R88" s="3"/>
      <c r="S88" s="3"/>
      <c r="T88" s="3"/>
      <c r="U88" s="3"/>
    </row>
    <row r="89" spans="1:21" ht="17.25" customHeight="1">
      <c r="A89" s="724" t="s">
        <v>500</v>
      </c>
      <c r="B89" s="725">
        <f>B91-B90</f>
        <v>35786.018697888401</v>
      </c>
      <c r="C89" s="724" t="s">
        <v>719</v>
      </c>
      <c r="D89" s="728" t="s">
        <v>501</v>
      </c>
      <c r="E89" s="3"/>
      <c r="F89" s="3"/>
      <c r="G89" s="3"/>
      <c r="H89" s="3"/>
      <c r="I89" s="3"/>
      <c r="J89" s="3"/>
      <c r="K89" s="3"/>
      <c r="L89" s="3"/>
      <c r="M89" s="3"/>
      <c r="N89" s="3"/>
      <c r="O89" s="3"/>
      <c r="P89" s="3"/>
      <c r="Q89" s="3"/>
      <c r="R89" s="3"/>
      <c r="S89" s="3"/>
      <c r="T89" s="3"/>
      <c r="U89" s="3"/>
    </row>
    <row r="90" spans="1:21">
      <c r="A90" s="724" t="s">
        <v>502</v>
      </c>
      <c r="B90" s="725">
        <v>6378.1369999999997</v>
      </c>
      <c r="C90" s="724" t="s">
        <v>719</v>
      </c>
      <c r="D90" s="726"/>
      <c r="E90" s="3"/>
      <c r="F90" s="3"/>
      <c r="G90" s="3"/>
      <c r="H90" s="3"/>
      <c r="I90" s="3"/>
      <c r="J90" s="3"/>
      <c r="K90" s="3"/>
      <c r="L90" s="3"/>
      <c r="M90" s="3"/>
      <c r="N90" s="3"/>
      <c r="O90" s="3"/>
      <c r="P90" s="3"/>
      <c r="Q90" s="3"/>
      <c r="R90" s="3"/>
      <c r="S90" s="3"/>
      <c r="T90" s="3"/>
      <c r="U90" s="3"/>
    </row>
    <row r="91" spans="1:21">
      <c r="A91" s="724" t="s">
        <v>503</v>
      </c>
      <c r="B91" s="725">
        <f>(398600000000000*(86400*(365.25/366.25)/(2*PI()))^2)^(1/3)/1000</f>
        <v>42164.155697888404</v>
      </c>
      <c r="C91" s="724" t="s">
        <v>719</v>
      </c>
      <c r="D91" s="488" t="s">
        <v>504</v>
      </c>
      <c r="E91" s="3"/>
      <c r="F91" s="3"/>
      <c r="G91" s="3"/>
      <c r="H91" s="3"/>
      <c r="I91" s="3"/>
      <c r="J91" s="3"/>
      <c r="K91" s="3"/>
      <c r="L91" s="3"/>
      <c r="M91" s="3"/>
      <c r="N91" s="3"/>
      <c r="O91" s="3"/>
      <c r="P91" s="3"/>
      <c r="Q91" s="3"/>
      <c r="R91" s="3"/>
      <c r="S91" s="3"/>
      <c r="T91" s="3"/>
      <c r="U91" s="3"/>
    </row>
    <row r="92" spans="1:21">
      <c r="A92" s="724" t="s">
        <v>505</v>
      </c>
      <c r="B92" s="725">
        <v>37410</v>
      </c>
      <c r="C92" s="101" t="s">
        <v>719</v>
      </c>
      <c r="D92" s="101" t="s">
        <v>509</v>
      </c>
      <c r="E92" s="3"/>
      <c r="F92" s="3"/>
      <c r="G92" s="3"/>
      <c r="H92" s="3"/>
      <c r="I92" s="3"/>
      <c r="J92" s="3"/>
      <c r="K92" s="3"/>
      <c r="L92" s="3"/>
      <c r="M92" s="3"/>
      <c r="N92" s="3"/>
      <c r="O92" s="3"/>
      <c r="P92" s="3"/>
      <c r="Q92" s="3"/>
      <c r="R92" s="3"/>
      <c r="S92" s="3"/>
      <c r="T92" s="3"/>
      <c r="U92" s="3"/>
    </row>
    <row r="93" spans="1:21">
      <c r="A93" s="724" t="s">
        <v>506</v>
      </c>
      <c r="B93" s="731">
        <v>35786.019</v>
      </c>
      <c r="C93" s="724" t="s">
        <v>719</v>
      </c>
      <c r="D93" s="101" t="s">
        <v>510</v>
      </c>
      <c r="E93" s="3"/>
      <c r="F93" s="3"/>
      <c r="G93" s="3"/>
      <c r="H93" s="3"/>
      <c r="I93" s="3"/>
      <c r="J93" s="3"/>
      <c r="K93" s="3"/>
      <c r="L93" s="3"/>
      <c r="M93" s="3"/>
      <c r="N93" s="3"/>
      <c r="O93" s="3"/>
      <c r="P93" s="3"/>
      <c r="Q93" s="3"/>
      <c r="R93" s="3"/>
      <c r="S93" s="3"/>
      <c r="T93" s="3"/>
      <c r="U93" s="3"/>
    </row>
    <row r="94" spans="1:21">
      <c r="A94" s="724" t="s">
        <v>507</v>
      </c>
      <c r="B94" s="731">
        <v>41678.957000000002</v>
      </c>
      <c r="C94" s="724" t="s">
        <v>719</v>
      </c>
      <c r="D94" s="101" t="s">
        <v>519</v>
      </c>
      <c r="E94" s="3"/>
      <c r="F94" s="3"/>
      <c r="G94" s="3"/>
      <c r="H94" s="3"/>
      <c r="I94" s="3"/>
      <c r="J94" s="3"/>
      <c r="K94" s="3"/>
      <c r="L94" s="3"/>
      <c r="M94" s="3"/>
      <c r="N94" s="3"/>
      <c r="O94" s="3"/>
      <c r="P94" s="3"/>
      <c r="Q94" s="3"/>
      <c r="R94" s="3"/>
      <c r="S94" s="3"/>
      <c r="T94" s="3"/>
      <c r="U94" s="3"/>
    </row>
    <row r="95" spans="1:21" ht="13.5" thickBot="1">
      <c r="A95" s="101" t="s">
        <v>714</v>
      </c>
      <c r="B95" s="727" t="s">
        <v>714</v>
      </c>
      <c r="C95" s="101" t="s">
        <v>714</v>
      </c>
      <c r="D95" s="101"/>
      <c r="E95" s="3"/>
      <c r="F95" s="3"/>
      <c r="G95" s="3"/>
      <c r="H95" s="3"/>
      <c r="I95" s="3"/>
      <c r="J95" s="3"/>
      <c r="K95" s="3"/>
      <c r="L95" s="3"/>
      <c r="M95" s="3"/>
      <c r="N95" s="3"/>
      <c r="O95" s="797" t="s">
        <v>28</v>
      </c>
      <c r="P95" s="3"/>
      <c r="Q95" s="3"/>
      <c r="R95" s="3"/>
      <c r="S95" s="3"/>
      <c r="T95" s="3"/>
      <c r="U95" s="3"/>
    </row>
    <row r="96" spans="1:21" ht="13.5" thickBot="1">
      <c r="A96" s="101" t="s">
        <v>714</v>
      </c>
      <c r="B96" s="753" t="s">
        <v>119</v>
      </c>
      <c r="C96" s="101"/>
      <c r="D96" s="101"/>
      <c r="E96" s="3"/>
      <c r="F96" s="3"/>
      <c r="G96" s="754" t="s">
        <v>342</v>
      </c>
      <c r="H96" s="3"/>
      <c r="I96" s="3"/>
      <c r="J96" s="3"/>
      <c r="K96" s="3"/>
      <c r="L96" s="3"/>
      <c r="M96" s="753" t="s">
        <v>122</v>
      </c>
      <c r="N96" s="101"/>
      <c r="O96" s="755" t="s">
        <v>140</v>
      </c>
      <c r="P96" s="3"/>
      <c r="Q96" s="3"/>
      <c r="R96" s="3"/>
      <c r="S96" s="3"/>
      <c r="T96" s="3"/>
      <c r="U96" s="3"/>
    </row>
    <row r="97" spans="1:21" ht="13.5" thickBot="1">
      <c r="A97" s="3"/>
      <c r="B97" s="797" t="s">
        <v>499</v>
      </c>
      <c r="C97" s="3"/>
      <c r="D97" s="3"/>
      <c r="E97" s="3"/>
      <c r="F97" s="3"/>
      <c r="G97" s="3"/>
      <c r="H97" s="3"/>
      <c r="I97" s="3"/>
      <c r="J97" s="3"/>
      <c r="K97" s="3"/>
      <c r="L97" s="3"/>
      <c r="M97" s="3"/>
      <c r="N97" s="3"/>
      <c r="O97" s="797" t="s">
        <v>714</v>
      </c>
      <c r="P97" s="3"/>
      <c r="Q97" s="3"/>
      <c r="R97" s="3"/>
      <c r="S97" s="3"/>
      <c r="T97" s="3"/>
      <c r="U97" s="3"/>
    </row>
    <row r="98" spans="1:21" ht="13" thickBot="1">
      <c r="A98" s="3" t="s">
        <v>513</v>
      </c>
      <c r="B98" s="783">
        <v>19.062200000000001</v>
      </c>
      <c r="C98" s="3" t="s">
        <v>4</v>
      </c>
      <c r="D98" s="26" t="s">
        <v>515</v>
      </c>
      <c r="E98" s="3"/>
      <c r="F98" s="3"/>
      <c r="G98" s="3"/>
      <c r="H98" s="3"/>
      <c r="I98" s="3"/>
      <c r="J98" s="3"/>
      <c r="K98" s="3"/>
      <c r="L98" s="3"/>
      <c r="M98" s="779" t="s">
        <v>513</v>
      </c>
      <c r="N98" s="3"/>
      <c r="O98" s="783">
        <v>17.429200000000002</v>
      </c>
      <c r="P98" s="3" t="s">
        <v>4</v>
      </c>
      <c r="Q98" s="3"/>
      <c r="R98" s="3"/>
      <c r="S98" s="3"/>
      <c r="T98" s="3"/>
      <c r="U98" s="3"/>
    </row>
    <row r="99" spans="1:21" ht="13" thickBot="1">
      <c r="A99" s="3"/>
      <c r="B99" s="784" t="s">
        <v>714</v>
      </c>
      <c r="C99" s="3"/>
      <c r="D99" s="3"/>
      <c r="E99" s="3"/>
      <c r="F99" s="3"/>
      <c r="G99" s="3"/>
      <c r="H99" s="3"/>
      <c r="I99" s="3"/>
      <c r="J99" s="3"/>
      <c r="K99" s="3"/>
      <c r="L99" s="3"/>
      <c r="M99" s="553"/>
      <c r="N99" s="3"/>
      <c r="O99" s="3"/>
      <c r="P99" s="3"/>
      <c r="Q99" s="3"/>
      <c r="R99" s="3"/>
      <c r="S99" s="3"/>
      <c r="T99" s="3"/>
      <c r="U99" s="3"/>
    </row>
    <row r="100" spans="1:21" ht="13" thickBot="1">
      <c r="A100" s="3" t="s">
        <v>514</v>
      </c>
      <c r="B100" s="783">
        <v>72.874200000000002</v>
      </c>
      <c r="C100" s="3" t="s">
        <v>4</v>
      </c>
      <c r="D100" s="26" t="s">
        <v>516</v>
      </c>
      <c r="E100" s="3"/>
      <c r="F100" s="3"/>
      <c r="G100" s="3"/>
      <c r="H100" s="3"/>
      <c r="I100" s="3"/>
      <c r="J100" s="3"/>
      <c r="K100" s="3"/>
      <c r="L100" s="3"/>
      <c r="M100" s="779" t="s">
        <v>514</v>
      </c>
      <c r="N100" s="3"/>
      <c r="O100" s="783">
        <v>78.465800000000002</v>
      </c>
      <c r="P100" s="3" t="s">
        <v>4</v>
      </c>
      <c r="Q100" s="3"/>
      <c r="R100" s="3"/>
      <c r="S100" s="3"/>
      <c r="T100" s="3"/>
      <c r="U100" s="3"/>
    </row>
    <row r="101" spans="1:21" ht="13" thickBot="1">
      <c r="A101" s="3"/>
      <c r="B101" s="827">
        <f>(B100-B102)</f>
        <v>-16.625799999999998</v>
      </c>
      <c r="C101" s="3"/>
      <c r="D101" s="3"/>
      <c r="E101" s="3"/>
      <c r="F101" s="3"/>
      <c r="G101" s="3"/>
      <c r="H101" s="3"/>
      <c r="I101" s="3"/>
      <c r="J101" s="3"/>
      <c r="K101" s="3"/>
      <c r="L101" s="3"/>
      <c r="M101" s="553"/>
      <c r="N101" s="3"/>
      <c r="O101" s="827">
        <f>O100-O102</f>
        <v>-11.034199999999998</v>
      </c>
      <c r="P101" s="3"/>
      <c r="Q101" s="3"/>
      <c r="R101" s="3"/>
      <c r="S101" s="3"/>
      <c r="T101" s="3"/>
      <c r="U101" s="3"/>
    </row>
    <row r="102" spans="1:21" ht="13" thickBot="1">
      <c r="A102" s="3" t="s">
        <v>302</v>
      </c>
      <c r="B102" s="783">
        <v>89.5</v>
      </c>
      <c r="C102" s="3" t="s">
        <v>4</v>
      </c>
      <c r="D102" s="3" t="s">
        <v>322</v>
      </c>
      <c r="E102" s="3"/>
      <c r="F102" s="3"/>
      <c r="G102" s="3"/>
      <c r="H102" s="3"/>
      <c r="I102" s="3"/>
      <c r="J102" s="3"/>
      <c r="K102" s="3"/>
      <c r="L102" s="3"/>
      <c r="M102" s="812" t="s">
        <v>821</v>
      </c>
      <c r="N102" s="3"/>
      <c r="O102" s="813">
        <f>B102</f>
        <v>89.5</v>
      </c>
      <c r="P102" s="3" t="s">
        <v>4</v>
      </c>
      <c r="Q102" s="3" t="s">
        <v>822</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517</v>
      </c>
      <c r="B104" s="747">
        <f>SQRT($B$91^2+$B$90^2-2*$B$91*$B$90*COS(B110/57.29578))</f>
        <v>36488.15588571554</v>
      </c>
      <c r="C104" s="3" t="s">
        <v>719</v>
      </c>
      <c r="D104" s="3" t="s">
        <v>323</v>
      </c>
      <c r="E104" s="3"/>
      <c r="F104" s="3"/>
      <c r="G104" s="3"/>
      <c r="H104" s="3"/>
      <c r="I104" s="3"/>
      <c r="J104" s="3"/>
      <c r="K104" s="3"/>
      <c r="L104" s="3"/>
      <c r="M104" s="778" t="s">
        <v>517</v>
      </c>
      <c r="N104" s="3"/>
      <c r="O104" s="747">
        <f>SQRT($B$91^2+$B$90^2-2*$B$91*$B$90*COS(O110/57.29578))</f>
        <v>36260.448781198123</v>
      </c>
      <c r="P104" s="3" t="s">
        <v>719</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528</v>
      </c>
      <c r="B106" s="806">
        <f>57.29578*ATAN((COS(B110/57.29578)-($B$90/$B$91))/SIN(B110/57.29578))</f>
        <v>60.660455833168932</v>
      </c>
      <c r="C106" s="3" t="s">
        <v>4</v>
      </c>
      <c r="D106" s="3" t="s">
        <v>324</v>
      </c>
      <c r="E106" s="3"/>
      <c r="F106" s="3"/>
      <c r="G106" s="3"/>
      <c r="H106" s="3"/>
      <c r="I106" s="3"/>
      <c r="J106" s="3"/>
      <c r="K106" s="3"/>
      <c r="L106" s="3"/>
      <c r="M106" s="779" t="s">
        <v>528</v>
      </c>
      <c r="N106" s="3"/>
      <c r="O106" s="806">
        <f>57.29578*ATAN((COS(O110/57.29578)-($B$90/$B$91))/SIN(O110/57.29578))</f>
        <v>65.925927773075983</v>
      </c>
      <c r="P106" s="3" t="s">
        <v>4</v>
      </c>
      <c r="Q106" s="3"/>
      <c r="R106" s="3"/>
      <c r="S106" s="3"/>
      <c r="T106" s="3"/>
      <c r="U106" s="3"/>
    </row>
    <row r="107" spans="1:21" ht="13" thickBot="1">
      <c r="A107" s="3"/>
      <c r="B107" s="828">
        <f>57.29578*ATAN(SIN($B$101/57.29578)/((-SIN($B$98/57.29578)*COS($B$101/57.29578))))</f>
        <v>42.436490136550354</v>
      </c>
      <c r="C107" s="3"/>
      <c r="D107" s="3"/>
      <c r="E107" s="3"/>
      <c r="F107" s="3"/>
      <c r="G107" s="3"/>
      <c r="H107" s="3"/>
      <c r="I107" s="3"/>
      <c r="J107" s="3"/>
      <c r="K107" s="3"/>
      <c r="L107" s="3"/>
      <c r="M107" s="779"/>
      <c r="N107" s="3"/>
      <c r="O107" s="828">
        <f>57.29578*ATAN(SIN(O101/57.29578)/((-SIN(O98/57.29578)*COS(O101/57.29578))))</f>
        <v>33.065164163394428</v>
      </c>
      <c r="P107" s="3"/>
      <c r="Q107" s="3"/>
      <c r="R107" s="3"/>
      <c r="S107" s="3"/>
      <c r="T107" s="3"/>
      <c r="U107" s="3"/>
    </row>
    <row r="108" spans="1:21" ht="13" thickBot="1">
      <c r="A108" s="3" t="s">
        <v>497</v>
      </c>
      <c r="B108" s="806">
        <f>'GEO Azimuth Calc Data'!E19</f>
        <v>137.56350986344964</v>
      </c>
      <c r="C108" s="3" t="s">
        <v>4</v>
      </c>
      <c r="D108" s="3" t="s">
        <v>498</v>
      </c>
      <c r="E108" s="3"/>
      <c r="F108" s="3"/>
      <c r="G108" s="3"/>
      <c r="H108" s="3"/>
      <c r="I108" s="3"/>
      <c r="J108" s="3"/>
      <c r="K108" s="3"/>
      <c r="L108" s="3"/>
      <c r="M108" s="779" t="s">
        <v>497</v>
      </c>
      <c r="N108" s="3"/>
      <c r="O108" s="806">
        <f>'GEO Azimuth Calc Data'!E40</f>
        <v>146.93483583660557</v>
      </c>
      <c r="P108" s="799" t="s">
        <v>4</v>
      </c>
      <c r="Q108" s="3"/>
      <c r="R108" s="3"/>
      <c r="S108" s="3"/>
      <c r="T108" s="3"/>
      <c r="U108" s="3"/>
    </row>
    <row r="109" spans="1:21" ht="13" thickBot="1">
      <c r="A109" s="3"/>
      <c r="B109" s="3" t="s">
        <v>714</v>
      </c>
      <c r="C109" s="3"/>
      <c r="D109" s="3"/>
      <c r="E109" s="3"/>
      <c r="F109" s="3"/>
      <c r="G109" s="3"/>
      <c r="H109" s="3"/>
      <c r="I109" s="3"/>
      <c r="J109" s="3"/>
      <c r="K109" s="3"/>
      <c r="L109" s="3"/>
      <c r="M109" s="3"/>
      <c r="N109" s="3"/>
      <c r="O109" s="3"/>
      <c r="P109" s="3"/>
      <c r="Q109" s="3"/>
      <c r="R109" s="3"/>
      <c r="S109" s="3"/>
      <c r="T109" s="3"/>
      <c r="U109" s="3"/>
    </row>
    <row r="110" spans="1:21" ht="13" thickBot="1">
      <c r="A110" s="3" t="s">
        <v>496</v>
      </c>
      <c r="B110" s="789">
        <f>57.29578*ACOS(COS(B98/57.29578)*COS(B101/57.29578))</f>
        <v>25.088911834355539</v>
      </c>
      <c r="C110" s="3" t="s">
        <v>4</v>
      </c>
      <c r="D110" s="3" t="s">
        <v>328</v>
      </c>
      <c r="E110" s="3"/>
      <c r="F110" s="3"/>
      <c r="G110" s="3"/>
      <c r="H110" s="3"/>
      <c r="I110" s="3"/>
      <c r="J110" s="3"/>
      <c r="K110" s="3"/>
      <c r="L110" s="3"/>
      <c r="M110" s="3" t="s">
        <v>496</v>
      </c>
      <c r="N110" s="3"/>
      <c r="O110" s="789">
        <f>57.29578*ACOS(COS(O98/57.29578)*COS(O101/57.29578))</f>
        <v>20.536371124162212</v>
      </c>
      <c r="P110" s="3" t="s">
        <v>4</v>
      </c>
      <c r="Q110" s="3"/>
      <c r="R110" s="3"/>
      <c r="S110" s="3"/>
      <c r="T110" s="3"/>
      <c r="U110" s="3"/>
    </row>
    <row r="111" spans="1:21">
      <c r="A111" s="3"/>
      <c r="B111" s="785"/>
      <c r="C111" s="3"/>
      <c r="D111" s="3"/>
      <c r="E111" s="3"/>
      <c r="F111" s="3"/>
      <c r="G111" s="3"/>
      <c r="H111" s="3"/>
      <c r="I111" s="3"/>
      <c r="J111" s="3"/>
      <c r="K111" s="3"/>
      <c r="L111" s="3"/>
      <c r="M111" s="3"/>
      <c r="N111" s="3"/>
      <c r="O111" s="457"/>
      <c r="P111" s="3"/>
      <c r="Q111" s="3"/>
      <c r="R111" s="3"/>
      <c r="S111" s="3"/>
      <c r="T111" s="3"/>
      <c r="U111" s="3"/>
    </row>
    <row r="112" spans="1:21">
      <c r="A112" s="3"/>
      <c r="B112" s="785" t="s">
        <v>714</v>
      </c>
      <c r="C112" s="3"/>
      <c r="D112" s="3"/>
      <c r="E112" s="3"/>
      <c r="F112" s="3"/>
      <c r="G112" s="3"/>
      <c r="H112" s="3"/>
      <c r="I112" s="3"/>
      <c r="J112" s="3"/>
      <c r="K112" s="3"/>
      <c r="L112" s="3"/>
      <c r="M112" s="3"/>
      <c r="N112" s="3"/>
      <c r="O112" s="457"/>
      <c r="P112" s="3"/>
      <c r="Q112" s="3"/>
      <c r="R112" s="3"/>
      <c r="S112" s="3"/>
      <c r="T112" s="3"/>
      <c r="U112" s="3"/>
    </row>
    <row r="113" spans="1:21">
      <c r="A113" s="3"/>
      <c r="B113" s="785"/>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2" t="s">
        <v>30</v>
      </c>
      <c r="B115" s="781"/>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7"/>
      <c r="N117" s="768"/>
      <c r="O117" s="733"/>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3"/>
      <c r="D120" s="764"/>
      <c r="E120" s="32"/>
      <c r="F120" s="3"/>
      <c r="G120" s="3"/>
      <c r="H120" s="33"/>
      <c r="I120" s="3"/>
      <c r="J120" s="3"/>
      <c r="K120" s="3"/>
      <c r="L120" s="101"/>
      <c r="M120" s="101"/>
      <c r="N120" s="101"/>
      <c r="O120" s="101"/>
      <c r="P120" s="101"/>
      <c r="Q120" s="3"/>
      <c r="R120" s="3"/>
      <c r="S120" s="3"/>
      <c r="T120" s="3"/>
      <c r="U120" s="3"/>
    </row>
    <row r="121" spans="1:21" ht="13">
      <c r="A121" s="769" t="s">
        <v>685</v>
      </c>
      <c r="B121" s="381" t="s">
        <v>686</v>
      </c>
      <c r="C121" s="65"/>
      <c r="D121" s="101" t="s">
        <v>687</v>
      </c>
      <c r="E121" s="32"/>
      <c r="F121" s="780">
        <v>2.1</v>
      </c>
      <c r="G121" s="366" t="s">
        <v>688</v>
      </c>
      <c r="H121" s="33"/>
      <c r="I121" s="101"/>
      <c r="J121" s="766"/>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7"/>
      <c r="N123" s="768"/>
      <c r="O123" s="733"/>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0" t="s">
        <v>689</v>
      </c>
      <c r="C125" s="65"/>
      <c r="D125" s="817">
        <f>F121*1.5*100000000</f>
        <v>315000000.00000006</v>
      </c>
      <c r="E125" s="771" t="s">
        <v>719</v>
      </c>
      <c r="F125" s="3"/>
      <c r="G125" s="3"/>
      <c r="H125" s="33"/>
      <c r="I125" s="3"/>
      <c r="J125" s="3"/>
      <c r="K125" s="3"/>
      <c r="L125" s="101"/>
      <c r="M125" s="101"/>
      <c r="N125" s="101"/>
      <c r="O125" s="101"/>
      <c r="P125" s="101"/>
      <c r="Q125" s="3"/>
      <c r="R125" s="3"/>
      <c r="S125" s="3"/>
      <c r="T125" s="3"/>
      <c r="U125" s="3"/>
    </row>
    <row r="126" spans="1:21">
      <c r="A126" s="228"/>
      <c r="B126" s="220"/>
      <c r="C126" s="765"/>
      <c r="D126" s="764"/>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714</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714</v>
      </c>
      <c r="I129" s="3"/>
      <c r="J129" s="3"/>
      <c r="K129" s="3"/>
      <c r="L129" s="3"/>
      <c r="M129" s="3"/>
      <c r="N129" s="3"/>
      <c r="O129" s="3"/>
      <c r="P129" s="3"/>
      <c r="Q129" s="3"/>
      <c r="R129" s="3"/>
      <c r="S129" s="3"/>
      <c r="T129" s="3"/>
      <c r="U129" s="3"/>
    </row>
    <row r="130" spans="1:21">
      <c r="A130" s="3"/>
      <c r="B130" s="3" t="s">
        <v>714</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714</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3" sqref="C23"/>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7"/>
      <c r="B2" s="557"/>
      <c r="C2" s="758"/>
      <c r="D2" s="758"/>
      <c r="E2" s="758"/>
      <c r="F2" s="758"/>
      <c r="G2" s="758"/>
      <c r="H2" s="758"/>
      <c r="I2" s="758"/>
      <c r="J2" s="758"/>
      <c r="K2" s="758"/>
      <c r="L2" s="758"/>
      <c r="M2" s="758"/>
      <c r="N2" s="758"/>
      <c r="O2" s="758"/>
      <c r="P2" s="758"/>
      <c r="Q2" s="758"/>
      <c r="R2" s="101"/>
      <c r="S2" s="101"/>
      <c r="T2" s="101"/>
      <c r="U2" s="101"/>
    </row>
    <row r="3" spans="1:21" ht="18">
      <c r="A3" s="757"/>
      <c r="B3" s="557"/>
      <c r="C3" s="758"/>
      <c r="D3" s="758"/>
      <c r="E3" s="758"/>
      <c r="F3" s="758"/>
      <c r="G3" s="758"/>
      <c r="H3" s="758"/>
      <c r="I3" s="758"/>
      <c r="J3" s="758"/>
      <c r="K3" s="758"/>
      <c r="L3" s="758"/>
      <c r="M3" s="758"/>
      <c r="N3" s="758"/>
      <c r="O3" s="758"/>
      <c r="P3" s="758"/>
      <c r="Q3" s="758"/>
      <c r="R3" s="101"/>
      <c r="S3" s="101"/>
      <c r="T3" s="101"/>
      <c r="U3" s="101"/>
    </row>
    <row r="4" spans="1:21" ht="18">
      <c r="A4" s="757"/>
      <c r="B4" s="557"/>
      <c r="C4" s="759" t="s">
        <v>714</v>
      </c>
      <c r="D4" s="759" t="s">
        <v>876</v>
      </c>
      <c r="E4" s="758"/>
      <c r="F4" s="758"/>
      <c r="G4" s="825" t="str">
        <f>Orbit!D4</f>
        <v>LEO</v>
      </c>
      <c r="H4" s="758"/>
      <c r="I4" s="758"/>
      <c r="J4" s="224" t="s">
        <v>759</v>
      </c>
      <c r="K4" s="123"/>
      <c r="L4" s="124"/>
      <c r="M4" s="758"/>
      <c r="N4" s="758"/>
      <c r="O4" s="758"/>
      <c r="P4" s="758"/>
      <c r="Q4" s="758"/>
      <c r="R4" s="101"/>
      <c r="S4" s="101"/>
      <c r="T4" s="101"/>
      <c r="U4" s="101"/>
    </row>
    <row r="5" spans="1:21" ht="13.5" customHeight="1">
      <c r="A5" s="757"/>
      <c r="B5" s="557"/>
      <c r="C5" s="758"/>
      <c r="D5" s="758"/>
      <c r="E5" s="758"/>
      <c r="F5" s="758"/>
      <c r="G5" s="758"/>
      <c r="H5" s="758"/>
      <c r="I5" s="758"/>
      <c r="J5" s="758"/>
      <c r="K5" s="758"/>
      <c r="L5" s="758"/>
      <c r="M5" s="758"/>
      <c r="N5" s="758"/>
      <c r="O5" s="758"/>
      <c r="P5" s="758"/>
      <c r="Q5" s="758"/>
      <c r="R5" s="101"/>
      <c r="S5" s="101"/>
      <c r="T5" s="101"/>
      <c r="U5" s="101"/>
    </row>
    <row r="6" spans="1:21" ht="13.5" customHeight="1">
      <c r="A6" s="757"/>
      <c r="B6" s="557"/>
      <c r="C6" s="759" t="s">
        <v>353</v>
      </c>
      <c r="D6" s="758"/>
      <c r="E6" s="758"/>
      <c r="F6" s="758"/>
      <c r="G6" s="826">
        <f>Orbit!G4</f>
        <v>557.26495080391339</v>
      </c>
      <c r="H6" s="776" t="s">
        <v>719</v>
      </c>
      <c r="I6" s="758"/>
      <c r="J6" s="758"/>
      <c r="K6" s="758"/>
      <c r="L6" s="758"/>
      <c r="M6" s="758"/>
      <c r="N6" s="758"/>
      <c r="O6" s="758"/>
      <c r="P6" s="758"/>
      <c r="Q6" s="758"/>
      <c r="R6" s="101"/>
      <c r="S6" s="101"/>
      <c r="T6" s="101"/>
      <c r="U6" s="101"/>
    </row>
    <row r="7" spans="1:21" ht="13.5" customHeight="1">
      <c r="A7" s="757"/>
      <c r="B7" s="241" t="s">
        <v>140</v>
      </c>
      <c r="C7" s="758"/>
      <c r="D7" s="758"/>
      <c r="E7" s="758"/>
      <c r="F7" s="758"/>
      <c r="G7" s="758"/>
      <c r="H7" s="758"/>
      <c r="I7" s="758"/>
      <c r="J7" s="758"/>
      <c r="K7" s="758"/>
      <c r="L7" s="758"/>
      <c r="M7" s="758"/>
      <c r="N7" s="758"/>
      <c r="O7" s="758"/>
      <c r="P7" s="758"/>
      <c r="Q7" s="758"/>
      <c r="R7" s="101"/>
      <c r="S7" s="101"/>
      <c r="T7" s="101"/>
      <c r="U7" s="101"/>
    </row>
    <row r="8" spans="1:21" ht="13.5" customHeight="1">
      <c r="A8" s="757"/>
      <c r="B8" s="557"/>
      <c r="C8" s="758"/>
      <c r="D8" s="758"/>
      <c r="E8" s="758"/>
      <c r="F8" s="758"/>
      <c r="G8" s="758"/>
      <c r="H8" s="758"/>
      <c r="I8" s="758"/>
      <c r="J8" s="758"/>
      <c r="K8" s="758"/>
      <c r="L8" s="758"/>
      <c r="M8" s="758"/>
      <c r="N8" s="758"/>
      <c r="O8" s="758"/>
      <c r="P8" s="758"/>
      <c r="Q8" s="758"/>
      <c r="R8" s="101"/>
      <c r="S8" s="101"/>
      <c r="T8" s="101"/>
      <c r="U8" s="101"/>
    </row>
    <row r="9" spans="1:21" ht="13" thickBot="1">
      <c r="A9" s="3" t="s">
        <v>714</v>
      </c>
      <c r="B9" s="220" t="s">
        <v>841</v>
      </c>
      <c r="C9" s="50" t="s">
        <v>752</v>
      </c>
      <c r="D9" s="3"/>
      <c r="E9" s="50" t="s">
        <v>839</v>
      </c>
      <c r="F9" s="3"/>
      <c r="G9" s="50" t="s">
        <v>755</v>
      </c>
      <c r="H9" s="3"/>
      <c r="I9" s="3"/>
      <c r="J9" s="3"/>
      <c r="K9" s="3"/>
      <c r="L9" s="3"/>
      <c r="M9" s="3"/>
      <c r="N9" s="3"/>
      <c r="O9" s="3"/>
      <c r="P9" s="3"/>
      <c r="Q9" s="3"/>
      <c r="R9" s="3"/>
      <c r="S9" s="3"/>
      <c r="T9" s="3"/>
      <c r="U9" s="3"/>
    </row>
    <row r="10" spans="1:21" ht="13.5" thickBot="1">
      <c r="A10" s="762" t="s">
        <v>757</v>
      </c>
      <c r="B10" s="219" t="s">
        <v>111</v>
      </c>
      <c r="C10" s="223">
        <v>145.80000000000001</v>
      </c>
      <c r="D10" s="124" t="s">
        <v>753</v>
      </c>
      <c r="E10" s="32">
        <f>299.8/C10</f>
        <v>2.056241426611797</v>
      </c>
      <c r="F10" s="3" t="s">
        <v>754</v>
      </c>
      <c r="G10" s="33">
        <f>22+20*LOG10(($G$6*1000)/E10)</f>
        <v>130.65975248840309</v>
      </c>
      <c r="H10" s="3" t="s">
        <v>756</v>
      </c>
      <c r="I10" s="3" t="s">
        <v>116</v>
      </c>
      <c r="J10" s="3"/>
      <c r="K10" s="3"/>
      <c r="L10" s="383">
        <v>4</v>
      </c>
      <c r="M10" s="222">
        <f>INDEX(C10:C13,L10,1)</f>
        <v>2422</v>
      </c>
      <c r="N10" s="221" t="s">
        <v>753</v>
      </c>
      <c r="O10" s="3"/>
      <c r="P10" s="3"/>
      <c r="Q10" s="3"/>
      <c r="R10" s="3"/>
      <c r="S10" s="3"/>
      <c r="T10" s="3"/>
      <c r="U10" s="3"/>
    </row>
    <row r="11" spans="1:21">
      <c r="A11" s="50"/>
      <c r="B11" s="219" t="s">
        <v>112</v>
      </c>
      <c r="C11" s="223">
        <v>437.5</v>
      </c>
      <c r="D11" s="124" t="s">
        <v>753</v>
      </c>
      <c r="E11" s="32">
        <f t="shared" ref="E11:E18" si="0">299.8/C11</f>
        <v>0.6852571428571429</v>
      </c>
      <c r="F11" s="3" t="s">
        <v>754</v>
      </c>
      <c r="G11" s="33">
        <f>22+20*LOG10(($G$6*1000)/E11)</f>
        <v>140.20416315593062</v>
      </c>
      <c r="H11" s="3" t="s">
        <v>756</v>
      </c>
      <c r="I11" s="3"/>
      <c r="J11" s="3"/>
      <c r="K11" s="3"/>
      <c r="L11" s="3"/>
      <c r="M11" s="3"/>
      <c r="N11" s="3"/>
      <c r="O11" s="3"/>
      <c r="P11" s="3"/>
      <c r="Q11" s="3"/>
      <c r="R11" s="3"/>
      <c r="S11" s="3"/>
      <c r="T11" s="3"/>
      <c r="U11" s="3"/>
    </row>
    <row r="12" spans="1:21" ht="13">
      <c r="A12" s="50"/>
      <c r="B12" s="219" t="s">
        <v>113</v>
      </c>
      <c r="C12" s="223">
        <v>1269.9000000000001</v>
      </c>
      <c r="D12" s="124" t="s">
        <v>753</v>
      </c>
      <c r="E12" s="32">
        <f t="shared" si="0"/>
        <v>0.23608158122686826</v>
      </c>
      <c r="F12" s="3" t="s">
        <v>754</v>
      </c>
      <c r="G12" s="33">
        <f>22+20*LOG10(($G$6*1000)/E12)</f>
        <v>149.45999247263742</v>
      </c>
      <c r="H12" s="3" t="s">
        <v>756</v>
      </c>
      <c r="I12" s="3" t="s">
        <v>90</v>
      </c>
      <c r="J12" s="3"/>
      <c r="K12" s="3"/>
      <c r="L12" s="3"/>
      <c r="M12" s="760">
        <f>INDEX(G10:G13,L10,1)</f>
        <v>155.06808478490464</v>
      </c>
      <c r="N12" s="761" t="s">
        <v>756</v>
      </c>
      <c r="O12" s="3"/>
      <c r="P12" s="3"/>
      <c r="Q12" s="3"/>
      <c r="R12" s="3"/>
      <c r="S12" s="3"/>
      <c r="T12" s="3"/>
      <c r="U12" s="3"/>
    </row>
    <row r="13" spans="1:21">
      <c r="A13" s="228" t="s">
        <v>118</v>
      </c>
      <c r="B13" s="219" t="s">
        <v>117</v>
      </c>
      <c r="C13" s="225">
        <v>2422</v>
      </c>
      <c r="D13" s="226" t="s">
        <v>753</v>
      </c>
      <c r="E13" s="32">
        <f>299.8/C13</f>
        <v>0.12378199834847234</v>
      </c>
      <c r="F13" s="3" t="s">
        <v>754</v>
      </c>
      <c r="G13" s="33">
        <f>22+20*LOG10(($G$6*1000)/E13)</f>
        <v>155.06808478490464</v>
      </c>
      <c r="H13" s="3" t="s">
        <v>756</v>
      </c>
      <c r="I13" s="3"/>
      <c r="J13" s="3"/>
      <c r="K13" s="3"/>
      <c r="L13" s="3"/>
      <c r="M13" s="3"/>
      <c r="N13" s="3"/>
      <c r="O13" s="3"/>
      <c r="P13" s="3"/>
      <c r="Q13" s="3"/>
      <c r="R13" s="3"/>
      <c r="S13" s="3"/>
      <c r="T13" s="3"/>
      <c r="U13" s="3"/>
    </row>
    <row r="14" spans="1:21" ht="13">
      <c r="A14" s="50"/>
      <c r="B14" s="219"/>
      <c r="C14" s="65"/>
      <c r="D14" s="3"/>
      <c r="E14" s="32" t="s">
        <v>714</v>
      </c>
      <c r="F14" s="3"/>
      <c r="G14" s="33"/>
      <c r="H14" s="3"/>
      <c r="I14" s="766"/>
      <c r="J14" s="101"/>
      <c r="K14" s="101"/>
      <c r="L14" s="3"/>
      <c r="M14" s="3"/>
      <c r="N14" s="3"/>
      <c r="O14" s="3"/>
      <c r="P14" s="3"/>
      <c r="Q14" s="3"/>
      <c r="R14" s="3"/>
      <c r="S14" s="3"/>
      <c r="T14" s="3"/>
      <c r="U14" s="3"/>
    </row>
    <row r="15" spans="1:21" ht="13.5" thickBot="1">
      <c r="A15" s="3"/>
      <c r="B15" s="79"/>
      <c r="C15" s="218" t="s">
        <v>714</v>
      </c>
      <c r="D15" s="3"/>
      <c r="E15" s="32" t="s">
        <v>714</v>
      </c>
      <c r="F15" s="3"/>
      <c r="G15" s="3"/>
      <c r="H15" s="3"/>
      <c r="I15" s="34" t="s">
        <v>714</v>
      </c>
      <c r="J15" s="3"/>
      <c r="K15" s="3"/>
      <c r="L15" s="3"/>
      <c r="M15" s="3"/>
      <c r="N15" s="3"/>
      <c r="O15" s="3"/>
      <c r="P15" s="3"/>
      <c r="Q15" s="3"/>
      <c r="R15" s="3"/>
      <c r="S15" s="3"/>
      <c r="T15" s="3"/>
      <c r="U15" s="3"/>
    </row>
    <row r="16" spans="1:21" ht="13.5" thickBot="1">
      <c r="A16" s="762" t="s">
        <v>758</v>
      </c>
      <c r="B16" s="219" t="s">
        <v>111</v>
      </c>
      <c r="C16" s="223">
        <v>145.80000000000001</v>
      </c>
      <c r="D16" s="124" t="s">
        <v>753</v>
      </c>
      <c r="E16" s="32">
        <f t="shared" si="0"/>
        <v>2.056241426611797</v>
      </c>
      <c r="F16" s="3" t="s">
        <v>754</v>
      </c>
      <c r="G16" s="33">
        <f>22+20*LOG10(($G$6*1000)/E16)</f>
        <v>130.65975248840309</v>
      </c>
      <c r="H16" s="3" t="s">
        <v>756</v>
      </c>
      <c r="I16" s="3" t="s">
        <v>115</v>
      </c>
      <c r="J16" s="3"/>
      <c r="K16" s="3"/>
      <c r="L16" s="383">
        <v>4</v>
      </c>
      <c r="M16" s="222">
        <f>INDEX(C16:C19,L16,1)</f>
        <v>2422</v>
      </c>
      <c r="N16" s="221" t="s">
        <v>753</v>
      </c>
      <c r="O16" s="3"/>
      <c r="P16" s="3"/>
      <c r="Q16" s="3"/>
      <c r="R16" s="3"/>
      <c r="S16" s="3"/>
      <c r="T16" s="3"/>
      <c r="U16" s="3"/>
    </row>
    <row r="17" spans="1:21">
      <c r="A17" s="3"/>
      <c r="B17" s="220" t="s">
        <v>112</v>
      </c>
      <c r="C17" s="223">
        <v>437.45</v>
      </c>
      <c r="D17" s="124" t="s">
        <v>753</v>
      </c>
      <c r="E17" s="32">
        <f t="shared" si="0"/>
        <v>0.68533546691050407</v>
      </c>
      <c r="F17" s="3" t="s">
        <v>754</v>
      </c>
      <c r="G17" s="33">
        <f>22+20*LOG10(($G$6*1000)/E17)</f>
        <v>140.20317042610063</v>
      </c>
      <c r="H17" s="3" t="s">
        <v>756</v>
      </c>
      <c r="I17" s="3"/>
      <c r="J17" s="3"/>
      <c r="K17" s="3"/>
      <c r="L17" s="3"/>
      <c r="M17" s="3"/>
      <c r="N17" s="3"/>
      <c r="O17" s="3"/>
      <c r="P17" s="3"/>
      <c r="Q17" s="3"/>
      <c r="R17" s="3"/>
      <c r="S17" s="3"/>
      <c r="T17" s="3"/>
      <c r="U17" s="3"/>
    </row>
    <row r="18" spans="1:21" ht="13">
      <c r="A18" s="3"/>
      <c r="B18" s="220" t="s">
        <v>113</v>
      </c>
      <c r="C18" s="223">
        <v>2405</v>
      </c>
      <c r="D18" s="124" t="s">
        <v>753</v>
      </c>
      <c r="E18" s="32">
        <f t="shared" si="0"/>
        <v>0.12465696465696466</v>
      </c>
      <c r="F18" s="3" t="s">
        <v>754</v>
      </c>
      <c r="G18" s="33">
        <f>22+20*LOG10(($G$6*1000)/E18)</f>
        <v>155.00690362296098</v>
      </c>
      <c r="H18" s="3" t="s">
        <v>756</v>
      </c>
      <c r="I18" s="3" t="s">
        <v>90</v>
      </c>
      <c r="J18" s="3"/>
      <c r="K18" s="3"/>
      <c r="L18" s="3"/>
      <c r="M18" s="760">
        <f>INDEX(G16:G19,L16,1)</f>
        <v>155.06808478490464</v>
      </c>
      <c r="N18" s="761" t="s">
        <v>756</v>
      </c>
      <c r="O18" s="3"/>
      <c r="P18" s="3"/>
      <c r="Q18" s="3"/>
      <c r="R18" s="3"/>
      <c r="S18" s="3"/>
      <c r="T18" s="3"/>
      <c r="U18" s="3"/>
    </row>
    <row r="19" spans="1:21">
      <c r="A19" s="228" t="s">
        <v>118</v>
      </c>
      <c r="B19" s="220" t="s">
        <v>117</v>
      </c>
      <c r="C19" s="227">
        <v>2422</v>
      </c>
      <c r="D19" s="226" t="s">
        <v>753</v>
      </c>
      <c r="E19" s="32">
        <f>299.8/C19</f>
        <v>0.12378199834847234</v>
      </c>
      <c r="F19" s="3" t="s">
        <v>754</v>
      </c>
      <c r="G19" s="33">
        <f>22+20*LOG10(($G$6*1000)/E19)</f>
        <v>155.06808478490464</v>
      </c>
      <c r="H19" s="3" t="s">
        <v>756</v>
      </c>
      <c r="I19" s="3" t="s">
        <v>714</v>
      </c>
      <c r="J19" s="3"/>
      <c r="K19" s="3"/>
      <c r="L19" s="3"/>
      <c r="M19" s="3"/>
      <c r="N19" s="3"/>
      <c r="O19" s="3"/>
      <c r="P19" s="3"/>
      <c r="Q19" s="3"/>
      <c r="R19" s="3"/>
      <c r="S19" s="3"/>
      <c r="T19" s="3"/>
      <c r="U19" s="3"/>
    </row>
    <row r="20" spans="1:21">
      <c r="A20" s="3"/>
      <c r="B20" s="3"/>
      <c r="C20" s="3"/>
      <c r="D20" s="3"/>
      <c r="E20" s="3" t="s">
        <v>714</v>
      </c>
      <c r="F20" s="3"/>
      <c r="G20" s="3"/>
      <c r="H20" s="3"/>
      <c r="I20" s="3"/>
      <c r="J20" s="3" t="s">
        <v>714</v>
      </c>
      <c r="K20" s="3"/>
      <c r="L20" s="3"/>
      <c r="M20" s="3"/>
      <c r="N20" s="3"/>
      <c r="O20" s="3"/>
      <c r="P20" s="3"/>
      <c r="Q20" s="3"/>
      <c r="R20" s="3"/>
      <c r="S20" s="3"/>
      <c r="T20" s="3"/>
      <c r="U20" s="3"/>
    </row>
    <row r="21" spans="1:21">
      <c r="A21" s="3" t="s">
        <v>714</v>
      </c>
      <c r="B21" s="3"/>
      <c r="C21" s="3"/>
      <c r="D21" s="3"/>
      <c r="E21" s="3"/>
      <c r="F21" s="3"/>
      <c r="G21" s="3"/>
      <c r="H21" s="3"/>
      <c r="I21" s="3"/>
      <c r="J21" s="3"/>
      <c r="K21" s="3"/>
      <c r="L21" s="3"/>
      <c r="M21" s="3"/>
      <c r="N21" s="3"/>
      <c r="O21" s="3"/>
      <c r="P21" s="3"/>
      <c r="Q21" s="3"/>
      <c r="R21" s="3"/>
      <c r="S21" s="3"/>
      <c r="T21" s="3"/>
      <c r="U21" s="3"/>
    </row>
    <row r="22" spans="1:21">
      <c r="A22" s="3"/>
      <c r="B22" s="31" t="s">
        <v>714</v>
      </c>
      <c r="C22" s="3"/>
      <c r="D22" s="3"/>
      <c r="E22" s="3"/>
      <c r="F22" s="3"/>
      <c r="G22" s="3"/>
      <c r="H22" s="3" t="s">
        <v>714</v>
      </c>
      <c r="I22" s="3"/>
      <c r="J22" s="3"/>
      <c r="K22" s="3"/>
      <c r="L22" s="3"/>
      <c r="M22" s="3"/>
      <c r="N22" s="3"/>
      <c r="O22" s="3"/>
      <c r="P22" s="3"/>
      <c r="Q22" s="3"/>
      <c r="R22" s="3"/>
      <c r="S22" s="3"/>
      <c r="T22" s="3"/>
      <c r="U22" s="3"/>
    </row>
    <row r="23" spans="1:21">
      <c r="A23" s="3"/>
      <c r="B23" s="3" t="s">
        <v>714</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714</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10" zoomScaleNormal="11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 - CS0</v>
      </c>
      <c r="G1" s="127"/>
      <c r="H1" s="127"/>
      <c r="I1" s="127"/>
      <c r="J1" s="610" t="str">
        <f>'Title Page'!F23</f>
        <v>2019 September 13</v>
      </c>
      <c r="K1" s="127"/>
      <c r="L1" s="127"/>
      <c r="M1" s="127"/>
      <c r="N1" s="127"/>
      <c r="O1" s="127"/>
      <c r="P1" s="127"/>
    </row>
    <row r="2" spans="1:16">
      <c r="A2" s="3"/>
      <c r="B2" s="3"/>
      <c r="C2" s="3"/>
      <c r="D2" s="3"/>
      <c r="E2" s="3" t="s">
        <v>714</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249</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09"/>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966</v>
      </c>
      <c r="D16" s="331"/>
      <c r="E16" s="342">
        <v>10</v>
      </c>
      <c r="F16" s="331" t="s">
        <v>160</v>
      </c>
      <c r="G16" s="402">
        <f>10*LOG10(E16)</f>
        <v>10</v>
      </c>
      <c r="H16" s="331" t="s">
        <v>161</v>
      </c>
      <c r="I16" s="328">
        <f>G16+30</f>
        <v>40</v>
      </c>
      <c r="J16" s="331" t="s">
        <v>782</v>
      </c>
      <c r="K16" s="323" t="s">
        <v>714</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714</v>
      </c>
      <c r="G18" s="331"/>
      <c r="H18" s="331"/>
      <c r="I18" s="331"/>
      <c r="J18" s="331"/>
      <c r="K18" s="323"/>
      <c r="L18" s="3"/>
      <c r="M18" s="3"/>
      <c r="N18" s="3"/>
      <c r="O18" s="3"/>
      <c r="P18" s="3"/>
    </row>
    <row r="19" spans="1:16">
      <c r="A19" s="3"/>
      <c r="B19" s="3"/>
      <c r="C19" s="330"/>
      <c r="D19" s="900" t="s">
        <v>177</v>
      </c>
      <c r="E19" s="459" t="s">
        <v>950</v>
      </c>
      <c r="F19" s="901"/>
      <c r="G19" s="331"/>
      <c r="H19" s="331"/>
      <c r="I19" s="342">
        <v>1</v>
      </c>
      <c r="J19" s="331" t="s">
        <v>754</v>
      </c>
      <c r="K19" s="323"/>
      <c r="L19" s="3"/>
      <c r="M19" s="3"/>
      <c r="N19" s="3"/>
      <c r="O19" s="3"/>
      <c r="P19" s="3"/>
    </row>
    <row r="20" spans="1:16">
      <c r="A20" s="3"/>
      <c r="B20" s="3"/>
      <c r="C20" s="330"/>
      <c r="D20" s="900" t="s">
        <v>178</v>
      </c>
      <c r="E20" s="459"/>
      <c r="F20" s="901"/>
      <c r="G20" s="331"/>
      <c r="H20" s="331"/>
      <c r="I20" s="342"/>
      <c r="J20" s="331" t="s">
        <v>754</v>
      </c>
      <c r="K20" s="323"/>
      <c r="L20" s="3"/>
      <c r="M20" s="3"/>
      <c r="N20" s="3"/>
      <c r="O20" s="3"/>
      <c r="P20" s="3"/>
    </row>
    <row r="21" spans="1:16">
      <c r="A21" s="3"/>
      <c r="B21" s="3"/>
      <c r="C21" s="330"/>
      <c r="D21" s="900" t="s">
        <v>179</v>
      </c>
      <c r="E21" s="459"/>
      <c r="F21" s="901"/>
      <c r="G21" s="331"/>
      <c r="H21" s="331"/>
      <c r="I21" s="342"/>
      <c r="J21" s="331" t="s">
        <v>754</v>
      </c>
      <c r="K21" s="323"/>
      <c r="L21" s="3"/>
      <c r="M21" s="3"/>
      <c r="N21" s="3"/>
      <c r="O21" s="3"/>
      <c r="P21" s="3"/>
    </row>
    <row r="22" spans="1:16">
      <c r="A22" s="3"/>
      <c r="B22" s="3"/>
      <c r="C22" s="330"/>
      <c r="D22" s="914" t="s">
        <v>969</v>
      </c>
      <c r="E22" s="459"/>
      <c r="F22" s="901"/>
      <c r="G22" s="331"/>
      <c r="H22" s="331"/>
      <c r="I22" s="342"/>
      <c r="J22" s="331" t="s">
        <v>754</v>
      </c>
      <c r="K22" s="323"/>
      <c r="L22" s="3"/>
      <c r="M22" s="3"/>
      <c r="N22" s="3"/>
      <c r="O22" s="3"/>
      <c r="P22" s="3"/>
    </row>
    <row r="23" spans="1:16">
      <c r="A23" s="3"/>
      <c r="B23" s="3"/>
      <c r="C23" s="330"/>
      <c r="D23" s="331"/>
      <c r="E23" s="331"/>
      <c r="F23" s="331" t="s">
        <v>714</v>
      </c>
      <c r="G23" s="331"/>
      <c r="H23" s="331"/>
      <c r="I23" s="331"/>
      <c r="J23" s="331" t="s">
        <v>714</v>
      </c>
      <c r="K23" s="323"/>
      <c r="L23" s="3"/>
      <c r="M23" s="3"/>
      <c r="N23" s="3"/>
      <c r="O23" s="3"/>
      <c r="P23" s="3"/>
    </row>
    <row r="24" spans="1:16">
      <c r="A24" s="3"/>
      <c r="B24" s="3"/>
      <c r="C24" s="330"/>
      <c r="D24" s="913" t="s">
        <v>971</v>
      </c>
      <c r="E24" s="331"/>
      <c r="F24" s="331" t="s">
        <v>714</v>
      </c>
      <c r="G24" s="331"/>
      <c r="H24" s="331"/>
      <c r="I24" s="632">
        <f>SUM(I19:I22)</f>
        <v>1</v>
      </c>
      <c r="J24" s="331" t="s">
        <v>754</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899" t="s">
        <v>943</v>
      </c>
      <c r="E26" s="331"/>
      <c r="F26" s="331"/>
      <c r="G26" s="331"/>
      <c r="H26" s="331"/>
      <c r="I26" s="331"/>
      <c r="J26" s="331"/>
      <c r="K26" s="323"/>
      <c r="L26" s="3"/>
      <c r="M26" s="3"/>
      <c r="N26" s="3"/>
      <c r="O26" s="3"/>
      <c r="P26" s="3"/>
    </row>
    <row r="27" spans="1:16">
      <c r="A27" s="3"/>
      <c r="B27" s="3"/>
      <c r="C27" s="330"/>
      <c r="D27" s="331" t="s">
        <v>944</v>
      </c>
      <c r="E27" s="906">
        <v>0.2</v>
      </c>
      <c r="F27" s="907" t="s">
        <v>951</v>
      </c>
      <c r="G27" s="631">
        <f>Frequency!$M$10</f>
        <v>2422</v>
      </c>
      <c r="H27" s="331" t="s">
        <v>172</v>
      </c>
      <c r="I27" s="969">
        <f>I19*E27</f>
        <v>0.2</v>
      </c>
      <c r="J27" s="331" t="s">
        <v>756</v>
      </c>
      <c r="K27" s="323"/>
      <c r="L27" s="3"/>
      <c r="M27" s="3"/>
      <c r="N27" s="3"/>
      <c r="O27" s="3"/>
      <c r="P27" s="3"/>
    </row>
    <row r="28" spans="1:16">
      <c r="A28" s="3"/>
      <c r="B28" s="3"/>
      <c r="C28" s="330"/>
      <c r="D28" s="899" t="s">
        <v>945</v>
      </c>
      <c r="E28" s="906"/>
      <c r="F28" s="907" t="s">
        <v>951</v>
      </c>
      <c r="G28" s="631">
        <f>Frequency!$M$10</f>
        <v>2422</v>
      </c>
      <c r="H28" s="331" t="s">
        <v>172</v>
      </c>
      <c r="I28" s="969">
        <f>I20*E28</f>
        <v>0</v>
      </c>
      <c r="J28" s="331" t="s">
        <v>756</v>
      </c>
      <c r="K28" s="323"/>
      <c r="L28" s="3"/>
      <c r="M28" s="3"/>
      <c r="N28" s="3"/>
      <c r="O28" s="3"/>
      <c r="P28" s="3"/>
    </row>
    <row r="29" spans="1:16">
      <c r="A29" s="3"/>
      <c r="B29" s="3"/>
      <c r="C29" s="330"/>
      <c r="D29" s="899" t="s">
        <v>946</v>
      </c>
      <c r="E29" s="906"/>
      <c r="F29" s="907" t="s">
        <v>951</v>
      </c>
      <c r="G29" s="631">
        <f>Frequency!$M$10</f>
        <v>2422</v>
      </c>
      <c r="H29" s="331" t="s">
        <v>172</v>
      </c>
      <c r="I29" s="969">
        <f>I21*E29</f>
        <v>0</v>
      </c>
      <c r="J29" s="331" t="s">
        <v>756</v>
      </c>
      <c r="K29" s="323"/>
      <c r="L29" s="3"/>
      <c r="M29" s="3"/>
      <c r="N29" s="3"/>
      <c r="O29" s="3"/>
      <c r="P29" s="3"/>
    </row>
    <row r="30" spans="1:16">
      <c r="A30" s="3"/>
      <c r="B30" s="3"/>
      <c r="C30" s="330"/>
      <c r="D30" s="913" t="s">
        <v>970</v>
      </c>
      <c r="E30" s="906"/>
      <c r="F30" s="907" t="s">
        <v>951</v>
      </c>
      <c r="G30" s="631">
        <f>Frequency!$M$10</f>
        <v>2422</v>
      </c>
      <c r="H30" s="331" t="s">
        <v>172</v>
      </c>
      <c r="I30" s="969">
        <f>I22*E30</f>
        <v>0</v>
      </c>
      <c r="J30" s="331" t="s">
        <v>756</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3" t="s">
        <v>972</v>
      </c>
      <c r="E32" s="335"/>
      <c r="F32" s="331"/>
      <c r="G32" s="333"/>
      <c r="H32" s="331"/>
      <c r="I32" s="968">
        <f>SUM(I27:I30)</f>
        <v>0.2</v>
      </c>
      <c r="J32" s="899" t="s">
        <v>756</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2</v>
      </c>
      <c r="F36" s="913" t="s">
        <v>1046</v>
      </c>
      <c r="G36" s="331"/>
      <c r="H36" s="331"/>
      <c r="I36" s="903">
        <f>E36*0.15</f>
        <v>0.3</v>
      </c>
      <c r="J36" s="331" t="s">
        <v>756</v>
      </c>
      <c r="K36" s="922"/>
      <c r="L36" s="79"/>
      <c r="M36" s="3"/>
      <c r="N36" s="3"/>
      <c r="O36" s="3"/>
      <c r="P36" s="3"/>
    </row>
    <row r="37" spans="1:16">
      <c r="A37" s="3"/>
      <c r="B37" s="3"/>
      <c r="C37" s="330"/>
      <c r="D37" s="331" t="s">
        <v>171</v>
      </c>
      <c r="E37" s="334" t="s">
        <v>183</v>
      </c>
      <c r="F37" s="459" t="s">
        <v>1057</v>
      </c>
      <c r="G37" s="366"/>
      <c r="H37" s="331"/>
      <c r="I37" s="342">
        <v>0.26</v>
      </c>
      <c r="J37" s="331" t="s">
        <v>756</v>
      </c>
      <c r="K37" s="912" t="s">
        <v>1058</v>
      </c>
      <c r="L37" s="3"/>
      <c r="M37" s="3"/>
      <c r="N37" s="3"/>
      <c r="O37" s="3"/>
      <c r="P37" s="3"/>
    </row>
    <row r="38" spans="1:16">
      <c r="A38" s="3"/>
      <c r="B38" s="3"/>
      <c r="C38" s="330"/>
      <c r="D38" s="331" t="s">
        <v>171</v>
      </c>
      <c r="E38" s="334" t="s">
        <v>183</v>
      </c>
      <c r="F38" s="459"/>
      <c r="G38" s="366"/>
      <c r="H38" s="331"/>
      <c r="I38" s="128"/>
      <c r="J38" s="331" t="s">
        <v>756</v>
      </c>
      <c r="K38" s="922"/>
      <c r="L38" s="3"/>
      <c r="M38" s="3"/>
      <c r="N38" s="3"/>
      <c r="O38" s="3"/>
      <c r="P38" s="3"/>
    </row>
    <row r="39" spans="1:16">
      <c r="A39" s="3"/>
      <c r="B39" s="3"/>
      <c r="C39" s="330"/>
      <c r="D39" s="331" t="s">
        <v>171</v>
      </c>
      <c r="E39" s="334" t="s">
        <v>183</v>
      </c>
      <c r="F39" s="459"/>
      <c r="G39" s="366"/>
      <c r="H39" s="331"/>
      <c r="I39" s="342"/>
      <c r="J39" s="331" t="s">
        <v>756</v>
      </c>
      <c r="K39" s="922"/>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431</v>
      </c>
      <c r="G41" s="331"/>
      <c r="H41" s="331"/>
      <c r="I41" s="128">
        <v>0.18</v>
      </c>
      <c r="J41" s="331" t="s">
        <v>756</v>
      </c>
      <c r="K41" s="922" t="s">
        <v>1041</v>
      </c>
      <c r="L41" s="3"/>
      <c r="M41" s="3"/>
      <c r="N41" s="3"/>
      <c r="O41" s="3"/>
      <c r="P41" s="3"/>
    </row>
    <row r="42" spans="1:16">
      <c r="A42" s="3"/>
      <c r="B42" s="3"/>
      <c r="C42" s="330"/>
      <c r="D42" s="331"/>
      <c r="E42" s="331"/>
      <c r="F42" s="331"/>
      <c r="G42" s="331"/>
      <c r="H42" s="331"/>
      <c r="I42" s="332"/>
      <c r="J42" s="331"/>
      <c r="K42" s="323"/>
      <c r="L42" s="3"/>
      <c r="M42" s="3"/>
      <c r="N42" s="3"/>
      <c r="O42" s="3"/>
      <c r="P42" s="3"/>
    </row>
    <row r="43" spans="1:16" ht="13">
      <c r="A43" s="3"/>
      <c r="B43" s="3"/>
      <c r="C43" s="330" t="s">
        <v>174</v>
      </c>
      <c r="D43" s="331"/>
      <c r="E43" s="331"/>
      <c r="F43" s="331"/>
      <c r="G43" s="331"/>
      <c r="H43" s="331"/>
      <c r="I43" s="654">
        <f>SUM(I32:I41)</f>
        <v>0.94</v>
      </c>
      <c r="J43" s="331" t="s">
        <v>756</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9.06</v>
      </c>
      <c r="J45" s="331" t="s">
        <v>781</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714</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359" t="s">
        <v>159</v>
      </c>
      <c r="D52" s="320"/>
      <c r="E52" s="180"/>
      <c r="F52" s="180"/>
      <c r="G52" s="180"/>
      <c r="H52" s="180"/>
      <c r="I52" s="180"/>
      <c r="J52" s="180"/>
      <c r="K52" s="915"/>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966</v>
      </c>
      <c r="D60" s="141"/>
      <c r="E60" s="128">
        <v>1.55</v>
      </c>
      <c r="F60" s="141" t="s">
        <v>160</v>
      </c>
      <c r="G60" s="402">
        <f>10*LOG10(E60)</f>
        <v>1.903316981702915</v>
      </c>
      <c r="H60" s="141" t="s">
        <v>161</v>
      </c>
      <c r="I60" s="328">
        <f>G60+30</f>
        <v>31.903316981702915</v>
      </c>
      <c r="J60" s="141" t="s">
        <v>782</v>
      </c>
      <c r="K60" s="182" t="s">
        <v>714</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714</v>
      </c>
      <c r="G62" s="141"/>
      <c r="H62" s="141"/>
      <c r="I62" s="141"/>
      <c r="J62" s="141"/>
      <c r="K62" s="182"/>
      <c r="L62" s="3"/>
      <c r="M62" s="3"/>
      <c r="N62" s="3"/>
      <c r="O62" s="3"/>
      <c r="P62" s="3"/>
    </row>
    <row r="63" spans="1:16">
      <c r="A63" s="3"/>
      <c r="B63" s="3"/>
      <c r="C63" s="177"/>
      <c r="D63" s="141" t="s">
        <v>177</v>
      </c>
      <c r="E63" s="459" t="s">
        <v>1044</v>
      </c>
      <c r="F63" s="901"/>
      <c r="G63" s="141"/>
      <c r="H63" s="141"/>
      <c r="I63" s="916">
        <v>6.0000000000000001E-3</v>
      </c>
      <c r="J63" s="141" t="s">
        <v>754</v>
      </c>
      <c r="K63" s="1040"/>
      <c r="L63" s="3"/>
      <c r="M63" s="3"/>
      <c r="N63" s="3"/>
      <c r="O63" s="3"/>
      <c r="P63" s="3"/>
    </row>
    <row r="64" spans="1:16">
      <c r="A64" s="3"/>
      <c r="B64" s="3"/>
      <c r="C64" s="177"/>
      <c r="D64" s="141" t="s">
        <v>178</v>
      </c>
      <c r="E64" s="459"/>
      <c r="F64" s="901"/>
      <c r="G64" s="141"/>
      <c r="H64" s="141"/>
      <c r="I64" s="916"/>
      <c r="J64" s="141" t="s">
        <v>754</v>
      </c>
      <c r="K64" s="182"/>
      <c r="L64" s="3"/>
      <c r="M64" s="3"/>
      <c r="N64" s="3"/>
      <c r="O64" s="3"/>
      <c r="P64" s="3"/>
    </row>
    <row r="65" spans="1:16">
      <c r="A65" s="3"/>
      <c r="B65" s="3"/>
      <c r="C65" s="177"/>
      <c r="D65" s="141" t="s">
        <v>179</v>
      </c>
      <c r="E65" s="459"/>
      <c r="F65" s="901"/>
      <c r="G65" s="141"/>
      <c r="H65" s="141"/>
      <c r="I65" s="916"/>
      <c r="J65" s="141" t="s">
        <v>754</v>
      </c>
      <c r="K65" s="182"/>
      <c r="L65" s="3"/>
      <c r="M65" s="3"/>
      <c r="N65" s="3"/>
      <c r="O65" s="3"/>
      <c r="P65" s="3"/>
    </row>
    <row r="66" spans="1:16">
      <c r="A66" s="3"/>
      <c r="B66" s="3"/>
      <c r="C66" s="177"/>
      <c r="D66" s="141"/>
      <c r="E66" s="141"/>
      <c r="F66" s="141" t="s">
        <v>714</v>
      </c>
      <c r="G66" s="141"/>
      <c r="H66" s="141"/>
      <c r="I66" s="141"/>
      <c r="J66" s="141" t="s">
        <v>714</v>
      </c>
      <c r="K66" s="182"/>
      <c r="L66" s="3"/>
      <c r="M66" s="3"/>
      <c r="N66" s="3"/>
      <c r="O66" s="3"/>
      <c r="P66" s="3"/>
    </row>
    <row r="67" spans="1:16">
      <c r="A67" s="3"/>
      <c r="B67" s="3"/>
      <c r="C67" s="177"/>
      <c r="D67" s="141" t="s">
        <v>180</v>
      </c>
      <c r="E67" s="141"/>
      <c r="F67" s="141" t="s">
        <v>714</v>
      </c>
      <c r="G67" s="141"/>
      <c r="H67" s="141"/>
      <c r="I67" s="634">
        <f>SUM(I63:I65)</f>
        <v>6.0000000000000001E-3</v>
      </c>
      <c r="J67" s="141" t="s">
        <v>754</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948</v>
      </c>
      <c r="E69" s="141"/>
      <c r="F69" s="141"/>
      <c r="G69" s="141"/>
      <c r="H69" s="141"/>
      <c r="I69" s="634"/>
      <c r="J69" s="141"/>
      <c r="K69" s="182"/>
      <c r="L69" s="3"/>
      <c r="M69" s="3"/>
      <c r="N69" s="3"/>
      <c r="O69" s="3"/>
      <c r="P69" s="3"/>
    </row>
    <row r="70" spans="1:16">
      <c r="A70" s="3"/>
      <c r="B70" s="3"/>
      <c r="C70" s="177"/>
      <c r="D70" s="141" t="s">
        <v>944</v>
      </c>
      <c r="E70" s="917">
        <v>7.4</v>
      </c>
      <c r="F70" s="192" t="s">
        <v>951</v>
      </c>
      <c r="G70" s="407">
        <f>Frequency!$M$16</f>
        <v>2422</v>
      </c>
      <c r="H70" s="141" t="s">
        <v>172</v>
      </c>
      <c r="I70" s="970">
        <f>I63*E70</f>
        <v>4.4400000000000002E-2</v>
      </c>
      <c r="J70" s="141" t="s">
        <v>756</v>
      </c>
      <c r="K70" s="182"/>
      <c r="L70" s="3"/>
      <c r="M70" s="3"/>
      <c r="N70" s="3"/>
      <c r="O70" s="3"/>
      <c r="P70" s="3"/>
    </row>
    <row r="71" spans="1:16">
      <c r="A71" s="3"/>
      <c r="B71" s="3"/>
      <c r="C71" s="177"/>
      <c r="D71" s="141" t="s">
        <v>945</v>
      </c>
      <c r="E71" s="917"/>
      <c r="F71" s="192" t="s">
        <v>951</v>
      </c>
      <c r="G71" s="407">
        <f>Frequency!$M$16</f>
        <v>2422</v>
      </c>
      <c r="H71" s="141" t="s">
        <v>172</v>
      </c>
      <c r="I71" s="970">
        <f t="shared" ref="I71:I72" si="0">I64*E71</f>
        <v>0</v>
      </c>
      <c r="J71" s="141" t="s">
        <v>756</v>
      </c>
      <c r="K71" s="182"/>
      <c r="L71" s="3"/>
      <c r="M71" s="3"/>
      <c r="N71" s="3"/>
      <c r="O71" s="3"/>
      <c r="P71" s="3"/>
    </row>
    <row r="72" spans="1:16">
      <c r="A72" s="3"/>
      <c r="B72" s="3"/>
      <c r="C72" s="177"/>
      <c r="D72" s="141" t="s">
        <v>946</v>
      </c>
      <c r="E72" s="917"/>
      <c r="F72" s="192" t="s">
        <v>951</v>
      </c>
      <c r="G72" s="407">
        <f>Frequency!$M$16</f>
        <v>2422</v>
      </c>
      <c r="H72" s="141" t="s">
        <v>172</v>
      </c>
      <c r="I72" s="970">
        <f t="shared" si="0"/>
        <v>0</v>
      </c>
      <c r="J72" s="141" t="s">
        <v>756</v>
      </c>
      <c r="K72" s="182"/>
      <c r="L72" s="3"/>
      <c r="M72" s="3"/>
      <c r="N72" s="3"/>
      <c r="O72" s="3"/>
      <c r="P72" s="3"/>
    </row>
    <row r="73" spans="1:16">
      <c r="A73" s="3"/>
      <c r="B73" s="3"/>
      <c r="C73" s="177"/>
      <c r="D73" s="141"/>
      <c r="E73" s="918"/>
      <c r="F73" s="141"/>
      <c r="G73" s="192"/>
      <c r="H73" s="141"/>
      <c r="I73" s="192"/>
      <c r="J73" s="141"/>
      <c r="K73" s="182"/>
      <c r="L73" s="3"/>
      <c r="M73" s="3"/>
      <c r="N73" s="3"/>
      <c r="O73" s="3"/>
      <c r="P73" s="3"/>
    </row>
    <row r="74" spans="1:16">
      <c r="A74" s="3"/>
      <c r="B74" s="3"/>
      <c r="C74" s="177"/>
      <c r="D74" s="141" t="s">
        <v>947</v>
      </c>
      <c r="E74" s="918"/>
      <c r="F74" s="141"/>
      <c r="G74" s="192"/>
      <c r="H74" s="141"/>
      <c r="I74" s="970">
        <f>SUM(I70:I72)</f>
        <v>4.4400000000000002E-2</v>
      </c>
      <c r="J74" s="141" t="s">
        <v>756</v>
      </c>
      <c r="K74" s="182"/>
      <c r="L74" s="3"/>
      <c r="M74" s="3"/>
      <c r="N74" s="3"/>
      <c r="O74" s="3"/>
      <c r="P74" s="3"/>
    </row>
    <row r="75" spans="1:16">
      <c r="A75" s="3"/>
      <c r="B75" s="3"/>
      <c r="C75" s="177"/>
      <c r="D75" s="141"/>
      <c r="E75" s="918"/>
      <c r="F75" s="141"/>
      <c r="G75" s="192"/>
      <c r="H75" s="141"/>
      <c r="I75" s="192"/>
      <c r="J75" s="141"/>
      <c r="K75" s="182"/>
      <c r="L75" s="3"/>
      <c r="M75" s="3"/>
      <c r="N75" s="3"/>
      <c r="O75" s="3"/>
      <c r="P75" s="3"/>
    </row>
    <row r="76" spans="1:16">
      <c r="A76" s="3"/>
      <c r="B76" s="3"/>
      <c r="C76" s="177" t="s">
        <v>173</v>
      </c>
      <c r="D76" s="141"/>
      <c r="E76" s="918"/>
      <c r="F76" s="141"/>
      <c r="G76" s="192"/>
      <c r="H76" s="141"/>
      <c r="I76" s="192"/>
      <c r="J76" s="141"/>
      <c r="K76" s="182"/>
      <c r="L76" s="3"/>
      <c r="M76" s="3"/>
      <c r="N76" s="3"/>
      <c r="O76" s="3"/>
      <c r="P76" s="3"/>
    </row>
    <row r="77" spans="1:16">
      <c r="A77" s="3"/>
      <c r="B77" s="3"/>
      <c r="C77" s="177"/>
      <c r="D77" s="141"/>
      <c r="E77" s="918"/>
      <c r="F77" s="141"/>
      <c r="G77" s="192"/>
      <c r="H77" s="141"/>
      <c r="I77" s="192"/>
      <c r="J77" s="141"/>
      <c r="K77" s="182"/>
      <c r="L77" s="3"/>
      <c r="M77" s="3"/>
      <c r="N77" s="3"/>
      <c r="O77" s="3"/>
      <c r="P77" s="3"/>
    </row>
    <row r="78" spans="1:16">
      <c r="A78" s="3"/>
      <c r="B78" s="3"/>
      <c r="C78" s="177"/>
      <c r="D78" s="141" t="s">
        <v>170</v>
      </c>
      <c r="E78" s="381">
        <v>6</v>
      </c>
      <c r="F78" s="659" t="s">
        <v>1043</v>
      </c>
      <c r="G78" s="141"/>
      <c r="H78" s="141"/>
      <c r="I78" s="902">
        <f>E78*0.15</f>
        <v>0.89999999999999991</v>
      </c>
      <c r="J78" s="141" t="s">
        <v>756</v>
      </c>
      <c r="K78" s="1040" t="s">
        <v>1042</v>
      </c>
      <c r="L78" s="3"/>
      <c r="M78" s="3"/>
      <c r="N78" s="3"/>
      <c r="O78" s="3"/>
      <c r="P78" s="3"/>
    </row>
    <row r="79" spans="1:16">
      <c r="A79" s="3"/>
      <c r="B79" s="3"/>
      <c r="C79" s="177"/>
      <c r="D79" s="141" t="s">
        <v>171</v>
      </c>
      <c r="E79" s="142" t="s">
        <v>183</v>
      </c>
      <c r="F79" s="890" t="s">
        <v>1053</v>
      </c>
      <c r="G79" s="366"/>
      <c r="H79" s="141"/>
      <c r="I79" s="128">
        <v>0.52</v>
      </c>
      <c r="J79" s="141" t="s">
        <v>756</v>
      </c>
      <c r="K79" s="182"/>
      <c r="L79" s="3"/>
      <c r="M79" s="3"/>
      <c r="N79" s="3"/>
      <c r="O79" s="3"/>
      <c r="P79" s="3"/>
    </row>
    <row r="80" spans="1:16">
      <c r="A80" s="3"/>
      <c r="B80" s="3"/>
      <c r="C80" s="177"/>
      <c r="D80" s="141" t="s">
        <v>171</v>
      </c>
      <c r="E80" s="142" t="s">
        <v>183</v>
      </c>
      <c r="F80" s="890"/>
      <c r="G80" s="366"/>
      <c r="H80" s="141"/>
      <c r="I80" s="128"/>
      <c r="J80" s="141" t="s">
        <v>756</v>
      </c>
      <c r="K80" s="182"/>
      <c r="L80" s="3"/>
      <c r="M80" s="3"/>
      <c r="N80" s="3"/>
      <c r="O80" s="3"/>
      <c r="P80" s="3"/>
    </row>
    <row r="81" spans="1:16">
      <c r="A81" s="3"/>
      <c r="B81" s="3"/>
      <c r="C81" s="177"/>
      <c r="D81" s="141" t="s">
        <v>171</v>
      </c>
      <c r="E81" s="142" t="s">
        <v>183</v>
      </c>
      <c r="F81" s="890"/>
      <c r="G81" s="366"/>
      <c r="H81" s="141"/>
      <c r="I81" s="128"/>
      <c r="J81" s="141" t="s">
        <v>756</v>
      </c>
      <c r="K81" s="182"/>
      <c r="L81" s="3"/>
      <c r="M81" s="3"/>
      <c r="N81" s="3"/>
      <c r="O81" s="3"/>
      <c r="P81" s="3"/>
    </row>
    <row r="82" spans="1:16">
      <c r="A82" s="3"/>
      <c r="B82" s="3"/>
      <c r="C82" s="177"/>
      <c r="D82" s="141"/>
      <c r="E82" s="142"/>
      <c r="F82" s="919"/>
      <c r="G82" s="141"/>
      <c r="H82" s="141"/>
      <c r="I82" s="920"/>
      <c r="J82" s="141"/>
      <c r="K82" s="182"/>
      <c r="L82" s="3"/>
      <c r="M82" s="3"/>
      <c r="N82" s="3"/>
      <c r="O82" s="3"/>
      <c r="P82" s="3"/>
    </row>
    <row r="83" spans="1:16">
      <c r="A83" s="3"/>
      <c r="B83" s="3"/>
      <c r="C83" s="177"/>
      <c r="D83" s="141" t="s">
        <v>176</v>
      </c>
      <c r="E83" s="141"/>
      <c r="F83" s="141" t="s">
        <v>431</v>
      </c>
      <c r="G83" s="141"/>
      <c r="H83" s="141"/>
      <c r="I83" s="128">
        <v>0.04</v>
      </c>
      <c r="J83" s="141" t="s">
        <v>756</v>
      </c>
      <c r="K83" s="1040" t="s">
        <v>1061</v>
      </c>
      <c r="L83" s="3"/>
      <c r="M83" s="3"/>
      <c r="N83" s="3"/>
      <c r="O83" s="3"/>
      <c r="P83" s="3"/>
    </row>
    <row r="84" spans="1:16">
      <c r="A84" s="3"/>
      <c r="B84" s="3"/>
      <c r="C84" s="177"/>
      <c r="D84" s="141"/>
      <c r="E84" s="141"/>
      <c r="F84" s="141"/>
      <c r="G84" s="141"/>
      <c r="H84" s="141"/>
      <c r="I84" s="920"/>
      <c r="J84" s="141"/>
      <c r="K84" s="182"/>
      <c r="L84" s="3"/>
      <c r="M84" s="3"/>
      <c r="N84" s="3"/>
      <c r="O84" s="3"/>
      <c r="P84" s="3"/>
    </row>
    <row r="85" spans="1:16" ht="13">
      <c r="A85" s="3"/>
      <c r="B85" s="3"/>
      <c r="C85" s="177" t="s">
        <v>174</v>
      </c>
      <c r="D85" s="141"/>
      <c r="E85" s="141"/>
      <c r="F85" s="141"/>
      <c r="G85" s="141"/>
      <c r="H85" s="141"/>
      <c r="I85" s="654">
        <f>SUM(I74:I83)</f>
        <v>1.5044</v>
      </c>
      <c r="J85" s="141" t="s">
        <v>756</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0.39891698170291501</v>
      </c>
      <c r="J87" s="141" t="s">
        <v>781</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phoneticPr fontId="26" type="noConversion"/>
  <pageMargins left="0.75" right="0.75" top="1" bottom="1" header="0.5" footer="0.5"/>
  <pageSetup paperSize="9" scale="53"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topLeftCell="A90" zoomScale="110" zoomScaleNormal="110" workbookViewId="0">
      <selection activeCell="M94" sqref="M9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 - CS0</v>
      </c>
      <c r="I1" s="127"/>
      <c r="J1" s="127"/>
      <c r="K1" s="610" t="str">
        <f>'Title Page'!F23</f>
        <v>2019 September 13</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249</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352" t="s">
        <v>159</v>
      </c>
      <c r="D8" s="329"/>
      <c r="E8" s="329"/>
      <c r="F8" s="329"/>
      <c r="G8" s="329"/>
      <c r="H8" s="329"/>
      <c r="I8" s="329"/>
      <c r="J8" s="329"/>
      <c r="K8" s="329"/>
      <c r="L8" s="329"/>
      <c r="M8" s="329"/>
      <c r="N8" s="329"/>
      <c r="O8" s="1073"/>
      <c r="P8" s="3"/>
      <c r="Q8" s="3"/>
      <c r="R8" s="3"/>
      <c r="S8" s="3"/>
      <c r="T8" s="3"/>
      <c r="U8" s="3"/>
      <c r="V8" s="3"/>
      <c r="W8" s="3"/>
      <c r="X8" s="3"/>
      <c r="Y8" s="3"/>
      <c r="Z8" s="3"/>
      <c r="AA8" s="3"/>
    </row>
    <row r="9" spans="1:27">
      <c r="A9" s="3"/>
      <c r="B9" s="3"/>
      <c r="C9" s="330"/>
      <c r="D9" s="331"/>
      <c r="E9" s="331"/>
      <c r="F9" s="331"/>
      <c r="G9" s="331"/>
      <c r="H9" s="331"/>
      <c r="I9" s="331"/>
      <c r="J9" s="331"/>
      <c r="K9" s="331"/>
      <c r="L9" s="331"/>
      <c r="M9" s="331"/>
      <c r="N9" s="331"/>
      <c r="O9" s="32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31"/>
      <c r="N10" s="331"/>
      <c r="O10" s="32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31"/>
      <c r="N11" s="331"/>
      <c r="O11" s="32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31"/>
      <c r="N12" s="331"/>
      <c r="O12" s="32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31"/>
      <c r="N13" s="331"/>
      <c r="O13" s="32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31"/>
      <c r="N14" s="331"/>
      <c r="O14" s="32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31"/>
      <c r="N15" s="331"/>
      <c r="O15" s="32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31"/>
      <c r="N16" s="331"/>
      <c r="O16" s="32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31"/>
      <c r="N17" s="334"/>
      <c r="O17" s="32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31"/>
      <c r="N18" s="331"/>
      <c r="O18" s="32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31"/>
      <c r="N19" s="331"/>
      <c r="O19" s="323"/>
      <c r="P19" s="3"/>
      <c r="Q19" s="3"/>
      <c r="R19" s="3"/>
      <c r="S19" s="3"/>
      <c r="T19" s="3"/>
      <c r="U19" s="3"/>
      <c r="V19" s="3"/>
      <c r="W19" s="3"/>
      <c r="X19" s="3"/>
      <c r="Y19" s="3"/>
      <c r="Z19" s="3"/>
      <c r="AA19" s="3"/>
    </row>
    <row r="20" spans="1:27">
      <c r="A20" s="3"/>
      <c r="B20" s="3"/>
      <c r="C20" s="330"/>
      <c r="D20" s="331" t="s">
        <v>973</v>
      </c>
      <c r="E20" s="331"/>
      <c r="F20" s="331"/>
      <c r="G20" s="331"/>
      <c r="H20" s="331"/>
      <c r="I20" s="331"/>
      <c r="J20" s="331"/>
      <c r="K20" s="331"/>
      <c r="L20" s="331"/>
      <c r="M20" s="331"/>
      <c r="N20" s="339"/>
      <c r="O20" s="340"/>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1" t="s">
        <v>974</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975</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976</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977</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978</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979</v>
      </c>
      <c r="E28" s="331"/>
      <c r="F28" s="331"/>
      <c r="G28" s="331"/>
      <c r="H28" s="331"/>
      <c r="I28" s="241" t="s">
        <v>233</v>
      </c>
      <c r="J28" s="331"/>
      <c r="K28" s="331"/>
      <c r="L28" s="331"/>
      <c r="M28" s="323"/>
      <c r="N28" s="3"/>
      <c r="O28" s="3"/>
      <c r="P28" s="3"/>
      <c r="Q28" s="3"/>
      <c r="R28" s="3"/>
      <c r="S28" s="3"/>
      <c r="T28" s="3"/>
      <c r="U28" s="3"/>
      <c r="V28" s="3"/>
      <c r="W28" s="3"/>
      <c r="X28" s="3"/>
      <c r="Y28" s="3"/>
      <c r="Z28" s="3"/>
      <c r="AA28" s="3"/>
    </row>
    <row r="29" spans="1:27">
      <c r="A29" s="3"/>
      <c r="B29" s="3"/>
      <c r="C29" s="330"/>
      <c r="D29" s="350" t="s">
        <v>980</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981</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982</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59" t="s">
        <v>983</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714</v>
      </c>
      <c r="E38" s="331" t="s">
        <v>177</v>
      </c>
      <c r="F38" s="331"/>
      <c r="G38" s="459" t="s">
        <v>1049</v>
      </c>
      <c r="H38" s="901"/>
      <c r="I38" s="331"/>
      <c r="J38" s="916">
        <v>0.17499999999999999</v>
      </c>
      <c r="K38" s="331" t="s">
        <v>754</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1"/>
      <c r="I39" s="331"/>
      <c r="J39" s="916"/>
      <c r="K39" s="331" t="s">
        <v>754</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1"/>
      <c r="I40" s="331"/>
      <c r="J40" s="916"/>
      <c r="K40" s="331" t="s">
        <v>754</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899" t="s">
        <v>948</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899" t="s">
        <v>944</v>
      </c>
      <c r="F43" s="331"/>
      <c r="G43" s="331"/>
      <c r="H43" s="917">
        <v>2</v>
      </c>
      <c r="I43" s="907" t="s">
        <v>951</v>
      </c>
      <c r="J43" s="904">
        <f>Frequency!$M$10</f>
        <v>2422</v>
      </c>
      <c r="K43" s="331" t="s">
        <v>753</v>
      </c>
      <c r="L43" s="331"/>
      <c r="M43" s="922" t="s">
        <v>1045</v>
      </c>
      <c r="N43" s="3"/>
      <c r="O43" s="3"/>
      <c r="P43" s="3"/>
      <c r="Q43" s="3"/>
      <c r="R43" s="3"/>
      <c r="S43" s="3"/>
      <c r="T43" s="3"/>
      <c r="U43" s="3"/>
      <c r="V43" s="3"/>
      <c r="W43" s="3"/>
      <c r="X43" s="3"/>
      <c r="Y43" s="3"/>
      <c r="Z43" s="3"/>
      <c r="AA43" s="3"/>
    </row>
    <row r="44" spans="1:27">
      <c r="A44" s="3"/>
      <c r="B44" s="3"/>
      <c r="C44" s="330"/>
      <c r="D44" s="331"/>
      <c r="E44" s="899" t="s">
        <v>945</v>
      </c>
      <c r="F44" s="331"/>
      <c r="G44" s="331"/>
      <c r="H44" s="917"/>
      <c r="I44" s="907" t="s">
        <v>951</v>
      </c>
      <c r="J44" s="904">
        <f>Frequency!$M$10</f>
        <v>2422</v>
      </c>
      <c r="K44" s="331" t="s">
        <v>753</v>
      </c>
      <c r="L44" s="331"/>
      <c r="M44" s="323"/>
      <c r="N44" s="3"/>
      <c r="O44" s="3"/>
      <c r="P44" s="3"/>
      <c r="Q44" s="3"/>
      <c r="R44" s="3"/>
      <c r="S44" s="3"/>
      <c r="T44" s="3"/>
      <c r="U44" s="3"/>
      <c r="V44" s="3"/>
      <c r="W44" s="3"/>
      <c r="X44" s="3"/>
      <c r="Y44" s="3"/>
      <c r="Z44" s="3"/>
      <c r="AA44" s="3"/>
    </row>
    <row r="45" spans="1:27" ht="13">
      <c r="A45" s="3"/>
      <c r="B45" s="3"/>
      <c r="C45" s="330"/>
      <c r="D45" s="331"/>
      <c r="E45" s="899" t="s">
        <v>946</v>
      </c>
      <c r="F45" s="331"/>
      <c r="G45" s="331"/>
      <c r="H45" s="917"/>
      <c r="I45" s="907" t="s">
        <v>951</v>
      </c>
      <c r="J45" s="904">
        <f>Frequency!$M$10</f>
        <v>2422</v>
      </c>
      <c r="K45" s="331" t="s">
        <v>753</v>
      </c>
      <c r="L45" s="331"/>
      <c r="M45" s="323"/>
      <c r="N45" s="3"/>
      <c r="O45" s="356" t="s">
        <v>676</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0.35</v>
      </c>
      <c r="K47" s="905" t="s">
        <v>756</v>
      </c>
      <c r="L47" s="331"/>
      <c r="M47" s="323"/>
      <c r="N47" s="3"/>
      <c r="O47" s="295"/>
      <c r="P47" s="297"/>
      <c r="Q47" s="297" t="s">
        <v>985</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5" t="s">
        <v>756</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756</v>
      </c>
      <c r="L49" s="331"/>
      <c r="M49" s="323"/>
      <c r="N49" s="3"/>
      <c r="O49" s="295"/>
      <c r="P49" s="297"/>
      <c r="Q49" s="297" t="s">
        <v>986</v>
      </c>
      <c r="R49" s="297"/>
      <c r="S49" s="297"/>
      <c r="T49" s="683" t="s">
        <v>987</v>
      </c>
      <c r="U49" s="241">
        <f>J61</f>
        <v>290</v>
      </c>
      <c r="V49" s="357" t="s">
        <v>784</v>
      </c>
      <c r="W49" s="3"/>
      <c r="X49" s="3"/>
      <c r="Y49" s="3"/>
      <c r="Z49" s="3"/>
      <c r="AA49" s="3"/>
    </row>
    <row r="50" spans="1:27">
      <c r="A50" s="3"/>
      <c r="B50" s="3"/>
      <c r="C50" s="330"/>
      <c r="D50" s="331"/>
      <c r="E50" s="331" t="s">
        <v>211</v>
      </c>
      <c r="F50" s="331"/>
      <c r="G50" s="331"/>
      <c r="H50" s="331"/>
      <c r="I50" s="331" t="s">
        <v>212</v>
      </c>
      <c r="J50" s="897">
        <v>2</v>
      </c>
      <c r="K50" s="331" t="s">
        <v>756</v>
      </c>
      <c r="L50" s="331"/>
      <c r="M50" s="922" t="s">
        <v>1050</v>
      </c>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8">
        <v>0.52</v>
      </c>
      <c r="K51" s="331" t="s">
        <v>756</v>
      </c>
      <c r="L51" s="331"/>
      <c r="M51" s="922" t="s">
        <v>1047</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8"/>
      <c r="K52" s="331"/>
      <c r="L52" s="331"/>
      <c r="M52" s="922"/>
      <c r="N52" s="3"/>
      <c r="O52" s="295"/>
      <c r="P52" s="297"/>
      <c r="Q52" s="358" t="s">
        <v>988</v>
      </c>
      <c r="R52" s="128">
        <v>0.6</v>
      </c>
      <c r="S52" s="297" t="s">
        <v>756</v>
      </c>
      <c r="T52" s="358" t="s">
        <v>229</v>
      </c>
      <c r="U52" s="347">
        <f>J61*(10^(R52/10)-1)</f>
        <v>42.964550234096016</v>
      </c>
      <c r="V52" s="357" t="s">
        <v>784</v>
      </c>
      <c r="W52" s="3"/>
      <c r="X52" s="3"/>
      <c r="Y52" s="3"/>
      <c r="Z52" s="3"/>
      <c r="AA52" s="3"/>
    </row>
    <row r="53" spans="1:27">
      <c r="A53" s="3"/>
      <c r="B53" s="3"/>
      <c r="C53" s="330"/>
      <c r="D53" s="331"/>
      <c r="E53" s="331" t="s">
        <v>232</v>
      </c>
      <c r="F53" s="331"/>
      <c r="G53" s="331"/>
      <c r="H53" s="264">
        <v>6</v>
      </c>
      <c r="I53" s="913" t="s">
        <v>1048</v>
      </c>
      <c r="J53" s="910">
        <f>H53*0.15</f>
        <v>0.89999999999999991</v>
      </c>
      <c r="K53" s="331" t="s">
        <v>756</v>
      </c>
      <c r="L53" s="331"/>
      <c r="M53" s="323"/>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71">
        <f>SUM(J47:J53)</f>
        <v>3.77</v>
      </c>
      <c r="K55" s="331" t="s">
        <v>756</v>
      </c>
      <c r="L55" s="331"/>
      <c r="M55" s="323"/>
      <c r="N55" s="3"/>
      <c r="O55" s="295"/>
      <c r="P55" s="297"/>
      <c r="Q55" s="358" t="s">
        <v>229</v>
      </c>
      <c r="R55" s="129">
        <v>500</v>
      </c>
      <c r="S55" s="297" t="s">
        <v>784</v>
      </c>
      <c r="T55" s="358" t="s">
        <v>989</v>
      </c>
      <c r="U55" s="355">
        <f>10*LOG10(1+(R55/J61))</f>
        <v>4.352290933914853</v>
      </c>
      <c r="V55" s="357" t="s">
        <v>756</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0.41975898399100747</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784</v>
      </c>
      <c r="L59" s="331"/>
      <c r="M59" s="323"/>
      <c r="N59" s="3"/>
      <c r="O59" s="923" t="s">
        <v>965</v>
      </c>
      <c r="P59" s="924"/>
      <c r="Q59" s="924"/>
      <c r="R59" s="924"/>
      <c r="S59" s="924"/>
      <c r="T59" s="924"/>
      <c r="U59" s="924"/>
      <c r="V59" s="924"/>
      <c r="W59" s="924"/>
      <c r="X59" s="924"/>
      <c r="Y59" s="924"/>
      <c r="Z59" s="924"/>
      <c r="AA59" s="925"/>
    </row>
    <row r="60" spans="1:27">
      <c r="A60" s="3"/>
      <c r="B60" s="3"/>
      <c r="C60" s="330"/>
      <c r="D60" s="331"/>
      <c r="E60" s="331"/>
      <c r="F60" s="331"/>
      <c r="G60" s="331"/>
      <c r="H60" s="331"/>
      <c r="I60" s="331"/>
      <c r="J60" s="331"/>
      <c r="K60" s="331"/>
      <c r="L60" s="331"/>
      <c r="M60" s="323"/>
      <c r="N60" s="3"/>
      <c r="O60" s="926"/>
      <c r="P60" s="927"/>
      <c r="Q60" s="927"/>
      <c r="R60" s="927"/>
      <c r="S60" s="927"/>
      <c r="T60" s="927"/>
      <c r="U60" s="927"/>
      <c r="V60" s="927"/>
      <c r="W60" s="927"/>
      <c r="X60" s="927"/>
      <c r="Y60" s="927"/>
      <c r="Z60" s="927"/>
      <c r="AA60" s="928"/>
    </row>
    <row r="61" spans="1:27" ht="15" thickBot="1">
      <c r="A61" s="3"/>
      <c r="B61" s="3"/>
      <c r="C61" s="330"/>
      <c r="D61" s="331" t="s">
        <v>220</v>
      </c>
      <c r="E61" s="331"/>
      <c r="F61" s="331"/>
      <c r="G61" s="331"/>
      <c r="H61" s="331"/>
      <c r="I61" s="331" t="s">
        <v>221</v>
      </c>
      <c r="J61" s="343">
        <v>290</v>
      </c>
      <c r="K61" s="331" t="s">
        <v>784</v>
      </c>
      <c r="L61" s="331"/>
      <c r="M61" s="323"/>
      <c r="N61" s="3"/>
      <c r="O61" s="929" t="s">
        <v>953</v>
      </c>
      <c r="P61" s="930" t="s">
        <v>954</v>
      </c>
      <c r="Q61" s="931"/>
      <c r="R61" s="929" t="s">
        <v>955</v>
      </c>
      <c r="S61" s="929" t="s">
        <v>956</v>
      </c>
      <c r="T61" s="929"/>
      <c r="U61" s="929" t="s">
        <v>957</v>
      </c>
      <c r="V61" s="929" t="s">
        <v>958</v>
      </c>
      <c r="W61" s="929" t="s">
        <v>959</v>
      </c>
      <c r="X61" s="929" t="s">
        <v>960</v>
      </c>
      <c r="Y61" s="929" t="s">
        <v>961</v>
      </c>
      <c r="Z61" s="929" t="s">
        <v>962</v>
      </c>
      <c r="AA61" s="929" t="s">
        <v>963</v>
      </c>
    </row>
    <row r="62" spans="1:27">
      <c r="A62" s="3"/>
      <c r="B62" s="3"/>
      <c r="C62" s="330"/>
      <c r="D62" s="331"/>
      <c r="E62" s="331"/>
      <c r="F62" s="331"/>
      <c r="G62" s="331"/>
      <c r="H62" s="331"/>
      <c r="I62" s="331"/>
      <c r="J62" s="331"/>
      <c r="K62" s="331"/>
      <c r="L62" s="331"/>
      <c r="M62" s="323"/>
      <c r="N62" s="3"/>
      <c r="O62" s="932">
        <v>1</v>
      </c>
      <c r="P62" s="1043" t="s">
        <v>1050</v>
      </c>
      <c r="Q62" s="934"/>
      <c r="R62" s="935">
        <v>-2</v>
      </c>
      <c r="S62" s="935">
        <v>2</v>
      </c>
      <c r="T62" s="936"/>
      <c r="U62" s="937">
        <f>IF(R62,10^(R62/10), "")</f>
        <v>0.63095734448019325</v>
      </c>
      <c r="V62" s="937">
        <f>IF(S62,10^(S62/10), "")</f>
        <v>1.5848931924611136</v>
      </c>
      <c r="W62" s="937">
        <f>IF(S62,1,"")</f>
        <v>1</v>
      </c>
      <c r="X62" s="936">
        <f>IF(S62,290*(V62-1), "")</f>
        <v>169.61902581372294</v>
      </c>
      <c r="Y62" s="936">
        <f t="shared" ref="Y62:Y71" si="1">IF(S62,X62/W62, "")</f>
        <v>169.61902581372294</v>
      </c>
      <c r="Z62" s="937">
        <f>IF(S62,(V62-1)/W62, "")</f>
        <v>0.5848931924611136</v>
      </c>
      <c r="AA62" s="937">
        <f>IF(S62,Z62+1, "")</f>
        <v>1.5848931924611136</v>
      </c>
    </row>
    <row r="63" spans="1:27">
      <c r="A63" s="3"/>
      <c r="B63" s="3"/>
      <c r="C63" s="330"/>
      <c r="D63" s="331" t="s">
        <v>222</v>
      </c>
      <c r="E63" s="331"/>
      <c r="F63" s="331"/>
      <c r="G63" s="331"/>
      <c r="H63" s="331"/>
      <c r="I63" s="331" t="s">
        <v>223</v>
      </c>
      <c r="J63" s="343">
        <v>43</v>
      </c>
      <c r="K63" s="331" t="s">
        <v>784</v>
      </c>
      <c r="L63" s="331"/>
      <c r="M63" s="323"/>
      <c r="N63" s="3"/>
      <c r="O63" s="932">
        <v>2</v>
      </c>
      <c r="P63" s="1042" t="s">
        <v>1068</v>
      </c>
      <c r="Q63" s="939"/>
      <c r="R63" s="935">
        <v>18.899999999999999</v>
      </c>
      <c r="S63" s="935">
        <v>0.6</v>
      </c>
      <c r="T63" s="936"/>
      <c r="U63" s="937">
        <f t="shared" ref="U63:V71" si="2">IF(R63,10^(R63/10), "")</f>
        <v>77.624711662869217</v>
      </c>
      <c r="V63" s="937">
        <f t="shared" si="2"/>
        <v>1.1481536214968828</v>
      </c>
      <c r="W63" s="937">
        <f t="shared" ref="W63:W71" si="3">IF(S63,W62*U62, "")</f>
        <v>0.63095734448019325</v>
      </c>
      <c r="X63" s="936">
        <f t="shared" ref="X63:X71" si="4">IF(S63,290*(V63-1), "")</f>
        <v>42.964550234096016</v>
      </c>
      <c r="Y63" s="936">
        <f t="shared" si="1"/>
        <v>68.094223183172318</v>
      </c>
      <c r="Z63" s="937">
        <f t="shared" ref="Z63:Z71" si="5">IF(S63,(V63-1)/W63, "")</f>
        <v>0.23480766614887008</v>
      </c>
      <c r="AA63" s="937">
        <f>IF(S63, AA62+Z63, "")</f>
        <v>1.8197008586099837</v>
      </c>
    </row>
    <row r="64" spans="1:27">
      <c r="A64" s="3"/>
      <c r="B64" s="3"/>
      <c r="C64" s="330"/>
      <c r="D64" s="331"/>
      <c r="E64" s="331"/>
      <c r="F64" s="331"/>
      <c r="G64" s="331"/>
      <c r="H64" s="331"/>
      <c r="I64" s="331"/>
      <c r="J64" s="331"/>
      <c r="K64" s="331"/>
      <c r="L64" s="331"/>
      <c r="M64" s="323"/>
      <c r="N64" s="3"/>
      <c r="O64" s="932">
        <v>3</v>
      </c>
      <c r="P64" s="1042" t="s">
        <v>1059</v>
      </c>
      <c r="Q64" s="939"/>
      <c r="R64" s="935"/>
      <c r="S64" s="935">
        <v>3.5</v>
      </c>
      <c r="T64" s="936"/>
      <c r="U64" s="937" t="str">
        <f t="shared" si="2"/>
        <v/>
      </c>
      <c r="V64" s="937">
        <f t="shared" si="2"/>
        <v>2.2387211385683394</v>
      </c>
      <c r="W64" s="937">
        <f t="shared" si="3"/>
        <v>48.977881936844646</v>
      </c>
      <c r="X64" s="936">
        <f t="shared" si="4"/>
        <v>359.22913018481842</v>
      </c>
      <c r="Y64" s="936">
        <f t="shared" si="1"/>
        <v>7.3345174592897351</v>
      </c>
      <c r="Z64" s="937">
        <f t="shared" si="5"/>
        <v>2.529143951479219E-2</v>
      </c>
      <c r="AA64" s="937">
        <f t="shared" ref="AA64:AA71" si="6">IF(S64, AA63+Z64, "")</f>
        <v>1.8449922981247759</v>
      </c>
    </row>
    <row r="65" spans="1:27">
      <c r="A65" s="3"/>
      <c r="B65" s="3"/>
      <c r="C65" s="330"/>
      <c r="D65" s="331" t="s">
        <v>224</v>
      </c>
      <c r="E65" s="331"/>
      <c r="F65" s="344">
        <v>18.899999999999999</v>
      </c>
      <c r="G65" s="331" t="s">
        <v>756</v>
      </c>
      <c r="H65" s="331"/>
      <c r="I65" s="331" t="s">
        <v>225</v>
      </c>
      <c r="J65" s="351">
        <f>10^(F65/10)</f>
        <v>77.624711662869217</v>
      </c>
      <c r="K65" s="331"/>
      <c r="L65" s="331"/>
      <c r="M65" s="912" t="s">
        <v>1067</v>
      </c>
      <c r="N65" s="3"/>
      <c r="O65" s="932">
        <v>4</v>
      </c>
      <c r="P65" s="938"/>
      <c r="Q65" s="939"/>
      <c r="R65" s="935"/>
      <c r="S65" s="935"/>
      <c r="T65" s="936"/>
      <c r="U65" s="937" t="str">
        <f t="shared" si="2"/>
        <v/>
      </c>
      <c r="V65" s="937" t="str">
        <f t="shared" si="2"/>
        <v/>
      </c>
      <c r="W65" s="937" t="str">
        <f t="shared" si="3"/>
        <v/>
      </c>
      <c r="X65" s="936" t="str">
        <f t="shared" si="4"/>
        <v/>
      </c>
      <c r="Y65" s="936" t="str">
        <f t="shared" si="1"/>
        <v/>
      </c>
      <c r="Z65" s="937" t="str">
        <f t="shared" si="5"/>
        <v/>
      </c>
      <c r="AA65" s="937" t="str">
        <f t="shared" si="6"/>
        <v/>
      </c>
    </row>
    <row r="66" spans="1:27">
      <c r="A66" s="3"/>
      <c r="B66" s="3"/>
      <c r="C66" s="330"/>
      <c r="D66" s="331"/>
      <c r="E66" s="331"/>
      <c r="F66" s="331"/>
      <c r="G66" s="331"/>
      <c r="H66" s="331"/>
      <c r="I66" s="331"/>
      <c r="J66" s="331"/>
      <c r="K66" s="331"/>
      <c r="L66" s="331"/>
      <c r="M66" s="323"/>
      <c r="N66" s="3"/>
      <c r="O66" s="932">
        <v>5</v>
      </c>
      <c r="P66" s="938"/>
      <c r="Q66" s="939"/>
      <c r="R66" s="935"/>
      <c r="S66" s="935"/>
      <c r="T66" s="936"/>
      <c r="U66" s="937" t="str">
        <f t="shared" si="2"/>
        <v/>
      </c>
      <c r="V66" s="937" t="str">
        <f t="shared" si="2"/>
        <v/>
      </c>
      <c r="W66" s="937" t="str">
        <f t="shared" si="3"/>
        <v/>
      </c>
      <c r="X66" s="936" t="str">
        <f t="shared" si="4"/>
        <v/>
      </c>
      <c r="Y66" s="936" t="str">
        <f t="shared" si="1"/>
        <v/>
      </c>
      <c r="Z66" s="937" t="str">
        <f t="shared" si="5"/>
        <v/>
      </c>
      <c r="AA66" s="937" t="str">
        <f t="shared" si="6"/>
        <v/>
      </c>
    </row>
    <row r="67" spans="1:27" ht="13">
      <c r="A67" s="3"/>
      <c r="B67" s="3"/>
      <c r="C67" s="330"/>
      <c r="D67" s="331" t="s">
        <v>108</v>
      </c>
      <c r="E67" s="331"/>
      <c r="F67" s="331"/>
      <c r="G67" s="331"/>
      <c r="H67" s="331"/>
      <c r="I67" s="331" t="s">
        <v>984</v>
      </c>
      <c r="J67" s="374">
        <f>Y73</f>
        <v>245.047766456185</v>
      </c>
      <c r="K67" s="331" t="s">
        <v>784</v>
      </c>
      <c r="L67" s="331"/>
      <c r="M67" s="323"/>
      <c r="N67" s="3"/>
      <c r="O67" s="932">
        <v>8</v>
      </c>
      <c r="P67" s="938"/>
      <c r="Q67" s="939"/>
      <c r="R67" s="935"/>
      <c r="S67" s="935"/>
      <c r="T67" s="936"/>
      <c r="U67" s="937" t="str">
        <f t="shared" si="2"/>
        <v/>
      </c>
      <c r="V67" s="937" t="str">
        <f t="shared" si="2"/>
        <v/>
      </c>
      <c r="W67" s="937" t="str">
        <f t="shared" si="3"/>
        <v/>
      </c>
      <c r="X67" s="936" t="str">
        <f t="shared" si="4"/>
        <v/>
      </c>
      <c r="Y67" s="936" t="str">
        <f t="shared" si="1"/>
        <v/>
      </c>
      <c r="Z67" s="937" t="str">
        <f t="shared" si="5"/>
        <v/>
      </c>
      <c r="AA67" s="937" t="str">
        <f t="shared" si="6"/>
        <v/>
      </c>
    </row>
    <row r="68" spans="1:27">
      <c r="A68" s="3"/>
      <c r="B68" s="3"/>
      <c r="C68" s="330"/>
      <c r="D68" s="331"/>
      <c r="E68" s="331"/>
      <c r="F68" s="331"/>
      <c r="G68" s="331"/>
      <c r="H68" s="331"/>
      <c r="I68" s="331"/>
      <c r="J68" s="331"/>
      <c r="K68" s="331"/>
      <c r="L68" s="331"/>
      <c r="M68" s="323"/>
      <c r="N68" s="3"/>
      <c r="O68" s="932">
        <v>9</v>
      </c>
      <c r="P68" s="938"/>
      <c r="Q68" s="939"/>
      <c r="R68" s="935"/>
      <c r="S68" s="935"/>
      <c r="T68" s="936"/>
      <c r="U68" s="937" t="str">
        <f t="shared" si="2"/>
        <v/>
      </c>
      <c r="V68" s="937" t="str">
        <f t="shared" si="2"/>
        <v/>
      </c>
      <c r="W68" s="937" t="str">
        <f t="shared" si="3"/>
        <v/>
      </c>
      <c r="X68" s="936" t="str">
        <f t="shared" si="4"/>
        <v/>
      </c>
      <c r="Y68" s="936" t="str">
        <f t="shared" si="1"/>
        <v/>
      </c>
      <c r="Z68" s="937" t="str">
        <f t="shared" si="5"/>
        <v/>
      </c>
      <c r="AA68" s="937" t="str">
        <f t="shared" si="6"/>
        <v/>
      </c>
    </row>
    <row r="69" spans="1:27" ht="13">
      <c r="A69" s="3"/>
      <c r="B69" s="3"/>
      <c r="C69" s="330"/>
      <c r="D69" s="331"/>
      <c r="E69" s="331"/>
      <c r="F69" s="331"/>
      <c r="G69" s="331"/>
      <c r="H69" s="331"/>
      <c r="I69" s="331"/>
      <c r="J69" s="331"/>
      <c r="K69" s="331"/>
      <c r="L69" s="354"/>
      <c r="M69" s="323"/>
      <c r="N69" s="3"/>
      <c r="O69" s="932">
        <v>10</v>
      </c>
      <c r="P69" s="938"/>
      <c r="Q69" s="939"/>
      <c r="R69" s="935"/>
      <c r="S69" s="935"/>
      <c r="T69" s="936"/>
      <c r="U69" s="937" t="str">
        <f t="shared" si="2"/>
        <v/>
      </c>
      <c r="V69" s="937" t="str">
        <f t="shared" si="2"/>
        <v/>
      </c>
      <c r="W69" s="937" t="str">
        <f t="shared" si="3"/>
        <v/>
      </c>
      <c r="X69" s="936" t="str">
        <f t="shared" si="4"/>
        <v/>
      </c>
      <c r="Y69" s="936" t="str">
        <f t="shared" si="1"/>
        <v/>
      </c>
      <c r="Z69" s="937" t="str">
        <f t="shared" si="5"/>
        <v/>
      </c>
      <c r="AA69" s="937" t="str">
        <f t="shared" si="6"/>
        <v/>
      </c>
    </row>
    <row r="70" spans="1:27" ht="13">
      <c r="A70" s="3"/>
      <c r="B70" s="3"/>
      <c r="C70" s="330"/>
      <c r="D70" s="331" t="s">
        <v>226</v>
      </c>
      <c r="E70" s="331"/>
      <c r="F70" s="331"/>
      <c r="G70" s="331"/>
      <c r="H70" s="331"/>
      <c r="I70" s="331" t="s">
        <v>227</v>
      </c>
      <c r="J70" s="374">
        <f>J59*J57+J61*(1-J57)+J63+(J67/J65)</f>
        <v>273.19297915415473</v>
      </c>
      <c r="K70" s="331" t="s">
        <v>784</v>
      </c>
      <c r="L70" s="331"/>
      <c r="M70" s="323"/>
      <c r="N70" s="3"/>
      <c r="O70" s="932">
        <v>11</v>
      </c>
      <c r="P70" s="938"/>
      <c r="Q70" s="939"/>
      <c r="R70" s="935"/>
      <c r="S70" s="935"/>
      <c r="T70" s="936"/>
      <c r="U70" s="937" t="str">
        <f t="shared" si="2"/>
        <v/>
      </c>
      <c r="V70" s="937" t="str">
        <f t="shared" si="2"/>
        <v/>
      </c>
      <c r="W70" s="937" t="str">
        <f t="shared" si="3"/>
        <v/>
      </c>
      <c r="X70" s="936" t="str">
        <f t="shared" si="4"/>
        <v/>
      </c>
      <c r="Y70" s="936" t="str">
        <f t="shared" si="1"/>
        <v/>
      </c>
      <c r="Z70" s="937" t="str">
        <f t="shared" si="5"/>
        <v/>
      </c>
      <c r="AA70" s="937" t="str">
        <f t="shared" si="6"/>
        <v/>
      </c>
    </row>
    <row r="71" spans="1:27" ht="13" thickBot="1">
      <c r="A71" s="3"/>
      <c r="B71" s="3"/>
      <c r="C71" s="330"/>
      <c r="D71" s="331"/>
      <c r="E71" s="331"/>
      <c r="F71" s="331"/>
      <c r="G71" s="331"/>
      <c r="H71" s="331"/>
      <c r="I71" s="331"/>
      <c r="J71" s="331"/>
      <c r="K71" s="331"/>
      <c r="L71" s="331"/>
      <c r="M71" s="323"/>
      <c r="N71" s="3"/>
      <c r="O71" s="940">
        <v>12</v>
      </c>
      <c r="P71" s="941"/>
      <c r="Q71" s="942"/>
      <c r="R71" s="943"/>
      <c r="S71" s="943"/>
      <c r="T71" s="944"/>
      <c r="U71" s="945" t="str">
        <f t="shared" si="2"/>
        <v/>
      </c>
      <c r="V71" s="945" t="str">
        <f t="shared" si="2"/>
        <v/>
      </c>
      <c r="W71" s="945" t="str">
        <f t="shared" si="3"/>
        <v/>
      </c>
      <c r="X71" s="944" t="str">
        <f t="shared" si="4"/>
        <v/>
      </c>
      <c r="Y71" s="944" t="str">
        <f t="shared" si="1"/>
        <v/>
      </c>
      <c r="Z71" s="945" t="str">
        <f t="shared" si="5"/>
        <v/>
      </c>
      <c r="AA71" s="945" t="str">
        <f t="shared" si="6"/>
        <v/>
      </c>
    </row>
    <row r="72" spans="1:27">
      <c r="A72" s="3"/>
      <c r="B72" s="3"/>
      <c r="C72" s="330"/>
      <c r="D72" s="331"/>
      <c r="E72" s="331"/>
      <c r="F72" s="331"/>
      <c r="G72" s="331"/>
      <c r="H72" s="331"/>
      <c r="I72" s="331"/>
      <c r="J72" s="331"/>
      <c r="K72" s="331"/>
      <c r="L72" s="331"/>
      <c r="M72" s="323"/>
      <c r="N72" s="3"/>
      <c r="O72" s="946"/>
      <c r="P72" s="947"/>
      <c r="Q72" s="927"/>
      <c r="R72" s="948"/>
      <c r="S72" s="948"/>
      <c r="T72" s="948"/>
      <c r="U72" s="948"/>
      <c r="V72" s="948"/>
      <c r="W72" s="948"/>
      <c r="X72" s="948"/>
      <c r="Y72" s="948"/>
      <c r="Z72" s="948"/>
      <c r="AA72" s="949"/>
    </row>
    <row r="73" spans="1:27" ht="14.5">
      <c r="A73" s="3"/>
      <c r="B73" s="3"/>
      <c r="C73" s="338"/>
      <c r="D73" s="339"/>
      <c r="E73" s="339"/>
      <c r="F73" s="339"/>
      <c r="G73" s="339"/>
      <c r="H73" s="339"/>
      <c r="I73" s="339"/>
      <c r="J73" s="339"/>
      <c r="K73" s="339"/>
      <c r="L73" s="339"/>
      <c r="M73" s="340"/>
      <c r="N73" s="3"/>
      <c r="O73" s="950"/>
      <c r="P73" s="951"/>
      <c r="Q73" s="952"/>
      <c r="R73" s="953"/>
      <c r="S73" s="953"/>
      <c r="T73" s="953"/>
      <c r="U73" s="953"/>
      <c r="V73" s="953"/>
      <c r="W73" s="953"/>
      <c r="X73" s="954" t="s">
        <v>964</v>
      </c>
      <c r="Y73" s="955">
        <f>SUM(Y62:Y71)</f>
        <v>245.047766456185</v>
      </c>
      <c r="Z73" s="956"/>
      <c r="AA73" s="957"/>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714</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1074"/>
      <c r="N79" s="180"/>
      <c r="O79" s="915"/>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41"/>
      <c r="N80" s="141"/>
      <c r="O80" s="182"/>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41"/>
      <c r="N81" s="141"/>
      <c r="O81" s="182"/>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41"/>
      <c r="N82" s="141"/>
      <c r="O82" s="182"/>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41"/>
      <c r="N83" s="141"/>
      <c r="O83" s="182"/>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41"/>
      <c r="N84" s="141"/>
      <c r="O84" s="182"/>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41"/>
      <c r="N85" s="141"/>
      <c r="O85" s="182"/>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41"/>
      <c r="N86" s="141"/>
      <c r="O86" s="182"/>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41"/>
      <c r="N87" s="141"/>
      <c r="O87" s="182"/>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41"/>
      <c r="N88" s="141"/>
      <c r="O88" s="182"/>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41"/>
      <c r="N89" s="141"/>
      <c r="O89" s="182"/>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41"/>
      <c r="N90" s="141"/>
      <c r="O90" s="182"/>
      <c r="P90" s="3"/>
      <c r="Q90" s="3"/>
      <c r="R90" s="3"/>
      <c r="S90" s="3"/>
      <c r="T90" s="3"/>
      <c r="U90" s="3"/>
      <c r="V90" s="3"/>
      <c r="W90" s="3"/>
      <c r="X90" s="3"/>
      <c r="Y90" s="3"/>
      <c r="Z90" s="3"/>
      <c r="AA90" s="3"/>
    </row>
    <row r="91" spans="1:27">
      <c r="A91" s="3"/>
      <c r="B91" s="3"/>
      <c r="C91" s="177"/>
      <c r="D91" s="141" t="s">
        <v>973</v>
      </c>
      <c r="E91" s="141"/>
      <c r="F91" s="141"/>
      <c r="G91" s="141"/>
      <c r="H91" s="141"/>
      <c r="I91" s="141"/>
      <c r="J91" s="141"/>
      <c r="K91" s="141"/>
      <c r="L91" s="141"/>
      <c r="M91" s="141"/>
      <c r="N91" s="236"/>
      <c r="O91" s="237"/>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58" t="s">
        <v>663</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990</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976</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977</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978</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979</v>
      </c>
      <c r="E99" s="141"/>
      <c r="F99" s="141"/>
      <c r="G99" s="141"/>
      <c r="H99" s="141"/>
      <c r="I99" s="241" t="s">
        <v>140</v>
      </c>
      <c r="J99" s="141" t="s">
        <v>714</v>
      </c>
      <c r="K99" s="141"/>
      <c r="L99" s="141"/>
      <c r="M99" s="182"/>
      <c r="N99" s="3"/>
      <c r="O99" s="3"/>
      <c r="P99" s="3"/>
      <c r="Q99" s="3"/>
      <c r="R99" s="3"/>
      <c r="S99" s="3"/>
      <c r="T99" s="3"/>
      <c r="U99" s="3"/>
      <c r="V99" s="3"/>
      <c r="W99" s="3"/>
      <c r="X99" s="3"/>
      <c r="Y99" s="3"/>
      <c r="Z99" s="3"/>
      <c r="AA99" s="3"/>
    </row>
    <row r="100" spans="1:27">
      <c r="A100" s="3"/>
      <c r="B100" s="3"/>
      <c r="C100" s="177"/>
      <c r="D100" s="362" t="s">
        <v>991</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981</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982</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0" t="s">
        <v>983</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714</v>
      </c>
      <c r="E109" s="141" t="s">
        <v>177</v>
      </c>
      <c r="F109" s="141"/>
      <c r="G109" s="459" t="s">
        <v>950</v>
      </c>
      <c r="H109" s="901"/>
      <c r="I109" s="141"/>
      <c r="J109" s="908">
        <v>1</v>
      </c>
      <c r="K109" s="141" t="s">
        <v>754</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1"/>
      <c r="I110" s="141"/>
      <c r="J110" s="908"/>
      <c r="K110" s="141" t="s">
        <v>754</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1"/>
      <c r="I111" s="141"/>
      <c r="J111" s="908"/>
      <c r="K111" s="141" t="s">
        <v>754</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59"/>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948</v>
      </c>
      <c r="F113" s="141"/>
      <c r="G113" s="141"/>
      <c r="H113" s="141"/>
      <c r="I113" s="141"/>
      <c r="J113" s="959"/>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944</v>
      </c>
      <c r="F114" s="141"/>
      <c r="G114" s="141"/>
      <c r="H114" s="917">
        <v>0.2</v>
      </c>
      <c r="I114" s="192" t="s">
        <v>951</v>
      </c>
      <c r="J114" s="904">
        <f>Frequency!$M$16</f>
        <v>2422</v>
      </c>
      <c r="K114" s="141" t="s">
        <v>753</v>
      </c>
      <c r="L114" s="141"/>
      <c r="M114" s="182"/>
      <c r="N114" s="3"/>
      <c r="O114" s="356" t="s">
        <v>678</v>
      </c>
      <c r="P114" s="367"/>
      <c r="Q114" s="293"/>
      <c r="R114" s="293"/>
      <c r="S114" s="293"/>
      <c r="T114" s="293"/>
      <c r="U114" s="293"/>
      <c r="V114" s="294"/>
      <c r="W114" s="3"/>
      <c r="X114" s="3"/>
      <c r="Y114" s="3"/>
      <c r="Z114" s="3"/>
      <c r="AA114" s="3"/>
    </row>
    <row r="115" spans="1:27">
      <c r="A115" s="3"/>
      <c r="B115" s="3"/>
      <c r="C115" s="177"/>
      <c r="D115" s="141"/>
      <c r="E115" s="141" t="s">
        <v>945</v>
      </c>
      <c r="F115" s="141"/>
      <c r="G115" s="141"/>
      <c r="H115" s="917"/>
      <c r="I115" s="192" t="s">
        <v>951</v>
      </c>
      <c r="J115" s="904">
        <f>Frequency!$M$16</f>
        <v>2422</v>
      </c>
      <c r="K115" s="141" t="s">
        <v>753</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946</v>
      </c>
      <c r="F116" s="141"/>
      <c r="G116" s="141"/>
      <c r="H116" s="917"/>
      <c r="I116" s="192" t="s">
        <v>951</v>
      </c>
      <c r="J116" s="904">
        <f>Frequency!$M$16</f>
        <v>2422</v>
      </c>
      <c r="K116" s="141" t="s">
        <v>753</v>
      </c>
      <c r="L116" s="141"/>
      <c r="M116" s="182"/>
      <c r="N116" s="3"/>
      <c r="O116" s="295"/>
      <c r="P116" s="297" t="s">
        <v>237</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992</v>
      </c>
      <c r="J118" s="141">
        <f>J109*H114</f>
        <v>0.2</v>
      </c>
      <c r="K118" s="141" t="s">
        <v>756</v>
      </c>
      <c r="L118" s="141"/>
      <c r="M118" s="182"/>
      <c r="N118" s="3"/>
      <c r="O118" s="295"/>
      <c r="P118" s="297"/>
      <c r="Q118" s="297" t="s">
        <v>234</v>
      </c>
      <c r="R118" s="297"/>
      <c r="S118" s="297"/>
      <c r="T118" s="459">
        <v>436.5</v>
      </c>
      <c r="U118" s="41" t="s">
        <v>753</v>
      </c>
      <c r="V118" s="357"/>
      <c r="W118" s="3"/>
      <c r="X118" s="3"/>
      <c r="Y118" s="3"/>
      <c r="Z118" s="3"/>
      <c r="AA118" s="3"/>
    </row>
    <row r="119" spans="1:27">
      <c r="A119" s="3"/>
      <c r="B119" s="3"/>
      <c r="C119" s="177"/>
      <c r="D119" s="141"/>
      <c r="E119" s="141" t="s">
        <v>209</v>
      </c>
      <c r="F119" s="141"/>
      <c r="G119" s="141"/>
      <c r="H119" s="141"/>
      <c r="I119" s="141" t="s">
        <v>993</v>
      </c>
      <c r="J119" s="141">
        <f t="shared" ref="J119:J120" si="7">J110*H115</f>
        <v>0</v>
      </c>
      <c r="K119" s="141" t="s">
        <v>756</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994</v>
      </c>
      <c r="J120" s="141">
        <f t="shared" si="7"/>
        <v>0</v>
      </c>
      <c r="K120" s="141" t="s">
        <v>756</v>
      </c>
      <c r="L120" s="141"/>
      <c r="M120" s="182"/>
      <c r="N120" s="3"/>
      <c r="O120" s="295"/>
      <c r="P120" s="297"/>
      <c r="Q120" s="297" t="s">
        <v>235</v>
      </c>
      <c r="R120" s="297"/>
      <c r="S120" s="297"/>
      <c r="T120" s="960">
        <f>80*((T118/1000)/0.25)^-2.75+2.7</f>
        <v>19.976999820031672</v>
      </c>
      <c r="U120" s="369" t="s">
        <v>784</v>
      </c>
      <c r="V120" s="357"/>
      <c r="W120" s="3"/>
      <c r="X120" s="3"/>
      <c r="Y120" s="3"/>
      <c r="Z120" s="3"/>
      <c r="AA120" s="3"/>
    </row>
    <row r="121" spans="1:27">
      <c r="A121" s="3"/>
      <c r="B121" s="3"/>
      <c r="C121" s="177"/>
      <c r="D121" s="141"/>
      <c r="E121" s="141" t="s">
        <v>211</v>
      </c>
      <c r="F121" s="141"/>
      <c r="G121" s="141"/>
      <c r="H121" s="141"/>
      <c r="I121" s="141" t="s">
        <v>995</v>
      </c>
      <c r="J121" s="908">
        <v>2</v>
      </c>
      <c r="K121" s="141" t="s">
        <v>756</v>
      </c>
      <c r="L121" s="141"/>
      <c r="M121" s="182" t="s">
        <v>1055</v>
      </c>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996</v>
      </c>
      <c r="J122" s="908">
        <v>0.26</v>
      </c>
      <c r="K122" s="141" t="s">
        <v>756</v>
      </c>
      <c r="L122" s="141"/>
      <c r="M122" s="182" t="s">
        <v>949</v>
      </c>
      <c r="N122" s="3"/>
      <c r="O122" s="295"/>
      <c r="P122" s="297"/>
      <c r="Q122" s="297" t="s">
        <v>236</v>
      </c>
      <c r="R122" s="297"/>
      <c r="S122" s="297"/>
      <c r="T122" s="960">
        <f>380*((T118/1000)/0.25)^-2.75+2.7</f>
        <v>84.765749145150451</v>
      </c>
      <c r="U122" s="369" t="s">
        <v>784</v>
      </c>
      <c r="V122" s="357"/>
      <c r="W122" s="3"/>
      <c r="X122" s="3"/>
      <c r="Y122" s="3"/>
      <c r="Z122" s="3"/>
      <c r="AA122" s="3"/>
    </row>
    <row r="123" spans="1:27">
      <c r="A123" s="3"/>
      <c r="B123" s="3"/>
      <c r="C123" s="177"/>
      <c r="D123" s="141"/>
      <c r="E123" s="141" t="s">
        <v>232</v>
      </c>
      <c r="F123" s="141"/>
      <c r="G123" s="141"/>
      <c r="H123" s="381">
        <v>4</v>
      </c>
      <c r="I123" s="659" t="s">
        <v>1051</v>
      </c>
      <c r="J123" s="911">
        <f>H123*0.15</f>
        <v>0.6</v>
      </c>
      <c r="K123" s="141" t="s">
        <v>756</v>
      </c>
      <c r="L123" s="141"/>
      <c r="M123" s="182"/>
      <c r="N123" s="3"/>
      <c r="O123" s="295"/>
      <c r="P123" s="297"/>
      <c r="Q123" s="297"/>
      <c r="R123" s="297"/>
      <c r="S123" s="297"/>
      <c r="T123" s="297"/>
      <c r="U123" s="297"/>
      <c r="V123" s="357"/>
      <c r="W123" s="3"/>
      <c r="X123" s="3"/>
      <c r="Y123" s="3"/>
      <c r="Z123" s="3"/>
      <c r="AA123" s="3"/>
    </row>
    <row r="124" spans="1:27">
      <c r="A124" s="3"/>
      <c r="B124" s="3"/>
      <c r="C124" s="177"/>
      <c r="D124" s="141"/>
      <c r="E124" s="141" t="s">
        <v>430</v>
      </c>
      <c r="F124" s="141"/>
      <c r="G124" s="141"/>
      <c r="H124" s="141"/>
      <c r="I124" s="141"/>
      <c r="J124" s="459" t="s">
        <v>429</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2">
        <f>SUM(J118:J123)</f>
        <v>3.06</v>
      </c>
      <c r="K126" s="141" t="s">
        <v>756</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238</v>
      </c>
      <c r="R127" s="297"/>
      <c r="S127" s="297"/>
      <c r="T127" s="961">
        <v>10</v>
      </c>
      <c r="U127" s="366" t="s">
        <v>240</v>
      </c>
      <c r="V127" s="357"/>
      <c r="W127" s="3"/>
      <c r="X127" s="3"/>
      <c r="Y127" s="3"/>
      <c r="Z127" s="3"/>
      <c r="AA127" s="3"/>
    </row>
    <row r="128" spans="1:27">
      <c r="A128" s="3"/>
      <c r="B128" s="3"/>
      <c r="C128" s="177"/>
      <c r="D128" s="141" t="s">
        <v>216</v>
      </c>
      <c r="E128" s="141"/>
      <c r="F128" s="141"/>
      <c r="G128" s="141"/>
      <c r="H128" s="141"/>
      <c r="I128" s="363" t="s">
        <v>997</v>
      </c>
      <c r="J128" s="962">
        <f>10^-(J126/10)</f>
        <v>0.49431068698683545</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782</v>
      </c>
      <c r="V129" s="357"/>
      <c r="W129" s="3"/>
      <c r="X129" s="3"/>
      <c r="Y129" s="3"/>
      <c r="Z129" s="3"/>
      <c r="AA129" s="3"/>
    </row>
    <row r="130" spans="1:27">
      <c r="A130" s="3"/>
      <c r="B130" s="3"/>
      <c r="C130" s="177"/>
      <c r="D130" s="141" t="s">
        <v>218</v>
      </c>
      <c r="E130" s="141"/>
      <c r="F130" s="141"/>
      <c r="G130" s="241" t="s">
        <v>140</v>
      </c>
      <c r="H130" s="141"/>
      <c r="I130" s="141" t="s">
        <v>998</v>
      </c>
      <c r="J130" s="963">
        <v>150</v>
      </c>
      <c r="K130" s="141" t="s">
        <v>784</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239</v>
      </c>
      <c r="R131" s="297"/>
      <c r="S131" s="297"/>
      <c r="T131" s="960">
        <f>10^((T129+198.6-10*LOG10(T127*1000))/10)</f>
        <v>416.86938347033458</v>
      </c>
      <c r="U131" s="370" t="s">
        <v>784</v>
      </c>
      <c r="V131" s="357"/>
      <c r="W131" s="3"/>
      <c r="X131" s="3"/>
      <c r="Y131" s="3"/>
      <c r="Z131" s="3"/>
      <c r="AA131" s="3"/>
    </row>
    <row r="132" spans="1:27">
      <c r="A132" s="3"/>
      <c r="B132" s="3"/>
      <c r="C132" s="177"/>
      <c r="D132" s="141" t="s">
        <v>537</v>
      </c>
      <c r="E132" s="141"/>
      <c r="F132" s="141"/>
      <c r="G132" s="141"/>
      <c r="H132" s="141"/>
      <c r="I132" s="141" t="s">
        <v>987</v>
      </c>
      <c r="J132" s="963">
        <v>290</v>
      </c>
      <c r="K132" s="141" t="s">
        <v>784</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241</v>
      </c>
      <c r="Q133" s="297"/>
      <c r="R133" s="297"/>
      <c r="S133" s="297"/>
      <c r="T133" s="372">
        <f>T120+T131</f>
        <v>436.84638329036625</v>
      </c>
      <c r="U133" s="371" t="s">
        <v>784</v>
      </c>
      <c r="V133" s="357"/>
      <c r="W133" s="3"/>
      <c r="X133" s="3"/>
      <c r="Y133" s="3"/>
      <c r="Z133" s="3"/>
      <c r="AA133" s="3"/>
    </row>
    <row r="134" spans="1:27">
      <c r="A134" s="3"/>
      <c r="B134" s="3"/>
      <c r="C134" s="177"/>
      <c r="D134" s="141" t="s">
        <v>222</v>
      </c>
      <c r="E134" s="141"/>
      <c r="F134" s="141"/>
      <c r="G134" s="141"/>
      <c r="H134" s="141"/>
      <c r="I134" s="141" t="s">
        <v>999</v>
      </c>
      <c r="J134" s="963">
        <v>43</v>
      </c>
      <c r="K134" s="141" t="s">
        <v>784</v>
      </c>
      <c r="L134" s="141"/>
      <c r="M134" s="1040"/>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242</v>
      </c>
      <c r="Q135" s="297"/>
      <c r="R135" s="297"/>
      <c r="S135" s="297"/>
      <c r="T135" s="372">
        <f>T122+T131</f>
        <v>501.63513261548502</v>
      </c>
      <c r="U135" s="371" t="s">
        <v>784</v>
      </c>
      <c r="V135" s="357"/>
      <c r="W135" s="3"/>
      <c r="X135" s="3"/>
      <c r="Y135" s="3"/>
      <c r="Z135" s="3"/>
      <c r="AA135" s="3"/>
    </row>
    <row r="136" spans="1:27">
      <c r="A136" s="3"/>
      <c r="B136" s="3"/>
      <c r="C136" s="177"/>
      <c r="D136" s="141" t="s">
        <v>224</v>
      </c>
      <c r="E136" s="141"/>
      <c r="F136" s="964">
        <v>18.899999999999999</v>
      </c>
      <c r="G136" s="141" t="s">
        <v>756</v>
      </c>
      <c r="H136" s="141"/>
      <c r="I136" s="141" t="s">
        <v>1000</v>
      </c>
      <c r="J136" s="302">
        <f>10^(F136/10)</f>
        <v>77.624711662869217</v>
      </c>
      <c r="K136" s="141"/>
      <c r="L136" s="141"/>
      <c r="M136" s="1040" t="s">
        <v>1067</v>
      </c>
      <c r="N136" s="3"/>
      <c r="O136" s="298"/>
      <c r="P136" s="299"/>
      <c r="Q136" s="299"/>
      <c r="R136" s="299"/>
      <c r="S136" s="299"/>
      <c r="T136" s="299"/>
      <c r="U136" s="299"/>
      <c r="V136" s="300"/>
      <c r="W136" s="3"/>
      <c r="X136" s="3"/>
      <c r="Y136" s="3"/>
      <c r="Z136" s="3"/>
      <c r="AA136" s="3"/>
    </row>
    <row r="137" spans="1:27">
      <c r="A137" s="3"/>
      <c r="B137" s="3"/>
      <c r="C137" s="177"/>
      <c r="D137" s="141"/>
      <c r="E137" s="141"/>
      <c r="F137" s="965"/>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665</v>
      </c>
      <c r="E138" s="141"/>
      <c r="F138" s="965"/>
      <c r="G138" s="241" t="s">
        <v>140</v>
      </c>
      <c r="H138" s="141"/>
      <c r="I138" s="141"/>
      <c r="J138" s="908"/>
      <c r="K138" s="141" t="s">
        <v>664</v>
      </c>
      <c r="L138" s="141"/>
      <c r="M138" s="182" t="s">
        <v>1054</v>
      </c>
      <c r="N138" s="3"/>
      <c r="O138" s="923" t="s">
        <v>965</v>
      </c>
      <c r="P138" s="924"/>
      <c r="Q138" s="924"/>
      <c r="R138" s="924"/>
      <c r="S138" s="924"/>
      <c r="T138" s="924"/>
      <c r="U138" s="924"/>
      <c r="V138" s="924"/>
      <c r="W138" s="924"/>
      <c r="X138" s="924"/>
      <c r="Y138" s="924"/>
      <c r="Z138" s="924"/>
      <c r="AA138" s="925"/>
    </row>
    <row r="139" spans="1:27">
      <c r="A139" s="3"/>
      <c r="B139" s="3"/>
      <c r="C139" s="177"/>
      <c r="D139" s="141"/>
      <c r="E139" s="141"/>
      <c r="F139" s="965"/>
      <c r="G139" s="141"/>
      <c r="H139" s="141"/>
      <c r="I139" s="141"/>
      <c r="J139" s="302"/>
      <c r="K139" s="141"/>
      <c r="L139" s="141"/>
      <c r="M139" s="182"/>
      <c r="N139" s="3"/>
      <c r="O139" s="926"/>
      <c r="P139" s="927"/>
      <c r="Q139" s="927"/>
      <c r="R139" s="927"/>
      <c r="S139" s="927"/>
      <c r="T139" s="927"/>
      <c r="U139" s="927"/>
      <c r="V139" s="927"/>
      <c r="W139" s="927"/>
      <c r="X139" s="927"/>
      <c r="Y139" s="927"/>
      <c r="Z139" s="927"/>
      <c r="AA139" s="928"/>
    </row>
    <row r="140" spans="1:27" ht="15" thickBot="1">
      <c r="A140" s="3"/>
      <c r="B140" s="3"/>
      <c r="C140" s="177"/>
      <c r="D140" s="141" t="s">
        <v>666</v>
      </c>
      <c r="E140" s="141"/>
      <c r="F140" s="965"/>
      <c r="G140" s="141"/>
      <c r="H140" s="141"/>
      <c r="I140" s="141"/>
      <c r="J140" s="459"/>
      <c r="K140" s="366"/>
      <c r="L140" s="141"/>
      <c r="M140" s="182"/>
      <c r="N140" s="3"/>
      <c r="O140" s="929" t="s">
        <v>953</v>
      </c>
      <c r="P140" s="930" t="s">
        <v>954</v>
      </c>
      <c r="Q140" s="931"/>
      <c r="R140" s="929" t="s">
        <v>955</v>
      </c>
      <c r="S140" s="929" t="s">
        <v>956</v>
      </c>
      <c r="T140" s="929"/>
      <c r="U140" s="929" t="s">
        <v>957</v>
      </c>
      <c r="V140" s="929" t="s">
        <v>958</v>
      </c>
      <c r="W140" s="929" t="s">
        <v>959</v>
      </c>
      <c r="X140" s="929" t="s">
        <v>960</v>
      </c>
      <c r="Y140" s="929" t="s">
        <v>961</v>
      </c>
      <c r="Z140" s="929" t="s">
        <v>962</v>
      </c>
      <c r="AA140" s="929" t="s">
        <v>963</v>
      </c>
    </row>
    <row r="141" spans="1:27">
      <c r="A141" s="3"/>
      <c r="B141" s="3"/>
      <c r="C141" s="177"/>
      <c r="D141" s="141"/>
      <c r="E141" s="141"/>
      <c r="F141" s="965"/>
      <c r="G141" s="141"/>
      <c r="H141" s="141"/>
      <c r="I141" s="141"/>
      <c r="J141" s="302"/>
      <c r="K141" s="141"/>
      <c r="L141" s="141"/>
      <c r="M141" s="182"/>
      <c r="N141" s="3"/>
      <c r="O141" s="932">
        <v>1</v>
      </c>
      <c r="P141" s="933" t="s">
        <v>1055</v>
      </c>
      <c r="Q141" s="934"/>
      <c r="R141" s="935">
        <v>-2</v>
      </c>
      <c r="S141" s="935">
        <v>2</v>
      </c>
      <c r="T141" s="936"/>
      <c r="U141" s="937">
        <f>IF(R141,10^(R141/10), "")</f>
        <v>0.63095734448019325</v>
      </c>
      <c r="V141" s="937">
        <f>IF(S141,10^(S141/10), "")</f>
        <v>1.5848931924611136</v>
      </c>
      <c r="W141" s="937">
        <f>IF(S141,1,"")</f>
        <v>1</v>
      </c>
      <c r="X141" s="936">
        <f>IF(S141,290*(V141-1), "")</f>
        <v>169.61902581372294</v>
      </c>
      <c r="Y141" s="936">
        <f t="shared" ref="Y141:Y150" si="8">IF(S141,X141/W141, "")</f>
        <v>169.61902581372294</v>
      </c>
      <c r="Z141" s="937">
        <f>IF(S141,(V141-1)/W141, "")</f>
        <v>0.5848931924611136</v>
      </c>
      <c r="AA141" s="937">
        <f>IF(S141,Z141+1, "")</f>
        <v>1.5848931924611136</v>
      </c>
    </row>
    <row r="142" spans="1:27">
      <c r="A142" s="3"/>
      <c r="B142" s="3"/>
      <c r="C142" s="177"/>
      <c r="D142" s="141" t="s">
        <v>667</v>
      </c>
      <c r="E142" s="141"/>
      <c r="F142" s="965"/>
      <c r="G142" s="141"/>
      <c r="H142" s="141"/>
      <c r="I142" s="141"/>
      <c r="J142" s="966"/>
      <c r="K142" s="659"/>
      <c r="L142" s="141"/>
      <c r="M142" s="182"/>
      <c r="N142" s="3"/>
      <c r="O142" s="932">
        <v>2</v>
      </c>
      <c r="P142" s="938" t="s">
        <v>1068</v>
      </c>
      <c r="Q142" s="939"/>
      <c r="R142" s="935">
        <v>18.899999999999999</v>
      </c>
      <c r="S142" s="935">
        <v>0.6</v>
      </c>
      <c r="T142" s="936"/>
      <c r="U142" s="937">
        <f t="shared" ref="U142:V150" si="9">IF(R142,10^(R142/10), "")</f>
        <v>77.624711662869217</v>
      </c>
      <c r="V142" s="937">
        <f t="shared" si="9"/>
        <v>1.1481536214968828</v>
      </c>
      <c r="W142" s="937">
        <f t="shared" ref="W142:W150" si="10">IF(S142,W141*U141, "")</f>
        <v>0.63095734448019325</v>
      </c>
      <c r="X142" s="936">
        <f t="shared" ref="X142:X150" si="11">IF(S142,290*(V142-1), "")</f>
        <v>42.964550234096016</v>
      </c>
      <c r="Y142" s="936">
        <f t="shared" si="8"/>
        <v>68.094223183172318</v>
      </c>
      <c r="Z142" s="937">
        <f t="shared" ref="Z142:Z150" si="12">IF(S142,(V142-1)/W142, "")</f>
        <v>0.23480766614887008</v>
      </c>
      <c r="AA142" s="937">
        <f>IF(S142, AA141+Z142, "")</f>
        <v>1.8197008586099837</v>
      </c>
    </row>
    <row r="143" spans="1:27">
      <c r="A143" s="3"/>
      <c r="B143" s="3"/>
      <c r="C143" s="177"/>
      <c r="D143" s="141"/>
      <c r="E143" s="141"/>
      <c r="F143" s="965"/>
      <c r="G143" s="141"/>
      <c r="H143" s="141"/>
      <c r="I143" s="141"/>
      <c r="J143" s="302"/>
      <c r="K143" s="141"/>
      <c r="L143" s="141"/>
      <c r="M143" s="182"/>
      <c r="N143" s="3"/>
      <c r="O143" s="932">
        <v>3</v>
      </c>
      <c r="P143" s="938" t="s">
        <v>949</v>
      </c>
      <c r="Q143" s="939"/>
      <c r="R143" s="935">
        <v>-0.26</v>
      </c>
      <c r="S143" s="935">
        <v>0.26</v>
      </c>
      <c r="T143" s="936"/>
      <c r="U143" s="937">
        <f t="shared" si="9"/>
        <v>0.94188959652284143</v>
      </c>
      <c r="V143" s="937">
        <f t="shared" si="9"/>
        <v>1.0616955571987245</v>
      </c>
      <c r="W143" s="937">
        <f t="shared" si="10"/>
        <v>48.977881936844646</v>
      </c>
      <c r="X143" s="936">
        <f t="shared" si="11"/>
        <v>17.89171158763012</v>
      </c>
      <c r="Y143" s="936">
        <f t="shared" si="8"/>
        <v>0.36530186443547902</v>
      </c>
      <c r="Z143" s="937">
        <f t="shared" si="12"/>
        <v>1.2596616015016517E-3</v>
      </c>
      <c r="AA143" s="937">
        <f t="shared" ref="AA143:AA150" si="13">IF(S143, AA142+Z143, "")</f>
        <v>1.8209605202114854</v>
      </c>
    </row>
    <row r="144" spans="1:27">
      <c r="A144" s="3"/>
      <c r="B144" s="3"/>
      <c r="C144" s="177"/>
      <c r="D144" s="141" t="s">
        <v>668</v>
      </c>
      <c r="E144" s="141"/>
      <c r="F144" s="965"/>
      <c r="G144" s="141"/>
      <c r="H144" s="141"/>
      <c r="I144" s="141"/>
      <c r="J144" s="967">
        <f>J138*J142</f>
        <v>0</v>
      </c>
      <c r="K144" s="141" t="s">
        <v>756</v>
      </c>
      <c r="L144" s="141"/>
      <c r="M144" s="182"/>
      <c r="N144" s="3"/>
      <c r="O144" s="932">
        <v>4</v>
      </c>
      <c r="P144" s="938" t="s">
        <v>1056</v>
      </c>
      <c r="Q144" s="939"/>
      <c r="R144" s="935">
        <v>-2</v>
      </c>
      <c r="S144" s="935">
        <v>2</v>
      </c>
      <c r="T144" s="936"/>
      <c r="U144" s="937">
        <f t="shared" si="9"/>
        <v>0.63095734448019325</v>
      </c>
      <c r="V144" s="937">
        <f t="shared" si="9"/>
        <v>1.5848931924611136</v>
      </c>
      <c r="W144" s="937">
        <f t="shared" si="10"/>
        <v>46.131757456037967</v>
      </c>
      <c r="X144" s="936">
        <f t="shared" si="11"/>
        <v>169.61902581372294</v>
      </c>
      <c r="Y144" s="936">
        <f t="shared" si="8"/>
        <v>3.6768385851192478</v>
      </c>
      <c r="Z144" s="937">
        <f t="shared" si="12"/>
        <v>1.2678753741790508E-2</v>
      </c>
      <c r="AA144" s="937">
        <f t="shared" si="13"/>
        <v>1.8336392739532759</v>
      </c>
    </row>
    <row r="145" spans="1:27">
      <c r="A145" s="3"/>
      <c r="B145" s="3"/>
      <c r="C145" s="177"/>
      <c r="D145" s="141"/>
      <c r="E145" s="141"/>
      <c r="F145" s="141"/>
      <c r="G145" s="141"/>
      <c r="H145" s="141"/>
      <c r="I145" s="141"/>
      <c r="J145" s="141"/>
      <c r="K145" s="141"/>
      <c r="L145" s="141"/>
      <c r="M145" s="182"/>
      <c r="N145" s="3"/>
      <c r="O145" s="932">
        <v>5</v>
      </c>
      <c r="P145" s="1042" t="s">
        <v>1059</v>
      </c>
      <c r="Q145" s="939"/>
      <c r="R145" s="935"/>
      <c r="S145" s="935">
        <v>3.5</v>
      </c>
      <c r="T145" s="936"/>
      <c r="U145" s="937" t="str">
        <f t="shared" si="9"/>
        <v/>
      </c>
      <c r="V145" s="937">
        <f t="shared" si="9"/>
        <v>2.2387211385683394</v>
      </c>
      <c r="W145" s="937">
        <f t="shared" si="10"/>
        <v>29.107171180666072</v>
      </c>
      <c r="X145" s="936">
        <f t="shared" si="11"/>
        <v>359.22913018481842</v>
      </c>
      <c r="Y145" s="936">
        <f t="shared" si="8"/>
        <v>12.341602279215305</v>
      </c>
      <c r="Z145" s="937">
        <f t="shared" si="12"/>
        <v>4.2557249238673468E-2</v>
      </c>
      <c r="AA145" s="937">
        <f t="shared" si="13"/>
        <v>1.8761965231919493</v>
      </c>
    </row>
    <row r="146" spans="1:27" ht="13">
      <c r="A146" s="3"/>
      <c r="B146" s="3"/>
      <c r="C146" s="177"/>
      <c r="D146" s="141" t="s">
        <v>108</v>
      </c>
      <c r="E146" s="141"/>
      <c r="F146" s="141"/>
      <c r="G146" s="141"/>
      <c r="H146" s="141"/>
      <c r="I146" s="141" t="s">
        <v>984</v>
      </c>
      <c r="J146" s="374">
        <f>Y152</f>
        <v>254.09699172566528</v>
      </c>
      <c r="K146" s="141" t="s">
        <v>784</v>
      </c>
      <c r="L146" s="141"/>
      <c r="M146" s="182"/>
      <c r="N146" s="3"/>
      <c r="O146" s="932">
        <v>8</v>
      </c>
      <c r="P146" s="938"/>
      <c r="Q146" s="939"/>
      <c r="R146" s="935"/>
      <c r="S146" s="935"/>
      <c r="T146" s="936"/>
      <c r="U146" s="937" t="str">
        <f t="shared" si="9"/>
        <v/>
      </c>
      <c r="V146" s="937" t="str">
        <f t="shared" si="9"/>
        <v/>
      </c>
      <c r="W146" s="937" t="str">
        <f t="shared" si="10"/>
        <v/>
      </c>
      <c r="X146" s="936" t="str">
        <f t="shared" si="11"/>
        <v/>
      </c>
      <c r="Y146" s="936" t="str">
        <f t="shared" si="8"/>
        <v/>
      </c>
      <c r="Z146" s="937" t="str">
        <f t="shared" si="12"/>
        <v/>
      </c>
      <c r="AA146" s="937" t="str">
        <f t="shared" si="13"/>
        <v/>
      </c>
    </row>
    <row r="147" spans="1:27">
      <c r="A147" s="3"/>
      <c r="B147" s="3"/>
      <c r="C147" s="177"/>
      <c r="D147" s="141"/>
      <c r="E147" s="141"/>
      <c r="F147" s="141"/>
      <c r="G147" s="141"/>
      <c r="H147" s="141"/>
      <c r="I147" s="141"/>
      <c r="J147" s="141"/>
      <c r="K147" s="141"/>
      <c r="L147" s="141"/>
      <c r="M147" s="182"/>
      <c r="N147" s="3"/>
      <c r="O147" s="932">
        <v>9</v>
      </c>
      <c r="P147" s="938"/>
      <c r="Q147" s="939"/>
      <c r="R147" s="935"/>
      <c r="S147" s="935"/>
      <c r="T147" s="936"/>
      <c r="U147" s="937" t="str">
        <f t="shared" si="9"/>
        <v/>
      </c>
      <c r="V147" s="937" t="str">
        <f t="shared" si="9"/>
        <v/>
      </c>
      <c r="W147" s="937" t="str">
        <f t="shared" si="10"/>
        <v/>
      </c>
      <c r="X147" s="936" t="str">
        <f t="shared" si="11"/>
        <v/>
      </c>
      <c r="Y147" s="936" t="str">
        <f t="shared" si="8"/>
        <v/>
      </c>
      <c r="Z147" s="937" t="str">
        <f t="shared" si="12"/>
        <v/>
      </c>
      <c r="AA147" s="937" t="str">
        <f t="shared" si="13"/>
        <v/>
      </c>
    </row>
    <row r="148" spans="1:27" ht="13">
      <c r="A148" s="3"/>
      <c r="B148" s="3"/>
      <c r="C148" s="177"/>
      <c r="D148" s="141"/>
      <c r="E148" s="141"/>
      <c r="F148" s="141"/>
      <c r="G148" s="141"/>
      <c r="H148" s="141"/>
      <c r="I148" s="141"/>
      <c r="J148" s="141"/>
      <c r="K148" s="141"/>
      <c r="L148" s="364"/>
      <c r="M148" s="182"/>
      <c r="N148" s="3"/>
      <c r="O148" s="932">
        <v>10</v>
      </c>
      <c r="P148" s="938"/>
      <c r="Q148" s="939"/>
      <c r="R148" s="935"/>
      <c r="S148" s="935"/>
      <c r="T148" s="936"/>
      <c r="U148" s="937" t="str">
        <f t="shared" si="9"/>
        <v/>
      </c>
      <c r="V148" s="937" t="str">
        <f t="shared" si="9"/>
        <v/>
      </c>
      <c r="W148" s="937" t="str">
        <f t="shared" si="10"/>
        <v/>
      </c>
      <c r="X148" s="936" t="str">
        <f t="shared" si="11"/>
        <v/>
      </c>
      <c r="Y148" s="936" t="str">
        <f t="shared" si="8"/>
        <v/>
      </c>
      <c r="Z148" s="937" t="str">
        <f t="shared" si="12"/>
        <v/>
      </c>
      <c r="AA148" s="937" t="str">
        <f t="shared" si="13"/>
        <v/>
      </c>
    </row>
    <row r="149" spans="1:27" ht="13">
      <c r="A149" s="3"/>
      <c r="B149" s="3"/>
      <c r="C149" s="177"/>
      <c r="D149" s="141" t="s">
        <v>226</v>
      </c>
      <c r="E149" s="141"/>
      <c r="F149" s="141"/>
      <c r="G149" s="141"/>
      <c r="H149" s="141"/>
      <c r="I149" s="141" t="s">
        <v>1001</v>
      </c>
      <c r="J149" s="374">
        <f>J130*J128+J132*(1-J128)+J134+(J146/(J136/(10^(J144/10))))</f>
        <v>267.06990717861464</v>
      </c>
      <c r="K149" s="141" t="s">
        <v>784</v>
      </c>
      <c r="L149" s="141"/>
      <c r="M149" s="182"/>
      <c r="N149" s="3"/>
      <c r="O149" s="932">
        <v>11</v>
      </c>
      <c r="P149" s="938"/>
      <c r="Q149" s="939"/>
      <c r="R149" s="935"/>
      <c r="S149" s="935"/>
      <c r="T149" s="936"/>
      <c r="U149" s="937" t="str">
        <f t="shared" si="9"/>
        <v/>
      </c>
      <c r="V149" s="937" t="str">
        <f t="shared" si="9"/>
        <v/>
      </c>
      <c r="W149" s="937" t="str">
        <f t="shared" si="10"/>
        <v/>
      </c>
      <c r="X149" s="936" t="str">
        <f t="shared" si="11"/>
        <v/>
      </c>
      <c r="Y149" s="936" t="str">
        <f t="shared" si="8"/>
        <v/>
      </c>
      <c r="Z149" s="937" t="str">
        <f t="shared" si="12"/>
        <v/>
      </c>
      <c r="AA149" s="937" t="str">
        <f t="shared" si="13"/>
        <v/>
      </c>
    </row>
    <row r="150" spans="1:27" ht="13" thickBot="1">
      <c r="A150" s="3"/>
      <c r="B150" s="3"/>
      <c r="C150" s="177"/>
      <c r="D150" s="141"/>
      <c r="E150" s="141"/>
      <c r="F150" s="141"/>
      <c r="G150" s="141"/>
      <c r="H150" s="141"/>
      <c r="I150" s="141"/>
      <c r="J150" s="141"/>
      <c r="K150" s="141"/>
      <c r="L150" s="141"/>
      <c r="M150" s="182"/>
      <c r="N150" s="3"/>
      <c r="O150" s="940">
        <v>12</v>
      </c>
      <c r="P150" s="941"/>
      <c r="Q150" s="942"/>
      <c r="R150" s="943"/>
      <c r="S150" s="943"/>
      <c r="T150" s="944"/>
      <c r="U150" s="945" t="str">
        <f t="shared" si="9"/>
        <v/>
      </c>
      <c r="V150" s="945" t="str">
        <f t="shared" si="9"/>
        <v/>
      </c>
      <c r="W150" s="945" t="str">
        <f t="shared" si="10"/>
        <v/>
      </c>
      <c r="X150" s="944" t="str">
        <f t="shared" si="11"/>
        <v/>
      </c>
      <c r="Y150" s="944" t="str">
        <f t="shared" si="8"/>
        <v/>
      </c>
      <c r="Z150" s="945" t="str">
        <f t="shared" si="12"/>
        <v/>
      </c>
      <c r="AA150" s="945" t="str">
        <f t="shared" si="13"/>
        <v/>
      </c>
    </row>
    <row r="151" spans="1:27">
      <c r="A151" s="3"/>
      <c r="B151" s="3"/>
      <c r="C151" s="177"/>
      <c r="D151" s="141"/>
      <c r="E151" s="141"/>
      <c r="F151" s="141"/>
      <c r="G151" s="141"/>
      <c r="H151" s="141"/>
      <c r="I151" s="141"/>
      <c r="J151" s="141"/>
      <c r="K151" s="141"/>
      <c r="L151" s="141"/>
      <c r="M151" s="182"/>
      <c r="N151" s="3"/>
      <c r="O151" s="946"/>
      <c r="P151" s="947"/>
      <c r="Q151" s="927"/>
      <c r="R151" s="948"/>
      <c r="S151" s="948"/>
      <c r="T151" s="948"/>
      <c r="U151" s="948"/>
      <c r="V151" s="948"/>
      <c r="W151" s="948"/>
      <c r="X151" s="948"/>
      <c r="Y151" s="948"/>
      <c r="Z151" s="948"/>
      <c r="AA151" s="949"/>
    </row>
    <row r="152" spans="1:27" ht="14.5">
      <c r="A152" s="3"/>
      <c r="B152" s="3"/>
      <c r="C152" s="235"/>
      <c r="D152" s="236"/>
      <c r="E152" s="236"/>
      <c r="F152" s="236"/>
      <c r="G152" s="236"/>
      <c r="H152" s="236"/>
      <c r="I152" s="236"/>
      <c r="J152" s="236"/>
      <c r="K152" s="236"/>
      <c r="L152" s="236"/>
      <c r="M152" s="237"/>
      <c r="N152" s="3"/>
      <c r="O152" s="950"/>
      <c r="P152" s="951"/>
      <c r="Q152" s="952"/>
      <c r="R152" s="953"/>
      <c r="S152" s="953"/>
      <c r="T152" s="953"/>
      <c r="U152" s="953"/>
      <c r="V152" s="953"/>
      <c r="W152" s="953"/>
      <c r="X152" s="954" t="s">
        <v>964</v>
      </c>
      <c r="Y152" s="955">
        <f>SUM(Y141:Y150)</f>
        <v>254.09699172566528</v>
      </c>
      <c r="Z152" s="956"/>
      <c r="AA152" s="957"/>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714</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phoneticPr fontId="26" type="noConversion"/>
  <pageMargins left="0.75" right="0.75" top="1" bottom="1" header="0.5" footer="0.5"/>
  <pageSetup paperSize="9" scale="32"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E3" sqref="E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274</v>
      </c>
      <c r="B1" s="125"/>
      <c r="C1" s="125"/>
      <c r="D1" s="125"/>
      <c r="E1" s="127"/>
      <c r="F1" s="127"/>
      <c r="G1" s="613" t="str">
        <f>'Title Page'!F3</f>
        <v>OreSat - CS0</v>
      </c>
      <c r="H1" s="127"/>
      <c r="I1" s="127"/>
      <c r="J1" s="127"/>
      <c r="K1" s="127"/>
      <c r="L1" s="610" t="str">
        <f>'Title Page'!F23</f>
        <v>2019 September 13</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714</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233</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714</v>
      </c>
      <c r="B7" s="187" t="s">
        <v>94</v>
      </c>
      <c r="C7" s="193"/>
      <c r="D7" s="180"/>
      <c r="E7" s="180"/>
      <c r="F7" s="180"/>
      <c r="G7" s="180" t="s">
        <v>714</v>
      </c>
      <c r="H7" s="180"/>
      <c r="I7" s="180"/>
      <c r="J7" s="180" t="s">
        <v>714</v>
      </c>
      <c r="K7" s="180"/>
      <c r="L7" s="181"/>
      <c r="M7" s="3"/>
      <c r="N7" s="3"/>
      <c r="O7" s="3"/>
      <c r="P7" s="3"/>
      <c r="Q7" s="3"/>
      <c r="R7" s="3"/>
      <c r="S7" s="3"/>
      <c r="T7" s="3"/>
      <c r="U7" s="3"/>
      <c r="V7" s="3"/>
      <c r="W7" s="3"/>
      <c r="X7" s="3"/>
      <c r="Y7" s="3"/>
      <c r="Z7" s="3"/>
    </row>
    <row r="8" spans="1:26" ht="13">
      <c r="A8" s="3"/>
      <c r="B8" s="178" t="s">
        <v>714</v>
      </c>
      <c r="C8" s="211"/>
      <c r="D8" s="213" t="s">
        <v>104</v>
      </c>
      <c r="E8" s="212" t="s">
        <v>752</v>
      </c>
      <c r="F8" s="243">
        <f>Frequency!M10</f>
        <v>2422</v>
      </c>
      <c r="G8" s="141" t="s">
        <v>753</v>
      </c>
      <c r="H8" s="141"/>
      <c r="I8" s="141"/>
      <c r="J8" s="141" t="s">
        <v>87</v>
      </c>
      <c r="K8" s="244">
        <f>299.8/$F$8</f>
        <v>0.12378199834847234</v>
      </c>
      <c r="L8" s="182" t="s">
        <v>754</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714</v>
      </c>
      <c r="R10" s="3"/>
      <c r="S10" s="3"/>
      <c r="T10" s="3"/>
      <c r="U10" s="3"/>
      <c r="V10" s="3"/>
      <c r="W10" s="3"/>
      <c r="X10" s="3"/>
      <c r="Y10" s="3"/>
      <c r="Z10" s="3"/>
    </row>
    <row r="11" spans="1:26" ht="13.5" thickBot="1">
      <c r="A11" s="79"/>
      <c r="B11" s="178" t="s">
        <v>714</v>
      </c>
      <c r="C11" s="141"/>
      <c r="D11" s="141"/>
      <c r="E11" s="645">
        <v>4</v>
      </c>
      <c r="F11" s="644" t="str">
        <f>INDEX(B13:B16,E11,1)</f>
        <v>Parabolic Reflector</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783</v>
      </c>
      <c r="P13" s="151" t="s">
        <v>61</v>
      </c>
      <c r="Q13" s="154">
        <f>SQRT(40000/(10^(N13/10)))</f>
        <v>30.621749233640596</v>
      </c>
      <c r="R13" s="151" t="s">
        <v>4</v>
      </c>
      <c r="S13" s="151" t="s">
        <v>244</v>
      </c>
      <c r="T13" s="151"/>
      <c r="U13" s="155">
        <f>K8*E13</f>
        <v>0.39610239471511149</v>
      </c>
      <c r="V13" s="156" t="s">
        <v>754</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783</v>
      </c>
      <c r="P14" s="158" t="s">
        <v>61</v>
      </c>
      <c r="Q14" s="163">
        <f>52.2/(K14*((E14*H14)^0.5))</f>
        <v>33.014178772157877</v>
      </c>
      <c r="R14" s="158" t="s">
        <v>4</v>
      </c>
      <c r="S14" s="160"/>
      <c r="T14" s="160" t="s">
        <v>243</v>
      </c>
      <c r="U14" s="375">
        <f>H14*E14*K8</f>
        <v>0.30945499587118086</v>
      </c>
      <c r="V14" s="164" t="s">
        <v>754</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40.134984867542485</v>
      </c>
      <c r="O15" s="166" t="s">
        <v>783</v>
      </c>
      <c r="P15" s="166" t="s">
        <v>61</v>
      </c>
      <c r="Q15" s="163">
        <f>21/((F8/1000)*H15)</f>
        <v>1.6056518946692355</v>
      </c>
      <c r="R15" s="166" t="s">
        <v>4</v>
      </c>
      <c r="S15" s="166"/>
      <c r="T15" s="166"/>
      <c r="U15" s="166"/>
      <c r="V15" s="170"/>
      <c r="W15" s="3"/>
      <c r="X15" s="3"/>
      <c r="Y15" s="3"/>
      <c r="Z15" s="3"/>
    </row>
    <row r="16" spans="1:26" ht="36" customHeight="1" thickBot="1">
      <c r="A16" s="145">
        <v>4</v>
      </c>
      <c r="B16" s="1044" t="s">
        <v>92</v>
      </c>
      <c r="C16" s="146"/>
      <c r="D16" s="146"/>
      <c r="E16" s="624"/>
      <c r="F16" s="889"/>
      <c r="G16" s="624"/>
      <c r="H16" s="898"/>
      <c r="I16" s="898"/>
      <c r="J16" s="898"/>
      <c r="K16" s="147"/>
      <c r="L16" s="146"/>
      <c r="M16" s="146" t="s">
        <v>59</v>
      </c>
      <c r="N16" s="646">
        <v>22.9</v>
      </c>
      <c r="O16" s="146" t="s">
        <v>783</v>
      </c>
      <c r="P16" s="146" t="s">
        <v>61</v>
      </c>
      <c r="Q16" s="647">
        <v>20</v>
      </c>
      <c r="R16" s="146" t="s">
        <v>4</v>
      </c>
      <c r="S16" s="146" t="s">
        <v>244</v>
      </c>
      <c r="T16" s="146"/>
      <c r="U16" s="1045" t="s">
        <v>623</v>
      </c>
      <c r="V16" s="150" t="s">
        <v>754</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714</v>
      </c>
      <c r="G18" s="101"/>
      <c r="H18" s="101"/>
      <c r="I18" s="101"/>
      <c r="J18" s="101"/>
      <c r="K18" s="101"/>
      <c r="L18" s="101"/>
      <c r="M18" s="101" t="s">
        <v>714</v>
      </c>
      <c r="N18" s="101"/>
      <c r="O18" s="101"/>
      <c r="P18" s="101"/>
      <c r="Q18" s="101"/>
      <c r="R18" s="101"/>
      <c r="S18" s="101"/>
      <c r="T18" s="101"/>
      <c r="U18" s="3"/>
      <c r="V18" s="3"/>
      <c r="W18" s="3"/>
      <c r="X18" s="3"/>
      <c r="Y18" s="3"/>
      <c r="Z18" s="3"/>
    </row>
    <row r="19" spans="1:26">
      <c r="A19" s="31" t="s">
        <v>714</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752</v>
      </c>
      <c r="F22" s="241">
        <f>F8</f>
        <v>2422</v>
      </c>
      <c r="G22" s="141" t="s">
        <v>753</v>
      </c>
      <c r="H22" s="141"/>
      <c r="I22" s="141"/>
      <c r="J22" s="141" t="s">
        <v>87</v>
      </c>
      <c r="K22" s="242">
        <f>299.8/F22</f>
        <v>0.12378199834847234</v>
      </c>
      <c r="L22" s="182" t="s">
        <v>754</v>
      </c>
      <c r="M22" s="101" t="s">
        <v>714</v>
      </c>
      <c r="N22" s="101"/>
      <c r="O22" s="101"/>
      <c r="P22" s="101"/>
      <c r="Q22" s="101"/>
      <c r="R22" s="101"/>
      <c r="S22" s="101"/>
      <c r="T22" s="101"/>
      <c r="U22" s="101"/>
      <c r="V22" s="101"/>
      <c r="W22" s="3"/>
      <c r="X22" s="3"/>
      <c r="Y22" s="3"/>
      <c r="Z22" s="3"/>
    </row>
    <row r="23" spans="1:26" ht="13" thickBot="1">
      <c r="A23" s="79"/>
      <c r="B23" s="177"/>
      <c r="C23" s="141"/>
      <c r="D23" s="141" t="s">
        <v>714</v>
      </c>
      <c r="E23" s="141" t="s">
        <v>714</v>
      </c>
      <c r="F23" s="199" t="s">
        <v>871</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714</v>
      </c>
      <c r="C24" s="141"/>
      <c r="D24" s="141"/>
      <c r="E24" s="645">
        <v>7</v>
      </c>
      <c r="F24" s="315" t="str">
        <f>INDEX(B26:B32,E24,1)</f>
        <v>Canted Turnstile</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714</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783</v>
      </c>
      <c r="J28" s="98" t="s">
        <v>72</v>
      </c>
      <c r="K28" s="98" t="s">
        <v>61</v>
      </c>
      <c r="L28" s="191">
        <v>180</v>
      </c>
      <c r="M28" s="98" t="s">
        <v>4</v>
      </c>
      <c r="N28" s="98" t="s">
        <v>71</v>
      </c>
      <c r="O28" s="98"/>
      <c r="P28" s="98"/>
      <c r="Q28" s="98"/>
      <c r="R28" s="837"/>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783</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714</v>
      </c>
      <c r="E30" s="98"/>
      <c r="F30" s="98"/>
      <c r="G30" s="98" t="s">
        <v>59</v>
      </c>
      <c r="H30" s="656">
        <v>6</v>
      </c>
      <c r="I30" s="98" t="s">
        <v>367</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40.134984867542485</v>
      </c>
      <c r="I31" s="141" t="s">
        <v>367</v>
      </c>
      <c r="J31" s="141"/>
      <c r="K31" s="141" t="s">
        <v>61</v>
      </c>
      <c r="L31" s="660">
        <f>21/((F8/1000)*T31)</f>
        <v>1.6056518946692355</v>
      </c>
      <c r="M31" s="141" t="s">
        <v>4</v>
      </c>
      <c r="N31" s="141" t="s">
        <v>188</v>
      </c>
      <c r="O31" s="141"/>
      <c r="P31" s="141"/>
      <c r="Q31" s="141"/>
      <c r="R31" s="141"/>
      <c r="S31" s="679" t="s">
        <v>646</v>
      </c>
      <c r="T31" s="676">
        <v>5.4</v>
      </c>
      <c r="U31" s="680" t="s">
        <v>647</v>
      </c>
      <c r="V31" s="677">
        <v>0.55000000000000004</v>
      </c>
      <c r="W31" s="3"/>
      <c r="X31" s="3"/>
      <c r="Y31" s="3"/>
      <c r="Z31" s="3"/>
    </row>
    <row r="32" spans="1:26" ht="36" customHeight="1" thickBot="1">
      <c r="A32" s="197">
        <v>7</v>
      </c>
      <c r="B32" s="195" t="s">
        <v>1060</v>
      </c>
      <c r="C32" s="195"/>
      <c r="D32" s="288"/>
      <c r="E32" s="195"/>
      <c r="F32" s="195"/>
      <c r="G32" s="195" t="s">
        <v>59</v>
      </c>
      <c r="H32" s="647">
        <v>1.4</v>
      </c>
      <c r="I32" s="195" t="s">
        <v>36</v>
      </c>
      <c r="J32" s="195"/>
      <c r="K32" s="195" t="s">
        <v>61</v>
      </c>
      <c r="L32" s="624">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714</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714</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714</v>
      </c>
      <c r="G37" s="3"/>
      <c r="H37" s="3"/>
      <c r="I37" s="3"/>
      <c r="J37" s="3"/>
      <c r="K37" s="3"/>
      <c r="L37" s="3"/>
      <c r="M37" s="3"/>
      <c r="N37" s="3"/>
      <c r="O37" s="3"/>
      <c r="P37" s="3"/>
      <c r="Q37" s="3"/>
      <c r="R37" s="3"/>
      <c r="S37" s="3"/>
      <c r="T37" s="3"/>
      <c r="U37" s="3"/>
      <c r="V37" s="3"/>
      <c r="W37" s="3"/>
      <c r="X37" s="3"/>
      <c r="Y37" s="3"/>
      <c r="Z37" s="3"/>
    </row>
    <row r="38" spans="1:26" ht="13.5" thickBot="1">
      <c r="A38" s="31"/>
      <c r="B38" s="187" t="s">
        <v>764</v>
      </c>
      <c r="C38" s="193"/>
      <c r="D38" s="180"/>
      <c r="E38" s="180"/>
      <c r="F38" s="180"/>
      <c r="G38" s="180"/>
      <c r="H38" s="180"/>
      <c r="I38" s="180"/>
      <c r="J38" s="180"/>
      <c r="K38" s="180"/>
      <c r="L38" s="181"/>
      <c r="M38" s="101"/>
      <c r="N38" s="101" t="s">
        <v>714</v>
      </c>
      <c r="O38" s="101"/>
      <c r="P38" s="101"/>
      <c r="Q38" s="101"/>
      <c r="R38" s="101"/>
      <c r="S38" s="101"/>
      <c r="T38" s="101"/>
      <c r="U38" s="3"/>
      <c r="V38" s="3"/>
      <c r="W38" s="3"/>
      <c r="X38" s="3"/>
      <c r="Y38" s="3"/>
      <c r="Z38" s="3"/>
    </row>
    <row r="39" spans="1:26">
      <c r="A39" s="31"/>
      <c r="B39" s="177"/>
      <c r="C39" s="141"/>
      <c r="D39" s="141" t="s">
        <v>14</v>
      </c>
      <c r="E39" s="141" t="s">
        <v>752</v>
      </c>
      <c r="F39" s="241">
        <f>Frequency!M16</f>
        <v>2422</v>
      </c>
      <c r="G39" s="141" t="s">
        <v>753</v>
      </c>
      <c r="H39" s="141"/>
      <c r="I39" s="141"/>
      <c r="J39" s="141" t="s">
        <v>87</v>
      </c>
      <c r="K39" s="242">
        <f>299.8/F39</f>
        <v>0.12378199834847234</v>
      </c>
      <c r="L39" s="182" t="s">
        <v>754</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714</v>
      </c>
      <c r="C41" s="141"/>
      <c r="D41" s="141"/>
      <c r="E41" s="645">
        <v>7</v>
      </c>
      <c r="F41" s="315" t="str">
        <f>INDEX(B43:B49,E41,1)</f>
        <v>OreSat Helix</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714</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783</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783</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367</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31.507709584362733</v>
      </c>
      <c r="I48" s="141" t="s">
        <v>367</v>
      </c>
      <c r="J48" s="141"/>
      <c r="K48" s="141" t="s">
        <v>61</v>
      </c>
      <c r="L48" s="660">
        <f>21/((F39/1000)*T48)</f>
        <v>4.3352601156069364</v>
      </c>
      <c r="M48" s="141" t="s">
        <v>4</v>
      </c>
      <c r="N48" s="141" t="s">
        <v>188</v>
      </c>
      <c r="O48" s="141"/>
      <c r="P48" s="141"/>
      <c r="Q48" s="141"/>
      <c r="R48" s="141"/>
      <c r="S48" s="678" t="s">
        <v>646</v>
      </c>
      <c r="T48" s="676">
        <v>2</v>
      </c>
      <c r="U48" s="680" t="s">
        <v>647</v>
      </c>
      <c r="V48" s="677">
        <v>0.55000000000000004</v>
      </c>
      <c r="W48" s="3"/>
      <c r="X48" s="3"/>
      <c r="Y48" s="3"/>
      <c r="Z48" s="3"/>
    </row>
    <row r="49" spans="1:26" ht="36" customHeight="1" thickBot="1">
      <c r="A49" s="197">
        <v>7</v>
      </c>
      <c r="B49" s="304" t="s">
        <v>1052</v>
      </c>
      <c r="C49" s="195"/>
      <c r="D49" s="288"/>
      <c r="E49" s="195"/>
      <c r="F49" s="195"/>
      <c r="G49" s="195" t="s">
        <v>59</v>
      </c>
      <c r="H49" s="647">
        <v>12</v>
      </c>
      <c r="I49" s="195" t="s">
        <v>36</v>
      </c>
      <c r="J49" s="195"/>
      <c r="K49" s="195" t="s">
        <v>61</v>
      </c>
      <c r="L49" s="624">
        <v>45</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714</v>
      </c>
      <c r="C55" s="211"/>
      <c r="D55" s="326" t="s">
        <v>14</v>
      </c>
      <c r="E55" s="212" t="s">
        <v>752</v>
      </c>
      <c r="F55" s="243">
        <f>F39</f>
        <v>2422</v>
      </c>
      <c r="G55" s="141" t="s">
        <v>753</v>
      </c>
      <c r="H55" s="141"/>
      <c r="I55" s="141"/>
      <c r="J55" s="141" t="s">
        <v>87</v>
      </c>
      <c r="K55" s="244">
        <f>299.8/F55</f>
        <v>0.12378199834847234</v>
      </c>
      <c r="L55" s="182" t="s">
        <v>754</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714</v>
      </c>
      <c r="C58" s="141"/>
      <c r="D58" s="141"/>
      <c r="E58" s="645">
        <v>4</v>
      </c>
      <c r="F58" s="644" t="str">
        <f>INDEX(B60:B63,E58,1)</f>
        <v>Parabolic Reflector</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783</v>
      </c>
      <c r="P60" s="151" t="s">
        <v>61</v>
      </c>
      <c r="Q60" s="154">
        <f>SQRT(40000/(10^(N60/10)))</f>
        <v>39.676193136730106</v>
      </c>
      <c r="R60" s="151" t="s">
        <v>4</v>
      </c>
      <c r="S60" s="151" t="s">
        <v>89</v>
      </c>
      <c r="T60" s="151"/>
      <c r="U60" s="155">
        <f>K55*E60</f>
        <v>0.24756399669694468</v>
      </c>
      <c r="V60" s="156" t="s">
        <v>754</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783</v>
      </c>
      <c r="P61" s="158" t="s">
        <v>61</v>
      </c>
      <c r="Q61" s="163">
        <f>115/(K61*((E61*H61)^0.5))</f>
        <v>72.73238618387272</v>
      </c>
      <c r="R61" s="158" t="s">
        <v>4</v>
      </c>
      <c r="S61" s="376" t="s">
        <v>89</v>
      </c>
      <c r="T61" s="376"/>
      <c r="U61" s="375">
        <f>H61*E61*K55</f>
        <v>0.30945499587118086</v>
      </c>
      <c r="V61" s="164" t="s">
        <v>754</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31.88559519325673</v>
      </c>
      <c r="O62" s="166" t="s">
        <v>783</v>
      </c>
      <c r="P62" s="166" t="s">
        <v>61</v>
      </c>
      <c r="Q62" s="163">
        <f>21/((F55/1000)*H62)</f>
        <v>4.3352601156069364</v>
      </c>
      <c r="R62" s="166" t="s">
        <v>4</v>
      </c>
      <c r="S62" s="166"/>
      <c r="T62" s="166"/>
      <c r="U62" s="166"/>
      <c r="V62" s="170"/>
      <c r="W62" s="3"/>
      <c r="X62" s="3"/>
      <c r="Y62" s="3"/>
      <c r="Z62" s="3"/>
    </row>
    <row r="63" spans="1:26" ht="36" customHeight="1" thickBot="1">
      <c r="A63" s="145">
        <v>4</v>
      </c>
      <c r="B63" s="1044" t="s">
        <v>92</v>
      </c>
      <c r="C63" s="146"/>
      <c r="D63" s="146"/>
      <c r="E63" s="624"/>
      <c r="F63" s="889"/>
      <c r="G63" s="624"/>
      <c r="H63" s="898"/>
      <c r="I63" s="898"/>
      <c r="J63" s="898"/>
      <c r="K63" s="147"/>
      <c r="L63" s="146"/>
      <c r="M63" s="146" t="s">
        <v>59</v>
      </c>
      <c r="N63" s="148">
        <v>22.9</v>
      </c>
      <c r="O63" s="146" t="s">
        <v>783</v>
      </c>
      <c r="P63" s="146" t="s">
        <v>61</v>
      </c>
      <c r="Q63" s="149">
        <v>20</v>
      </c>
      <c r="R63" s="146" t="s">
        <v>4</v>
      </c>
      <c r="S63" s="681" t="s">
        <v>465</v>
      </c>
      <c r="T63" s="146"/>
      <c r="U63" s="1045" t="s">
        <v>623</v>
      </c>
      <c r="V63" s="150" t="s">
        <v>754</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714</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593</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E28" sqref="E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248</v>
      </c>
      <c r="B1" s="127"/>
      <c r="C1" s="127"/>
      <c r="D1" s="127"/>
      <c r="E1" s="127"/>
      <c r="F1" s="127"/>
      <c r="G1" s="611" t="str">
        <f>'Title Page'!F3</f>
        <v>OreSat - CS0</v>
      </c>
      <c r="H1" s="127"/>
      <c r="I1" s="127"/>
      <c r="J1" s="127"/>
      <c r="K1" s="610" t="str">
        <f>'Title Page'!F23</f>
        <v>2019 September 13</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757</v>
      </c>
      <c r="D3" s="233"/>
      <c r="E3" s="233"/>
      <c r="F3" s="233"/>
      <c r="G3" s="245" t="s">
        <v>758</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260</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258</v>
      </c>
      <c r="D25" s="233"/>
      <c r="E25" s="233"/>
      <c r="F25" s="233"/>
      <c r="G25" s="394" t="s">
        <v>259</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605</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268</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714</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714</v>
      </c>
      <c r="H32" s="180"/>
      <c r="I32" s="180"/>
      <c r="J32" s="180" t="s">
        <v>714</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714</v>
      </c>
      <c r="C33" s="211"/>
      <c r="D33" s="213" t="s">
        <v>104</v>
      </c>
      <c r="E33" s="212" t="s">
        <v>752</v>
      </c>
      <c r="F33" s="243">
        <f>'Antenna Gain'!F8</f>
        <v>2422</v>
      </c>
      <c r="G33" s="141" t="s">
        <v>753</v>
      </c>
      <c r="H33" s="141"/>
      <c r="I33" s="141"/>
      <c r="J33" s="141" t="s">
        <v>87</v>
      </c>
      <c r="K33" s="244">
        <f>'Antenna Gain'!K8</f>
        <v>0.12378199834847234</v>
      </c>
      <c r="L33" s="182" t="s">
        <v>754</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256</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714</v>
      </c>
      <c r="C36" s="141"/>
      <c r="D36" s="141"/>
      <c r="E36" s="279">
        <f>'Antenna Gain'!E11</f>
        <v>4</v>
      </c>
      <c r="F36" s="184" t="str">
        <f>'Antenna Gain'!F11</f>
        <v>Parabolic Reflector</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783</v>
      </c>
      <c r="I38" s="265" t="s">
        <v>61</v>
      </c>
      <c r="J38" s="273">
        <f>'Antenna Gain'!Q13</f>
        <v>30.621749233640596</v>
      </c>
      <c r="K38" s="151" t="s">
        <v>4</v>
      </c>
      <c r="L38" s="156"/>
      <c r="M38" s="3"/>
      <c r="N38" s="3"/>
      <c r="O38" s="3"/>
      <c r="P38" s="3"/>
      <c r="Q38" s="3"/>
      <c r="R38" s="392">
        <f>2*(F43*(79.76/INDEX(J38:J41,E36,1)))</f>
        <v>39.880000000000003</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783</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40.134984867542485</v>
      </c>
      <c r="H40" s="166" t="s">
        <v>783</v>
      </c>
      <c r="I40" s="267" t="s">
        <v>61</v>
      </c>
      <c r="J40" s="274">
        <f>'Antenna Gain'!Q15</f>
        <v>1.6056518946692355</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22.9</v>
      </c>
      <c r="H41" s="141" t="s">
        <v>783</v>
      </c>
      <c r="I41" s="182" t="s">
        <v>61</v>
      </c>
      <c r="J41" s="283">
        <f>'Antenna Gain'!Q16</f>
        <v>20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714</v>
      </c>
      <c r="C43" s="296" t="s">
        <v>134</v>
      </c>
      <c r="D43" s="297"/>
      <c r="E43" s="297"/>
      <c r="F43" s="286">
        <v>5</v>
      </c>
      <c r="G43" s="287" t="s">
        <v>135</v>
      </c>
      <c r="H43" s="296" t="s">
        <v>133</v>
      </c>
      <c r="I43" s="297"/>
      <c r="J43" s="297"/>
      <c r="K43" s="285">
        <f>-10*LOG10(3282.81*((SIN(RADIANS(R38))^2/(R38^2))))</f>
        <v>0.71302177034341041</v>
      </c>
      <c r="L43" s="185" t="s">
        <v>756</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714</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714</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752</v>
      </c>
      <c r="F50" s="241">
        <f>'Antenna Gain'!F22</f>
        <v>2422</v>
      </c>
      <c r="G50" s="141" t="s">
        <v>753</v>
      </c>
      <c r="H50" s="141"/>
      <c r="I50" s="141"/>
      <c r="J50" s="141" t="s">
        <v>87</v>
      </c>
      <c r="K50" s="242">
        <f>'Antenna Gain'!K22</f>
        <v>0.12378199834847234</v>
      </c>
      <c r="L50" s="182" t="s">
        <v>754</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714</v>
      </c>
      <c r="E51" s="141" t="s">
        <v>714</v>
      </c>
      <c r="F51" s="199" t="s">
        <v>256</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714</v>
      </c>
      <c r="C52" s="141"/>
      <c r="D52" s="141"/>
      <c r="E52" s="317">
        <f>'Antenna Gain'!E24</f>
        <v>7</v>
      </c>
      <c r="F52" s="315" t="str">
        <f>'Antenna Gain'!F24</f>
        <v>Canted Turnstile</v>
      </c>
      <c r="G52" s="185"/>
      <c r="H52" s="141"/>
      <c r="I52" s="141"/>
      <c r="J52" s="141" t="s">
        <v>60</v>
      </c>
      <c r="K52" s="280" t="str">
        <f>'Antenna Gain'!K24</f>
        <v>RHCP</v>
      </c>
      <c r="L52" s="182"/>
      <c r="M52" s="3"/>
      <c r="N52" s="3"/>
      <c r="O52" s="398" t="s">
        <v>266</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714</v>
      </c>
      <c r="G53" s="141"/>
      <c r="H53" s="141"/>
      <c r="I53" s="141"/>
      <c r="J53" s="141"/>
      <c r="K53" s="141"/>
      <c r="L53" s="182"/>
      <c r="M53" s="3"/>
      <c r="N53" s="3"/>
      <c r="O53" s="399" t="s">
        <v>267</v>
      </c>
      <c r="P53" s="3"/>
      <c r="Q53" s="3"/>
      <c r="R53" s="235" t="s">
        <v>714</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261</v>
      </c>
      <c r="P54" s="537" t="s">
        <v>565</v>
      </c>
      <c r="Q54" s="538"/>
      <c r="R54" s="322">
        <f>IF(G63&lt;100,-10*LOG10(COS(RADIANS(90-G63))),"No Signal")</f>
        <v>4.6594831535448265</v>
      </c>
      <c r="S54" s="323" t="s">
        <v>756</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262</v>
      </c>
      <c r="P55" s="537" t="s">
        <v>566</v>
      </c>
      <c r="Q55" s="538"/>
      <c r="R55" s="318">
        <f>IF(G63&lt;90.001,-10*LOG10(COS(RADIANS($G$63))),-10*LOG(-COS(RADIANS($G$63))))</f>
        <v>0.27014183557063515</v>
      </c>
      <c r="S55" s="182" t="s">
        <v>756</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783</v>
      </c>
      <c r="J56" s="98" t="s">
        <v>61</v>
      </c>
      <c r="K56" s="98">
        <f>'Antenna Gain'!L28</f>
        <v>180</v>
      </c>
      <c r="L56" s="99" t="s">
        <v>4</v>
      </c>
      <c r="M56" s="123"/>
      <c r="N56" s="124"/>
      <c r="O56" s="395" t="s">
        <v>265</v>
      </c>
      <c r="P56" s="537" t="s">
        <v>567</v>
      </c>
      <c r="Q56" s="538"/>
      <c r="R56" s="666">
        <f>IF(K52=K36,0.00075*(G63)^2, 0.00075*(180-G63)^2)</f>
        <v>0.3</v>
      </c>
      <c r="S56" s="323" t="s">
        <v>756</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783</v>
      </c>
      <c r="J57" s="141" t="s">
        <v>61</v>
      </c>
      <c r="K57" s="141">
        <f>'Antenna Gain'!L29</f>
        <v>150</v>
      </c>
      <c r="L57" s="143" t="s">
        <v>4</v>
      </c>
      <c r="M57" s="123"/>
      <c r="N57" s="124"/>
      <c r="O57" s="396" t="s">
        <v>263</v>
      </c>
      <c r="P57" s="537" t="s">
        <v>568</v>
      </c>
      <c r="Q57" s="538"/>
      <c r="R57" s="318">
        <f>-1.5*(-(4-10*LOG10(1.256*(1+COS(RADIANS(G63))))))</f>
        <v>0.19916170492455665</v>
      </c>
      <c r="S57" s="182" t="s">
        <v>756</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714</v>
      </c>
      <c r="F58" s="98"/>
      <c r="G58" s="98" t="s">
        <v>59</v>
      </c>
      <c r="H58" s="663">
        <f>'Antenna Gain'!H30</f>
        <v>6</v>
      </c>
      <c r="I58" s="98" t="s">
        <v>190</v>
      </c>
      <c r="J58" s="98" t="s">
        <v>61</v>
      </c>
      <c r="K58" s="661">
        <f>'Antenna Gain'!L30</f>
        <v>90</v>
      </c>
      <c r="L58" s="99" t="s">
        <v>4</v>
      </c>
      <c r="M58" s="118"/>
      <c r="N58" s="119"/>
      <c r="O58" s="395" t="s">
        <v>264</v>
      </c>
      <c r="P58" s="537" t="s">
        <v>868</v>
      </c>
      <c r="Q58" s="538"/>
      <c r="R58" s="664">
        <f>-10*LOG10(3282.81*((SIN(RADIANS(G63*1.7724))^2)/((G63*1.7724)^2)))</f>
        <v>0.56135879700097513</v>
      </c>
      <c r="S58" s="665" t="s">
        <v>756</v>
      </c>
      <c r="T58" s="3"/>
      <c r="U58" s="3"/>
      <c r="V58" s="3"/>
      <c r="W58" s="3"/>
      <c r="X58" s="3" t="s">
        <v>714</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866</v>
      </c>
      <c r="F59" s="141"/>
      <c r="G59" s="141" t="s">
        <v>59</v>
      </c>
      <c r="H59" s="283">
        <f>'Antenna Gain'!H31</f>
        <v>40.134984867542485</v>
      </c>
      <c r="I59" s="141" t="s">
        <v>190</v>
      </c>
      <c r="J59" s="141" t="s">
        <v>61</v>
      </c>
      <c r="K59" s="365">
        <f>'Antenna Gain'!L31</f>
        <v>1.6056518946692355</v>
      </c>
      <c r="L59" s="143" t="s">
        <v>4</v>
      </c>
      <c r="M59" s="123"/>
      <c r="N59" s="123"/>
      <c r="O59" s="672" t="s">
        <v>865</v>
      </c>
      <c r="P59" s="673" t="s">
        <v>869</v>
      </c>
      <c r="Q59" s="538"/>
      <c r="R59" s="365">
        <f>-10*LOG10(3282.1*((SIN(RADIANS(U59))^2/(U59^2))))</f>
        <v>49.107809510580992</v>
      </c>
      <c r="S59" s="667" t="s">
        <v>756</v>
      </c>
      <c r="T59" s="3"/>
      <c r="U59" s="670">
        <f>2*(G63*(79.76/K59))</f>
        <v>1986.9811200000004</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867</v>
      </c>
      <c r="F60" s="195"/>
      <c r="G60" s="195" t="s">
        <v>59</v>
      </c>
      <c r="H60" s="303">
        <f>'Antenna Gain'!H32</f>
        <v>1.4</v>
      </c>
      <c r="I60" s="195" t="s">
        <v>36</v>
      </c>
      <c r="J60" s="195" t="s">
        <v>61</v>
      </c>
      <c r="K60" s="304">
        <f>'Antenna Gain'!L32</f>
        <v>180</v>
      </c>
      <c r="L60" s="196" t="s">
        <v>4</v>
      </c>
      <c r="M60" s="123"/>
      <c r="N60" s="123"/>
      <c r="O60" s="671" t="s">
        <v>191</v>
      </c>
      <c r="P60" s="673" t="s">
        <v>870</v>
      </c>
      <c r="Q60" s="538"/>
      <c r="R60" s="368">
        <v>0</v>
      </c>
      <c r="S60" s="287" t="s">
        <v>756</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423</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v>
      </c>
      <c r="L63" s="305" t="s">
        <v>756</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714</v>
      </c>
      <c r="N64" s="3" t="s">
        <v>714</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250</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752</v>
      </c>
      <c r="F72" s="241">
        <f>'Antenna Gain'!F39</f>
        <v>2422</v>
      </c>
      <c r="G72" s="141" t="s">
        <v>753</v>
      </c>
      <c r="H72" s="141"/>
      <c r="I72" s="141"/>
      <c r="J72" s="141" t="s">
        <v>87</v>
      </c>
      <c r="K72" s="242">
        <f>'Antenna Gain'!K39</f>
        <v>0.12378199834847234</v>
      </c>
      <c r="L72" s="182" t="s">
        <v>754</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714</v>
      </c>
      <c r="E73" s="141" t="s">
        <v>714</v>
      </c>
      <c r="F73" s="199" t="s">
        <v>256</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714</v>
      </c>
      <c r="C74" s="141"/>
      <c r="D74" s="141"/>
      <c r="E74" s="317">
        <f>'Antenna Gain'!E41</f>
        <v>7</v>
      </c>
      <c r="F74" s="315" t="str">
        <f>'Antenna Gain'!F41</f>
        <v>OreSat Helix</v>
      </c>
      <c r="G74" s="185"/>
      <c r="H74" s="141"/>
      <c r="I74" s="141"/>
      <c r="J74" s="141" t="s">
        <v>60</v>
      </c>
      <c r="K74" s="280" t="str">
        <f>'Antenna Gain'!K41</f>
        <v>RHCP</v>
      </c>
      <c r="L74" s="182"/>
      <c r="M74" s="3"/>
      <c r="N74" s="3"/>
      <c r="O74" s="398" t="s">
        <v>266</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714</v>
      </c>
      <c r="G75" s="141"/>
      <c r="H75" s="141"/>
      <c r="I75" s="141"/>
      <c r="J75" s="141"/>
      <c r="K75" s="141"/>
      <c r="L75" s="182"/>
      <c r="M75" s="3"/>
      <c r="N75" s="3"/>
      <c r="O75" s="399" t="s">
        <v>267</v>
      </c>
      <c r="P75" s="3"/>
      <c r="Q75" s="3"/>
      <c r="R75" s="235" t="s">
        <v>714</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273</v>
      </c>
      <c r="P76" s="537" t="s">
        <v>565</v>
      </c>
      <c r="Q76" s="538"/>
      <c r="R76" s="322">
        <f>IF(G85&lt;100,-10*LOG10(COS(RADIANS(90-G85))),"No Signal")</f>
        <v>10.597039916698797</v>
      </c>
      <c r="S76" s="323" t="s">
        <v>756</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272</v>
      </c>
      <c r="P77" s="537" t="s">
        <v>566</v>
      </c>
      <c r="Q77" s="538"/>
      <c r="R77" s="318">
        <f>IF(G85&lt;90.001,-10*LOG10(COS(RADIANS(G85))),-10*LOG(-COS(RADIANS(G85))))</f>
        <v>1.6557739825009406E-2</v>
      </c>
      <c r="S77" s="182" t="s">
        <v>756</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783</v>
      </c>
      <c r="J78" s="98" t="s">
        <v>61</v>
      </c>
      <c r="K78" s="98">
        <f>'Antenna Gain'!L45</f>
        <v>180</v>
      </c>
      <c r="L78" s="99" t="s">
        <v>4</v>
      </c>
      <c r="M78" s="123"/>
      <c r="N78" s="124"/>
      <c r="O78" s="395" t="s">
        <v>269</v>
      </c>
      <c r="P78" s="537" t="s">
        <v>567</v>
      </c>
      <c r="Q78" s="538"/>
      <c r="R78" s="401">
        <f>IF(K74=K95, 0.00075*(G85)^2, 0.00075*(180-G85)^2)</f>
        <v>1.8749999999999999E-2</v>
      </c>
      <c r="S78" s="203" t="s">
        <v>756</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783</v>
      </c>
      <c r="J79" s="141" t="s">
        <v>61</v>
      </c>
      <c r="K79" s="141">
        <f>'Antenna Gain'!L46</f>
        <v>150</v>
      </c>
      <c r="L79" s="143" t="s">
        <v>4</v>
      </c>
      <c r="M79" s="123"/>
      <c r="N79" s="124"/>
      <c r="O79" s="396" t="s">
        <v>271</v>
      </c>
      <c r="P79" s="537" t="s">
        <v>568</v>
      </c>
      <c r="Q79" s="538"/>
      <c r="R79" s="319">
        <f>1.5*((4-10*LOG10(1.256*(1+COS(RADIANS(G85))))))</f>
        <v>1.2111942513925777E-2</v>
      </c>
      <c r="S79" s="237" t="s">
        <v>756</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270</v>
      </c>
      <c r="P80" s="537" t="str">
        <f>E80</f>
        <v>Patch (Example)</v>
      </c>
      <c r="Q80" s="538"/>
      <c r="R80" s="368">
        <f>-10*LOG10(3282.81*((SIN(RADIANS(G85*1.7724))^2)/((G85*1.7724)^2)))</f>
        <v>3.4655126310997937E-2</v>
      </c>
      <c r="S80" s="287" t="s">
        <v>756</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866</v>
      </c>
      <c r="F81" s="141"/>
      <c r="G81" s="141" t="s">
        <v>59</v>
      </c>
      <c r="H81" s="283">
        <f>'Antenna Gain'!H48</f>
        <v>31.507709584362733</v>
      </c>
      <c r="I81" s="141" t="s">
        <v>190</v>
      </c>
      <c r="J81" s="141" t="s">
        <v>61</v>
      </c>
      <c r="K81" s="365">
        <f>'Antenna Gain'!L48</f>
        <v>4.3352601156069364</v>
      </c>
      <c r="L81" s="143" t="s">
        <v>4</v>
      </c>
      <c r="M81" s="123"/>
      <c r="N81" s="123"/>
      <c r="O81" s="672" t="s">
        <v>865</v>
      </c>
      <c r="P81" s="673" t="s">
        <v>869</v>
      </c>
      <c r="Q81" s="538"/>
      <c r="R81" s="365">
        <f>-10*LOG10(3282.1*((SIN(RADIANS(U81))^2/(U81^2))))</f>
        <v>33.306240274281258</v>
      </c>
      <c r="S81" s="667" t="s">
        <v>756</v>
      </c>
      <c r="T81" s="3"/>
      <c r="U81" s="670">
        <f>2*(G85*(79.76/K81))</f>
        <v>183.97973333333337</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714</v>
      </c>
      <c r="B82" s="197">
        <v>7</v>
      </c>
      <c r="C82" s="304" t="s">
        <v>99</v>
      </c>
      <c r="D82" s="195"/>
      <c r="E82" s="669" t="s">
        <v>867</v>
      </c>
      <c r="F82" s="195"/>
      <c r="G82" s="195" t="s">
        <v>59</v>
      </c>
      <c r="H82" s="303">
        <f>'Antenna Gain'!H49</f>
        <v>12</v>
      </c>
      <c r="I82" s="195" t="s">
        <v>36</v>
      </c>
      <c r="J82" s="195" t="s">
        <v>61</v>
      </c>
      <c r="K82" s="304">
        <f>'Antenna Gain'!L49</f>
        <v>45</v>
      </c>
      <c r="L82" s="196" t="s">
        <v>4</v>
      </c>
      <c r="M82" s="123"/>
      <c r="N82" s="123"/>
      <c r="O82" s="671" t="s">
        <v>191</v>
      </c>
      <c r="P82" s="673" t="s">
        <v>870</v>
      </c>
      <c r="Q82" s="538"/>
      <c r="R82" s="368">
        <v>0</v>
      </c>
      <c r="S82" s="287" t="s">
        <v>756</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423</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254</v>
      </c>
      <c r="D85" s="296"/>
      <c r="E85" s="296"/>
      <c r="F85" s="296"/>
      <c r="G85" s="321">
        <v>5</v>
      </c>
      <c r="H85" s="287" t="s">
        <v>4</v>
      </c>
      <c r="I85" s="310" t="s">
        <v>139</v>
      </c>
      <c r="J85" s="310"/>
      <c r="K85" s="285">
        <f>INDEX(R76:R82,E74, 1)</f>
        <v>0</v>
      </c>
      <c r="L85" s="305" t="s">
        <v>756</v>
      </c>
      <c r="M85" s="3"/>
      <c r="N85" s="3"/>
      <c r="O85" s="3"/>
      <c r="P85" s="3" t="s">
        <v>714</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714</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714</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714</v>
      </c>
      <c r="H91" s="180"/>
      <c r="I91" s="180"/>
      <c r="J91" s="180" t="s">
        <v>714</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714</v>
      </c>
      <c r="C92" s="211"/>
      <c r="D92" s="213" t="s">
        <v>14</v>
      </c>
      <c r="E92" s="212" t="s">
        <v>752</v>
      </c>
      <c r="F92" s="243">
        <f>'Antenna Gain'!F55</f>
        <v>2422</v>
      </c>
      <c r="G92" s="141" t="s">
        <v>753</v>
      </c>
      <c r="H92" s="141"/>
      <c r="I92" s="141"/>
      <c r="J92" s="141" t="s">
        <v>87</v>
      </c>
      <c r="K92" s="244">
        <f>'Antenna Gain'!K55</f>
        <v>0.12378199834847234</v>
      </c>
      <c r="L92" s="182" t="s">
        <v>754</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257</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714</v>
      </c>
      <c r="C95" s="141"/>
      <c r="D95" s="141"/>
      <c r="E95" s="279">
        <f>'Antenna Gain'!E58</f>
        <v>4</v>
      </c>
      <c r="F95" s="184" t="str">
        <f>'Antenna Gain'!F58</f>
        <v>Parabolic Reflector</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783</v>
      </c>
      <c r="I97" s="265" t="s">
        <v>61</v>
      </c>
      <c r="J97" s="273">
        <f>'Antenna Gain'!Q60</f>
        <v>39.676193136730106</v>
      </c>
      <c r="K97" s="151" t="s">
        <v>4</v>
      </c>
      <c r="L97" s="156"/>
      <c r="M97" s="3"/>
      <c r="N97" s="3"/>
      <c r="O97" s="3"/>
      <c r="P97" s="3"/>
      <c r="Q97" s="3"/>
      <c r="R97" s="392">
        <f>2*(F102*(79.76/INDEX(J97:J100,E95,1)))</f>
        <v>39.880000000000003</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783</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31.88559519325673</v>
      </c>
      <c r="H99" s="166" t="s">
        <v>783</v>
      </c>
      <c r="I99" s="267" t="s">
        <v>61</v>
      </c>
      <c r="J99" s="274">
        <f>'Antenna Gain'!Q62</f>
        <v>4.3352601156069364</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783</v>
      </c>
      <c r="I100" s="182" t="s">
        <v>61</v>
      </c>
      <c r="J100" s="283">
        <f>'Antenna Gain'!Q63</f>
        <v>20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714</v>
      </c>
      <c r="C102" s="296" t="s">
        <v>255</v>
      </c>
      <c r="D102" s="297"/>
      <c r="E102" s="297"/>
      <c r="F102" s="286">
        <v>5</v>
      </c>
      <c r="G102" s="287" t="s">
        <v>135</v>
      </c>
      <c r="H102" s="296" t="s">
        <v>133</v>
      </c>
      <c r="I102" s="297"/>
      <c r="J102" s="297"/>
      <c r="K102" s="285">
        <f>-10*LOG10(3282.81*((SIN(RADIANS(R97))^2/(R97^2))))</f>
        <v>0.71302177034341041</v>
      </c>
      <c r="L102" s="185" t="s">
        <v>756</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G26" sqref="G26"/>
    </sheetView>
  </sheetViews>
  <sheetFormatPr defaultColWidth="8.81640625" defaultRowHeight="12.5"/>
  <cols>
    <col min="7" max="7" width="9.453125" customWidth="1"/>
    <col min="10" max="10" width="9.81640625" customWidth="1"/>
    <col min="15" max="15" width="11.453125" customWidth="1"/>
  </cols>
  <sheetData>
    <row r="1" spans="1:22" ht="18.5" thickBot="1">
      <c r="A1" s="125" t="s">
        <v>247</v>
      </c>
      <c r="B1" s="125"/>
      <c r="C1" s="126"/>
      <c r="D1" s="126"/>
      <c r="E1" s="126"/>
      <c r="F1" s="126"/>
      <c r="G1" s="126"/>
      <c r="H1" s="127"/>
      <c r="I1" s="127"/>
      <c r="J1" s="611" t="str">
        <f>'Title Page'!F3</f>
        <v>OreSat - CS0</v>
      </c>
      <c r="K1" s="127"/>
      <c r="L1" s="127"/>
      <c r="M1" s="127"/>
      <c r="N1" s="610" t="str">
        <f>'Title Page'!F23</f>
        <v>2019 September 13</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884</v>
      </c>
      <c r="F3" s="3"/>
      <c r="G3" s="3"/>
      <c r="H3" s="3"/>
      <c r="I3" s="3"/>
      <c r="J3" s="3"/>
      <c r="K3" s="3"/>
      <c r="L3" s="466" t="s">
        <v>714</v>
      </c>
      <c r="M3" s="3"/>
      <c r="N3" s="3"/>
      <c r="O3" s="3"/>
      <c r="P3" s="3"/>
      <c r="Q3" s="3"/>
      <c r="R3" s="3"/>
      <c r="S3" s="3"/>
      <c r="T3" s="3"/>
      <c r="U3" s="3"/>
      <c r="V3" s="3"/>
    </row>
    <row r="4" spans="1:22">
      <c r="A4" s="3"/>
      <c r="B4" s="94" t="s">
        <v>886</v>
      </c>
      <c r="C4" s="3"/>
      <c r="D4" s="3"/>
      <c r="E4" s="3"/>
      <c r="F4" s="3"/>
      <c r="G4" s="3"/>
      <c r="H4" s="3"/>
      <c r="I4" s="3"/>
      <c r="J4" s="3"/>
      <c r="K4" s="3"/>
      <c r="L4" s="3"/>
      <c r="M4" s="3"/>
      <c r="N4" s="3"/>
      <c r="O4" s="3"/>
      <c r="P4" s="3"/>
      <c r="Q4" s="3"/>
      <c r="R4" s="3"/>
      <c r="S4" s="3"/>
      <c r="T4" s="3"/>
      <c r="U4" s="3"/>
      <c r="V4" s="3"/>
    </row>
    <row r="5" spans="1:22" ht="13">
      <c r="A5" s="3"/>
      <c r="B5" s="3"/>
      <c r="C5" s="3"/>
      <c r="D5" s="3"/>
      <c r="E5" s="121" t="s">
        <v>885</v>
      </c>
      <c r="F5" s="3"/>
      <c r="G5" s="3"/>
      <c r="H5" s="3"/>
      <c r="I5" s="3"/>
      <c r="J5" s="3"/>
      <c r="K5" s="4" t="s">
        <v>883</v>
      </c>
      <c r="L5" s="3"/>
      <c r="M5" s="3"/>
      <c r="N5" s="4" t="s">
        <v>873</v>
      </c>
      <c r="O5" s="3"/>
      <c r="P5" s="3"/>
      <c r="Q5" s="4" t="s">
        <v>874</v>
      </c>
      <c r="R5" s="3"/>
      <c r="S5" s="3"/>
      <c r="T5" s="3"/>
      <c r="U5" s="3"/>
      <c r="V5" s="3"/>
    </row>
    <row r="6" spans="1:22">
      <c r="A6" s="3"/>
      <c r="B6" s="345" t="s">
        <v>140</v>
      </c>
      <c r="C6" s="3"/>
      <c r="D6" s="3"/>
      <c r="E6" s="3"/>
      <c r="F6" s="3"/>
      <c r="G6" s="3"/>
      <c r="H6" s="3"/>
      <c r="I6" s="3"/>
      <c r="J6" s="3"/>
      <c r="K6" s="3" t="s">
        <v>901</v>
      </c>
      <c r="L6" s="3"/>
      <c r="M6" s="3"/>
      <c r="N6" s="3" t="s">
        <v>901</v>
      </c>
      <c r="O6" s="3"/>
      <c r="P6" s="3"/>
      <c r="Q6" s="3" t="s">
        <v>902</v>
      </c>
      <c r="R6" s="3"/>
      <c r="S6" s="3"/>
      <c r="T6" s="3"/>
      <c r="U6" s="3"/>
      <c r="V6" s="3"/>
    </row>
    <row r="7" spans="1:22">
      <c r="A7" s="3"/>
      <c r="B7" s="3"/>
      <c r="C7" s="3"/>
      <c r="D7" s="3"/>
      <c r="E7" s="3"/>
      <c r="F7" s="3"/>
      <c r="G7" s="3"/>
      <c r="H7" s="3"/>
      <c r="I7" s="3"/>
      <c r="J7" s="3"/>
      <c r="K7" s="3"/>
      <c r="L7" s="3"/>
      <c r="M7" s="3"/>
      <c r="N7" s="3" t="s">
        <v>714</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881</v>
      </c>
      <c r="R10" s="3"/>
      <c r="S10" s="3"/>
      <c r="T10" s="3"/>
      <c r="U10" s="3"/>
      <c r="V10" s="3"/>
    </row>
    <row r="11" spans="1:22" ht="13">
      <c r="A11" s="3"/>
      <c r="B11" s="3"/>
      <c r="C11" s="3"/>
      <c r="D11" s="3"/>
      <c r="E11" s="3"/>
      <c r="F11" s="3"/>
      <c r="G11" s="3"/>
      <c r="H11" s="4" t="s">
        <v>875</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882</v>
      </c>
      <c r="R20" s="3"/>
      <c r="S20" s="3"/>
      <c r="T20" s="3"/>
      <c r="U20" s="3"/>
      <c r="V20" s="3"/>
    </row>
    <row r="21" spans="1:22" ht="13">
      <c r="A21" s="3"/>
      <c r="B21" s="3"/>
      <c r="C21" s="3"/>
      <c r="D21" s="3"/>
      <c r="E21" s="3"/>
      <c r="F21" s="3"/>
      <c r="G21" s="3"/>
      <c r="H21" s="4" t="s">
        <v>880</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714</v>
      </c>
      <c r="C30" s="95" t="s">
        <v>900</v>
      </c>
      <c r="D30" s="95"/>
      <c r="E30" s="80"/>
      <c r="F30" s="80"/>
      <c r="G30" s="96"/>
      <c r="H30" s="3"/>
      <c r="I30" s="3"/>
      <c r="J30" s="3"/>
      <c r="K30" s="85"/>
      <c r="L30" s="86"/>
      <c r="M30" s="86"/>
      <c r="N30" s="87"/>
      <c r="O30" s="3"/>
      <c r="P30" s="3"/>
      <c r="Q30" s="3"/>
      <c r="R30" s="3"/>
      <c r="S30" s="3"/>
      <c r="T30" s="3"/>
      <c r="U30" s="3"/>
      <c r="V30" s="3"/>
    </row>
    <row r="31" spans="1:22" ht="13">
      <c r="A31" s="3"/>
      <c r="B31" s="97" t="s">
        <v>899</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859</v>
      </c>
      <c r="H32" s="3"/>
      <c r="I32" s="3"/>
      <c r="J32" s="3"/>
      <c r="K32" s="85"/>
      <c r="L32" s="86"/>
      <c r="M32" s="86"/>
      <c r="N32" s="87"/>
      <c r="O32" s="3"/>
      <c r="P32" s="82" t="s">
        <v>903</v>
      </c>
      <c r="Q32" s="83"/>
      <c r="R32" s="83"/>
      <c r="S32" s="84"/>
      <c r="T32" s="3"/>
      <c r="U32" s="3"/>
      <c r="V32" s="3"/>
    </row>
    <row r="33" spans="1:22">
      <c r="A33" s="3"/>
      <c r="B33" s="100"/>
      <c r="C33" s="101"/>
      <c r="D33" s="101"/>
      <c r="E33" s="102" t="s">
        <v>896</v>
      </c>
      <c r="F33" s="104">
        <f>10^(F32/20)</f>
        <v>1.1220184543019636</v>
      </c>
      <c r="G33" s="103" t="s">
        <v>860</v>
      </c>
      <c r="H33" s="3"/>
      <c r="I33" s="3"/>
      <c r="J33" s="3"/>
      <c r="K33" s="85"/>
      <c r="L33" s="86"/>
      <c r="M33" s="86"/>
      <c r="N33" s="87"/>
      <c r="O33" s="3"/>
      <c r="P33" s="85" t="s">
        <v>904</v>
      </c>
      <c r="Q33" s="86"/>
      <c r="R33" s="86"/>
      <c r="S33" s="87"/>
      <c r="T33" s="3"/>
      <c r="U33" s="3"/>
      <c r="V33" s="3"/>
    </row>
    <row r="34" spans="1:22">
      <c r="A34" s="3"/>
      <c r="B34" s="100"/>
      <c r="C34" s="101"/>
      <c r="D34" s="101"/>
      <c r="E34" s="102" t="s">
        <v>897</v>
      </c>
      <c r="F34" s="128">
        <v>1</v>
      </c>
      <c r="G34" s="103" t="s">
        <v>859</v>
      </c>
      <c r="H34" s="3"/>
      <c r="I34" s="3"/>
      <c r="J34" s="3"/>
      <c r="K34" s="85"/>
      <c r="L34" s="86"/>
      <c r="M34" s="86"/>
      <c r="N34" s="87"/>
      <c r="O34" s="3"/>
      <c r="P34" s="88" t="s">
        <v>0</v>
      </c>
      <c r="Q34" s="89"/>
      <c r="R34" s="89"/>
      <c r="S34" s="90"/>
      <c r="T34" s="3"/>
      <c r="U34" s="3"/>
      <c r="V34" s="3"/>
    </row>
    <row r="35" spans="1:22">
      <c r="A35" s="3"/>
      <c r="B35" s="100"/>
      <c r="C35" s="101"/>
      <c r="D35" s="101"/>
      <c r="E35" s="102" t="s">
        <v>898</v>
      </c>
      <c r="F35" s="104">
        <f>10^(F34/20)</f>
        <v>1.1220184543019636</v>
      </c>
      <c r="G35" s="103" t="s">
        <v>860</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861</v>
      </c>
      <c r="H36" s="3"/>
      <c r="I36" s="3"/>
      <c r="J36" s="3"/>
      <c r="K36" s="85"/>
      <c r="L36" s="86"/>
      <c r="M36" s="86"/>
      <c r="N36" s="87"/>
      <c r="O36" s="3"/>
      <c r="P36" s="3" t="s">
        <v>714</v>
      </c>
      <c r="Q36" s="3"/>
      <c r="R36" s="3"/>
      <c r="S36" s="3"/>
      <c r="T36" s="3"/>
      <c r="U36" s="3"/>
      <c r="V36" s="3"/>
    </row>
    <row r="37" spans="1:22">
      <c r="A37" s="3"/>
      <c r="B37" s="100"/>
      <c r="C37" s="101"/>
      <c r="D37" s="101"/>
      <c r="E37" s="102" t="s">
        <v>194</v>
      </c>
      <c r="F37" s="81">
        <f>RADIANS(F36)</f>
        <v>1.5707963267948966</v>
      </c>
      <c r="G37" s="103" t="s">
        <v>862</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863</v>
      </c>
      <c r="F39" s="106">
        <f>0.5*(1+((1-F33^2)*(1-F35^2)*COS(2*F37)+4*F33*F35)/((1+F33^2)*(1+F35^2)))</f>
        <v>0.98686150654198734</v>
      </c>
      <c r="G39" s="103" t="s">
        <v>860</v>
      </c>
      <c r="H39" s="3"/>
      <c r="I39" s="3"/>
      <c r="J39" s="3"/>
      <c r="K39" s="3"/>
      <c r="L39" s="3"/>
      <c r="M39" s="3"/>
      <c r="N39" s="3"/>
      <c r="O39" s="3"/>
      <c r="P39" s="3"/>
      <c r="Q39" s="3"/>
      <c r="R39" s="3"/>
      <c r="S39" s="3"/>
      <c r="T39" s="3"/>
      <c r="U39" s="3"/>
      <c r="V39" s="3"/>
    </row>
    <row r="40" spans="1:22" ht="13.5" thickBot="1">
      <c r="A40" s="3"/>
      <c r="B40" s="100"/>
      <c r="C40" s="101"/>
      <c r="D40" s="101"/>
      <c r="E40" s="102" t="s">
        <v>864</v>
      </c>
      <c r="F40" s="92">
        <f>-10*LOG(F39)</f>
        <v>5.7437907597720189E-2</v>
      </c>
      <c r="G40" s="103" t="s">
        <v>859</v>
      </c>
      <c r="H40" s="3"/>
      <c r="I40" s="3"/>
      <c r="J40" s="3"/>
      <c r="K40" s="3"/>
      <c r="L40" s="4" t="s">
        <v>894</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905</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887</v>
      </c>
      <c r="D43" s="101"/>
      <c r="E43" s="102"/>
      <c r="F43" s="832">
        <f>1-F39</f>
        <v>1.3138493458012657E-2</v>
      </c>
      <c r="G43" s="103"/>
      <c r="H43" s="3"/>
      <c r="I43" s="3"/>
      <c r="J43" s="3"/>
      <c r="K43" s="3"/>
      <c r="L43" s="3"/>
      <c r="M43" s="3"/>
      <c r="N43" s="3"/>
      <c r="O43" s="3"/>
      <c r="P43" s="3"/>
      <c r="Q43" s="3"/>
      <c r="R43" s="3"/>
      <c r="S43" s="3"/>
      <c r="T43" s="3"/>
      <c r="U43" s="3"/>
      <c r="V43" s="3"/>
    </row>
    <row r="44" spans="1:22">
      <c r="A44" s="3"/>
      <c r="B44" s="100"/>
      <c r="C44" s="101" t="s">
        <v>887</v>
      </c>
      <c r="D44" s="101"/>
      <c r="E44" s="101"/>
      <c r="F44" s="833">
        <f>10*LOG10(1-F39)</f>
        <v>-18.814544308479665</v>
      </c>
      <c r="G44" s="103" t="s">
        <v>859</v>
      </c>
      <c r="H44" s="838"/>
      <c r="I44" s="3"/>
      <c r="J44" s="3"/>
      <c r="K44" s="3"/>
      <c r="L44" s="3"/>
      <c r="M44" s="3"/>
      <c r="N44" s="3"/>
      <c r="O44" s="3"/>
      <c r="P44" s="3"/>
      <c r="Q44" s="3"/>
      <c r="R44" s="3"/>
      <c r="S44" s="3"/>
      <c r="T44" s="3"/>
      <c r="U44" s="3"/>
      <c r="V44" s="3"/>
    </row>
    <row r="45" spans="1:22" ht="13" thickBot="1">
      <c r="A45" s="3"/>
      <c r="B45" s="100"/>
      <c r="C45" s="101" t="s">
        <v>888</v>
      </c>
      <c r="D45" s="101"/>
      <c r="E45" s="101"/>
      <c r="F45" s="831">
        <f>F40-F44</f>
        <v>18.871982216077384</v>
      </c>
      <c r="G45" s="103" t="s">
        <v>859</v>
      </c>
      <c r="H45" s="3"/>
      <c r="I45" s="3" t="s">
        <v>714</v>
      </c>
      <c r="J45" s="3"/>
      <c r="K45" s="3"/>
      <c r="L45" s="3"/>
      <c r="M45" s="3"/>
      <c r="N45" s="3"/>
      <c r="O45" s="3"/>
      <c r="P45" s="3"/>
      <c r="Q45" s="3"/>
      <c r="R45" s="3"/>
      <c r="S45" s="3"/>
      <c r="T45" s="3"/>
      <c r="U45" s="3"/>
      <c r="V45" s="3"/>
    </row>
    <row r="46" spans="1:22" ht="13" thickBot="1">
      <c r="A46" s="3"/>
      <c r="B46" s="111"/>
      <c r="C46" s="112"/>
      <c r="D46" s="112"/>
      <c r="E46" s="112"/>
      <c r="F46" s="112" t="s">
        <v>714</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895</v>
      </c>
      <c r="J47" s="3" t="s">
        <v>714</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714</v>
      </c>
      <c r="C50" s="95" t="s">
        <v>900</v>
      </c>
      <c r="D50" s="95"/>
      <c r="E50" s="80"/>
      <c r="F50" s="80"/>
      <c r="G50" s="96"/>
      <c r="H50" s="3"/>
      <c r="I50" s="3"/>
      <c r="J50" s="3"/>
      <c r="K50" s="3"/>
      <c r="L50" s="3"/>
      <c r="M50" s="3"/>
      <c r="N50" s="3"/>
      <c r="O50" s="3"/>
      <c r="P50" s="3"/>
      <c r="Q50" s="3"/>
      <c r="R50" s="3"/>
      <c r="S50" s="3"/>
      <c r="T50" s="3"/>
      <c r="U50" s="3"/>
      <c r="V50" s="3"/>
    </row>
    <row r="51" spans="1:22" ht="13">
      <c r="A51" s="3"/>
      <c r="B51" s="97" t="s">
        <v>899</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859</v>
      </c>
      <c r="H52" s="3"/>
      <c r="I52" s="3"/>
      <c r="J52" s="3"/>
      <c r="K52" s="3"/>
      <c r="L52" s="3"/>
      <c r="M52" s="3"/>
      <c r="N52" s="3"/>
      <c r="O52" s="3"/>
      <c r="P52" s="3"/>
      <c r="Q52" s="3"/>
      <c r="R52" s="3"/>
      <c r="S52" s="3"/>
      <c r="T52" s="3"/>
      <c r="U52" s="3"/>
      <c r="V52" s="3"/>
    </row>
    <row r="53" spans="1:22">
      <c r="A53" s="3"/>
      <c r="B53" s="100"/>
      <c r="C53" s="101"/>
      <c r="D53" s="101"/>
      <c r="E53" s="102" t="s">
        <v>896</v>
      </c>
      <c r="F53" s="104">
        <f>10^(F52/20)</f>
        <v>1.1220184543019636</v>
      </c>
      <c r="G53" s="103" t="s">
        <v>860</v>
      </c>
      <c r="H53" s="3"/>
      <c r="I53" s="3"/>
      <c r="J53" s="3"/>
      <c r="K53" s="3"/>
      <c r="L53" s="3"/>
      <c r="M53" s="3"/>
      <c r="N53" s="3"/>
      <c r="O53" s="3"/>
      <c r="P53" s="3"/>
      <c r="Q53" s="3"/>
      <c r="R53" s="3"/>
      <c r="S53" s="3"/>
      <c r="T53" s="3"/>
      <c r="U53" s="3"/>
      <c r="V53" s="3"/>
    </row>
    <row r="54" spans="1:22">
      <c r="A54" s="3"/>
      <c r="B54" s="100"/>
      <c r="C54" s="101"/>
      <c r="D54" s="101"/>
      <c r="E54" s="102" t="s">
        <v>897</v>
      </c>
      <c r="F54" s="128">
        <v>1</v>
      </c>
      <c r="G54" s="103" t="s">
        <v>859</v>
      </c>
      <c r="H54" s="3"/>
      <c r="I54" s="3"/>
      <c r="J54" s="3"/>
      <c r="K54" s="3"/>
      <c r="L54" s="3"/>
      <c r="M54" s="3" t="s">
        <v>714</v>
      </c>
      <c r="N54" s="3"/>
      <c r="O54" s="3"/>
      <c r="P54" s="3"/>
      <c r="Q54" s="3"/>
      <c r="R54" s="3"/>
      <c r="S54" s="3"/>
      <c r="T54" s="3"/>
      <c r="U54" s="3"/>
      <c r="V54" s="3"/>
    </row>
    <row r="55" spans="1:22">
      <c r="A55" s="3"/>
      <c r="B55" s="100"/>
      <c r="C55" s="101"/>
      <c r="D55" s="101"/>
      <c r="E55" s="102" t="s">
        <v>898</v>
      </c>
      <c r="F55" s="104">
        <f>10^(F54/20)</f>
        <v>1.1220184543019636</v>
      </c>
      <c r="G55" s="103" t="s">
        <v>860</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861</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862</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863</v>
      </c>
      <c r="F59" s="106">
        <f>0.5*(1+((1-F53^2)*(1-F55^2)*COS(2*F57)+4*F53*F55)/((1+F53^2)*(1+F55^2)))</f>
        <v>0.98686150654198734</v>
      </c>
      <c r="G59" s="103" t="s">
        <v>860</v>
      </c>
      <c r="H59" s="3"/>
      <c r="I59" s="3"/>
      <c r="J59" s="3"/>
      <c r="K59" s="3"/>
      <c r="L59" s="3"/>
      <c r="M59" s="3"/>
      <c r="N59" s="3"/>
      <c r="O59" s="3"/>
      <c r="P59" s="3"/>
      <c r="Q59" s="3"/>
      <c r="R59" s="3"/>
      <c r="S59" s="3"/>
      <c r="T59" s="3"/>
      <c r="U59" s="3"/>
      <c r="V59" s="3"/>
    </row>
    <row r="60" spans="1:22" ht="13" thickBot="1">
      <c r="A60" s="3"/>
      <c r="B60" s="100"/>
      <c r="C60" s="101"/>
      <c r="D60" s="101"/>
      <c r="E60" s="102" t="s">
        <v>864</v>
      </c>
      <c r="F60" s="92">
        <f>-10*LOG(F59)</f>
        <v>5.7437907597720189E-2</v>
      </c>
      <c r="G60" s="103" t="s">
        <v>859</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905</v>
      </c>
      <c r="C62" s="98"/>
      <c r="D62" s="98"/>
      <c r="E62" s="108"/>
      <c r="F62" s="109"/>
      <c r="G62" s="110"/>
      <c r="H62" s="3"/>
      <c r="I62" s="3"/>
      <c r="J62" s="3"/>
      <c r="K62" s="3"/>
      <c r="L62" s="3"/>
      <c r="M62" s="3"/>
      <c r="N62" s="3"/>
      <c r="O62" s="3"/>
      <c r="P62" s="3"/>
      <c r="Q62" s="3"/>
      <c r="R62" s="3"/>
      <c r="S62" s="3"/>
      <c r="T62" s="3"/>
      <c r="U62" s="3"/>
      <c r="V62" s="3"/>
    </row>
    <row r="63" spans="1:22">
      <c r="A63" s="3"/>
      <c r="B63" s="100"/>
      <c r="C63" s="101" t="s">
        <v>887</v>
      </c>
      <c r="D63" s="101"/>
      <c r="E63" s="102"/>
      <c r="F63" s="880">
        <f>1-F59</f>
        <v>1.3138493458012657E-2</v>
      </c>
      <c r="G63" s="103"/>
      <c r="H63" s="3"/>
      <c r="I63" s="3"/>
      <c r="J63" s="3"/>
      <c r="K63" s="3"/>
      <c r="L63" s="3"/>
      <c r="M63" s="3"/>
      <c r="N63" s="3"/>
      <c r="O63" s="3"/>
      <c r="P63" s="3"/>
      <c r="Q63" s="3"/>
      <c r="R63" s="3"/>
      <c r="S63" s="3"/>
      <c r="T63" s="3"/>
      <c r="U63" s="3"/>
      <c r="V63" s="3"/>
    </row>
    <row r="64" spans="1:22" ht="13" thickBot="1">
      <c r="A64" s="3"/>
      <c r="B64" s="100"/>
      <c r="C64" s="101" t="s">
        <v>887</v>
      </c>
      <c r="D64" s="101"/>
      <c r="E64" s="101"/>
      <c r="F64" s="881">
        <f>10*LOG10(1-F59)</f>
        <v>-18.814544308479665</v>
      </c>
      <c r="G64" s="103" t="s">
        <v>859</v>
      </c>
      <c r="H64" s="3"/>
      <c r="I64" s="3"/>
      <c r="J64" s="3"/>
      <c r="K64" s="3"/>
      <c r="L64" s="3"/>
      <c r="M64" s="3"/>
      <c r="N64" s="3"/>
      <c r="O64" s="3"/>
      <c r="P64" s="3"/>
      <c r="Q64" s="3"/>
      <c r="R64" s="3"/>
      <c r="S64" s="3"/>
      <c r="T64" s="3"/>
      <c r="U64" s="3"/>
      <c r="V64" s="3"/>
    </row>
    <row r="65" spans="1:22" ht="13" thickBot="1">
      <c r="A65" s="3"/>
      <c r="B65" s="100"/>
      <c r="C65" s="101" t="s">
        <v>888</v>
      </c>
      <c r="D65" s="101"/>
      <c r="E65" s="101"/>
      <c r="F65" s="93">
        <f>F60-F64</f>
        <v>18.871982216077384</v>
      </c>
      <c r="G65" s="103" t="s">
        <v>859</v>
      </c>
      <c r="H65" s="3"/>
      <c r="I65" s="3"/>
      <c r="J65" s="3"/>
      <c r="K65" s="3"/>
      <c r="L65" s="3"/>
      <c r="M65" s="3"/>
      <c r="N65" s="3"/>
      <c r="O65" s="3"/>
      <c r="P65" s="3"/>
      <c r="Q65" s="3"/>
      <c r="R65" s="3"/>
      <c r="S65" s="3"/>
      <c r="T65" s="3"/>
      <c r="U65" s="3"/>
      <c r="V65" s="3"/>
    </row>
    <row r="66" spans="1:22" ht="13" thickBot="1">
      <c r="A66" s="3"/>
      <c r="B66" s="111"/>
      <c r="C66" s="112"/>
      <c r="D66" s="112"/>
      <c r="E66" s="112"/>
      <c r="F66" s="112" t="s">
        <v>714</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906</v>
      </c>
      <c r="G70" s="567"/>
      <c r="H70" s="567"/>
      <c r="I70" s="567" t="s">
        <v>714</v>
      </c>
      <c r="J70" s="567"/>
      <c r="K70" s="3"/>
      <c r="L70" s="3"/>
      <c r="M70" s="3"/>
      <c r="N70" s="3"/>
      <c r="O70" s="3"/>
      <c r="P70" s="3"/>
      <c r="Q70" s="3"/>
      <c r="R70" s="3"/>
      <c r="S70" s="3"/>
      <c r="T70" s="3"/>
      <c r="U70" s="3"/>
      <c r="V70" s="3"/>
    </row>
    <row r="71" spans="1:22" ht="13">
      <c r="A71" s="3"/>
      <c r="B71" s="23"/>
      <c r="C71" s="23"/>
      <c r="D71" s="47" t="s">
        <v>907</v>
      </c>
      <c r="E71" s="23"/>
      <c r="F71" s="47" t="s">
        <v>908</v>
      </c>
      <c r="G71" s="23"/>
      <c r="H71" s="563" t="s">
        <v>909</v>
      </c>
      <c r="I71" s="23"/>
      <c r="J71" s="564" t="s">
        <v>891</v>
      </c>
      <c r="K71" s="3"/>
      <c r="L71" s="3"/>
      <c r="M71" s="3"/>
      <c r="N71" s="3"/>
      <c r="O71" s="3"/>
      <c r="P71" s="3"/>
      <c r="Q71" s="3"/>
      <c r="R71" s="3"/>
      <c r="S71" s="3"/>
      <c r="T71" s="3"/>
      <c r="U71" s="3"/>
      <c r="V71" s="3"/>
    </row>
    <row r="72" spans="1:22" ht="13">
      <c r="A72" s="3"/>
      <c r="B72" s="23"/>
      <c r="C72" s="23"/>
      <c r="D72" s="564" t="s">
        <v>889</v>
      </c>
      <c r="E72" s="564"/>
      <c r="F72" s="564" t="s">
        <v>890</v>
      </c>
      <c r="G72" s="564"/>
      <c r="H72" s="564" t="s">
        <v>893</v>
      </c>
      <c r="I72" s="23"/>
      <c r="J72" s="564" t="s">
        <v>892</v>
      </c>
      <c r="K72" s="3"/>
      <c r="L72" s="3"/>
      <c r="M72" s="3"/>
      <c r="N72" s="3"/>
      <c r="O72" s="3"/>
      <c r="P72" s="3"/>
      <c r="Q72" s="3"/>
      <c r="R72" s="3"/>
      <c r="S72" s="3"/>
      <c r="T72" s="3"/>
      <c r="U72" s="3"/>
      <c r="V72" s="3"/>
    </row>
    <row r="73" spans="1:22" ht="13">
      <c r="A73" s="3"/>
      <c r="B73" s="23"/>
      <c r="C73" s="23"/>
      <c r="D73" s="564" t="s">
        <v>892</v>
      </c>
      <c r="E73" s="564"/>
      <c r="F73" s="564" t="s">
        <v>892</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915</v>
      </c>
      <c r="C75" s="560"/>
      <c r="D75" s="278">
        <v>0</v>
      </c>
      <c r="E75" s="278"/>
      <c r="F75" s="278">
        <v>0</v>
      </c>
      <c r="G75" s="278"/>
      <c r="H75" s="278">
        <v>90</v>
      </c>
      <c r="I75" s="278"/>
      <c r="J75" s="879">
        <v>0</v>
      </c>
      <c r="K75" s="3"/>
      <c r="L75" s="3"/>
      <c r="M75" s="3"/>
      <c r="N75" s="3"/>
      <c r="O75" s="3"/>
      <c r="P75" s="3"/>
      <c r="Q75" s="3"/>
      <c r="R75" s="3"/>
      <c r="S75" s="3"/>
      <c r="T75" s="3"/>
      <c r="U75" s="3"/>
      <c r="V75" s="3"/>
    </row>
    <row r="76" spans="1:22" ht="13">
      <c r="A76" s="3"/>
      <c r="B76" s="559" t="s">
        <v>914</v>
      </c>
      <c r="C76" s="560"/>
      <c r="D76" s="278">
        <v>0</v>
      </c>
      <c r="E76" s="278"/>
      <c r="F76" s="278">
        <v>1</v>
      </c>
      <c r="G76" s="278"/>
      <c r="H76" s="278">
        <v>90</v>
      </c>
      <c r="I76" s="278"/>
      <c r="J76" s="879">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79">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79">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79">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79">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79">
        <v>-2.74</v>
      </c>
      <c r="K81" s="3"/>
      <c r="L81" s="114" t="s">
        <v>912</v>
      </c>
      <c r="M81" s="115"/>
      <c r="N81" s="115"/>
      <c r="O81" s="116"/>
      <c r="P81" s="3"/>
      <c r="Q81" s="3"/>
      <c r="R81" s="3"/>
      <c r="S81" s="3"/>
      <c r="T81" s="3"/>
      <c r="U81" s="3"/>
      <c r="V81" s="3"/>
    </row>
    <row r="82" spans="1:22">
      <c r="A82" s="3"/>
      <c r="B82" s="560"/>
      <c r="C82" s="560"/>
      <c r="D82" s="278">
        <v>0</v>
      </c>
      <c r="E82" s="278"/>
      <c r="F82" s="278">
        <v>30</v>
      </c>
      <c r="G82" s="278"/>
      <c r="H82" s="278">
        <v>0</v>
      </c>
      <c r="I82" s="278"/>
      <c r="J82" s="879">
        <v>-2.74</v>
      </c>
      <c r="K82" s="3"/>
      <c r="L82" s="117" t="s">
        <v>911</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714</v>
      </c>
      <c r="J84" s="278"/>
      <c r="K84" s="3"/>
      <c r="L84" s="3"/>
      <c r="M84" s="3"/>
      <c r="N84" s="3"/>
      <c r="O84" s="3"/>
      <c r="P84" s="3"/>
      <c r="Q84" s="3"/>
      <c r="R84" s="3"/>
      <c r="S84" s="3"/>
      <c r="T84" s="3"/>
      <c r="U84" s="3"/>
      <c r="V84" s="3"/>
    </row>
    <row r="85" spans="1:22" ht="13">
      <c r="A85" s="3"/>
      <c r="B85" s="559" t="s">
        <v>910</v>
      </c>
      <c r="C85" s="560"/>
      <c r="D85" s="278">
        <v>3</v>
      </c>
      <c r="E85" s="278"/>
      <c r="F85" s="278">
        <v>3</v>
      </c>
      <c r="G85" s="278"/>
      <c r="H85" s="278">
        <v>0</v>
      </c>
      <c r="I85" s="278"/>
      <c r="J85" s="879">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79">
        <v>-0.25</v>
      </c>
      <c r="K86" s="3"/>
      <c r="L86" s="122" t="s">
        <v>918</v>
      </c>
      <c r="M86" s="123"/>
      <c r="N86" s="123"/>
      <c r="O86" s="124"/>
      <c r="P86" s="3"/>
      <c r="Q86" s="3"/>
      <c r="R86" s="3"/>
      <c r="S86" s="3"/>
      <c r="T86" s="3"/>
      <c r="U86" s="3"/>
      <c r="V86" s="3"/>
    </row>
    <row r="87" spans="1:22">
      <c r="A87" s="3"/>
      <c r="B87" s="560"/>
      <c r="C87" s="560"/>
      <c r="D87" s="278">
        <v>3</v>
      </c>
      <c r="E87" s="278"/>
      <c r="F87" s="278">
        <v>3</v>
      </c>
      <c r="G87" s="278"/>
      <c r="H87" s="278">
        <v>90</v>
      </c>
      <c r="I87" s="278"/>
      <c r="J87" s="879">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913</v>
      </c>
      <c r="C90" s="560"/>
      <c r="D90" s="278">
        <v>30</v>
      </c>
      <c r="E90" s="278"/>
      <c r="F90" s="278">
        <v>30</v>
      </c>
      <c r="G90" s="278"/>
      <c r="H90" s="278">
        <v>0</v>
      </c>
      <c r="I90" s="278"/>
      <c r="J90" s="879">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79">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79">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79">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79">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916</v>
      </c>
      <c r="C96" s="559"/>
      <c r="D96" s="278">
        <v>2</v>
      </c>
      <c r="E96" s="278"/>
      <c r="F96" s="278">
        <v>30</v>
      </c>
      <c r="G96" s="278"/>
      <c r="H96" s="278">
        <v>0</v>
      </c>
      <c r="I96" s="278"/>
      <c r="J96" s="879">
        <v>-1.91</v>
      </c>
      <c r="K96" s="3"/>
      <c r="L96" s="3" t="s">
        <v>714</v>
      </c>
      <c r="M96" s="3"/>
      <c r="N96" s="3"/>
      <c r="O96" s="3"/>
      <c r="P96" s="3"/>
      <c r="Q96" s="3"/>
      <c r="R96" s="3"/>
      <c r="S96" s="3"/>
      <c r="T96" s="3"/>
      <c r="U96" s="3"/>
      <c r="V96" s="3"/>
    </row>
    <row r="97" spans="1:22" ht="13">
      <c r="A97" s="3"/>
      <c r="B97" s="559" t="s">
        <v>917</v>
      </c>
      <c r="C97" s="559"/>
      <c r="D97" s="278">
        <v>2</v>
      </c>
      <c r="E97" s="278"/>
      <c r="F97" s="278">
        <v>30</v>
      </c>
      <c r="G97" s="278"/>
      <c r="H97" s="278">
        <v>45</v>
      </c>
      <c r="I97" s="278"/>
      <c r="J97" s="879">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79">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2019-09-14T06:50:19Z</cp:lastPrinted>
  <dcterms:created xsi:type="dcterms:W3CDTF">2003-03-25T04:05:57Z</dcterms:created>
  <dcterms:modified xsi:type="dcterms:W3CDTF">2019-09-14T06:50:51Z</dcterms:modified>
</cp:coreProperties>
</file>