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132DC800-5EAC-4F4D-BB5C-108F0A1E992A}"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X142" i="15"/>
  <c r="Y62" i="15"/>
  <c r="J126" i="15"/>
  <c r="T135" i="15"/>
  <c r="X141" i="15"/>
  <c r="Y141" i="15" s="1"/>
  <c r="Z62" i="15"/>
  <c r="AA62" i="15" s="1"/>
  <c r="W63" i="15"/>
  <c r="Y63" i="15" s="1"/>
  <c r="Y66" i="15"/>
  <c r="W64" i="15"/>
  <c r="W65" i="15" s="1"/>
  <c r="W66" i="15" s="1"/>
  <c r="W67" i="15" s="1"/>
  <c r="Z65" i="15"/>
  <c r="Z64" i="15"/>
  <c r="X65" i="15"/>
  <c r="Y65" i="15" s="1"/>
  <c r="X69" i="15"/>
  <c r="I60" i="14"/>
  <c r="Z144" i="15" l="1"/>
  <c r="Z142" i="15"/>
  <c r="AA142" i="15" s="1"/>
  <c r="Y142" i="15"/>
  <c r="Y146" i="15"/>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K10" i="18" l="1"/>
  <c r="K12" i="18" s="1"/>
  <c r="B23" i="3"/>
  <c r="O49" i="23" s="1"/>
  <c r="B49" i="3"/>
  <c r="R97" i="12"/>
  <c r="K102" i="12" s="1"/>
  <c r="B48" i="3" s="1"/>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22" i="3" l="1"/>
  <c r="N45" i="23"/>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G69" i="23" s="1"/>
  <c r="B24" i="5"/>
  <c r="J57" i="15"/>
  <c r="J70" i="15" s="1"/>
  <c r="B52" i="5" s="1"/>
  <c r="B59" i="5" s="1"/>
  <c r="B51" i="5"/>
  <c r="O47" i="23" l="1"/>
  <c r="K55" i="9"/>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B27" i="3" s="1"/>
  <c r="C56" i="13"/>
  <c r="D55" i="13"/>
  <c r="D184" i="13"/>
  <c r="C185" i="13"/>
  <c r="B54" i="2"/>
  <c r="C55" i="2"/>
  <c r="F10" i="2"/>
  <c r="E8" i="2"/>
  <c r="C104" i="13"/>
  <c r="E103" i="13"/>
  <c r="D103" i="13"/>
  <c r="F47" i="2"/>
  <c r="E46" i="2"/>
  <c r="C11" i="2"/>
  <c r="B10" i="2"/>
  <c r="D220" i="13"/>
  <c r="C221" i="13"/>
  <c r="B26" i="5"/>
  <c r="G33" i="23" s="1"/>
  <c r="B65" i="5"/>
  <c r="F7" i="23" l="1"/>
  <c r="G7" i="23" s="1"/>
  <c r="B30" i="3"/>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<sst xmlns="http://schemas.openxmlformats.org/spreadsheetml/2006/main" count="2756" uniqueCount="1070">
  <si>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</si>
  <si>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</si>
  <si>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</si>
  <si>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</si>
  <si>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</si>
  <si>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</si>
  <si>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</si>
  <si>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</si>
  <si>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</si>
  <si>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</si>
  <si>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</si>
  <si>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</si>
  <si>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</si>
  <si>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</si>
  <si>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</si>
  <si>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</si>
  <si>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</si>
  <si>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</si>
  <si>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</si>
  <si>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</si>
  <si>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</si>
  <si>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</si>
  <si>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</si>
  <si>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</si>
  <si>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</si>
  <si>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</si>
  <si>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</si>
  <si>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</si>
  <si>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</si>
  <si>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</si>
  <si>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</si>
  <si>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</si>
  <si>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</si>
  <si>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</si>
  <si>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</si>
  <si>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</si>
  <si>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</si>
  <si>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</si>
  <si>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</si>
  <si>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</si>
  <si>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</si>
  <si>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</si>
  <si>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</si>
  <si>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</si>
  <si>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</si>
  <si>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</si>
  <si>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</si>
  <si>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</si>
  <si>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</si>
  <si>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</si>
  <si>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</si>
  <si>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</si>
  <si>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</si>
  <si>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</si>
  <si>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</si>
  <si>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</si>
  <si>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</si>
  <si>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</si>
  <si>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</si>
  <si>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</si>
  <si>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</si>
  <si>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</si>
  <si>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</si>
  <si>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</si>
  <si>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</si>
  <si>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</si>
  <si>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</si>
  <si>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</si>
  <si>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</si>
  <si>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</si>
  <si>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</si>
  <si>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</si>
  <si>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</si>
  <si>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</si>
  <si>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</si>
  <si>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</si>
  <si>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</si>
  <si>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</si>
  <si>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</si>
  <si>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</si>
  <si>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</si>
  <si>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</si>
  <si>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</si>
  <si>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</si>
  <si>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</si>
  <si>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</si>
  <si>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</si>
  <si>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</si>
  <si>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</si>
  <si>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</si>
  <si>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</si>
  <si>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</si>
  <si>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</si>
  <si>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</si>
  <si>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</si>
  <si>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</si>
  <si>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</si>
  <si>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</si>
  <si>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</si>
  <si>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</si>
  <si>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</si>
  <si>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</si>
  <si>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</si>
  <si>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</si>
  <si>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</si>
  <si>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</si>
  <si>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</si>
  <si>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</si>
  <si>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</si>
  <si>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</si>
  <si>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</si>
  <si>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</si>
  <si>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</si>
  <si>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</si>
  <si>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</si>
  <si>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</si>
  <si>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</si>
  <si>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</si>
  <si>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</si>
  <si>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</si>
  <si>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</si>
  <si>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</si>
  <si>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</si>
  <si>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</si>
  <si>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</si>
  <si>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</si>
  <si>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</si>
  <si>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</si>
  <si>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</si>
  <si>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</si>
  <si>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</si>
  <si>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</si>
  <si>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</si>
  <si>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</si>
  <si>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</si>
  <si>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</si>
  <si>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</si>
  <si>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</si>
  <si>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</si>
  <si>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</si>
  <si>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</si>
  <si>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</si>
  <si>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</si>
  <si>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</si>
  <si>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</si>
  <si>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</si>
  <si>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</si>
  <si>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</si>
  <si>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</si>
  <si>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</si>
  <si>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</si>
  <si>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</si>
  <si>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</si>
  <si>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</si>
  <si>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</si>
  <si>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</si>
  <si>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</si>
  <si>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</si>
  <si>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</si>
  <si>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</si>
  <si>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</si>
  <si>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</si>
  <si>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</si>
  <si>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</si>
  <si>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</si>
  <si>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</si>
  <si>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</si>
  <si>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</si>
  <si>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</si>
  <si>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</si>
  <si>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</si>
  <si>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</si>
  <si>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</si>
  <si>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</si>
  <si>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</si>
  <si>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</si>
  <si>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</si>
  <si>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</si>
  <si>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</si>
  <si>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</si>
  <si>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</si>
  <si>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</si>
  <si>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</si>
  <si>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</si>
  <si>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</si>
  <si>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</si>
  <si>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</si>
  <si>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</si>
  <si>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</si>
  <si>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</si>
  <si>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</si>
  <si>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</si>
  <si>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</si>
  <si>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</si>
  <si>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</si>
  <si>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</si>
  <si>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</si>
  <si>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</si>
  <si>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</si>
  <si>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</si>
  <si>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</si>
  <si>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</si>
  <si>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</si>
  <si>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</si>
  <si>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</si>
  <si>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</si>
  <si>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</si>
  <si>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</si>
  <si>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</si>
  <si>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</si>
  <si>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</si>
  <si>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</si>
  <si>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</si>
  <si>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</si>
  <si>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</si>
  <si>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</si>
  <si>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</si>
  <si>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</si>
  <si>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</si>
  <si>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</si>
  <si>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</si>
  <si>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</si>
  <si>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</si>
  <si>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</si>
  <si>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</si>
  <si>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</si>
  <si>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</si>
  <si>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</si>
  <si>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</si>
  <si>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</si>
  <si>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</si>
  <si>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</si>
  <si>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</si>
  <si>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</si>
  <si>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</si>
  <si>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</si>
  <si>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</si>
  <si>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</si>
  <si>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</si>
  <si>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</si>
  <si>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</si>
  <si>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</si>
  <si>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</si>
  <si>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</si>
  <si>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</si>
  <si>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</si>
  <si>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</si>
  <si>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</si>
  <si>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</si>
  <si>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</si>
  <si>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</si>
  <si>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</si>
  <si>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</si>
  <si>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</si>
  <si>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</si>
  <si>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</si>
  <si>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</si>
  <si>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</si>
  <si>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</si>
  <si>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</si>
  <si>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</si>
  <si>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</si>
  <si>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</si>
  <si>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</si>
  <si>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</si>
  <si>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</si>
  <si>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</si>
  <si>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</si>
  <si>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</si>
  <si>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</si>
  <si>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</si>
  <si>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</si>
  <si>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</si>
  <si>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</si>
  <si>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</si>
  <si>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</si>
  <si>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</si>
  <si>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</si>
  <si>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</si>
  <si>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</si>
  <si>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</si>
  <si>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</si>
  <si>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</si>
  <si>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</si>
  <si>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</si>
  <si>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</si>
  <si>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</si>
  <si>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</si>
  <si>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</si>
  <si>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</si>
  <si>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</si>
  <si>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</si>
  <si>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</si>
  <si>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</si>
  <si>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</si>
  <si>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</si>
  <si>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</si>
  <si>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</si>
  <si>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</si>
  <si>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</si>
  <si>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</si>
  <si>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</si>
  <si>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</si>
  <si>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</si>
  <si>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</si>
  <si>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</si>
  <si>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</si>
  <si>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</si>
  <si>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</si>
  <si>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</si>
  <si>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</si>
  <si>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</si>
  <si>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</si>
  <si>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</si>
  <si>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</si>
  <si>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</si>
  <si>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</si>
  <si>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</si>
  <si>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</si>
  <si>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</si>
  <si>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</si>
  <si>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</si>
  <si>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</si>
  <si>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</si>
  <si>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</si>
  <si>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</si>
  <si>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</si>
  <si>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</si>
  <si>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</si>
  <si>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</si>
  <si>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</si>
  <si>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</si>
  <si>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</si>
  <si>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</si>
  <si>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</si>
  <si>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</si>
  <si>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</si>
  <si>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</si>
  <si>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</si>
  <si>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</si>
  <si>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</si>
  <si>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</si>
  <si>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</si>
  <si>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</si>
  <si>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</si>
  <si>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</si>
  <si>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</si>
  <si>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</si>
  <si>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</si>
  <si>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</si>
  <si>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</si>
  <si>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</si>
  <si>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</si>
  <si>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</si>
  <si>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</si>
  <si>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</si>
  <si>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</si>
  <si>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</si>
  <si>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</si>
  <si>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</si>
  <si>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</si>
  <si>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</si>
  <si>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</si>
  <si>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</si>
  <si>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</si>
  <si>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</si>
  <si>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</si>
  <si>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</si>
  <si>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</si>
  <si>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</si>
  <si>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</si>
  <si>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</si>
  <si>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</si>
  <si>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</si>
  <si>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</si>
  <si>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</si>
  <si>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</si>
  <si>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</si>
  <si>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</si>
  <si>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</si>
  <si>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</si>
  <si>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</si>
  <si>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</si>
  <si>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</si>
  <si>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</si>
  <si>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</si>
  <si>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</si>
  <si>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</si>
  <si>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</si>
  <si>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</si>
  <si>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</si>
  <si>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</si>
  <si>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</si>
  <si>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</si>
  <si>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</si>
  <si>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</si>
  <si>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</si>
  <si>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</si>
  <si>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</si>
  <si>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</si>
  <si>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</si>
  <si>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</si>
  <si>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</si>
  <si>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</si>
  <si>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</si>
  <si>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</si>
  <si>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</si>
  <si>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</si>
  <si>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</si>
  <si>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</si>
  <si>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</si>
  <si>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</si>
  <si>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</si>
  <si>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</si>
  <si>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</si>
  <si>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</si>
  <si>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</si>
  <si>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</si>
  <si>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</si>
  <si>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</si>
  <si>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</si>
  <si>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</si>
  <si>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</si>
  <si>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</si>
  <si>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</si>
  <si>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</si>
  <si>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</si>
  <si>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</si>
  <si>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</si>
  <si>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</si>
  <si>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</si>
  <si>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</si>
  <si>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</si>
  <si>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</si>
  <si>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</si>
  <si>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</si>
  <si>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</si>
  <si>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</si>
  <si>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</si>
  <si>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</si>
  <si>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</si>
  <si>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</si>
  <si>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</si>
  <si>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</si>
  <si>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</si>
  <si>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</si>
  <si>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</si>
  <si>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</si>
  <si>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</si>
  <si>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</si>
  <si>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</si>
  <si>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</si>
  <si>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</si>
  <si>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</si>
  <si>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</si>
  <si>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</si>
  <si>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</si>
  <si>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</si>
  <si>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</si>
  <si>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</si>
  <si>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</si>
  <si>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</si>
  <si>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</si>
  <si>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</si>
  <si>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</si>
  <si>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</si>
  <si>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</si>
  <si>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</si>
  <si>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</si>
  <si>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</si>
  <si>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</si>
  <si>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</si>
  <si>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</si>
  <si>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</si>
  <si>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</si>
  <si>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</si>
  <si>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</si>
  <si>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</si>
  <si>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</si>
  <si>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</si>
  <si>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</si>
  <si>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</si>
  <si>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</si>
  <si>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</si>
  <si>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</si>
  <si>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</si>
  <si>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</si>
  <si>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</si>
  <si>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</si>
  <si>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</si>
  <si>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</si>
  <si>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</si>
  <si>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</si>
  <si>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</si>
  <si>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</si>
  <si>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</si>
  <si>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</si>
  <si>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</si>
  <si>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</si>
  <si>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</si>
  <si>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</si>
  <si>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</si>
  <si>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</si>
  <si>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</si>
  <si>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</si>
  <si>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</si>
  <si>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</si>
  <si>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</si>
  <si>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</si>
  <si>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</si>
  <si>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</si>
  <si>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</si>
  <si>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</si>
  <si>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</si>
  <si>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</si>
  <si>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</si>
  <si>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</si>
  <si>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</si>
  <si>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</si>
  <si>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</si>
  <si>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</si>
  <si>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</si>
  <si>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</si>
  <si>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</si>
  <si>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</si>
  <si>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</si>
  <si>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</si>
  <si>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</si>
  <si>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</si>
  <si>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</si>
  <si>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</si>
  <si>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</si>
  <si>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</si>
  <si>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</si>
  <si>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</si>
  <si>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</si>
  <si>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</si>
  <si>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</si>
  <si>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</si>
  <si>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</si>
  <si>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</si>
  <si>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</si>
  <si>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</si>
  <si>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</si>
  <si>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</si>
  <si>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</si>
  <si>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</si>
  <si>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</si>
  <si>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</si>
  <si>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</si>
  <si>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</si>
  <si>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</si>
  <si>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</si>
  <si>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</si>
  <si>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</si>
  <si>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</si>
  <si>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</si>
  <si>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</si>
  <si>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</si>
  <si>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</si>
  <si>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</si>
  <si>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</si>
  <si>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</si>
  <si>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</si>
  <si>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</si>
  <si>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</si>
  <si>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</si>
  <si>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</si>
  <si>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</si>
  <si>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</si>
  <si>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</si>
  <si>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</si>
  <si>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</si>
  <si>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</si>
  <si>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</si>
  <si>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</si>
  <si>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</si>
  <si>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</si>
  <si>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</si>
  <si>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</si>
  <si>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</si>
  <si>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</si>
  <si>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</si>
  <si>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</si>
  <si>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</si>
  <si>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</si>
  <si>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</si>
  <si>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</si>
  <si>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</si>
  <si>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</si>
  <si>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</si>
  <si>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</si>
  <si>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</si>
  <si>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</si>
  <si>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</si>
  <si>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</si>
  <si>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</si>
  <si>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</si>
  <si>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</si>
  <si>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</si>
  <si>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</si>
  <si>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</si>
  <si>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</si>
  <si>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</si>
  <si>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</si>
  <si>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</si>
  <si>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</si>
  <si>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</si>
  <si>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</si>
  <si>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</si>
  <si>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</si>
  <si>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</si>
  <si>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</si>
  <si>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</si>
  <si>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</si>
  <si>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</si>
  <si>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</si>
  <si>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</si>
  <si>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</si>
  <si>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</si>
  <si>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</si>
  <si>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</si>
  <si>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</si>
  <si>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</si>
  <si>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</si>
  <si>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</si>
  <si>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</si>
  <si>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</si>
  <si>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</si>
  <si>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</si>
  <si>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</si>
  <si>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</si>
  <si>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</si>
  <si>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</si>
  <si>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</si>
  <si>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</si>
  <si>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</si>
  <si>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</si>
  <si>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</si>
  <si>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</si>
  <si>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</si>
  <si>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</si>
  <si>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</si>
  <si>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</si>
  <si>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</si>
  <si>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</si>
  <si>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</si>
  <si>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</si>
  <si>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</si>
  <si>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</si>
  <si>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</si>
  <si>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</si>
  <si>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</si>
  <si>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</si>
  <si>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</si>
  <si>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</si>
  <si>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</si>
  <si>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</si>
  <si>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</si>
  <si>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</si>
  <si>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</si>
  <si>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</si>
  <si>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</si>
  <si>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</si>
  <si>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</si>
  <si>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</si>
  <si>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</si>
  <si>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</si>
  <si>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</si>
  <si>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</si>
  <si>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</si>
  <si>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</si>
  <si>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</si>
  <si>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</si>
  <si>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</si>
  <si>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</si>
  <si>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</si>
  <si>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</si>
  <si>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</si>
  <si>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</si>
  <si>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</si>
  <si>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</si>
  <si>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</si>
  <si>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</si>
  <si>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</si>
  <si>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</si>
  <si>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</si>
  <si>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</si>
  <si>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</si>
  <si>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</si>
  <si>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</si>
  <si>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</si>
  <si>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</si>
  <si>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</si>
  <si>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</si>
  <si>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</si>
  <si>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</si>
  <si>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</si>
  <si>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</si>
  <si>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</si>
  <si>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</si>
  <si>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</si>
  <si>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</si>
  <si>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</si>
  <si>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</si>
  <si>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</si>
  <si>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</si>
  <si>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</si>
  <si>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</si>
  <si>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</si>
  <si>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</si>
  <si>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</si>
  <si>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</si>
  <si>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</si>
  <si>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</si>
  <si>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</si>
  <si>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</si>
  <si>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</si>
  <si>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</si>
  <si>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</si>
  <si>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</si>
  <si>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</si>
  <si>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</si>
  <si>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</si>
  <si>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</si>
  <si>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</si>
  <si>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</si>
  <si>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</si>
  <si>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</si>
  <si>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</si>
  <si>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</si>
  <si>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</si>
  <si>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</si>
  <si>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</si>
  <si>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</si>
  <si>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</si>
  <si>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</si>
  <si>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</si>
  <si>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</si>
  <si>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</si>
  <si>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</si>
  <si>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</si>
  <si>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</si>
  <si>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</si>
  <si>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</si>
  <si>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</si>
  <si>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</si>
  <si>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</si>
  <si>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</si>
  <si>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</si>
  <si>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</si>
  <si>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</si>
  <si>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</si>
  <si>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</si>
  <si>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</si>
  <si>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</si>
  <si>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</si>
  <si>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</si>
  <si>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</si>
  <si>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</si>
  <si>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</si>
  <si>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</si>
  <si>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</si>
  <si>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</si>
  <si>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</si>
  <si>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</si>
  <si>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</si>
  <si>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</si>
  <si>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</si>
  <si>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</si>
  <si>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</si>
  <si>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</si>
  <si>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</si>
  <si>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</si>
  <si>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</si>
  <si>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</si>
  <si>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</si>
  <si>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</si>
  <si>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</si>
  <si>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</si>
  <si>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</si>
  <si>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</si>
  <si>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</si>
  <si>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</si>
  <si>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</si>
  <si>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</si>
  <si>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</si>
  <si>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</si>
  <si>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</si>
  <si>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</si>
  <si>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</si>
  <si>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</si>
  <si>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</si>
  <si>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</si>
  <si>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</si>
  <si>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</si>
  <si>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</si>
  <si>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</si>
  <si>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</si>
  <si>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</si>
  <si>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</si>
  <si>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</si>
  <si>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</si>
  <si>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</si>
  <si>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</si>
  <si>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</si>
  <si>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</si>
  <si>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</si>
  <si>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</si>
  <si>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</si>
  <si>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</si>
  <si>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</si>
  <si>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</si>
  <si>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</si>
  <si>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</si>
  <si>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</si>
  <si>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</si>
  <si>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</si>
  <si>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</si>
  <si>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</si>
  <si>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</si>
  <si>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</si>
  <si>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</si>
  <si>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</si>
  <si>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</si>
  <si>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</si>
  <si>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</si>
  <si>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</si>
  <si>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</si>
  <si>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</si>
  <si>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</si>
  <si>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</si>
  <si>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</si>
  <si>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</si>
  <si>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</si>
  <si>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</si>
  <si>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</si>
  <si>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</si>
  <si>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</si>
  <si>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</si>
  <si>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</si>
  <si>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</si>
  <si>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</si>
  <si>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</si>
  <si>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</si>
  <si>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</si>
  <si>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</si>
  <si>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</si>
  <si>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</si>
  <si>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</si>
  <si>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</si>
  <si>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</si>
  <si>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</si>
  <si>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</si>
  <si>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</si>
  <si>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</si>
  <si>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</si>
  <si>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</si>
  <si>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</si>
  <si>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</si>
  <si>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</si>
  <si>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</si>
  <si>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</si>
  <si>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</si>
  <si>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</si>
  <si>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</si>
  <si>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</si>
  <si>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</si>
  <si>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</si>
  <si>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</si>
  <si>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</si>
  <si>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</si>
  <si>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</si>
  <si>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</si>
  <si>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</si>
  <si>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</si>
  <si>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</si>
  <si>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</si>
  <si>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</si>
  <si>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</si>
  <si>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</si>
  <si>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</si>
  <si>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</si>
  <si>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</si>
  <si>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</si>
  <si>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</si>
  <si>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</si>
  <si>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</si>
  <si>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</si>
  <si>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</si>
  <si>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</si>
  <si>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</si>
  <si>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</si>
  <si>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</si>
  <si>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</si>
  <si>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</si>
  <si>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</si>
  <si>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</si>
  <si>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</si>
  <si>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</si>
  <si>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</si>
  <si>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</si>
  <si>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</si>
  <si>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</si>
  <si>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</si>
  <si>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</si>
  <si>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</si>
  <si>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</si>
  <si>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</si>
  <si>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</si>
  <si>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</si>
  <si>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</si>
  <si>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</si>
  <si>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</si>
  <si>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</si>
  <si>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</si>
  <si>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</si>
  <si>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</si>
  <si>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</si>
  <si>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</si>
  <si>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</si>
  <si>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</si>
  <si>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</si>
  <si>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</si>
  <si>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</si>
  <si>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</si>
  <si>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</si>
  <si>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</si>
  <si>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</si>
  <si>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</si>
  <si>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</si>
  <si>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</si>
  <si>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</si>
  <si>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</si>
  <si>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</si>
  <si>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</si>
  <si>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</si>
  <si>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</si>
  <si>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</si>
  <si>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</si>
  <si>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</si>
  <si>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</si>
  <si>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</si>
  <si>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</si>
  <si>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</si>
  <si>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</si>
  <si>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</si>
  <si>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</si>
  <si>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</si>
  <si>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</si>
  <si>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</si>
  <si>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</si>
  <si>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</si>
  <si>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</si>
  <si>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</si>
  <si>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</si>
  <si>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</si>
  <si>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</si>
  <si>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</si>
  <si>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</si>
  <si>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</si>
  <si>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</si>
  <si>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</si>
  <si>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</si>
  <si>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</si>
  <si>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</si>
  <si>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</si>
  <si>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</si>
  <si>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</si>
  <si>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</si>
  <si>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</si>
  <si>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</si>
  <si>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</si>
  <si>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</si>
  <si>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</si>
  <si>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</si>
  <si>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</si>
  <si>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</si>
  <si>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</si>
  <si>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</si>
  <si>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</si>
  <si>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</si>
  <si>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</si>
  <si>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</si>
  <si>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</si>
  <si>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</si>
  <si>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</si>
  <si>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</si>
  <si>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</si>
  <si>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</si>
  <si>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</si>
  <si>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</si>
  <si>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</si>
  <si>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</si>
  <si>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</si>
  <si>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</si>
  <si>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</si>
  <si>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</si>
  <si>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</si>
  <si>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</si>
  <si>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</si>
  <si>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</si>
  <si>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</si>
  <si>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</si>
  <si>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</si>
  <si>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</si>
  <si>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</si>
  <si>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</si>
  <si>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</si>
  <si>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</si>
  <si>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</si>
  <si>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</si>
  <si>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</si>
  <si>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</si>
  <si>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</si>
  <si>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</si>
  <si>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</si>
  <si>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</si>
  <si>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</si>
  <si>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</si>
  <si>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</si>
  <si>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</si>
  <si>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</si>
  <si>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</si>
  <si>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</si>
  <si>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</si>
  <si>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</si>
  <si>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</si>
  <si>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</si>
  <si>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</si>
  <si>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</si>
  <si>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</si>
  <si>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</si>
  <si>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</si>
  <si>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</si>
  <si>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</si>
  <si>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</si>
  <si>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</si>
  <si>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</si>
  <si>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</si>
  <si>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</si>
  <si>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</si>
  <si>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</si>
  <si>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</si>
  <si>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</si>
  <si>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</si>
  <si>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</si>
  <si>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</si>
  <si>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</si>
  <si>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</si>
  <si>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</si>
  <si>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</si>
  <si>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</si>
  <si>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</si>
  <si>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</si>
  <si>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</si>
  <si>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</si>
  <si>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</si>
  <si>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Switch (QPC 1022)</t>
  </si>
  <si>
    <t>5W Max</t>
  </si>
  <si>
    <t>S Band 802.11 Mission Data Uplink (UniClOGS) &amp; Downlink (Handheld)</t>
  </si>
  <si>
    <t>Atheros AR9271</t>
  </si>
  <si>
    <t>DBPSK</t>
  </si>
  <si>
    <t>U.FL ?</t>
  </si>
  <si>
    <t>0.1m coax</t>
  </si>
  <si>
    <t>SAW Filter</t>
  </si>
  <si>
    <t>LNA</t>
  </si>
  <si>
    <t>VSWR 1.2 ??</t>
  </si>
  <si>
    <t>2019 June 21</t>
  </si>
  <si>
    <t>Handheld Helix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</si>
</sst>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7</xdr:col>
      <xdr:colOff>497226</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320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208878</xdr:colOff>
      <xdr:row>84</xdr:row>
      <xdr:rowOff>53394</xdr:rowOff>
    </xdr:from>
    <xdr:to>
      <xdr:col>8</xdr:col>
      <xdr:colOff>259290</xdr:colOff>
      <xdr:row>87</xdr:row>
      <xdr:rowOff>88321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532651" y="1387907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0" t="s">
        <v>932</v>
      </c>
      <c r="H1" s="1051"/>
      <c r="I1" s="1047" t="s">
        <v>951</v>
      </c>
      <c r="J1" s="1048"/>
      <c r="K1" s="1048"/>
      <c r="L1" s="1048"/>
      <c r="M1" s="1049"/>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1060</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1068</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1014</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June 21</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2">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2">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June 21</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1062</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1062</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June 21</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292.38876856938668</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-26.429606861995655</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77.891848675158585</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17.891848675158585</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7.5918486751585839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292.38876856938668</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-26.429606861995655</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-126.04854446284575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-140.93009318136453</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14.881548718518772</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4.5815487185187713</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June 21</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0.56138732330279761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12</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0.3</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213.46157928883994</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-11.593197182163308</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73.318809783734437</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13.318809783734437</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3.0188097837344365</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0.56138732330279761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12</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0.3</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213.46157928883994</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-11.593197182163308</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-131.98799303410226</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-142.29650286119687</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10.308509827094611</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8.5098270946097898E-3</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77" customWidth="1"/>
    <col min="2" max="2" width="8.81640625" style="977"/>
    <col min="3" max="3" width="9.453125" style="977" customWidth="1"/>
    <col min="4" max="4" width="12.36328125" style="977" bestFit="1" customWidth="1"/>
    <col min="5" max="5" width="10.1796875" style="977" customWidth="1"/>
    <col min="6" max="6" width="12.453125" style="977" customWidth="1"/>
    <col min="7" max="7" width="14.26953125" style="977" bestFit="1" customWidth="1"/>
    <col min="8" max="8" width="3.54296875" style="977" customWidth="1"/>
    <col min="9" max="9" width="3.81640625" style="977" customWidth="1"/>
    <col min="10" max="10" width="9.453125" style="977" customWidth="1"/>
    <col min="11" max="11" width="10.453125" style="977" customWidth="1"/>
    <col min="12" max="12" width="12.36328125" style="977" bestFit="1" customWidth="1"/>
    <col min="13" max="13" width="10.453125" style="977" customWidth="1"/>
    <col min="14" max="14" width="12.1796875" style="977" customWidth="1"/>
    <col min="15" max="15" width="12.453125" style="977" bestFit="1" customWidth="1"/>
    <col min="16" max="16384" width="8.81640625" style="977"/>
  </cols>
  <sheetData>
    <row r="1" spans="1:17" ht="18.5" thickBot="1">
      <c r="A1" s="972" t="s">
        <v>415</v>
      </c>
      <c r="B1" s="973"/>
      <c r="C1" s="973"/>
      <c r="D1" s="973"/>
      <c r="E1" s="973"/>
      <c r="F1" s="973"/>
      <c r="G1" s="974" t="str">
        <f>'Title Page'!F3</f>
        <v>OreSat - CS0</v>
      </c>
      <c r="H1" s="973"/>
      <c r="I1" s="975"/>
      <c r="J1" s="975"/>
      <c r="K1" s="975"/>
      <c r="L1" s="976" t="str">
        <f>'Title Page'!F23</f>
        <v>2019 June 21</v>
      </c>
      <c r="M1" s="975"/>
      <c r="N1" s="975"/>
      <c r="O1" s="975"/>
      <c r="P1" s="975"/>
      <c r="Q1" s="975"/>
    </row>
    <row r="2" spans="1:17" ht="13">
      <c r="A2" s="978"/>
      <c r="B2" s="1054" t="s">
        <v>1002</v>
      </c>
      <c r="C2" s="1054"/>
      <c r="D2" s="979"/>
      <c r="E2" s="979"/>
      <c r="F2" s="979"/>
      <c r="G2" s="979" t="s">
        <v>714</v>
      </c>
      <c r="H2" s="980"/>
      <c r="I2" s="981"/>
      <c r="J2" s="1054" t="s">
        <v>1003</v>
      </c>
      <c r="K2" s="1054"/>
      <c r="L2" s="979"/>
      <c r="M2" s="979"/>
      <c r="N2" s="979"/>
      <c r="O2" s="979"/>
      <c r="P2" s="979"/>
      <c r="Q2" s="980"/>
    </row>
    <row r="3" spans="1:17" ht="15" customHeight="1">
      <c r="A3" s="982"/>
      <c r="B3" s="1055" t="s">
        <v>1004</v>
      </c>
      <c r="C3" s="1056"/>
      <c r="D3" s="983"/>
      <c r="E3" s="984" t="s">
        <v>752</v>
      </c>
      <c r="F3" s="985">
        <f>Frequency!M10</f>
        <v>2422</v>
      </c>
      <c r="G3" s="983"/>
      <c r="H3" s="986"/>
      <c r="I3" s="982"/>
      <c r="J3" s="1055" t="s">
        <v>422</v>
      </c>
      <c r="K3" s="1057"/>
      <c r="L3" s="983"/>
      <c r="M3" s="984" t="s">
        <v>752</v>
      </c>
      <c r="N3" s="985">
        <f>Frequency!M16</f>
        <v>2422</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1015</v>
      </c>
      <c r="B5" s="988" t="s">
        <v>1016</v>
      </c>
      <c r="C5" s="989">
        <f>'Uplink Budget'!B30</f>
        <v>17.891848675158585</v>
      </c>
      <c r="D5" s="983"/>
      <c r="E5" s="990" t="s">
        <v>417</v>
      </c>
      <c r="F5" s="991">
        <f>'Uplink Budget'!B43</f>
        <v>7.5918486751585839</v>
      </c>
      <c r="G5" s="992" t="str">
        <f>IF(F5&lt;0,"NO LINK !",IF(F5&lt;6,"MARGINAL LINK",IF(F5&gt;6,"LINK CLOSES")))</f>
        <v>LINK CLOSES</v>
      </c>
      <c r="H5" s="986"/>
      <c r="I5" s="982"/>
      <c r="J5" s="983"/>
      <c r="K5" s="988" t="s">
        <v>1005</v>
      </c>
      <c r="L5" s="993">
        <f>'Downlink Budget'!B28</f>
        <v>1000000</v>
      </c>
      <c r="M5" s="983"/>
      <c r="N5" s="983"/>
      <c r="O5" s="983"/>
      <c r="P5" s="983"/>
      <c r="Q5" s="986"/>
    </row>
    <row r="6" spans="1:17" ht="13" thickBot="1">
      <c r="A6" s="982"/>
      <c r="B6" s="983"/>
      <c r="C6" s="983"/>
      <c r="D6" s="983"/>
      <c r="E6" s="983"/>
      <c r="F6" s="983"/>
      <c r="G6" s="994" t="s">
        <v>714</v>
      </c>
      <c r="H6" s="986"/>
      <c r="I6" s="982"/>
      <c r="J6" s="983"/>
      <c r="K6" s="983"/>
      <c r="L6" s="983"/>
      <c r="M6" s="983"/>
      <c r="N6" s="1058" t="s">
        <v>1006</v>
      </c>
      <c r="O6" s="1059"/>
      <c r="P6" s="983"/>
      <c r="Q6" s="986"/>
    </row>
    <row r="7" spans="1:17" ht="13.5" thickBot="1">
      <c r="A7" s="987" t="s">
        <v>420</v>
      </c>
      <c r="B7" s="988" t="s">
        <v>1007</v>
      </c>
      <c r="C7" s="989">
        <f>'Uplink Budget'!B61</f>
        <v>14.881548718518772</v>
      </c>
      <c r="D7" s="983"/>
      <c r="E7" s="990" t="s">
        <v>417</v>
      </c>
      <c r="F7" s="991">
        <f>'Uplink Budget'!B65</f>
        <v>4.5815487185187713</v>
      </c>
      <c r="G7" s="992" t="str">
        <f>IF(F7&lt;0,"NO LINK !",IF(F7&lt;6,"MARGINAL LINK",IF(F7&gt;6,"LINK CLOSES")))</f>
        <v>MARGINAL LINK</v>
      </c>
      <c r="H7" s="986"/>
      <c r="I7" s="982"/>
      <c r="J7" s="983"/>
      <c r="K7" s="995"/>
      <c r="L7" s="983"/>
      <c r="M7" s="983"/>
      <c r="N7" s="1052" t="str">
        <f>'Downlink Budget'!B32</f>
        <v>DBPSK</v>
      </c>
      <c r="O7" s="1053"/>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58" t="s">
        <v>1008</v>
      </c>
      <c r="O9" s="1059"/>
      <c r="P9" s="983"/>
      <c r="Q9" s="986"/>
    </row>
    <row r="10" spans="1:17">
      <c r="A10" s="982"/>
      <c r="B10" s="983"/>
      <c r="C10" s="988" t="s">
        <v>1005</v>
      </c>
      <c r="D10" s="993">
        <f>'Uplink Budget'!B28</f>
        <v>1000000</v>
      </c>
      <c r="E10" s="983"/>
      <c r="F10" s="983"/>
      <c r="G10" s="983"/>
      <c r="H10" s="986"/>
      <c r="I10" s="982"/>
      <c r="J10" s="983"/>
      <c r="K10" s="983"/>
      <c r="L10" s="983"/>
      <c r="M10" s="983"/>
      <c r="N10" s="1052" t="str">
        <f>'Downlink Budget'!B33</f>
        <v>None</v>
      </c>
      <c r="O10" s="1053"/>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714</v>
      </c>
      <c r="E13" s="983"/>
      <c r="F13" s="1058" t="s">
        <v>1009</v>
      </c>
      <c r="G13" s="1059"/>
      <c r="H13" s="986"/>
      <c r="I13" s="982"/>
      <c r="J13" s="983"/>
      <c r="K13" s="983"/>
      <c r="L13" s="983"/>
      <c r="M13" s="983"/>
      <c r="N13" s="999" t="s">
        <v>1017</v>
      </c>
      <c r="O13" s="1000">
        <v>0.28000000000000003</v>
      </c>
      <c r="P13" s="983"/>
      <c r="Q13" s="986"/>
    </row>
    <row r="14" spans="1:17">
      <c r="A14" s="982"/>
      <c r="B14" s="983"/>
      <c r="C14" s="983"/>
      <c r="D14" s="983"/>
      <c r="E14" s="983"/>
      <c r="F14" s="1052" t="str">
        <f>'Uplink Budget'!B33</f>
        <v>None</v>
      </c>
      <c r="G14" s="1053"/>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1042</v>
      </c>
      <c r="O15" s="1040">
        <f>O19/O13</f>
        <v>5.5357142857142856</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714</v>
      </c>
      <c r="K17" s="983"/>
      <c r="L17" s="983"/>
      <c r="M17" s="983"/>
      <c r="N17" s="1038" t="s">
        <v>1041</v>
      </c>
      <c r="O17" s="1040">
        <f>O15-O19</f>
        <v>3.9857142857142858</v>
      </c>
      <c r="P17" s="983"/>
      <c r="Q17" s="986"/>
    </row>
    <row r="18" spans="1:17">
      <c r="A18" s="982"/>
      <c r="B18" s="983"/>
      <c r="C18" s="983"/>
      <c r="D18" s="983"/>
      <c r="E18" s="983"/>
      <c r="F18" s="1002" t="s">
        <v>421</v>
      </c>
      <c r="G18" s="1003">
        <f>'Uplink Budget'!B35</f>
        <v>1E-4</v>
      </c>
      <c r="H18" s="986"/>
      <c r="I18" s="982"/>
      <c r="J18" s="983"/>
      <c r="K18" s="983"/>
      <c r="L18" s="983"/>
      <c r="M18" s="983"/>
      <c r="N18" s="983"/>
      <c r="O18" s="1004"/>
      <c r="P18" s="983"/>
      <c r="Q18" s="986"/>
    </row>
    <row r="19" spans="1:17">
      <c r="A19" s="982"/>
      <c r="B19" s="983"/>
      <c r="C19" s="983"/>
      <c r="D19" s="983"/>
      <c r="E19" s="983"/>
      <c r="F19" s="1058" t="s">
        <v>1010</v>
      </c>
      <c r="G19" s="1059"/>
      <c r="H19" s="986"/>
      <c r="I19" s="982"/>
      <c r="J19" s="983"/>
      <c r="K19" s="983"/>
      <c r="L19" s="983"/>
      <c r="M19" s="983"/>
      <c r="N19" s="1013" t="s">
        <v>1040</v>
      </c>
      <c r="O19" s="1039">
        <f>Transmitters!E60</f>
        <v>1.55</v>
      </c>
      <c r="P19" s="983"/>
      <c r="Q19" s="986"/>
    </row>
    <row r="20" spans="1:17">
      <c r="A20" s="982"/>
      <c r="B20" s="983"/>
      <c r="C20" s="983"/>
      <c r="D20" s="983"/>
      <c r="E20" s="983"/>
      <c r="F20" s="1052" t="str">
        <f>'Uplink Budget'!B32</f>
        <v>DBPSK</v>
      </c>
      <c r="G20" s="1053"/>
      <c r="H20" s="986"/>
      <c r="I20" s="982"/>
      <c r="J20" s="983"/>
      <c r="K20" s="983"/>
      <c r="L20" s="983"/>
      <c r="M20" s="983"/>
      <c r="N20" s="983"/>
      <c r="O20" s="983"/>
      <c r="P20" s="983"/>
      <c r="Q20" s="986"/>
    </row>
    <row r="21" spans="1:17">
      <c r="A21" s="982"/>
      <c r="B21" s="983"/>
      <c r="C21" s="983"/>
      <c r="D21" s="983"/>
      <c r="E21" s="983"/>
      <c r="F21" s="1005" t="s">
        <v>333</v>
      </c>
      <c r="G21" s="1006">
        <f>'Uplink Budget'!B41</f>
        <v>10.3</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714</v>
      </c>
      <c r="K23" s="983"/>
      <c r="L23" s="983"/>
      <c r="M23" s="983"/>
      <c r="N23" s="988" t="s">
        <v>1018</v>
      </c>
      <c r="O23" s="1007">
        <f>Transmitters!I74</f>
        <v>4.4400000000000002E-2</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1019</v>
      </c>
      <c r="G25" s="1008">
        <f>'Uplink Budget'!B57</f>
        <v>2000000</v>
      </c>
      <c r="H25" s="986"/>
      <c r="I25" s="982"/>
      <c r="J25" s="983"/>
      <c r="K25" s="983"/>
      <c r="L25" s="983"/>
      <c r="M25" s="983"/>
      <c r="N25" s="988" t="s">
        <v>1020</v>
      </c>
      <c r="O25" s="1009">
        <f>Transmitters!I78</f>
        <v>0.89999999999999991</v>
      </c>
      <c r="P25" s="983"/>
      <c r="Q25" s="986"/>
    </row>
    <row r="26" spans="1:17">
      <c r="A26" s="982"/>
      <c r="B26" s="983"/>
      <c r="C26" s="983"/>
      <c r="D26" s="983"/>
      <c r="E26" s="983"/>
      <c r="F26" s="1063" t="s">
        <v>419</v>
      </c>
      <c r="G26" s="1064"/>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1021</v>
      </c>
      <c r="O27" s="1009">
        <f>SUM(Transmitters!I79:I81)</f>
        <v>0.52</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1011</v>
      </c>
      <c r="O29" s="1009">
        <f>Transmitters!I83</f>
        <v>0.04</v>
      </c>
      <c r="P29" s="983"/>
      <c r="Q29" s="986"/>
    </row>
    <row r="30" spans="1:17">
      <c r="A30" s="982"/>
      <c r="B30" s="983"/>
      <c r="C30" s="983"/>
      <c r="D30" s="983"/>
      <c r="E30" s="983"/>
      <c r="F30" s="983"/>
      <c r="G30" s="983"/>
      <c r="H30" s="986"/>
      <c r="I30" s="982"/>
      <c r="J30" s="1001" t="s">
        <v>714</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1022</v>
      </c>
      <c r="O32" s="1010">
        <f>Transmitters!I85</f>
        <v>1.5044</v>
      </c>
      <c r="P32" s="983"/>
      <c r="Q32" s="986"/>
    </row>
    <row r="33" spans="1:17" ht="13">
      <c r="A33" s="982"/>
      <c r="B33" s="983"/>
      <c r="C33" s="983"/>
      <c r="D33" s="983"/>
      <c r="E33" s="983"/>
      <c r="F33" s="1011" t="s">
        <v>418</v>
      </c>
      <c r="G33" s="1012">
        <f>'Uplink Budget'!B26</f>
        <v>-26.429606861995655</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1012</v>
      </c>
      <c r="O34" s="1014">
        <f>Transmitters!I87+30</f>
        <v>30.398916981702914</v>
      </c>
      <c r="P34" s="983"/>
      <c r="Q34" s="986"/>
    </row>
    <row r="35" spans="1:17">
      <c r="A35" s="982"/>
      <c r="B35" s="983"/>
      <c r="C35" s="983"/>
      <c r="D35" s="983"/>
      <c r="E35" s="983"/>
      <c r="F35" s="1011" t="s">
        <v>1023</v>
      </c>
      <c r="G35" s="1015">
        <f>'Uplink Budget'!B25</f>
        <v>292.38876856938668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875</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1024</v>
      </c>
      <c r="O38" s="1018">
        <f>'Downlink Budget'!B10</f>
        <v>12</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983</v>
      </c>
      <c r="G40" s="1020">
        <f>Receivers!J67</f>
        <v>738.95882877736869</v>
      </c>
      <c r="H40" s="986"/>
      <c r="I40" s="982"/>
      <c r="J40" s="1065" t="str">
        <f>'Antenna Gain'!F41</f>
        <v>OreSat Helix</v>
      </c>
      <c r="K40" s="1065"/>
      <c r="L40" s="983"/>
      <c r="M40" s="983"/>
      <c r="N40" s="1002" t="s">
        <v>1025</v>
      </c>
      <c r="O40" s="1021">
        <f>'Antenna Pointing Losses'!G85</f>
        <v>5</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1026</v>
      </c>
      <c r="O42" s="1023">
        <f>'Downlink Budget'!B11+30</f>
        <v>42.398916981702911</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58" t="s">
        <v>1013</v>
      </c>
      <c r="O44" s="1066"/>
      <c r="P44" s="983"/>
      <c r="Q44" s="986"/>
    </row>
    <row r="45" spans="1:17" ht="13">
      <c r="A45" s="982"/>
      <c r="B45" s="983"/>
      <c r="C45" s="983"/>
      <c r="D45" s="983"/>
      <c r="E45" s="983"/>
      <c r="F45" s="1024" t="s">
        <v>1027</v>
      </c>
      <c r="G45" s="989">
        <f>Receivers!F65</f>
        <v>15.6</v>
      </c>
      <c r="H45" s="986"/>
      <c r="I45" s="982"/>
      <c r="J45" s="983"/>
      <c r="K45" s="983"/>
      <c r="L45" s="983"/>
      <c r="M45" s="983"/>
      <c r="N45" s="1067">
        <f>SUM('Downlink Budget'!B13:B18)+'Downlink Budget'!B22</f>
        <v>156.08691001580516</v>
      </c>
      <c r="O45" s="1068"/>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1028</v>
      </c>
      <c r="G47" s="1020">
        <f>Receivers!J63</f>
        <v>45</v>
      </c>
      <c r="H47" s="986"/>
      <c r="I47" s="982"/>
      <c r="J47" s="983"/>
      <c r="K47" s="983"/>
      <c r="L47" s="983"/>
      <c r="M47" s="983"/>
      <c r="N47" s="988" t="s">
        <v>1029</v>
      </c>
      <c r="O47" s="1025">
        <f>'Downlink Budget'!B19+30</f>
        <v>-113.12660571079945</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65" t="str">
        <f>'Antenna Gain'!F58</f>
        <v>Handheld Helix</v>
      </c>
      <c r="K49" s="1065"/>
      <c r="L49" s="983"/>
      <c r="M49" s="983"/>
      <c r="N49" s="988" t="s">
        <v>1030</v>
      </c>
      <c r="O49" s="1026">
        <f>'Downlink Budget'!B23</f>
        <v>12</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1031</v>
      </c>
      <c r="G51" s="1027">
        <f>Receivers!J55</f>
        <v>3.77</v>
      </c>
      <c r="H51" s="986"/>
      <c r="I51" s="982"/>
      <c r="J51" s="983"/>
      <c r="K51" s="983"/>
      <c r="L51" s="983"/>
      <c r="M51" s="983"/>
      <c r="N51" s="1002" t="s">
        <v>1025</v>
      </c>
      <c r="O51" s="1021">
        <f>'Antenna Pointing Losses'!F102</f>
        <v>10</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880</v>
      </c>
      <c r="N53" s="983"/>
      <c r="O53" s="983"/>
      <c r="P53" s="983"/>
      <c r="Q53" s="986"/>
    </row>
    <row r="54" spans="1:17">
      <c r="A54" s="982"/>
      <c r="B54" s="983"/>
      <c r="C54" s="983"/>
      <c r="D54" s="983"/>
      <c r="E54" s="983"/>
      <c r="F54" s="988" t="s">
        <v>1021</v>
      </c>
      <c r="G54" s="1009">
        <f>SUM(Receivers!J50:J52)</f>
        <v>2.52</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1032</v>
      </c>
      <c r="O55" s="1020">
        <f>Receivers!J130</f>
        <v>150</v>
      </c>
      <c r="P55" s="983"/>
      <c r="Q55" s="986"/>
    </row>
    <row r="56" spans="1:17">
      <c r="A56" s="982"/>
      <c r="B56" s="983"/>
      <c r="C56" s="983"/>
      <c r="D56" s="983"/>
      <c r="E56" s="983"/>
      <c r="F56" s="988" t="s">
        <v>1020</v>
      </c>
      <c r="G56" s="1009">
        <f>Receivers!J53</f>
        <v>0.89999999999999991</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1018</v>
      </c>
      <c r="G58" s="1007">
        <f>SUM(Receivers!J47:J49)</f>
        <v>0.35</v>
      </c>
      <c r="H58" s="986"/>
      <c r="I58" s="982"/>
      <c r="J58" s="983"/>
      <c r="K58" s="983"/>
      <c r="L58" s="983"/>
      <c r="M58" s="983"/>
      <c r="N58" s="988" t="s">
        <v>1018</v>
      </c>
      <c r="O58" s="1007">
        <f>SUM(Receivers!J118:J120)</f>
        <v>0</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1020</v>
      </c>
      <c r="O60" s="1009">
        <f>Receivers!J123</f>
        <v>0.3</v>
      </c>
      <c r="P60" s="983"/>
      <c r="Q60" s="986"/>
    </row>
    <row r="61" spans="1:17">
      <c r="A61" s="982"/>
      <c r="B61" s="983"/>
      <c r="C61" s="983"/>
      <c r="D61" s="983"/>
      <c r="E61" s="983"/>
      <c r="F61" s="988" t="s">
        <v>1032</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1021</v>
      </c>
      <c r="O62" s="1009">
        <f>SUM(Receivers!J121:J122)</f>
        <v>0</v>
      </c>
      <c r="P62" s="983"/>
      <c r="Q62" s="986"/>
    </row>
    <row r="63" spans="1:17" ht="13">
      <c r="A63" s="982"/>
      <c r="B63" s="983"/>
      <c r="C63" s="983"/>
      <c r="D63" s="983"/>
      <c r="E63" s="1016" t="s">
        <v>880</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1030</v>
      </c>
      <c r="G65" s="1026">
        <f>'Uplink Budget'!B23</f>
        <v>2</v>
      </c>
      <c r="H65" s="986"/>
      <c r="I65" s="982"/>
      <c r="J65" s="983"/>
      <c r="K65" s="983"/>
      <c r="L65" s="983"/>
      <c r="M65" s="983"/>
      <c r="N65" s="988" t="s">
        <v>1031</v>
      </c>
      <c r="O65" s="1027">
        <f>Receivers!J126</f>
        <v>0.3</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2" t="str">
        <f>'Antenna Gain'!F24</f>
        <v>Canted Turnstyle</v>
      </c>
      <c r="C67" s="1062"/>
      <c r="D67" s="983"/>
      <c r="E67" s="983"/>
      <c r="F67" s="1002" t="s">
        <v>1025</v>
      </c>
      <c r="G67" s="1021">
        <f>'Antenna Pointing Losses'!G63</f>
        <v>20</v>
      </c>
      <c r="H67" s="986"/>
      <c r="I67" s="982"/>
      <c r="J67" s="983"/>
      <c r="K67" s="983"/>
      <c r="L67" s="983"/>
      <c r="M67" s="983"/>
      <c r="N67" s="983"/>
      <c r="O67" s="983"/>
      <c r="P67" s="983"/>
      <c r="Q67" s="986"/>
    </row>
    <row r="68" spans="1:17">
      <c r="A68" s="982"/>
      <c r="B68" s="983"/>
      <c r="C68" s="983"/>
      <c r="D68" s="983"/>
      <c r="E68" s="983"/>
      <c r="F68" s="983" t="s">
        <v>714</v>
      </c>
      <c r="G68" s="983"/>
      <c r="H68" s="986"/>
      <c r="I68" s="982"/>
      <c r="J68" s="983"/>
      <c r="K68" s="983"/>
      <c r="L68" s="983"/>
      <c r="M68" s="983"/>
      <c r="N68" s="983"/>
      <c r="O68" s="983"/>
      <c r="P68" s="983"/>
      <c r="Q68" s="986"/>
    </row>
    <row r="69" spans="1:17" ht="15.5">
      <c r="A69" s="982"/>
      <c r="B69" s="983"/>
      <c r="C69" s="983"/>
      <c r="D69" s="983"/>
      <c r="E69" s="983"/>
      <c r="F69" s="988" t="s">
        <v>1033</v>
      </c>
      <c r="G69" s="1025">
        <f>'Uplink Budget'!B19+30</f>
        <v>-94.278544462845758</v>
      </c>
      <c r="H69" s="986"/>
      <c r="I69" s="982"/>
      <c r="J69" s="983"/>
      <c r="K69" s="983"/>
      <c r="L69" s="983"/>
      <c r="M69" s="983"/>
      <c r="N69" s="1024" t="s">
        <v>1028</v>
      </c>
      <c r="O69" s="1020">
        <f>Receivers!J134</f>
        <v>50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58" t="s">
        <v>1013</v>
      </c>
      <c r="G71" s="1059"/>
      <c r="H71" s="986"/>
      <c r="I71" s="982"/>
      <c r="J71" s="983"/>
      <c r="K71" s="983"/>
      <c r="L71" s="983"/>
      <c r="M71" s="983"/>
      <c r="N71" s="1024" t="s">
        <v>1027</v>
      </c>
      <c r="O71" s="989">
        <f>Receivers!F136</f>
        <v>18</v>
      </c>
      <c r="P71" s="983"/>
      <c r="Q71" s="986"/>
    </row>
    <row r="72" spans="1:17" ht="13">
      <c r="A72" s="982"/>
      <c r="B72" s="983"/>
      <c r="C72" s="983"/>
      <c r="D72" s="983"/>
      <c r="E72" s="983"/>
      <c r="F72" s="1060">
        <f>SUM('Uplink Budget'!B13:B18)+'Uplink Budget'!B22</f>
        <v>156.23854446284577</v>
      </c>
      <c r="G72" s="1061"/>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1034</v>
      </c>
      <c r="G74" s="1029">
        <f>'Uplink Budget'!B11+30</f>
        <v>61.96</v>
      </c>
      <c r="H74" s="986"/>
      <c r="I74" s="982"/>
      <c r="J74" s="983"/>
      <c r="K74" s="983"/>
      <c r="L74" s="983"/>
      <c r="M74" s="983"/>
      <c r="N74" s="983"/>
      <c r="O74" s="983"/>
      <c r="P74" s="983"/>
      <c r="Q74" s="986"/>
    </row>
    <row r="75" spans="1:17">
      <c r="A75" s="982"/>
      <c r="B75" s="1069" t="str">
        <f>'Antenna Gain'!F11</f>
        <v>Parabolic Reflector</v>
      </c>
      <c r="C75" s="1069"/>
      <c r="D75" s="983"/>
      <c r="E75" s="983"/>
      <c r="F75" s="983"/>
      <c r="G75" s="983"/>
      <c r="H75" s="986"/>
      <c r="I75" s="982"/>
      <c r="J75" s="983"/>
      <c r="K75" s="983"/>
      <c r="L75" s="983"/>
      <c r="M75" s="983"/>
      <c r="N75" s="983"/>
      <c r="O75" s="983"/>
      <c r="P75" s="983"/>
      <c r="Q75" s="986"/>
    </row>
    <row r="76" spans="1:17">
      <c r="A76" s="982"/>
      <c r="B76" s="983"/>
      <c r="C76" s="983"/>
      <c r="D76" s="983"/>
      <c r="E76" s="983"/>
      <c r="F76" s="988" t="s">
        <v>1035</v>
      </c>
      <c r="G76" s="1026">
        <f>'Uplink Budget'!B10</f>
        <v>22.9</v>
      </c>
      <c r="H76" s="986"/>
      <c r="I76" s="982"/>
      <c r="J76" s="983"/>
      <c r="K76" s="983"/>
      <c r="L76" s="983"/>
      <c r="M76" s="983"/>
      <c r="N76" s="988" t="s">
        <v>983</v>
      </c>
      <c r="O76" s="1020">
        <f>Receivers!J146</f>
        <v>259.77658431514038</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1025</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875</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1023</v>
      </c>
      <c r="O81" s="1015">
        <f>Receivers!J149</f>
        <v>213.46157928883994</v>
      </c>
      <c r="P81" s="983"/>
      <c r="Q81" s="986"/>
    </row>
    <row r="82" spans="1:17" ht="15.5">
      <c r="A82" s="982"/>
      <c r="B82" s="983"/>
      <c r="C82" s="983"/>
      <c r="D82" s="983"/>
      <c r="E82" s="983"/>
      <c r="F82" s="1013" t="s">
        <v>1012</v>
      </c>
      <c r="G82" s="1014">
        <f>Transmitters!I45+30</f>
        <v>39.06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418</v>
      </c>
      <c r="O83" s="1012">
        <f>'Downlink Budget'!B26</f>
        <v>-11.593197182163308</v>
      </c>
      <c r="P83" s="983"/>
      <c r="Q83" s="986"/>
    </row>
    <row r="84" spans="1:17">
      <c r="A84" s="982"/>
      <c r="B84" s="983"/>
      <c r="C84" s="983"/>
      <c r="D84" s="983"/>
      <c r="E84" s="983"/>
      <c r="F84" s="988" t="s">
        <v>1022</v>
      </c>
      <c r="G84" s="1010">
        <f>Transmitters!I43</f>
        <v>0.94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1011</v>
      </c>
      <c r="G87" s="1009">
        <f>Transmitters!I41</f>
        <v>0.18</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1036</v>
      </c>
      <c r="O88" s="1030">
        <f>'Downlink Budget'!B56</f>
        <v>2000000</v>
      </c>
      <c r="P88" s="983"/>
      <c r="Q88" s="986"/>
    </row>
    <row r="89" spans="1:17">
      <c r="A89" s="982"/>
      <c r="B89" s="983"/>
      <c r="C89" s="983"/>
      <c r="D89" s="983"/>
      <c r="E89" s="983"/>
      <c r="F89" s="988" t="s">
        <v>1021</v>
      </c>
      <c r="G89" s="1009">
        <f>SUM(Transmitters!I37:I39)</f>
        <v>0.26</v>
      </c>
      <c r="H89" s="986"/>
      <c r="I89" s="982"/>
      <c r="J89" s="983"/>
      <c r="K89" s="983"/>
      <c r="L89" s="983"/>
      <c r="M89" s="983"/>
      <c r="N89" s="1064" t="s">
        <v>426</v>
      </c>
      <c r="O89" s="1064"/>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1020</v>
      </c>
      <c r="G91" s="1009">
        <f>Transmitters!I36</f>
        <v>0.3</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1018</v>
      </c>
      <c r="G93" s="1007">
        <f>Transmitters!I32</f>
        <v>0.2</v>
      </c>
      <c r="H93" s="986"/>
      <c r="I93" s="982"/>
      <c r="J93" s="983"/>
      <c r="K93" s="983"/>
      <c r="L93" s="983"/>
      <c r="M93" s="983"/>
      <c r="N93" s="1031" t="s">
        <v>421</v>
      </c>
      <c r="O93" s="1003">
        <f>'Downlink Budget'!B35</f>
        <v>1E-4</v>
      </c>
      <c r="P93" s="983"/>
      <c r="Q93" s="986"/>
    </row>
    <row r="94" spans="1:17">
      <c r="A94" s="982"/>
      <c r="B94" s="983"/>
      <c r="C94" s="983"/>
      <c r="D94" s="983"/>
      <c r="E94" s="983"/>
      <c r="F94" s="983" t="s">
        <v>714</v>
      </c>
      <c r="G94" s="983"/>
      <c r="H94" s="986"/>
      <c r="I94" s="982"/>
      <c r="J94" s="983"/>
      <c r="K94" s="983"/>
      <c r="L94" s="983"/>
      <c r="M94" s="983"/>
      <c r="N94" s="1058" t="s">
        <v>1010</v>
      </c>
      <c r="O94" s="1059"/>
      <c r="P94" s="983"/>
      <c r="Q94" s="986"/>
    </row>
    <row r="95" spans="1:17">
      <c r="A95" s="982"/>
      <c r="B95" s="983"/>
      <c r="C95" s="983"/>
      <c r="D95" s="983"/>
      <c r="E95" s="983"/>
      <c r="F95" s="983" t="s">
        <v>714</v>
      </c>
      <c r="G95" s="983"/>
      <c r="H95" s="986"/>
      <c r="I95" s="982"/>
      <c r="J95" s="983"/>
      <c r="K95" s="983"/>
      <c r="L95" s="983"/>
      <c r="M95" s="983"/>
      <c r="N95" s="1052" t="str">
        <f>'Downlink Budget'!B32</f>
        <v>DBPSK</v>
      </c>
      <c r="O95" s="1053"/>
      <c r="P95" s="983"/>
      <c r="Q95" s="986"/>
    </row>
    <row r="96" spans="1:17">
      <c r="A96" s="982"/>
      <c r="B96" s="983"/>
      <c r="C96" s="983"/>
      <c r="D96" s="983"/>
      <c r="E96" s="983"/>
      <c r="F96" s="983" t="s">
        <v>714</v>
      </c>
      <c r="G96" s="983"/>
      <c r="H96" s="986"/>
      <c r="I96" s="982"/>
      <c r="J96" s="983"/>
      <c r="K96" s="983"/>
      <c r="L96" s="983"/>
      <c r="M96" s="983"/>
      <c r="N96" s="1032" t="s">
        <v>333</v>
      </c>
      <c r="O96" s="1006">
        <f>'Downlink Budget'!B41</f>
        <v>10.3</v>
      </c>
      <c r="P96" s="983"/>
      <c r="Q96" s="986"/>
    </row>
    <row r="97" spans="1:17">
      <c r="A97" s="982"/>
      <c r="B97" s="983"/>
      <c r="C97" s="983"/>
      <c r="D97" s="983"/>
      <c r="E97" s="983"/>
      <c r="F97" s="1013" t="s">
        <v>1039</v>
      </c>
      <c r="G97" s="1037">
        <f>Transmitters!E16</f>
        <v>10</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58" t="s">
        <v>1009</v>
      </c>
      <c r="O100" s="1059"/>
      <c r="P100" s="983"/>
      <c r="Q100" s="986"/>
    </row>
    <row r="101" spans="1:17">
      <c r="A101" s="982"/>
      <c r="B101" s="983"/>
      <c r="C101" s="983"/>
      <c r="D101" s="983"/>
      <c r="E101" s="983"/>
      <c r="F101" s="983"/>
      <c r="G101" s="983"/>
      <c r="H101" s="986"/>
      <c r="I101" s="982"/>
      <c r="J101" s="983"/>
      <c r="K101" s="983"/>
      <c r="L101" s="983"/>
      <c r="M101" s="983"/>
      <c r="N101" s="1052" t="str">
        <f>'Downlink Budget'!B33</f>
        <v>None</v>
      </c>
      <c r="O101" s="1053"/>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58" t="s">
        <v>1006</v>
      </c>
      <c r="G103" s="1059"/>
      <c r="H103" s="986"/>
      <c r="I103" s="982"/>
      <c r="J103" s="983"/>
      <c r="K103" s="983"/>
      <c r="L103" s="983"/>
      <c r="M103" s="983"/>
      <c r="N103" s="983"/>
      <c r="O103" s="983"/>
      <c r="P103" s="983"/>
      <c r="Q103" s="986"/>
    </row>
    <row r="104" spans="1:17">
      <c r="A104" s="982"/>
      <c r="B104" s="983"/>
      <c r="C104" s="983"/>
      <c r="D104" s="983"/>
      <c r="E104" s="983"/>
      <c r="F104" s="1052" t="str">
        <f>'Uplink Budget'!B32</f>
        <v>DBPSK</v>
      </c>
      <c r="G104" s="1053"/>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1005</v>
      </c>
      <c r="L105" s="1030">
        <f>'Downlink Budget'!B28</f>
        <v>1000000</v>
      </c>
      <c r="M105" s="983"/>
      <c r="N105" s="983"/>
      <c r="O105" s="983" t="s">
        <v>714</v>
      </c>
      <c r="P105" s="983" t="s">
        <v>714</v>
      </c>
      <c r="Q105" s="986"/>
    </row>
    <row r="106" spans="1:17" ht="13" thickBot="1">
      <c r="A106" s="982"/>
      <c r="B106" s="983"/>
      <c r="C106" s="983"/>
      <c r="D106" s="983"/>
      <c r="E106" s="983"/>
      <c r="F106" s="1058" t="s">
        <v>1008</v>
      </c>
      <c r="G106" s="1059"/>
      <c r="H106" s="986"/>
      <c r="I106" s="982"/>
      <c r="J106" s="983"/>
      <c r="K106" s="983"/>
      <c r="L106" s="983"/>
      <c r="M106" s="983"/>
      <c r="N106" s="983"/>
      <c r="O106" s="983"/>
      <c r="P106" s="983"/>
      <c r="Q106" s="986"/>
    </row>
    <row r="107" spans="1:17" ht="13.5" thickBot="1">
      <c r="A107" s="982"/>
      <c r="B107" s="983"/>
      <c r="C107" s="983"/>
      <c r="D107" s="983"/>
      <c r="E107" s="983"/>
      <c r="F107" s="1052" t="str">
        <f>'Uplink Budget'!B33</f>
        <v>None</v>
      </c>
      <c r="G107" s="1053"/>
      <c r="H107" s="986"/>
      <c r="I107" s="1070" t="s">
        <v>1037</v>
      </c>
      <c r="J107" s="1071"/>
      <c r="K107" s="988" t="s">
        <v>1038</v>
      </c>
      <c r="L107" s="989">
        <f>'Downlink Budget'!B30</f>
        <v>13.318809783734437</v>
      </c>
      <c r="M107" s="983"/>
      <c r="N107" s="1033" t="s">
        <v>417</v>
      </c>
      <c r="O107" s="991">
        <f>'Downlink Budget'!B43</f>
        <v>3.0188097837344365</v>
      </c>
      <c r="P107" s="992" t="str">
        <f>IF(O107&lt;0,"NO LINK !",IF(O107&lt;6,"MARGINAL LINK",IF(O107&gt;6,"LINK CLOSES")))</f>
        <v>MARGINAL LINK</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416</v>
      </c>
      <c r="D109" s="993">
        <f>'Uplink Budget'!B28</f>
        <v>1000000</v>
      </c>
      <c r="E109" s="983"/>
      <c r="F109" s="983"/>
      <c r="G109" s="983"/>
      <c r="H109" s="986"/>
      <c r="I109" s="1070" t="s">
        <v>420</v>
      </c>
      <c r="J109" s="1071"/>
      <c r="K109" s="988" t="s">
        <v>1007</v>
      </c>
      <c r="L109" s="989">
        <f>'Downlink Budget'!B60</f>
        <v>10.308509827094611</v>
      </c>
      <c r="M109" s="983"/>
      <c r="N109" s="1033" t="s">
        <v>428</v>
      </c>
      <c r="O109" s="991">
        <f>'Downlink Budget'!B64</f>
        <v>8.5098270946097898E-3</v>
      </c>
      <c r="P109" s="992" t="str">
        <f>IF(O109&lt;0,"NO LINK !",IF(O109&lt;6,"MARGINAL LINK",IF(O109&gt;6,"LINK CLOSES")))</f>
        <v>MARGINAL LINK</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ht="12.5" customHeight="1">
      <c r="A111" s="982"/>
      <c r="B111" s="983"/>
      <c r="C111" s="983"/>
      <c r="D111" s="983"/>
      <c r="E111" s="983"/>
      <c r="F111" s="983"/>
      <c r="G111" s="983"/>
      <c r="H111" s="986"/>
      <c r="I111" s="983"/>
      <c r="J111" s="983"/>
      <c r="K111" s="983"/>
      <c r="L111" s="983"/>
      <c r="M111" s="983"/>
      <c r="N111" s="983"/>
      <c r="O111" s="983"/>
      <c r="P111" s="983"/>
      <c r="Q111" s="986"/>
    </row>
    <row r="112" spans="1:17" ht="12.5" customHeight="1">
      <c r="A112" s="982"/>
      <c r="B112" s="983"/>
      <c r="C112" s="983"/>
      <c r="D112" s="983"/>
      <c r="E112" s="983"/>
      <c r="F112" s="983"/>
      <c r="G112" s="983"/>
      <c r="H112" s="986"/>
      <c r="I112" s="983"/>
      <c r="J112" s="983"/>
      <c r="K112" s="983"/>
      <c r="L112" s="983"/>
      <c r="M112" s="983"/>
      <c r="N112" s="983"/>
      <c r="O112" s="983"/>
      <c r="P112" s="983"/>
      <c r="Q112" s="986"/>
    </row>
    <row r="113" spans="1:17">
      <c r="A113" s="982"/>
      <c r="B113" s="983"/>
      <c r="C113" s="983"/>
      <c r="D113" s="983"/>
      <c r="E113" s="983"/>
      <c r="F113" s="983"/>
      <c r="G113" s="983"/>
      <c r="H113" s="986"/>
      <c r="I113" s="983"/>
      <c r="J113" s="983"/>
      <c r="K113" s="983"/>
      <c r="L113" s="983"/>
      <c r="M113" s="983"/>
      <c r="N113" s="983"/>
      <c r="O113" s="983"/>
      <c r="P113" s="983"/>
      <c r="Q113" s="986"/>
    </row>
    <row r="114" spans="1:17">
      <c r="A114" s="982"/>
      <c r="B114" s="983"/>
      <c r="C114" s="983"/>
      <c r="D114" s="983"/>
      <c r="E114" s="983"/>
      <c r="F114" s="983"/>
      <c r="G114" s="983"/>
      <c r="H114" s="986"/>
      <c r="I114" s="983"/>
      <c r="J114" s="983"/>
      <c r="K114" s="983"/>
      <c r="L114" s="983"/>
      <c r="M114" s="983"/>
      <c r="N114" s="983"/>
      <c r="O114" s="983" t="s">
        <v>714</v>
      </c>
      <c r="P114" s="983"/>
      <c r="Q114" s="986"/>
    </row>
    <row r="115" spans="1:17" ht="13" thickBot="1">
      <c r="A115" s="1034"/>
      <c r="B115" s="1035"/>
      <c r="C115" s="1035"/>
      <c r="D115" s="1035"/>
      <c r="E115" s="1035"/>
      <c r="F115" s="1035"/>
      <c r="G115" s="1035"/>
      <c r="H115" s="1036"/>
      <c r="I115" s="1035"/>
      <c r="J115" s="1035"/>
      <c r="K115" s="1035"/>
      <c r="L115" s="1035"/>
      <c r="M115" s="1035"/>
      <c r="N115" s="1035"/>
      <c r="O115" s="1035"/>
      <c r="P115" s="1035"/>
      <c r="Q115" s="1036"/>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June 21</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55"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1.2</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1.6528925619834701E-2</v>
      </c>
      <c r="I10" s="185" t="s">
        <v>780</v>
      </c>
      <c r="J10" s="3"/>
      <c r="K10" s="464">
        <f>H10/H6</f>
        <v>8.2644628099173504E-3</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1.9834710743801653</v>
      </c>
      <c r="I12" s="185" t="s">
        <v>780</v>
      </c>
      <c r="J12" s="3"/>
      <c r="K12" s="463">
        <f>1-K10</f>
        <v>0.99173553719008267</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3.6041242688252415E-2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June 21</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June 21</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13.318809783734437</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17.891848675158585</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3" sqref="C1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E17" sqref="E17"/>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June 21</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1048</v>
      </c>
      <c r="G36" s="331"/>
      <c r="H36" s="331"/>
      <c r="I36" s="903">
        <f>E36*0.15</f>
        <v>0.3</v>
      </c>
      <c r="J36" s="331" t="s">
        <v>756</v>
      </c>
      <c r="K36" s="922"/>
      <c r="L36" s="79"/>
      <c r="M36" s="3"/>
      <c r="N36" s="3"/>
      <c r="O36" s="3"/>
      <c r="P36" s="3"/>
    </row>
    <row r="37" spans="1:16">
      <c r="A37" s="3"/>
      <c r="B37" s="3"/>
      <c r="C37" s="330"/>
      <c r="D37" s="331" t="s">
        <v>171</v>
      </c>
      <c r="E37" s="334" t="s">
        <v>183</v>
      </c>
      <c r="F37" s="459" t="s">
        <v>1058</v>
      </c>
      <c r="G37" s="366"/>
      <c r="H37" s="331"/>
      <c r="I37" s="342">
        <v>0.26</v>
      </c>
      <c r="J37" s="331" t="s">
        <v>756</v>
      </c>
      <c r="K37" s="912" t="s">
        <v>1059</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1043</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1046</v>
      </c>
      <c r="F63" s="901"/>
      <c r="G63" s="141"/>
      <c r="H63" s="141"/>
      <c r="I63" s="916">
        <v>6.0000000000000001E-3</v>
      </c>
      <c r="J63" s="141" t="s">
        <v>754</v>
      </c>
      <c r="K63" s="1041"/>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1045</v>
      </c>
      <c r="G78" s="141"/>
      <c r="H78" s="141"/>
      <c r="I78" s="902">
        <f>E78*0.15</f>
        <v>0.89999999999999991</v>
      </c>
      <c r="J78" s="141" t="s">
        <v>756</v>
      </c>
      <c r="K78" s="1041" t="s">
        <v>1044</v>
      </c>
      <c r="L78" s="3"/>
      <c r="M78" s="3"/>
      <c r="N78" s="3"/>
      <c r="O78" s="3"/>
      <c r="P78" s="3"/>
    </row>
    <row r="79" spans="1:16">
      <c r="A79" s="3"/>
      <c r="B79" s="3"/>
      <c r="C79" s="177"/>
      <c r="D79" s="141" t="s">
        <v>171</v>
      </c>
      <c r="E79" s="142" t="s">
        <v>183</v>
      </c>
      <c r="F79" s="890" t="s">
        <v>1055</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1" t="s">
        <v>1067</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June 21</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1051</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1047</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1052</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6</v>
      </c>
      <c r="I53" s="913" t="s">
        <v>1050</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3.77</v>
      </c>
      <c r="K55" s="331" t="s">
        <v>756</v>
      </c>
      <c r="L55" s="331"/>
      <c r="M55" s="323"/>
      <c r="N55" s="3"/>
      <c r="O55" s="295"/>
      <c r="P55" s="297"/>
      <c r="Q55" s="358" t="s">
        <v>229</v>
      </c>
      <c r="R55" s="129">
        <v>50</v>
      </c>
      <c r="S55" s="297" t="s">
        <v>784</v>
      </c>
      <c r="T55" s="358" t="s">
        <v>988</v>
      </c>
      <c r="U55" s="355">
        <f>10*LOG10(1+(R55/J61))</f>
        <v>0.6908091914329908</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4" t="s">
        <v>1052</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3" t="s">
        <v>1061</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1056</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292.38876856938668</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2</v>
      </c>
      <c r="I123" s="659" t="s">
        <v>1053</v>
      </c>
      <c r="J123" s="911">
        <f>H123*0.15</f>
        <v>0.3</v>
      </c>
      <c r="K123" s="141" t="s">
        <v>756</v>
      </c>
      <c r="L123" s="141"/>
      <c r="M123" s="182" t="s">
        <v>1063</v>
      </c>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0.3</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0.93325430079699101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50</v>
      </c>
      <c r="K134" s="141" t="s">
        <v>784</v>
      </c>
      <c r="L134" s="141"/>
      <c r="M134" s="1041" t="s">
        <v>1047</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v>
      </c>
      <c r="G136" s="141" t="s">
        <v>756</v>
      </c>
      <c r="H136" s="141"/>
      <c r="I136" s="141" t="s">
        <v>999</v>
      </c>
      <c r="J136" s="302">
        <f>10^(F136/10)</f>
        <v>63.095734448019364</v>
      </c>
      <c r="K136" s="141"/>
      <c r="L136" s="141"/>
      <c r="M136" s="1041" t="s">
        <v>1047</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1057</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3" t="s">
        <v>1065</v>
      </c>
      <c r="Q141" s="938"/>
      <c r="R141" s="934">
        <v>-2</v>
      </c>
      <c r="S141" s="934">
        <v>2</v>
      </c>
      <c r="T141" s="935"/>
      <c r="U141" s="936">
        <f>IF(R141,10^(R141/10), "")</f>
        <v>0.63095734448019325</v>
      </c>
      <c r="V141" s="936">
        <f>IF(S141,10^(S141/10), "")</f>
        <v>1.5848931924611136</v>
      </c>
      <c r="W141" s="936">
        <f>IF(S141,1,"")</f>
        <v>1</v>
      </c>
      <c r="X141" s="935">
        <f>IF(S141,290*(V141-1), "")</f>
        <v>169.61902581372294</v>
      </c>
      <c r="Y141" s="935">
        <f t="shared" ref="Y141:Y150" si="8">IF(S141,X141/W141, "")</f>
        <v>169.61902581372294</v>
      </c>
      <c r="Z141" s="936">
        <f>IF(S141,(V141-1)/W141, "")</f>
        <v>0.5848931924611136</v>
      </c>
      <c r="AA141" s="936">
        <f>IF(S141,Z141+1, "")</f>
        <v>1.5848931924611136</v>
      </c>
    </row>
    <row r="142" spans="1:27">
      <c r="A142" s="3"/>
      <c r="B142" s="3"/>
      <c r="C142" s="177"/>
      <c r="D142" s="141" t="s">
        <v>667</v>
      </c>
      <c r="E142" s="141"/>
      <c r="F142" s="964"/>
      <c r="G142" s="141"/>
      <c r="H142" s="141"/>
      <c r="I142" s="141"/>
      <c r="J142" s="965"/>
      <c r="K142" s="659"/>
      <c r="L142" s="141"/>
      <c r="M142" s="182"/>
      <c r="N142" s="3"/>
      <c r="O142" s="932">
        <v>2</v>
      </c>
      <c r="P142" s="937" t="s">
        <v>1066</v>
      </c>
      <c r="Q142" s="938"/>
      <c r="R142" s="934">
        <v>18</v>
      </c>
      <c r="S142" s="934">
        <v>0.69</v>
      </c>
      <c r="T142" s="935"/>
      <c r="U142" s="936">
        <f t="shared" ref="U142:V150" si="9">IF(R142,10^(R142/10), "")</f>
        <v>63.095734448019364</v>
      </c>
      <c r="V142" s="936">
        <f t="shared" si="9"/>
        <v>1.1721953655481305</v>
      </c>
      <c r="W142" s="936">
        <f t="shared" ref="W142:W150" si="10">IF(S142,W141*U141, "")</f>
        <v>0.63095734448019325</v>
      </c>
      <c r="X142" s="935">
        <f t="shared" ref="X142:X150" si="11">IF(S142,290*(V142-1), "")</f>
        <v>49.936656008957854</v>
      </c>
      <c r="Y142" s="935">
        <f t="shared" si="8"/>
        <v>79.144266162869656</v>
      </c>
      <c r="Z142" s="936">
        <f t="shared" ref="Z142:Z150" si="12">IF(S142,(V142-1)/W142, "")</f>
        <v>0.27291126263058502</v>
      </c>
      <c r="AA142" s="936">
        <f>IF(S142, AA141+Z142, "")</f>
        <v>1.8578044550916986</v>
      </c>
    </row>
    <row r="143" spans="1:27">
      <c r="A143" s="3"/>
      <c r="B143" s="3"/>
      <c r="C143" s="177"/>
      <c r="D143" s="141"/>
      <c r="E143" s="141"/>
      <c r="F143" s="964"/>
      <c r="G143" s="141"/>
      <c r="H143" s="141"/>
      <c r="I143" s="141"/>
      <c r="J143" s="302"/>
      <c r="K143" s="141"/>
      <c r="L143" s="141"/>
      <c r="M143" s="182"/>
      <c r="N143" s="3"/>
      <c r="O143" s="932">
        <v>3</v>
      </c>
      <c r="P143" s="937" t="s">
        <v>1064</v>
      </c>
      <c r="Q143" s="938"/>
      <c r="R143" s="934">
        <v>-0.5</v>
      </c>
      <c r="S143" s="934">
        <v>0.5</v>
      </c>
      <c r="T143" s="935"/>
      <c r="U143" s="936">
        <f t="shared" si="9"/>
        <v>0.89125093813374545</v>
      </c>
      <c r="V143" s="936">
        <f t="shared" si="9"/>
        <v>1.1220184543019636</v>
      </c>
      <c r="W143" s="936">
        <f t="shared" si="10"/>
        <v>39.810717055349748</v>
      </c>
      <c r="X143" s="935">
        <f t="shared" si="11"/>
        <v>35.38535174756943</v>
      </c>
      <c r="Y143" s="935">
        <f t="shared" si="8"/>
        <v>0.88883984928913407</v>
      </c>
      <c r="Z143" s="936">
        <f t="shared" si="12"/>
        <v>3.0649649975487384E-3</v>
      </c>
      <c r="AA143" s="936">
        <f t="shared" ref="AA143:AA150" si="13">IF(S143, AA142+Z143, "")</f>
        <v>1.8608694200892473</v>
      </c>
    </row>
    <row r="144" spans="1:27">
      <c r="A144" s="3"/>
      <c r="B144" s="3"/>
      <c r="C144" s="177"/>
      <c r="D144" s="141" t="s">
        <v>668</v>
      </c>
      <c r="E144" s="141"/>
      <c r="F144" s="964"/>
      <c r="G144" s="141"/>
      <c r="H144" s="141"/>
      <c r="I144" s="141"/>
      <c r="J144" s="966">
        <f>J138*J142</f>
        <v>0</v>
      </c>
      <c r="K144" s="141" t="s">
        <v>756</v>
      </c>
      <c r="L144" s="141"/>
      <c r="M144" s="182"/>
      <c r="N144" s="3"/>
      <c r="O144" s="932">
        <v>4</v>
      </c>
      <c r="P144" s="937" t="s">
        <v>1061</v>
      </c>
      <c r="Q144" s="938"/>
      <c r="R144" s="934"/>
      <c r="S144" s="934">
        <v>3.5</v>
      </c>
      <c r="T144" s="935"/>
      <c r="U144" s="936" t="str">
        <f t="shared" si="9"/>
        <v/>
      </c>
      <c r="V144" s="936">
        <f t="shared" si="9"/>
        <v>2.2387211385683394</v>
      </c>
      <c r="W144" s="936">
        <f t="shared" si="10"/>
        <v>35.481338923357562</v>
      </c>
      <c r="X144" s="935">
        <f t="shared" si="11"/>
        <v>359.22913018481842</v>
      </c>
      <c r="Y144" s="935">
        <f t="shared" si="8"/>
        <v>10.124452489258681</v>
      </c>
      <c r="Z144" s="936">
        <f t="shared" si="12"/>
        <v>3.4911905135374767E-2</v>
      </c>
      <c r="AA144" s="936">
        <f t="shared" si="13"/>
        <v>1.8957813252246221</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259.77658431514038</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213.46157928883994</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259.77658431514038</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June 21</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5"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6"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1054</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Handheld Helix</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4</v>
      </c>
      <c r="F61" s="158"/>
      <c r="G61" s="160" t="s">
        <v>66</v>
      </c>
      <c r="H61" s="159">
        <v>0.25</v>
      </c>
      <c r="I61" s="158"/>
      <c r="J61" s="160" t="s">
        <v>64</v>
      </c>
      <c r="K61" s="161">
        <v>1</v>
      </c>
      <c r="L61" s="158"/>
      <c r="M61" s="158" t="s">
        <v>59</v>
      </c>
      <c r="N61" s="162">
        <f>10*LOG10(15*K61^2*E61*H61)</f>
        <v>11.760912590556813</v>
      </c>
      <c r="O61" s="158" t="s">
        <v>783</v>
      </c>
      <c r="P61" s="158" t="s">
        <v>61</v>
      </c>
      <c r="Q61" s="163">
        <f>115/(K61*((E61*H61)^0.5))</f>
        <v>115</v>
      </c>
      <c r="R61" s="158" t="s">
        <v>4</v>
      </c>
      <c r="S61" s="376" t="s">
        <v>89</v>
      </c>
      <c r="T61" s="376"/>
      <c r="U61" s="375">
        <f>H61*E61*K55</f>
        <v>0.12378199834847234</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5" t="s">
        <v>1069</v>
      </c>
      <c r="C63" s="146"/>
      <c r="D63" s="146"/>
      <c r="E63" s="624"/>
      <c r="F63" s="889"/>
      <c r="G63" s="624"/>
      <c r="H63" s="898"/>
      <c r="I63" s="898"/>
      <c r="J63" s="898"/>
      <c r="K63" s="147"/>
      <c r="L63" s="146"/>
      <c r="M63" s="146" t="s">
        <v>59</v>
      </c>
      <c r="N63" s="148">
        <v>12</v>
      </c>
      <c r="O63" s="146" t="s">
        <v>783</v>
      </c>
      <c r="P63" s="146" t="s">
        <v>61</v>
      </c>
      <c r="Q63" s="149">
        <v>45</v>
      </c>
      <c r="R63" s="146" t="s">
        <v>4</v>
      </c>
      <c r="S63" s="681" t="s">
        <v>465</v>
      </c>
      <c r="T63" s="146"/>
      <c r="U63" s="1046"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H29" sqref="H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June 21</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Handheld Helix</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35.448888888888888</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11.760912590556813</v>
      </c>
      <c r="H98" s="158" t="s">
        <v>783</v>
      </c>
      <c r="I98" s="266" t="s">
        <v>61</v>
      </c>
      <c r="J98" s="275">
        <f>'Antenna Gain'!Q61</f>
        <v>115</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45</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10</v>
      </c>
      <c r="G102" s="287" t="s">
        <v>135</v>
      </c>
      <c r="H102" s="296" t="s">
        <v>133</v>
      </c>
      <c r="I102" s="297"/>
      <c r="J102" s="297"/>
      <c r="K102" s="285">
        <f>-10*LOG10(3282.81*((SIN(RADIANS(R97))^2/(R97^2))))</f>
        <v>0.56138732330279761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June 21</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2019-06-21T19:50:18Z</cp:lastPrinted>
  <dcterms:created xsi:type="dcterms:W3CDTF">2003-03-25T04:05:57Z</dcterms:created>
  <dcterms:modified xsi:type="dcterms:W3CDTF">2019-06-21T19:50:53Z</dcterms:modified>
</cp:coreProperties>
</file>