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User\Downloads\Accounting\"/>
    </mc:Choice>
  </mc:AlternateContent>
  <xr:revisionPtr revIDLastSave="0" documentId="13_ncr:1_{5B62A40D-0F81-4A79-8EAF-B67DEE4C1C90}" xr6:coauthVersionLast="41" xr6:coauthVersionMax="41" xr10:uidLastSave="{00000000-0000-0000-0000-000000000000}"/>
  <bookViews>
    <workbookView xWindow="-108" yWindow="-108" windowWidth="23256" windowHeight="12576" activeTab="1" xr2:uid="{00000000-000D-0000-FFFF-FFFF00000000}"/>
  </bookViews>
  <sheets>
    <sheet name="BS-Horizontal" sheetId="1" r:id="rId1"/>
    <sheet name="IS-Horizontal" sheetId="4" r:id="rId2"/>
    <sheet name="BS-Vertical" sheetId="5" r:id="rId3"/>
    <sheet name="IS-Vertical" sheetId="6" r:id="rId4"/>
    <sheet name="Ratios" sheetId="7" r:id="rId5"/>
  </sheets>
  <definedNames>
    <definedName name="_xlnm.Print_Area" localSheetId="0">'BS-Horizontal'!$A$1:$E$61</definedName>
    <definedName name="_xlnm.Print_Area" localSheetId="2">'BS-Vertical'!$A$1:$E$57</definedName>
    <definedName name="_xlnm.Print_Area" localSheetId="1">'IS-Horizontal'!$A$1:$E$37</definedName>
    <definedName name="_xlnm.Print_Area" localSheetId="3">'IS-Vertical'!$A$1:$E$37</definedName>
    <definedName name="_xlnm.Print_Area" localSheetId="4">Ratios!$A$1:$K$37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7" l="1"/>
  <c r="H15" i="7"/>
  <c r="H12" i="7"/>
  <c r="H10" i="7"/>
  <c r="E10" i="7"/>
  <c r="E12" i="7"/>
  <c r="C46" i="1"/>
  <c r="B46" i="1"/>
  <c r="B48" i="1"/>
  <c r="C39" i="1"/>
  <c r="B39" i="1"/>
  <c r="C38" i="1"/>
  <c r="B38" i="1"/>
  <c r="B20" i="1"/>
  <c r="C20" i="1"/>
  <c r="C10" i="1"/>
  <c r="C7" i="1"/>
  <c r="B7" i="1"/>
  <c r="I25" i="4"/>
  <c r="B30" i="4"/>
  <c r="C26" i="4"/>
  <c r="K22" i="4"/>
  <c r="H15" i="4"/>
  <c r="B27" i="4"/>
  <c r="C25" i="4"/>
  <c r="B25" i="4"/>
  <c r="C22" i="4"/>
  <c r="G12" i="7" l="1"/>
  <c r="D12" i="7"/>
  <c r="D6" i="6" l="1"/>
  <c r="E13" i="6" s="1"/>
  <c r="D27" i="6"/>
  <c r="D26" i="6"/>
  <c r="D25" i="6"/>
  <c r="D24" i="6"/>
  <c r="B6" i="6"/>
  <c r="C7" i="6" s="1"/>
  <c r="B27" i="6"/>
  <c r="B26" i="6"/>
  <c r="B25" i="6"/>
  <c r="B24" i="6"/>
  <c r="D8" i="6"/>
  <c r="C9" i="4"/>
  <c r="D9" i="6" s="1"/>
  <c r="B9" i="4"/>
  <c r="B9" i="6" s="1"/>
  <c r="B8" i="6"/>
  <c r="B7" i="6"/>
  <c r="B19" i="5"/>
  <c r="B46" i="5"/>
  <c r="A35" i="6"/>
  <c r="A56" i="5"/>
  <c r="A35" i="4"/>
  <c r="E27" i="4"/>
  <c r="E25" i="4"/>
  <c r="E26" i="4"/>
  <c r="E24" i="4"/>
  <c r="E14" i="4"/>
  <c r="E15" i="4"/>
  <c r="E16" i="4"/>
  <c r="E17" i="4"/>
  <c r="E18" i="4"/>
  <c r="E19" i="4"/>
  <c r="E20" i="4"/>
  <c r="E13" i="4"/>
  <c r="E8" i="4"/>
  <c r="E7" i="4"/>
  <c r="E6" i="4"/>
  <c r="E47" i="1"/>
  <c r="E43" i="1"/>
  <c r="E44" i="1"/>
  <c r="E45" i="1"/>
  <c r="E46" i="1"/>
  <c r="E42" i="1"/>
  <c r="E38" i="1"/>
  <c r="E39" i="1"/>
  <c r="E37" i="1"/>
  <c r="E29" i="1"/>
  <c r="E30" i="1"/>
  <c r="E31" i="1"/>
  <c r="E32" i="1"/>
  <c r="E33" i="1"/>
  <c r="E34" i="1"/>
  <c r="E28" i="1"/>
  <c r="E15" i="1"/>
  <c r="E16" i="1"/>
  <c r="E17" i="1"/>
  <c r="E18" i="1"/>
  <c r="E19" i="1"/>
  <c r="E20" i="1"/>
  <c r="E14" i="1"/>
  <c r="B12" i="1"/>
  <c r="B7" i="7" s="1"/>
  <c r="C12" i="1"/>
  <c r="E11" i="1"/>
  <c r="E7" i="1"/>
  <c r="E8" i="1"/>
  <c r="E9" i="1"/>
  <c r="E10" i="1"/>
  <c r="E6" i="1"/>
  <c r="D9" i="7"/>
  <c r="E8" i="7"/>
  <c r="B8" i="7"/>
  <c r="G19" i="7"/>
  <c r="G18" i="7"/>
  <c r="D19" i="7"/>
  <c r="D18" i="7"/>
  <c r="A31" i="7"/>
  <c r="A34" i="6"/>
  <c r="A55" i="5"/>
  <c r="A34" i="4"/>
  <c r="E4" i="6"/>
  <c r="A30" i="6"/>
  <c r="E26" i="5"/>
  <c r="C26" i="5"/>
  <c r="E4" i="5"/>
  <c r="D25" i="1"/>
  <c r="D4" i="1"/>
  <c r="I1" i="7"/>
  <c r="C1" i="6"/>
  <c r="C1" i="5"/>
  <c r="C1" i="4"/>
  <c r="A30" i="7"/>
  <c r="A33" i="6"/>
  <c r="A54" i="5"/>
  <c r="A33" i="4"/>
  <c r="B17" i="5"/>
  <c r="B6" i="5"/>
  <c r="B7" i="5"/>
  <c r="B8" i="5"/>
  <c r="B9" i="5"/>
  <c r="B10" i="5"/>
  <c r="B11" i="5"/>
  <c r="B14" i="5"/>
  <c r="B15" i="5"/>
  <c r="B16" i="5"/>
  <c r="B18" i="5"/>
  <c r="B20" i="5"/>
  <c r="A29" i="7"/>
  <c r="A32" i="6"/>
  <c r="A53" i="5"/>
  <c r="A32" i="4"/>
  <c r="G23" i="7"/>
  <c r="D23" i="7"/>
  <c r="C35" i="1"/>
  <c r="G8" i="7" s="1"/>
  <c r="C40" i="1"/>
  <c r="C21" i="1"/>
  <c r="B35" i="1"/>
  <c r="B40" i="1"/>
  <c r="B21" i="1"/>
  <c r="B28" i="4"/>
  <c r="C28" i="4"/>
  <c r="C30" i="4" s="1"/>
  <c r="C48" i="1"/>
  <c r="G15" i="7"/>
  <c r="D15" i="7"/>
  <c r="I12" i="7"/>
  <c r="B12" i="7"/>
  <c r="E11" i="7"/>
  <c r="I11" i="7" s="1"/>
  <c r="G11" i="7"/>
  <c r="B11" i="7"/>
  <c r="D11" i="7"/>
  <c r="G10" i="7"/>
  <c r="B10" i="7"/>
  <c r="D10" i="7"/>
  <c r="E9" i="7"/>
  <c r="I9" i="7" s="1"/>
  <c r="G9" i="7"/>
  <c r="B9" i="7"/>
  <c r="D20" i="6"/>
  <c r="B20" i="6"/>
  <c r="D37" i="5"/>
  <c r="D38" i="5"/>
  <c r="E38" i="5" s="1"/>
  <c r="D39" i="5"/>
  <c r="B37" i="5"/>
  <c r="B38" i="5"/>
  <c r="B39" i="5"/>
  <c r="D17" i="5"/>
  <c r="D10" i="5"/>
  <c r="D7" i="6"/>
  <c r="A1" i="7"/>
  <c r="H4" i="7"/>
  <c r="I4" i="7"/>
  <c r="B5" i="7"/>
  <c r="E5" i="7"/>
  <c r="A1" i="6"/>
  <c r="B4" i="6"/>
  <c r="D4" i="6"/>
  <c r="A6" i="6"/>
  <c r="A7" i="6"/>
  <c r="A8" i="6"/>
  <c r="A9" i="6"/>
  <c r="A11" i="6"/>
  <c r="A13" i="6"/>
  <c r="B13" i="6"/>
  <c r="D13" i="6"/>
  <c r="A14" i="6"/>
  <c r="B14" i="6"/>
  <c r="D14" i="6"/>
  <c r="E14" i="6" s="1"/>
  <c r="A15" i="6"/>
  <c r="B15" i="6"/>
  <c r="D15" i="6"/>
  <c r="E15" i="6"/>
  <c r="A16" i="6"/>
  <c r="B16" i="6"/>
  <c r="D16" i="6"/>
  <c r="A17" i="6"/>
  <c r="B17" i="6"/>
  <c r="D17" i="6"/>
  <c r="A18" i="6"/>
  <c r="B18" i="6"/>
  <c r="D18" i="6"/>
  <c r="A19" i="6"/>
  <c r="B19" i="6"/>
  <c r="D19" i="6"/>
  <c r="E20" i="6"/>
  <c r="A22" i="6"/>
  <c r="A24" i="6"/>
  <c r="A25" i="6"/>
  <c r="A26" i="6"/>
  <c r="A27" i="6"/>
  <c r="A28" i="6"/>
  <c r="A1" i="5"/>
  <c r="B4" i="5"/>
  <c r="D4" i="5"/>
  <c r="A5" i="5"/>
  <c r="A6" i="5"/>
  <c r="D6" i="5"/>
  <c r="D7" i="5"/>
  <c r="D8" i="5"/>
  <c r="D9" i="5"/>
  <c r="D11" i="5"/>
  <c r="D14" i="5"/>
  <c r="D15" i="5"/>
  <c r="D16" i="5"/>
  <c r="D18" i="5"/>
  <c r="D19" i="5"/>
  <c r="D20" i="5"/>
  <c r="A7" i="5"/>
  <c r="A8" i="5"/>
  <c r="A9" i="5"/>
  <c r="A10" i="5"/>
  <c r="A11" i="5"/>
  <c r="A13" i="5"/>
  <c r="A14" i="5"/>
  <c r="A15" i="5"/>
  <c r="A16" i="5"/>
  <c r="A17" i="5"/>
  <c r="A18" i="5"/>
  <c r="A19" i="5"/>
  <c r="A20" i="5"/>
  <c r="B26" i="5"/>
  <c r="D26" i="5"/>
  <c r="A27" i="5"/>
  <c r="A28" i="5"/>
  <c r="B28" i="5"/>
  <c r="D28" i="5"/>
  <c r="A29" i="5"/>
  <c r="B29" i="5"/>
  <c r="D29" i="5"/>
  <c r="A30" i="5"/>
  <c r="B30" i="5"/>
  <c r="D30" i="5"/>
  <c r="A31" i="5"/>
  <c r="B31" i="5"/>
  <c r="D31" i="5"/>
  <c r="A32" i="5"/>
  <c r="B32" i="5"/>
  <c r="D32" i="5"/>
  <c r="A33" i="5"/>
  <c r="B33" i="5"/>
  <c r="D33" i="5"/>
  <c r="A34" i="5"/>
  <c r="B34" i="5"/>
  <c r="D34" i="5"/>
  <c r="A36" i="5"/>
  <c r="A37" i="5"/>
  <c r="A38" i="5"/>
  <c r="A39" i="5"/>
  <c r="A41" i="5"/>
  <c r="A42" i="5"/>
  <c r="B42" i="5"/>
  <c r="D42" i="5"/>
  <c r="A43" i="5"/>
  <c r="B43" i="5"/>
  <c r="D43" i="5"/>
  <c r="A44" i="5"/>
  <c r="B44" i="5"/>
  <c r="D44" i="5"/>
  <c r="A45" i="5"/>
  <c r="B45" i="5"/>
  <c r="D45" i="5"/>
  <c r="A46" i="5"/>
  <c r="D46" i="5"/>
  <c r="A47" i="5"/>
  <c r="B47" i="5"/>
  <c r="D47" i="5"/>
  <c r="A1" i="4"/>
  <c r="C4" i="4"/>
  <c r="B4" i="4"/>
  <c r="D4" i="4"/>
  <c r="D6" i="4"/>
  <c r="D7" i="4"/>
  <c r="D8" i="4"/>
  <c r="D13" i="4"/>
  <c r="D14" i="4"/>
  <c r="D15" i="4"/>
  <c r="D16" i="4"/>
  <c r="D17" i="4"/>
  <c r="D18" i="4"/>
  <c r="D19" i="4"/>
  <c r="D20" i="4"/>
  <c r="D24" i="4"/>
  <c r="D25" i="4"/>
  <c r="D26" i="4"/>
  <c r="D27" i="4"/>
  <c r="D6" i="1"/>
  <c r="D7" i="1"/>
  <c r="D8" i="1"/>
  <c r="D9" i="1"/>
  <c r="D10" i="1"/>
  <c r="D11" i="1"/>
  <c r="D14" i="1"/>
  <c r="D15" i="1"/>
  <c r="D16" i="1"/>
  <c r="D17" i="1"/>
  <c r="D18" i="1"/>
  <c r="D19" i="1"/>
  <c r="D20" i="1"/>
  <c r="C26" i="1"/>
  <c r="B26" i="1"/>
  <c r="D26" i="1"/>
  <c r="D28" i="1"/>
  <c r="D29" i="1"/>
  <c r="D30" i="1"/>
  <c r="D31" i="1"/>
  <c r="D32" i="1"/>
  <c r="D33" i="1"/>
  <c r="D34" i="1"/>
  <c r="D37" i="1"/>
  <c r="D38" i="1"/>
  <c r="D39" i="1"/>
  <c r="D42" i="1"/>
  <c r="D43" i="1"/>
  <c r="D44" i="1"/>
  <c r="D45" i="1"/>
  <c r="D46" i="1"/>
  <c r="D47" i="1"/>
  <c r="E7" i="6"/>
  <c r="E6" i="6"/>
  <c r="G17" i="7" l="1"/>
  <c r="C50" i="1"/>
  <c r="D40" i="5"/>
  <c r="B40" i="5"/>
  <c r="D40" i="1"/>
  <c r="E22" i="7"/>
  <c r="B35" i="5"/>
  <c r="B21" i="5"/>
  <c r="C23" i="1"/>
  <c r="G16" i="7" s="1"/>
  <c r="B12" i="5"/>
  <c r="H11" i="7"/>
  <c r="I10" i="7"/>
  <c r="D12" i="5"/>
  <c r="E9" i="6"/>
  <c r="E16" i="6"/>
  <c r="E17" i="6"/>
  <c r="E19" i="6"/>
  <c r="E24" i="6"/>
  <c r="E8" i="6"/>
  <c r="E26" i="6"/>
  <c r="E18" i="6"/>
  <c r="E25" i="6"/>
  <c r="C20" i="6"/>
  <c r="C19" i="6"/>
  <c r="B22" i="4"/>
  <c r="B22" i="6" s="1"/>
  <c r="C22" i="6" s="1"/>
  <c r="C16" i="6"/>
  <c r="C9" i="6"/>
  <c r="C6" i="6"/>
  <c r="C14" i="6"/>
  <c r="C18" i="6"/>
  <c r="C13" i="6"/>
  <c r="H9" i="7"/>
  <c r="D9" i="4"/>
  <c r="C15" i="6"/>
  <c r="C17" i="6"/>
  <c r="C26" i="6"/>
  <c r="D28" i="6"/>
  <c r="E28" i="6" s="1"/>
  <c r="B28" i="6"/>
  <c r="C28" i="6" s="1"/>
  <c r="B48" i="5"/>
  <c r="D28" i="4"/>
  <c r="E15" i="7"/>
  <c r="E9" i="4"/>
  <c r="B15" i="7"/>
  <c r="E27" i="6"/>
  <c r="C24" i="6"/>
  <c r="C25" i="6"/>
  <c r="D48" i="1"/>
  <c r="B50" i="1"/>
  <c r="D35" i="5"/>
  <c r="D35" i="1"/>
  <c r="B22" i="7"/>
  <c r="D8" i="7"/>
  <c r="H8" i="7" s="1"/>
  <c r="E21" i="1"/>
  <c r="D21" i="1"/>
  <c r="D12" i="1"/>
  <c r="B23" i="1"/>
  <c r="D22" i="7" s="1"/>
  <c r="E7" i="7"/>
  <c r="E12" i="1"/>
  <c r="I8" i="7"/>
  <c r="B23" i="5"/>
  <c r="D21" i="5"/>
  <c r="D23" i="5" s="1"/>
  <c r="E19" i="5" s="1"/>
  <c r="C8" i="6"/>
  <c r="C27" i="6"/>
  <c r="D48" i="5"/>
  <c r="E48" i="1"/>
  <c r="G7" i="7"/>
  <c r="E40" i="1"/>
  <c r="E35" i="1"/>
  <c r="D7" i="7"/>
  <c r="H7" i="7" s="1"/>
  <c r="D17" i="7"/>
  <c r="E28" i="4"/>
  <c r="E50" i="1" l="1"/>
  <c r="B50" i="5"/>
  <c r="C50" i="5" s="1"/>
  <c r="C35" i="5"/>
  <c r="G22" i="7"/>
  <c r="I22" i="7" s="1"/>
  <c r="E18" i="7"/>
  <c r="I18" i="7" s="1"/>
  <c r="E22" i="4"/>
  <c r="B23" i="7"/>
  <c r="H23" i="7" s="1"/>
  <c r="B16" i="7"/>
  <c r="E16" i="7"/>
  <c r="I16" i="7" s="1"/>
  <c r="D50" i="1"/>
  <c r="D22" i="4"/>
  <c r="E23" i="7"/>
  <c r="I23" i="7" s="1"/>
  <c r="D22" i="6"/>
  <c r="E22" i="6" s="1"/>
  <c r="H22" i="7"/>
  <c r="E32" i="5"/>
  <c r="E48" i="5"/>
  <c r="B18" i="7"/>
  <c r="H18" i="7" s="1"/>
  <c r="E23" i="1"/>
  <c r="D23" i="1"/>
  <c r="D16" i="7"/>
  <c r="E8" i="5"/>
  <c r="E35" i="5"/>
  <c r="I7" i="7"/>
  <c r="C47" i="5"/>
  <c r="E10" i="5"/>
  <c r="E12" i="5"/>
  <c r="C46" i="5"/>
  <c r="C15" i="5"/>
  <c r="C39" i="5"/>
  <c r="C21" i="5"/>
  <c r="C9" i="5"/>
  <c r="C38" i="5"/>
  <c r="C44" i="5"/>
  <c r="C12" i="5"/>
  <c r="C19" i="5"/>
  <c r="C16" i="5"/>
  <c r="C20" i="5"/>
  <c r="C10" i="5"/>
  <c r="C48" i="5"/>
  <c r="C30" i="5"/>
  <c r="C32" i="5"/>
  <c r="C7" i="5"/>
  <c r="C11" i="5"/>
  <c r="C17" i="5"/>
  <c r="C40" i="5"/>
  <c r="C33" i="5"/>
  <c r="C43" i="5"/>
  <c r="C8" i="5"/>
  <c r="C14" i="5"/>
  <c r="C45" i="5"/>
  <c r="C37" i="5"/>
  <c r="C31" i="5"/>
  <c r="C18" i="5"/>
  <c r="C6" i="5"/>
  <c r="C23" i="5"/>
  <c r="C29" i="5"/>
  <c r="C42" i="5"/>
  <c r="C28" i="5"/>
  <c r="C34" i="5"/>
  <c r="E23" i="5"/>
  <c r="E45" i="5"/>
  <c r="E42" i="5"/>
  <c r="E14" i="5"/>
  <c r="E46" i="5"/>
  <c r="E34" i="5"/>
  <c r="E29" i="5"/>
  <c r="E28" i="5"/>
  <c r="E18" i="5"/>
  <c r="E33" i="5"/>
  <c r="E31" i="5"/>
  <c r="E16" i="5"/>
  <c r="E37" i="5"/>
  <c r="E44" i="5"/>
  <c r="E17" i="5"/>
  <c r="E43" i="5"/>
  <c r="E7" i="5"/>
  <c r="E6" i="5"/>
  <c r="E30" i="5"/>
  <c r="E20" i="5"/>
  <c r="E39" i="5"/>
  <c r="E9" i="5"/>
  <c r="E11" i="5"/>
  <c r="E15" i="5"/>
  <c r="E21" i="5"/>
  <c r="E47" i="5"/>
  <c r="E40" i="5"/>
  <c r="D50" i="5"/>
  <c r="E50" i="5" s="1"/>
  <c r="E17" i="7" l="1"/>
  <c r="I17" i="7" s="1"/>
  <c r="B17" i="7"/>
  <c r="H17" i="7" s="1"/>
  <c r="E30" i="4"/>
  <c r="B30" i="6"/>
  <c r="C30" i="6" s="1"/>
  <c r="B19" i="7"/>
  <c r="H19" i="7" s="1"/>
  <c r="E19" i="7"/>
  <c r="I19" i="7" s="1"/>
  <c r="D30" i="4"/>
  <c r="D30" i="6"/>
  <c r="E30" i="6" s="1"/>
  <c r="H16" i="7"/>
</calcChain>
</file>

<file path=xl/sharedStrings.xml><?xml version="1.0" encoding="utf-8"?>
<sst xmlns="http://schemas.openxmlformats.org/spreadsheetml/2006/main" count="149" uniqueCount="115">
  <si>
    <t>Current Assets:</t>
  </si>
  <si>
    <t>Total Assets</t>
  </si>
  <si>
    <t>ASSETS</t>
  </si>
  <si>
    <t>%</t>
  </si>
  <si>
    <t xml:space="preserve"> </t>
  </si>
  <si>
    <t>Horizontal Analysis - Balance Sheet</t>
  </si>
  <si>
    <t>Current Liabilities:</t>
  </si>
  <si>
    <t>Horizontal Analysis - Income Statement</t>
  </si>
  <si>
    <t>REVENUE</t>
  </si>
  <si>
    <t>Vertical Analysis - Balance Sheet</t>
  </si>
  <si>
    <t>Vertical Analysis - Income Statement</t>
  </si>
  <si>
    <t>Ratio Analysis</t>
  </si>
  <si>
    <t>RATIO</t>
  </si>
  <si>
    <t>Current Ratio</t>
  </si>
  <si>
    <t>Acid Test Ratio</t>
  </si>
  <si>
    <t>Receivables Turnover</t>
  </si>
  <si>
    <t>Collection Period</t>
  </si>
  <si>
    <t>Inventory Turnover</t>
  </si>
  <si>
    <t>Days Sales in Inventory</t>
  </si>
  <si>
    <t>Return on Assets</t>
  </si>
  <si>
    <t>Book Value per Share</t>
  </si>
  <si>
    <t>Earnings per Share</t>
  </si>
  <si>
    <t>Debt to Total Assets</t>
  </si>
  <si>
    <t>Interest Coverage</t>
  </si>
  <si>
    <t>Long-Term Assets:</t>
  </si>
  <si>
    <t>Long-Term Liabilities:</t>
  </si>
  <si>
    <t>Shareholders' Equity:</t>
  </si>
  <si>
    <t>Total Liabilities &amp; Shareholders' Equity</t>
  </si>
  <si>
    <t>LIABILITIES &amp; SHAREHOLDERS' EQUITY</t>
  </si>
  <si>
    <t>Return on Equity</t>
  </si>
  <si>
    <t>FORMULA (actual $ figures)</t>
  </si>
  <si>
    <t>/</t>
  </si>
  <si>
    <t>Property, plant, and equipment</t>
  </si>
  <si>
    <t>Land</t>
  </si>
  <si>
    <t>Buildings and improvements</t>
  </si>
  <si>
    <t>Goodwill</t>
  </si>
  <si>
    <t>Cash and cash equivalents</t>
  </si>
  <si>
    <t>Inventories</t>
  </si>
  <si>
    <t>Prepaid expenses and other</t>
  </si>
  <si>
    <t>Short-term borrowings</t>
  </si>
  <si>
    <t>Accounts payable</t>
  </si>
  <si>
    <t>Accrued income taxes</t>
  </si>
  <si>
    <t>Long-term debt due within one year</t>
  </si>
  <si>
    <t>Current liabilities of discontinued operations</t>
  </si>
  <si>
    <t>Long-term debt</t>
  </si>
  <si>
    <t>Deferred income taxes and other</t>
  </si>
  <si>
    <t>Retained earnings</t>
  </si>
  <si>
    <t>Noncontrolling interest</t>
  </si>
  <si>
    <t>Other income</t>
  </si>
  <si>
    <t>Preferred shares</t>
  </si>
  <si>
    <t>Common shares</t>
  </si>
  <si>
    <t>Other current assets</t>
  </si>
  <si>
    <t>Deferred charges</t>
  </si>
  <si>
    <t>Other assets</t>
  </si>
  <si>
    <t>Other current liabilities</t>
  </si>
  <si>
    <t>Other liabilities</t>
  </si>
  <si>
    <t>Other equity</t>
  </si>
  <si>
    <t>Gross Profit or Gross Margin</t>
  </si>
  <si>
    <t>OPERATING EXPENSES</t>
  </si>
  <si>
    <t>Sales and marketing</t>
  </si>
  <si>
    <t>Amortization</t>
  </si>
  <si>
    <t>Impairment losses</t>
  </si>
  <si>
    <t>Foreign exchange loss (gain)</t>
  </si>
  <si>
    <t>Other operating, selling, general, administrative expenses</t>
  </si>
  <si>
    <t>Pensions</t>
  </si>
  <si>
    <t>Research and development</t>
  </si>
  <si>
    <t>Sales or Revenue</t>
  </si>
  <si>
    <t>Investments</t>
  </si>
  <si>
    <t>Earnings Before Interest &amp; Taxes (EBIT)</t>
  </si>
  <si>
    <t>Total interest, income taxes, and other gains and losses</t>
  </si>
  <si>
    <t>Other revenues and gains (negative number)</t>
  </si>
  <si>
    <t>Other expenses and losses (positive number)</t>
  </si>
  <si>
    <t>Interest expense (positive number)</t>
  </si>
  <si>
    <t>Income taxes (positive number)</t>
  </si>
  <si>
    <t>Accumulated amortization for all assets (negative number)</t>
  </si>
  <si>
    <t>Notes:</t>
  </si>
  <si>
    <t>1.  Inventory Turnover and Days Sales in Inventory are not for service businesses.</t>
  </si>
  <si>
    <t>Gross Profit Margin</t>
  </si>
  <si>
    <t>2.  For EPS, remember to subtract the amount for preferred shares dividends, if any.</t>
  </si>
  <si>
    <t>1. DO NOT DELETE ANY ITEM ON THIS SPREADSHEET!!!</t>
  </si>
  <si>
    <t>2. If there is no value given for your company, then enter 0.</t>
  </si>
  <si>
    <t>BRIEF COMMENT</t>
  </si>
  <si>
    <t>3.  Use the INVESTOPEDIA website for explanations.</t>
  </si>
  <si>
    <t xml:space="preserve">Increase (decrease) $ &amp; % during </t>
  </si>
  <si>
    <t>Net Income or Net Earnings</t>
  </si>
  <si>
    <t>3. Do NOT change any formulas.</t>
  </si>
  <si>
    <t>Number of Preferred Shares</t>
  </si>
  <si>
    <t>Number of Common Shares</t>
  </si>
  <si>
    <t>Less: Cost of Sales or COGS (negative number)</t>
  </si>
  <si>
    <t>Receivables (add all types of receivables)</t>
  </si>
  <si>
    <t>Accrued liabilities (includes unearned revenues)</t>
  </si>
  <si>
    <t>4. If an account is not found here, add the values in "others"</t>
  </si>
  <si>
    <t>Summary / Conculsions:</t>
  </si>
  <si>
    <t>Total Dividends for Preferred Shares</t>
  </si>
  <si>
    <t>Liquidity:</t>
  </si>
  <si>
    <t>Profitability:</t>
  </si>
  <si>
    <t>Solvency:</t>
  </si>
  <si>
    <t>Dhrumil Patel</t>
  </si>
  <si>
    <t>Dell Technologies Inc.</t>
  </si>
  <si>
    <t>Total Stockholders' Equity</t>
  </si>
  <si>
    <t>Selling, General, and administrative</t>
  </si>
  <si>
    <t>This ratio describes Dell's profitability - the amount of profit Dell gains on their sales.</t>
  </si>
  <si>
    <t>Since Dell's ROA is negative, every dollar of asset generated corresponds to a loss of income.</t>
  </si>
  <si>
    <t>This value describes Dell's minimum value of equity.</t>
  </si>
  <si>
    <t>Dell's net income decreased on each share generated.</t>
  </si>
  <si>
    <t>This measures Dell's ability to pay interest expense, and they could not for both years.</t>
  </si>
  <si>
    <t>Since Dell's ROE is negative, every dollar of Dell's operating expenses corresponds to a loss in net income.</t>
  </si>
  <si>
    <t>Since the current ratio is less than 1, Dell does not have enough current assets to cover their current liabilities.</t>
  </si>
  <si>
    <t>Dell does not have enough easily liquidable current assets to cover current liabilities</t>
  </si>
  <si>
    <t>Dell is very efficient at collecting debts owed toward credit the company extended.</t>
  </si>
  <si>
    <t>Dell's customers take a rather long amount of time to repay debts from credit sales.</t>
  </si>
  <si>
    <t>Dell sold their entire inventories a healthy number of times during both 2018 and 2017.</t>
  </si>
  <si>
    <t>Dell's inventory is sold relatively quickly in 2018 and 2017.</t>
  </si>
  <si>
    <t>An overwhleming portion of Dell's assets are financed by debt.</t>
  </si>
  <si>
    <t>Dell’s has decent liquidity as its ability to efficiently sell to and collect from customers is notable. Dell’s receivables turnover is relatively low, which means Dell can efficiently collect debts customers owe because of credit sales. However, Dell’s efficiency has dropped in 2018 from 2017. Furthermore, Dell's inventory turnover shows that Dell easily sells its inventory 29 and 24 times over in 2018 and 2017 respectively. The days sales in inventory shows that the entire inventory is sold (on average) in a short amount of time (17 and 19 days in 2018 and 2017 respectively). Moreover, the profit each sale produces increased in 2018 from 2017 by $0.04. However, the long collection periods in 2018 and 2017 (70+ days) suggest that Dell should adopt a more aggressive collection policy to shorten this time. In addition, Dell’s current and acid test ratios show that Dell was unable to cover its current liabilities in 2018 and 2017.
Dell’s profitability ratios all show poor profitability. The gross ratio margin showed that Dell makes 25.49% on each purchase in 2018 and 21.02% in 2017. 25.49% of profit is a healthy amount to generate on each sale but is outweighed by the other ratios. The negative return on assets and equity in both 2018 and 2017 show that every dollar of asset and owner’s equity correspond to losses in income. Moreover, the return on asset and owner’s equity has decreased from 2017 to 2018 significantly, from -1.41% to -3.05% and -8.80% to -24.87% respectively. Dell’s book value per share is relatively high, but is counterbalanced by the earnings per share, which shows that each share corresponds to a decrease in net income.
Dell’s solvency ratios explain Dell’s low solvency – the debt to total assets shows that an overwhelming amount of Dell’s assets are dangerously financed by debt. The interest coverage shows that Dell was unable to pay interest expense for 2018 and 2017. The debt to total assets increased from 2017 to 2018 which indicates a dangerous trend, but the interest coverage increased from -185.72% to -138.53%.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</si>
</sst>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0.0%"/>
    <numFmt numFmtId="166" formatCode="&quot;$&quot;#,##0.00"/>
  </numFmts>
  <fonts count="12" x14ac:knownFonts="1">
    <font>
      <sz val="10"/>
      <name val="Arial"/>
    </font>
    <font>
      <b/>
      <sz val="10"/>
      <name val="Arial"/>
      <family val="2"/>
    </font>
    <font>
      <i/>
      <sz val="10"/>
      <name val="Arial"/>
      <family val="2"/>
    </font>
    <font>
      <b/>
      <sz val="14"/>
      <name val="Arial"/>
      <family val="2"/>
    </font>
    <font>
      <b/>
      <sz val="12"/>
      <name val="Arial"/>
      <family val="2"/>
    </font>
    <font>
      <b/>
      <sz val="9"/>
      <name val="Arial"/>
      <family val="2"/>
    </font>
    <font>
      <b/>
      <u/>
      <sz val="11"/>
      <name val="Arial"/>
      <family val="2"/>
    </font>
    <font>
      <sz val="10"/>
      <name val="Arial"/>
      <family val="2"/>
    </font>
    <font>
      <u/>
      <sz val="11"/>
      <name val="Arial"/>
      <family val="2"/>
    </font>
    <font>
      <b/>
      <sz val="11"/>
      <name val="Arial"/>
      <family val="2"/>
    </font>
    <font>
      <sz val="10"/>
      <name val="Arial"/>
    </font>
    <font>
      <sz val="9"/>
      <name val="Arial"/>
      <family val="2"/>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36">
    <border>
      <left/>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190">
    <xf numFmtId="0" fontId="0" fillId="0" borderId="0" xfId="0"/>
    <xf numFmtId="0" fontId="1" fillId="0" borderId="1" xfId="0" applyFont="1" applyBorder="1" applyAlignment="1">
      <alignment horizontal="center"/>
    </xf>
    <xf numFmtId="0" fontId="0" fillId="0" borderId="1" xfId="0" applyBorder="1"/>
    <xf numFmtId="0" fontId="0" fillId="0" borderId="2" xfId="0" applyBorder="1"/>
    <xf numFmtId="0" fontId="0" fillId="2" borderId="3" xfId="0" applyFill="1" applyBorder="1"/>
    <xf numFmtId="0" fontId="2" fillId="0" borderId="2" xfId="0" applyFont="1" applyBorder="1"/>
    <xf numFmtId="0" fontId="1" fillId="3" borderId="4" xfId="0" applyFont="1" applyFill="1" applyBorder="1"/>
    <xf numFmtId="0" fontId="0" fillId="2" borderId="0" xfId="0" applyFill="1" applyBorder="1"/>
    <xf numFmtId="0" fontId="1" fillId="3" borderId="5" xfId="0" applyFont="1" applyFill="1" applyBorder="1"/>
    <xf numFmtId="0" fontId="0" fillId="0" borderId="3" xfId="0" applyFill="1" applyBorder="1"/>
    <xf numFmtId="0" fontId="0" fillId="0" borderId="2" xfId="0" applyFill="1" applyBorder="1"/>
    <xf numFmtId="0" fontId="1" fillId="0" borderId="1" xfId="0" applyFont="1" applyBorder="1"/>
    <xf numFmtId="0" fontId="4" fillId="0" borderId="6"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6" xfId="0" applyFont="1" applyBorder="1" applyAlignment="1">
      <alignment horizontal="center" vertical="center"/>
    </xf>
    <xf numFmtId="0" fontId="1" fillId="3" borderId="1" xfId="0" applyFont="1" applyFill="1" applyBorder="1" applyAlignment="1">
      <alignment horizontal="center"/>
    </xf>
    <xf numFmtId="165" fontId="0" fillId="2" borderId="1" xfId="0" applyNumberFormat="1" applyFill="1" applyBorder="1" applyAlignment="1">
      <alignment horizontal="right"/>
    </xf>
    <xf numFmtId="165" fontId="1" fillId="2" borderId="1" xfId="0" applyNumberFormat="1" applyFont="1" applyFill="1" applyBorder="1" applyAlignment="1">
      <alignment horizontal="right"/>
    </xf>
    <xf numFmtId="165" fontId="0" fillId="0" borderId="1" xfId="0" applyNumberFormat="1" applyBorder="1" applyAlignment="1">
      <alignment horizontal="right"/>
    </xf>
    <xf numFmtId="165" fontId="1" fillId="3" borderId="7" xfId="0" applyNumberFormat="1" applyFont="1" applyFill="1" applyBorder="1" applyAlignment="1">
      <alignment horizontal="right"/>
    </xf>
    <xf numFmtId="165" fontId="0" fillId="0" borderId="8" xfId="0" applyNumberFormat="1" applyBorder="1" applyAlignment="1">
      <alignment horizontal="right"/>
    </xf>
    <xf numFmtId="165" fontId="1" fillId="3" borderId="9" xfId="0" applyNumberFormat="1" applyFont="1" applyFill="1" applyBorder="1" applyAlignment="1">
      <alignment horizontal="right"/>
    </xf>
    <xf numFmtId="165" fontId="0" fillId="0" borderId="1" xfId="0" applyNumberFormat="1" applyFill="1" applyBorder="1" applyAlignment="1">
      <alignment horizontal="right"/>
    </xf>
    <xf numFmtId="165" fontId="1" fillId="0" borderId="1" xfId="0" applyNumberFormat="1" applyFont="1" applyFill="1" applyBorder="1" applyAlignment="1">
      <alignment horizontal="right"/>
    </xf>
    <xf numFmtId="0" fontId="0" fillId="0" borderId="0" xfId="0" applyAlignment="1"/>
    <xf numFmtId="0" fontId="4" fillId="0" borderId="10" xfId="0" applyFont="1" applyBorder="1" applyAlignment="1">
      <alignment horizontal="center" vertical="center"/>
    </xf>
    <xf numFmtId="0" fontId="0" fillId="0" borderId="11" xfId="0" applyBorder="1" applyAlignment="1"/>
    <xf numFmtId="0" fontId="3" fillId="0" borderId="0" xfId="0" applyFont="1" applyBorder="1" applyAlignment="1"/>
    <xf numFmtId="0" fontId="3" fillId="0" borderId="0" xfId="0" applyFont="1" applyBorder="1" applyAlignment="1">
      <alignment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0" fillId="0" borderId="0" xfId="0" applyBorder="1"/>
    <xf numFmtId="44" fontId="0" fillId="0" borderId="1" xfId="0" applyNumberFormat="1" applyBorder="1"/>
    <xf numFmtId="44" fontId="1" fillId="3" borderId="9" xfId="0" applyNumberFormat="1" applyFont="1" applyFill="1" applyBorder="1" applyAlignment="1">
      <alignment horizontal="right"/>
    </xf>
    <xf numFmtId="10" fontId="0" fillId="2" borderId="1" xfId="0" applyNumberFormat="1" applyFill="1" applyBorder="1" applyAlignment="1">
      <alignment horizontal="right"/>
    </xf>
    <xf numFmtId="10" fontId="0" fillId="2" borderId="8" xfId="0" applyNumberFormat="1" applyFill="1" applyBorder="1" applyAlignment="1">
      <alignment horizontal="right"/>
    </xf>
    <xf numFmtId="10" fontId="1" fillId="2" borderId="1" xfId="0" applyNumberFormat="1" applyFont="1" applyFill="1" applyBorder="1" applyAlignment="1">
      <alignment horizontal="right"/>
    </xf>
    <xf numFmtId="44" fontId="0" fillId="0" borderId="0" xfId="0" applyNumberFormat="1"/>
    <xf numFmtId="10" fontId="1" fillId="3" borderId="1" xfId="0" applyNumberFormat="1" applyFont="1" applyFill="1" applyBorder="1" applyAlignment="1">
      <alignment horizontal="center"/>
    </xf>
    <xf numFmtId="0" fontId="7" fillId="0" borderId="0" xfId="0" applyFont="1" applyAlignment="1"/>
    <xf numFmtId="166" fontId="6" fillId="0" borderId="2" xfId="0" applyNumberFormat="1" applyFont="1" applyBorder="1"/>
    <xf numFmtId="166" fontId="6" fillId="0" borderId="0" xfId="0" applyNumberFormat="1" applyFont="1" applyBorder="1"/>
    <xf numFmtId="166" fontId="7" fillId="0" borderId="2" xfId="0" applyNumberFormat="1" applyFont="1" applyBorder="1"/>
    <xf numFmtId="166" fontId="7" fillId="0" borderId="0" xfId="0" applyNumberFormat="1" applyFont="1" applyBorder="1"/>
    <xf numFmtId="166" fontId="8" fillId="0" borderId="2" xfId="0" applyNumberFormat="1" applyFont="1" applyBorder="1"/>
    <xf numFmtId="166" fontId="8" fillId="0" borderId="0" xfId="0" applyNumberFormat="1" applyFont="1" applyBorder="1"/>
    <xf numFmtId="166" fontId="7" fillId="0" borderId="0" xfId="0" applyNumberFormat="1" applyFont="1" applyBorder="1" applyAlignment="1">
      <alignment horizontal="left"/>
    </xf>
    <xf numFmtId="166" fontId="8" fillId="0" borderId="0" xfId="0" applyNumberFormat="1" applyFont="1" applyBorder="1" applyAlignment="1">
      <alignment horizontal="left"/>
    </xf>
    <xf numFmtId="0" fontId="0" fillId="0" borderId="2" xfId="0" applyBorder="1" applyAlignment="1">
      <alignment horizontal="left" indent="1"/>
    </xf>
    <xf numFmtId="0" fontId="0" fillId="0" borderId="14" xfId="0" applyBorder="1" applyAlignment="1">
      <alignment horizontal="left" indent="1"/>
    </xf>
    <xf numFmtId="0" fontId="7" fillId="0" borderId="2" xfId="0" applyFont="1" applyBorder="1" applyAlignment="1">
      <alignment horizontal="left" indent="1"/>
    </xf>
    <xf numFmtId="0" fontId="7" fillId="0" borderId="14" xfId="0" applyFont="1" applyBorder="1" applyAlignment="1">
      <alignment horizontal="left" indent="1"/>
    </xf>
    <xf numFmtId="0" fontId="7" fillId="0" borderId="2" xfId="0" applyFont="1" applyBorder="1" applyAlignment="1">
      <alignment horizontal="left" wrapText="1" indent="1"/>
    </xf>
    <xf numFmtId="0" fontId="7" fillId="0" borderId="8" xfId="0" applyFont="1" applyBorder="1" applyAlignment="1">
      <alignment horizontal="left" indent="1"/>
    </xf>
    <xf numFmtId="44" fontId="0" fillId="0" borderId="2" xfId="0" applyNumberFormat="1" applyBorder="1"/>
    <xf numFmtId="44" fontId="0" fillId="2" borderId="10" xfId="0" applyNumberFormat="1" applyFill="1" applyBorder="1"/>
    <xf numFmtId="0" fontId="0" fillId="2" borderId="15" xfId="0" applyFill="1" applyBorder="1"/>
    <xf numFmtId="44" fontId="1" fillId="3" borderId="5" xfId="0" applyNumberFormat="1" applyFont="1" applyFill="1" applyBorder="1"/>
    <xf numFmtId="165" fontId="1" fillId="0" borderId="1" xfId="0" applyNumberFormat="1" applyFont="1" applyFill="1" applyBorder="1" applyAlignment="1">
      <alignment horizontal="center"/>
    </xf>
    <xf numFmtId="0" fontId="0" fillId="0" borderId="14" xfId="0" applyBorder="1"/>
    <xf numFmtId="165" fontId="0" fillId="0" borderId="8" xfId="0" applyNumberFormat="1" applyFill="1" applyBorder="1" applyAlignment="1">
      <alignment horizontal="right"/>
    </xf>
    <xf numFmtId="0" fontId="1" fillId="0" borderId="2" xfId="0" applyFont="1" applyBorder="1"/>
    <xf numFmtId="0" fontId="0" fillId="0" borderId="3" xfId="0" applyBorder="1"/>
    <xf numFmtId="0" fontId="7" fillId="0" borderId="2" xfId="0" applyFont="1" applyBorder="1" applyAlignment="1">
      <alignment horizontal="left"/>
    </xf>
    <xf numFmtId="0" fontId="7" fillId="0" borderId="14" xfId="0" applyFont="1" applyBorder="1" applyAlignment="1">
      <alignment horizontal="left"/>
    </xf>
    <xf numFmtId="0" fontId="1" fillId="0" borderId="2" xfId="0" applyFont="1" applyBorder="1" applyAlignment="1">
      <alignment horizontal="left"/>
    </xf>
    <xf numFmtId="10" fontId="1" fillId="2" borderId="9" xfId="0" applyNumberFormat="1" applyFont="1" applyFill="1" applyBorder="1" applyAlignment="1">
      <alignment horizontal="right"/>
    </xf>
    <xf numFmtId="0" fontId="9" fillId="0" borderId="1" xfId="0" applyFont="1" applyBorder="1"/>
    <xf numFmtId="0" fontId="1" fillId="0" borderId="0" xfId="0" applyFont="1"/>
    <xf numFmtId="9" fontId="0" fillId="0" borderId="1" xfId="1" applyFont="1" applyBorder="1" applyAlignment="1">
      <alignment horizontal="right"/>
    </xf>
    <xf numFmtId="9" fontId="1" fillId="0" borderId="1" xfId="1" applyFont="1" applyFill="1" applyBorder="1" applyAlignment="1">
      <alignment horizontal="right"/>
    </xf>
    <xf numFmtId="9" fontId="0" fillId="0" borderId="8" xfId="1" applyFont="1" applyBorder="1" applyAlignment="1">
      <alignment horizontal="right"/>
    </xf>
    <xf numFmtId="9" fontId="1" fillId="3" borderId="9" xfId="1" applyFont="1" applyFill="1" applyBorder="1" applyAlignment="1">
      <alignment horizontal="right"/>
    </xf>
    <xf numFmtId="0" fontId="4" fillId="0" borderId="16" xfId="0" applyFont="1" applyBorder="1" applyAlignment="1">
      <alignment horizontal="center" vertical="center" wrapText="1"/>
    </xf>
    <xf numFmtId="0" fontId="3" fillId="0" borderId="17" xfId="0" applyFont="1" applyBorder="1" applyAlignment="1">
      <alignment vertical="center" wrapText="1"/>
    </xf>
    <xf numFmtId="0" fontId="3" fillId="0" borderId="18" xfId="0" applyFont="1" applyBorder="1" applyAlignment="1"/>
    <xf numFmtId="44" fontId="0" fillId="2" borderId="1" xfId="0" applyNumberFormat="1" applyFill="1" applyBorder="1"/>
    <xf numFmtId="0" fontId="0" fillId="0" borderId="1" xfId="0" applyFill="1" applyBorder="1"/>
    <xf numFmtId="0" fontId="4" fillId="0" borderId="12" xfId="0" applyFont="1" applyBorder="1" applyAlignment="1">
      <alignment horizontal="center" vertical="center"/>
    </xf>
    <xf numFmtId="2" fontId="0" fillId="2" borderId="3" xfId="0" applyNumberFormat="1" applyFill="1" applyBorder="1"/>
    <xf numFmtId="0" fontId="4" fillId="0" borderId="16" xfId="0" applyFont="1" applyFill="1" applyBorder="1" applyAlignment="1">
      <alignment horizontal="center" vertical="center" wrapText="1"/>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44" fontId="0" fillId="0" borderId="0" xfId="0" applyNumberFormat="1" applyFill="1" applyBorder="1"/>
    <xf numFmtId="0" fontId="4" fillId="0" borderId="19" xfId="0" applyFont="1" applyBorder="1" applyAlignment="1">
      <alignment horizontal="center" vertical="center" wrapText="1"/>
    </xf>
    <xf numFmtId="0" fontId="0" fillId="0" borderId="21" xfId="0" applyBorder="1"/>
    <xf numFmtId="0" fontId="0" fillId="0" borderId="22" xfId="0" applyBorder="1"/>
    <xf numFmtId="0" fontId="0" fillId="0" borderId="23" xfId="0" applyBorder="1"/>
    <xf numFmtId="164" fontId="0" fillId="0" borderId="2" xfId="0" applyNumberFormat="1" applyBorder="1" applyAlignment="1">
      <alignment horizontal="right"/>
    </xf>
    <xf numFmtId="164" fontId="0" fillId="2" borderId="2" xfId="0" applyNumberFormat="1" applyFill="1" applyBorder="1" applyAlignment="1">
      <alignment horizontal="right"/>
    </xf>
    <xf numFmtId="164" fontId="0" fillId="0" borderId="1" xfId="0" applyNumberFormat="1" applyBorder="1"/>
    <xf numFmtId="164" fontId="0" fillId="0" borderId="8" xfId="0" applyNumberFormat="1" applyBorder="1" applyAlignment="1">
      <alignment horizontal="right"/>
    </xf>
    <xf numFmtId="164" fontId="0" fillId="2" borderId="14" xfId="0" applyNumberFormat="1" applyFill="1" applyBorder="1" applyAlignment="1">
      <alignment horizontal="right"/>
    </xf>
    <xf numFmtId="164" fontId="1" fillId="2" borderId="1" xfId="0" applyNumberFormat="1" applyFont="1" applyFill="1" applyBorder="1" applyAlignment="1">
      <alignment horizontal="right"/>
    </xf>
    <xf numFmtId="164" fontId="1" fillId="0" borderId="2" xfId="0" applyNumberFormat="1" applyFont="1" applyBorder="1" applyAlignment="1">
      <alignment horizontal="right"/>
    </xf>
    <xf numFmtId="164" fontId="1" fillId="0" borderId="1" xfId="0" applyNumberFormat="1" applyFont="1" applyBorder="1" applyAlignment="1">
      <alignment horizontal="right"/>
    </xf>
    <xf numFmtId="164" fontId="0" fillId="0" borderId="1" xfId="0" applyNumberFormat="1" applyBorder="1" applyAlignment="1">
      <alignment horizontal="right"/>
    </xf>
    <xf numFmtId="164" fontId="0" fillId="2" borderId="1" xfId="0" applyNumberFormat="1" applyFill="1" applyBorder="1" applyAlignment="1">
      <alignment horizontal="right"/>
    </xf>
    <xf numFmtId="164" fontId="0" fillId="0" borderId="14" xfId="0" applyNumberFormat="1" applyBorder="1" applyAlignment="1">
      <alignment horizontal="right"/>
    </xf>
    <xf numFmtId="164" fontId="0" fillId="2" borderId="12" xfId="0" applyNumberFormat="1" applyFill="1" applyBorder="1" applyAlignment="1">
      <alignment horizontal="right"/>
    </xf>
    <xf numFmtId="164" fontId="1" fillId="3" borderId="7" xfId="0" applyNumberFormat="1" applyFont="1" applyFill="1" applyBorder="1" applyAlignment="1">
      <alignment horizontal="right"/>
    </xf>
    <xf numFmtId="164" fontId="1" fillId="2" borderId="7" xfId="0" applyNumberFormat="1" applyFont="1" applyFill="1" applyBorder="1" applyAlignment="1">
      <alignment horizontal="right"/>
    </xf>
    <xf numFmtId="164" fontId="1" fillId="3" borderId="9" xfId="0" applyNumberFormat="1" applyFont="1" applyFill="1" applyBorder="1" applyAlignment="1">
      <alignment horizontal="right"/>
    </xf>
    <xf numFmtId="164" fontId="1" fillId="2" borderId="9" xfId="0" applyNumberFormat="1" applyFont="1" applyFill="1" applyBorder="1" applyAlignment="1">
      <alignment horizontal="right"/>
    </xf>
    <xf numFmtId="164" fontId="1" fillId="0" borderId="1" xfId="0" applyNumberFormat="1" applyFont="1" applyFill="1" applyBorder="1" applyAlignment="1">
      <alignment horizontal="right"/>
    </xf>
    <xf numFmtId="164" fontId="1" fillId="0" borderId="2" xfId="0" applyNumberFormat="1" applyFont="1" applyFill="1" applyBorder="1" applyAlignment="1">
      <alignment horizontal="right"/>
    </xf>
    <xf numFmtId="164" fontId="1" fillId="3" borderId="7" xfId="0" applyNumberFormat="1" applyFont="1" applyFill="1" applyBorder="1"/>
    <xf numFmtId="164" fontId="1" fillId="0" borderId="2" xfId="0" applyNumberFormat="1" applyFont="1" applyFill="1" applyBorder="1"/>
    <xf numFmtId="164" fontId="1" fillId="0" borderId="14" xfId="0" applyNumberFormat="1" applyFont="1" applyFill="1" applyBorder="1"/>
    <xf numFmtId="164" fontId="1" fillId="0" borderId="2" xfId="0" applyNumberFormat="1" applyFont="1" applyBorder="1" applyAlignment="1">
      <alignment horizontal="center" wrapText="1"/>
    </xf>
    <xf numFmtId="164" fontId="1" fillId="3" borderId="9" xfId="0" applyNumberFormat="1" applyFont="1" applyFill="1" applyBorder="1"/>
    <xf numFmtId="164" fontId="0" fillId="0" borderId="0" xfId="0" applyNumberFormat="1" applyFill="1" applyBorder="1" applyAlignment="1">
      <alignment horizontal="right"/>
    </xf>
    <xf numFmtId="164" fontId="0" fillId="0" borderId="24" xfId="0" applyNumberFormat="1" applyFill="1" applyBorder="1" applyAlignment="1">
      <alignment horizontal="right"/>
    </xf>
    <xf numFmtId="164" fontId="1" fillId="0" borderId="0" xfId="0" applyNumberFormat="1" applyFont="1" applyFill="1" applyBorder="1" applyAlignment="1">
      <alignment horizontal="right"/>
    </xf>
    <xf numFmtId="164" fontId="1" fillId="3" borderId="4" xfId="0" applyNumberFormat="1" applyFont="1" applyFill="1" applyBorder="1"/>
    <xf numFmtId="164" fontId="1" fillId="0" borderId="2" xfId="0" applyNumberFormat="1" applyFont="1" applyFill="1" applyBorder="1" applyAlignment="1">
      <alignment horizontal="center"/>
    </xf>
    <xf numFmtId="164" fontId="0" fillId="0" borderId="8" xfId="0" applyNumberFormat="1" applyBorder="1"/>
    <xf numFmtId="164" fontId="1" fillId="0" borderId="1" xfId="0" applyNumberFormat="1" applyFont="1" applyBorder="1"/>
    <xf numFmtId="164" fontId="0" fillId="2" borderId="8" xfId="0" applyNumberFormat="1" applyFill="1" applyBorder="1" applyAlignment="1">
      <alignment horizontal="right"/>
    </xf>
    <xf numFmtId="164" fontId="0" fillId="0" borderId="2" xfId="0" applyNumberFormat="1" applyBorder="1"/>
    <xf numFmtId="164" fontId="0" fillId="0" borderId="1" xfId="0" applyNumberFormat="1" applyFill="1" applyBorder="1" applyAlignment="1">
      <alignment horizontal="right"/>
    </xf>
    <xf numFmtId="164" fontId="0" fillId="0" borderId="8" xfId="0" applyNumberFormat="1" applyFill="1" applyBorder="1" applyAlignment="1">
      <alignment horizontal="right"/>
    </xf>
    <xf numFmtId="164" fontId="0" fillId="0" borderId="2" xfId="0" applyNumberFormat="1" applyFill="1" applyBorder="1"/>
    <xf numFmtId="164" fontId="0" fillId="0" borderId="1" xfId="0" applyNumberFormat="1" applyFill="1" applyBorder="1"/>
    <xf numFmtId="9" fontId="0" fillId="0" borderId="1" xfId="1" applyNumberFormat="1" applyFont="1" applyBorder="1" applyAlignment="1">
      <alignment horizontal="right"/>
    </xf>
    <xf numFmtId="9" fontId="0" fillId="0" borderId="1" xfId="0" applyNumberFormat="1" applyBorder="1" applyAlignment="1">
      <alignment horizontal="right"/>
    </xf>
    <xf numFmtId="9" fontId="0" fillId="0" borderId="8" xfId="0" applyNumberFormat="1" applyBorder="1" applyAlignment="1">
      <alignment horizontal="right"/>
    </xf>
    <xf numFmtId="9" fontId="1" fillId="0" borderId="1" xfId="0" applyNumberFormat="1" applyFont="1" applyFill="1" applyBorder="1" applyAlignment="1">
      <alignment horizontal="right"/>
    </xf>
    <xf numFmtId="9" fontId="1" fillId="0" borderId="1" xfId="0" applyNumberFormat="1" applyFont="1" applyBorder="1" applyAlignment="1">
      <alignment horizontal="right"/>
    </xf>
    <xf numFmtId="9" fontId="1" fillId="3" borderId="9" xfId="0" applyNumberFormat="1" applyFont="1" applyFill="1" applyBorder="1" applyAlignment="1">
      <alignment horizontal="right"/>
    </xf>
    <xf numFmtId="10" fontId="0" fillId="2" borderId="12" xfId="0" applyNumberFormat="1" applyFill="1" applyBorder="1" applyAlignment="1">
      <alignment horizontal="right"/>
    </xf>
    <xf numFmtId="165" fontId="0" fillId="2" borderId="26" xfId="0" applyNumberFormat="1" applyFill="1" applyBorder="1" applyAlignment="1">
      <alignment horizontal="right"/>
    </xf>
    <xf numFmtId="165" fontId="0" fillId="2" borderId="12" xfId="0" applyNumberFormat="1" applyFill="1" applyBorder="1" applyAlignment="1">
      <alignment horizontal="right"/>
    </xf>
    <xf numFmtId="164" fontId="1" fillId="2" borderId="12" xfId="0" applyNumberFormat="1" applyFont="1" applyFill="1" applyBorder="1" applyAlignment="1">
      <alignment horizontal="right"/>
    </xf>
    <xf numFmtId="10" fontId="1" fillId="2" borderId="6" xfId="0" applyNumberFormat="1" applyFont="1" applyFill="1" applyBorder="1" applyAlignment="1">
      <alignment horizontal="right"/>
    </xf>
    <xf numFmtId="0" fontId="0" fillId="0" borderId="0" xfId="0" applyFill="1" applyBorder="1"/>
    <xf numFmtId="0" fontId="0" fillId="0" borderId="30" xfId="0" applyBorder="1"/>
    <xf numFmtId="0" fontId="0" fillId="0" borderId="31" xfId="0" applyBorder="1"/>
    <xf numFmtId="0" fontId="0" fillId="0" borderId="32" xfId="0" applyBorder="1"/>
    <xf numFmtId="0" fontId="0" fillId="0" borderId="33" xfId="0" applyFill="1" applyBorder="1"/>
    <xf numFmtId="0" fontId="0" fillId="0" borderId="34" xfId="0" applyBorder="1"/>
    <xf numFmtId="0" fontId="0" fillId="0" borderId="35" xfId="0" applyBorder="1"/>
    <xf numFmtId="0" fontId="4" fillId="0" borderId="0" xfId="0" applyFont="1"/>
    <xf numFmtId="0" fontId="0" fillId="0" borderId="0" xfId="0" applyBorder="1" applyAlignment="1">
      <alignment horizontal="left" vertical="top" wrapText="1"/>
    </xf>
    <xf numFmtId="0" fontId="7" fillId="0" borderId="0" xfId="0" applyFont="1" applyBorder="1" applyAlignment="1">
      <alignment horizontal="left" vertical="top" wrapText="1"/>
    </xf>
    <xf numFmtId="0" fontId="7" fillId="0" borderId="0" xfId="0" applyFont="1"/>
    <xf numFmtId="0" fontId="1" fillId="0" borderId="0" xfId="0" applyFont="1" applyFill="1" applyBorder="1"/>
    <xf numFmtId="0" fontId="7" fillId="0" borderId="1" xfId="0" applyFont="1" applyBorder="1" applyAlignment="1">
      <alignment wrapText="1"/>
    </xf>
    <xf numFmtId="0" fontId="4" fillId="0" borderId="13" xfId="0" applyNumberFormat="1" applyFont="1" applyBorder="1" applyAlignment="1">
      <alignment horizontal="center" vertical="center" wrapText="1"/>
    </xf>
    <xf numFmtId="0" fontId="4" fillId="0" borderId="13" xfId="0" applyNumberFormat="1" applyFont="1" applyFill="1" applyBorder="1" applyAlignment="1">
      <alignment horizontal="center" vertical="center" wrapText="1"/>
    </xf>
    <xf numFmtId="164" fontId="7" fillId="0" borderId="8" xfId="0" applyNumberFormat="1" applyFont="1" applyBorder="1" applyAlignment="1">
      <alignment horizontal="right"/>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xf>
    <xf numFmtId="0" fontId="3" fillId="0" borderId="17" xfId="0" applyFont="1" applyBorder="1" applyAlignment="1">
      <alignment horizontal="right" vertical="center" wrapText="1"/>
    </xf>
    <xf numFmtId="0" fontId="3" fillId="0" borderId="19" xfId="0" applyFont="1" applyBorder="1" applyAlignment="1">
      <alignment horizontal="right" vertical="center" wrapText="1"/>
    </xf>
    <xf numFmtId="0" fontId="3" fillId="0" borderId="18" xfId="0" applyFont="1" applyBorder="1" applyAlignment="1">
      <alignment horizontal="right"/>
    </xf>
    <xf numFmtId="0" fontId="4" fillId="2" borderId="13"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2" borderId="15" xfId="0" applyFont="1" applyFill="1" applyBorder="1" applyAlignment="1">
      <alignment horizontal="center" wrapText="1"/>
    </xf>
    <xf numFmtId="0" fontId="5" fillId="2" borderId="15" xfId="0" applyFont="1" applyFill="1" applyBorder="1" applyAlignment="1">
      <alignment horizontal="center"/>
    </xf>
    <xf numFmtId="0" fontId="4" fillId="2" borderId="10"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0" fillId="0" borderId="0" xfId="0" applyAlignment="1"/>
    <xf numFmtId="0" fontId="0" fillId="0" borderId="3" xfId="0" applyBorder="1" applyAlignment="1"/>
    <xf numFmtId="0" fontId="0" fillId="0" borderId="2" xfId="0" applyBorder="1" applyAlignment="1"/>
    <xf numFmtId="0" fontId="3" fillId="0" borderId="16" xfId="0" applyFont="1" applyBorder="1" applyAlignment="1">
      <alignment horizontal="right" vertical="center" wrapText="1"/>
    </xf>
    <xf numFmtId="0" fontId="4" fillId="0" borderId="17" xfId="0" applyFont="1" applyBorder="1" applyAlignment="1">
      <alignment horizontal="center" vertical="center"/>
    </xf>
    <xf numFmtId="0" fontId="0" fillId="0" borderId="19" xfId="0" applyBorder="1" applyAlignment="1">
      <alignment horizontal="center" vertical="center"/>
    </xf>
    <xf numFmtId="0" fontId="0" fillId="0" borderId="18" xfId="0" applyBorder="1" applyAlignment="1"/>
    <xf numFmtId="0" fontId="0" fillId="0" borderId="25" xfId="0" applyBorder="1" applyAlignment="1"/>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1" fillId="0" borderId="10" xfId="0" applyFont="1" applyBorder="1" applyAlignment="1">
      <alignment horizontal="center"/>
    </xf>
    <xf numFmtId="0" fontId="1" fillId="0" borderId="18" xfId="0" applyFont="1" applyBorder="1" applyAlignment="1">
      <alignment horizontal="center"/>
    </xf>
    <xf numFmtId="0" fontId="1" fillId="0" borderId="25" xfId="0" applyFont="1" applyBorder="1" applyAlignment="1">
      <alignment horizontal="center"/>
    </xf>
    <xf numFmtId="0" fontId="7" fillId="0" borderId="0" xfId="0" applyFont="1" applyBorder="1" applyAlignment="1">
      <alignment wrapText="1"/>
    </xf>
    <xf numFmtId="0" fontId="7" fillId="0" borderId="3" xfId="0" applyFont="1"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3" xfId="0" applyFill="1" applyBorder="1" applyAlignment="1">
      <alignment wrapText="1"/>
    </xf>
    <xf numFmtId="0" fontId="0" fillId="0" borderId="3" xfId="0" applyFont="1" applyFill="1" applyBorder="1" applyAlignment="1">
      <alignment wrapText="1"/>
    </xf>
    <xf numFmtId="0" fontId="0" fillId="0" borderId="0" xfId="0" applyBorder="1" applyAlignment="1">
      <alignment wrapText="1"/>
    </xf>
    <xf numFmtId="0" fontId="0" fillId="0" borderId="3" xfId="0" applyBorder="1" applyAlignment="1">
      <alignment wrapText="1"/>
    </xf>
    <xf numFmtId="0" fontId="7" fillId="0" borderId="3" xfId="0" applyFont="1" applyFill="1" applyBorder="1" applyAlignment="1">
      <alignment wrapText="1"/>
    </xf>
    <xf numFmtId="0" fontId="11" fillId="0" borderId="27" xfId="0" applyFont="1" applyBorder="1" applyAlignment="1">
      <alignment horizontal="left" vertical="top" wrapText="1"/>
    </xf>
    <xf numFmtId="0" fontId="11" fillId="0" borderId="28" xfId="0" applyFont="1" applyBorder="1" applyAlignment="1">
      <alignment horizontal="left" vertical="top" wrapText="1"/>
    </xf>
    <xf numFmtId="0" fontId="11" fillId="0" borderId="29" xfId="0" applyFont="1" applyBorder="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1"/>
  <sheetViews>
    <sheetView zoomScaleNormal="100" zoomScaleSheetLayoutView="100" workbookViewId="0">
      <selection activeCell="A3" sqref="A3"/>
    </sheetView>
  </sheetViews>
  <sheetFormatPr defaultRowHeight="13.2" x14ac:dyDescent="0.25"/>
  <cols>
    <col min="1" max="1" width="59.5546875" customWidth="1"/>
    <col min="2" max="4" width="20.109375" customWidth="1"/>
    <col min="5" max="5" width="12.6640625" customWidth="1"/>
    <col min="6" max="8" width="9.33203125" bestFit="1" customWidth="1"/>
    <col min="9" max="9" width="10.33203125" customWidth="1"/>
  </cols>
  <sheetData>
    <row r="1" spans="1:6" ht="18" thickBot="1" x14ac:dyDescent="0.3">
      <c r="A1" s="151" t="s">
        <v>98</v>
      </c>
      <c r="B1" s="152"/>
      <c r="C1" s="154" t="s">
        <v>97</v>
      </c>
      <c r="D1" s="154"/>
      <c r="E1" s="155"/>
      <c r="F1" s="28"/>
    </row>
    <row r="2" spans="1:6" ht="18" thickBot="1" x14ac:dyDescent="0.35">
      <c r="A2" s="153" t="s">
        <v>5</v>
      </c>
      <c r="B2" s="153"/>
      <c r="C2" s="156"/>
      <c r="D2" s="156"/>
      <c r="E2" s="156"/>
      <c r="F2" s="27"/>
    </row>
    <row r="3" spans="1:6" ht="13.8" thickBot="1" x14ac:dyDescent="0.3">
      <c r="A3" s="39"/>
      <c r="B3" s="39"/>
      <c r="C3" s="24"/>
      <c r="D3" s="161" t="s">
        <v>83</v>
      </c>
      <c r="E3" s="162"/>
      <c r="F3" s="24"/>
    </row>
    <row r="4" spans="1:6" ht="16.2" thickBot="1" x14ac:dyDescent="0.3">
      <c r="A4" s="25" t="s">
        <v>2</v>
      </c>
      <c r="B4" s="14">
        <v>2018</v>
      </c>
      <c r="C4" s="14">
        <v>2017</v>
      </c>
      <c r="D4" s="159">
        <f>B4</f>
        <v>2018</v>
      </c>
      <c r="E4" s="160"/>
    </row>
    <row r="5" spans="1:6" x14ac:dyDescent="0.25">
      <c r="A5" s="61" t="s">
        <v>0</v>
      </c>
      <c r="B5" s="2"/>
      <c r="C5" s="2"/>
      <c r="D5" s="76"/>
      <c r="E5" s="4"/>
    </row>
    <row r="6" spans="1:6" x14ac:dyDescent="0.25">
      <c r="A6" s="48" t="s">
        <v>36</v>
      </c>
      <c r="B6" s="90">
        <v>13942000</v>
      </c>
      <c r="C6" s="90">
        <v>9474000</v>
      </c>
      <c r="D6" s="97">
        <f t="shared" ref="D6:D12" si="0">B6-C6</f>
        <v>4468000</v>
      </c>
      <c r="E6" s="34">
        <f t="shared" ref="E6:E12" si="1">(B6-C6)/ABS(C6)</f>
        <v>0.4716065020054887</v>
      </c>
    </row>
    <row r="7" spans="1:6" x14ac:dyDescent="0.25">
      <c r="A7" s="48" t="s">
        <v>89</v>
      </c>
      <c r="B7" s="90">
        <f>11177000+3919000</f>
        <v>15096000</v>
      </c>
      <c r="C7" s="90">
        <f>9420000+3222000</f>
        <v>12642000</v>
      </c>
      <c r="D7" s="97">
        <f t="shared" si="0"/>
        <v>2454000</v>
      </c>
      <c r="E7" s="34">
        <f t="shared" si="1"/>
        <v>0.19411485524442335</v>
      </c>
    </row>
    <row r="8" spans="1:6" x14ac:dyDescent="0.25">
      <c r="A8" s="48" t="s">
        <v>37</v>
      </c>
      <c r="B8" s="90">
        <v>2678000</v>
      </c>
      <c r="C8" s="90">
        <v>2538000</v>
      </c>
      <c r="D8" s="97">
        <f t="shared" si="0"/>
        <v>140000</v>
      </c>
      <c r="E8" s="34">
        <f t="shared" si="1"/>
        <v>5.5161544523246654E-2</v>
      </c>
    </row>
    <row r="9" spans="1:6" x14ac:dyDescent="0.25">
      <c r="A9" s="48" t="s">
        <v>38</v>
      </c>
      <c r="B9" s="90">
        <v>0</v>
      </c>
      <c r="C9" s="90">
        <v>0</v>
      </c>
      <c r="D9" s="97">
        <f t="shared" si="0"/>
        <v>0</v>
      </c>
      <c r="E9" s="34" t="e">
        <f t="shared" si="1"/>
        <v>#DIV/0!</v>
      </c>
    </row>
    <row r="10" spans="1:6" x14ac:dyDescent="0.25">
      <c r="A10" s="48" t="s">
        <v>67</v>
      </c>
      <c r="B10" s="90">
        <v>2187000</v>
      </c>
      <c r="C10" s="90">
        <f>1975000</f>
        <v>1975000</v>
      </c>
      <c r="D10" s="97">
        <f t="shared" si="0"/>
        <v>212000</v>
      </c>
      <c r="E10" s="34">
        <f t="shared" si="1"/>
        <v>0.10734177215189873</v>
      </c>
    </row>
    <row r="11" spans="1:6" x14ac:dyDescent="0.25">
      <c r="A11" s="49" t="s">
        <v>51</v>
      </c>
      <c r="B11" s="116">
        <v>5054000</v>
      </c>
      <c r="C11" s="116">
        <v>4144000</v>
      </c>
      <c r="D11" s="118">
        <f t="shared" si="0"/>
        <v>910000</v>
      </c>
      <c r="E11" s="35">
        <f t="shared" si="1"/>
        <v>0.2195945945945946</v>
      </c>
    </row>
    <row r="12" spans="1:6" x14ac:dyDescent="0.25">
      <c r="A12" s="3"/>
      <c r="B12" s="117">
        <f>SUM(B6:B11)</f>
        <v>38957000</v>
      </c>
      <c r="C12" s="117">
        <f>SUM(C6:C11)</f>
        <v>30773000</v>
      </c>
      <c r="D12" s="93">
        <f t="shared" si="0"/>
        <v>8184000</v>
      </c>
      <c r="E12" s="36">
        <f t="shared" si="1"/>
        <v>0.26594742144087347</v>
      </c>
    </row>
    <row r="13" spans="1:6" x14ac:dyDescent="0.25">
      <c r="A13" s="61" t="s">
        <v>24</v>
      </c>
      <c r="B13" s="96"/>
      <c r="C13" s="96"/>
      <c r="D13" s="97"/>
      <c r="E13" s="34"/>
    </row>
    <row r="14" spans="1:6" x14ac:dyDescent="0.25">
      <c r="A14" s="48" t="s">
        <v>33</v>
      </c>
      <c r="B14" s="90">
        <v>0</v>
      </c>
      <c r="C14" s="90">
        <v>0</v>
      </c>
      <c r="D14" s="97">
        <f t="shared" ref="D14:D21" si="2">B14-C14</f>
        <v>0</v>
      </c>
      <c r="E14" s="34" t="e">
        <f>(B14-C14)/ABS(C14)</f>
        <v>#DIV/0!</v>
      </c>
    </row>
    <row r="15" spans="1:6" x14ac:dyDescent="0.25">
      <c r="A15" s="48" t="s">
        <v>34</v>
      </c>
      <c r="B15" s="90">
        <v>0</v>
      </c>
      <c r="C15" s="90">
        <v>0</v>
      </c>
      <c r="D15" s="97">
        <f t="shared" si="2"/>
        <v>0</v>
      </c>
      <c r="E15" s="34" t="e">
        <f t="shared" ref="E15:E20" si="3">(B15-C15)/ABS(C15)</f>
        <v>#DIV/0!</v>
      </c>
    </row>
    <row r="16" spans="1:6" x14ac:dyDescent="0.25">
      <c r="A16" s="48" t="s">
        <v>32</v>
      </c>
      <c r="B16" s="90">
        <v>5390000</v>
      </c>
      <c r="C16" s="90">
        <v>5653000</v>
      </c>
      <c r="D16" s="97">
        <f t="shared" si="2"/>
        <v>-263000</v>
      </c>
      <c r="E16" s="34">
        <f t="shared" si="3"/>
        <v>-4.6523969573677694E-2</v>
      </c>
    </row>
    <row r="17" spans="1:5" x14ac:dyDescent="0.25">
      <c r="A17" s="48" t="s">
        <v>74</v>
      </c>
      <c r="B17" s="90">
        <v>0</v>
      </c>
      <c r="C17" s="90">
        <v>0</v>
      </c>
      <c r="D17" s="97">
        <f t="shared" si="2"/>
        <v>0</v>
      </c>
      <c r="E17" s="34" t="e">
        <f t="shared" si="3"/>
        <v>#DIV/0!</v>
      </c>
    </row>
    <row r="18" spans="1:5" x14ac:dyDescent="0.25">
      <c r="A18" s="48" t="s">
        <v>35</v>
      </c>
      <c r="B18" s="90">
        <v>39920000</v>
      </c>
      <c r="C18" s="90">
        <v>38910000</v>
      </c>
      <c r="D18" s="97">
        <f t="shared" si="2"/>
        <v>1010000</v>
      </c>
      <c r="E18" s="34">
        <f t="shared" si="3"/>
        <v>2.595733744538679E-2</v>
      </c>
    </row>
    <row r="19" spans="1:5" x14ac:dyDescent="0.25">
      <c r="A19" s="48" t="s">
        <v>52</v>
      </c>
      <c r="B19" s="90">
        <v>0</v>
      </c>
      <c r="C19" s="90">
        <v>0</v>
      </c>
      <c r="D19" s="97">
        <f t="shared" si="2"/>
        <v>0</v>
      </c>
      <c r="E19" s="34" t="e">
        <f t="shared" si="3"/>
        <v>#DIV/0!</v>
      </c>
    </row>
    <row r="20" spans="1:5" x14ac:dyDescent="0.25">
      <c r="A20" s="49" t="s">
        <v>53</v>
      </c>
      <c r="B20" s="116">
        <f>(1862+4163+3724+28265)*1000</f>
        <v>38014000</v>
      </c>
      <c r="C20" s="116">
        <f>(1364+3802+2651+35053)*1000</f>
        <v>42870000</v>
      </c>
      <c r="D20" s="118">
        <f t="shared" si="2"/>
        <v>-4856000</v>
      </c>
      <c r="E20" s="35">
        <f t="shared" si="3"/>
        <v>-0.1132726848612083</v>
      </c>
    </row>
    <row r="21" spans="1:5" x14ac:dyDescent="0.25">
      <c r="A21" s="3"/>
      <c r="B21" s="117">
        <f>SUM(B14:B20)</f>
        <v>83324000</v>
      </c>
      <c r="C21" s="117">
        <f>SUM(C14:C20)</f>
        <v>87433000</v>
      </c>
      <c r="D21" s="93">
        <f t="shared" si="2"/>
        <v>-4109000</v>
      </c>
      <c r="E21" s="36">
        <f>(B21-C21)/ABS(C21)</f>
        <v>-4.6995985497466634E-2</v>
      </c>
    </row>
    <row r="22" spans="1:5" x14ac:dyDescent="0.25">
      <c r="A22" s="3"/>
      <c r="B22" s="96"/>
      <c r="C22" s="96"/>
      <c r="D22" s="97"/>
      <c r="E22" s="34"/>
    </row>
    <row r="23" spans="1:5" ht="13.8" thickBot="1" x14ac:dyDescent="0.3">
      <c r="A23" s="8" t="s">
        <v>1</v>
      </c>
      <c r="B23" s="102">
        <f>B12+B21</f>
        <v>122281000</v>
      </c>
      <c r="C23" s="102">
        <f>C12+C21</f>
        <v>118206000</v>
      </c>
      <c r="D23" s="103">
        <f>B23-C23</f>
        <v>4075000</v>
      </c>
      <c r="E23" s="66">
        <f>(B23-C23)/ABS(C23)</f>
        <v>3.4473715378237992E-2</v>
      </c>
    </row>
    <row r="24" spans="1:5" ht="13.8" thickBot="1" x14ac:dyDescent="0.3">
      <c r="A24" s="3"/>
      <c r="B24" s="2"/>
      <c r="C24" s="2"/>
      <c r="D24" s="7"/>
      <c r="E24" s="4"/>
    </row>
    <row r="25" spans="1:5" x14ac:dyDescent="0.25">
      <c r="A25" s="3"/>
      <c r="B25" s="2"/>
      <c r="C25" s="2"/>
      <c r="D25" s="161" t="str">
        <f>D3</f>
        <v xml:space="preserve">Increase (decrease) $ &amp; % during </v>
      </c>
      <c r="E25" s="162"/>
    </row>
    <row r="26" spans="1:5" ht="16.2" thickBot="1" x14ac:dyDescent="0.3">
      <c r="A26" s="30" t="s">
        <v>28</v>
      </c>
      <c r="B26" s="78">
        <f>B4</f>
        <v>2018</v>
      </c>
      <c r="C26" s="78">
        <f>C4</f>
        <v>2017</v>
      </c>
      <c r="D26" s="157">
        <f>B4</f>
        <v>2018</v>
      </c>
      <c r="E26" s="158"/>
    </row>
    <row r="27" spans="1:5" x14ac:dyDescent="0.25">
      <c r="A27" s="61" t="s">
        <v>6</v>
      </c>
      <c r="B27" s="2"/>
      <c r="C27" s="2"/>
      <c r="D27" s="76"/>
      <c r="E27" s="79"/>
    </row>
    <row r="28" spans="1:5" x14ac:dyDescent="0.25">
      <c r="A28" s="48" t="s">
        <v>39</v>
      </c>
      <c r="B28" s="96">
        <v>7873000</v>
      </c>
      <c r="C28" s="96">
        <v>6329000</v>
      </c>
      <c r="D28" s="97">
        <f t="shared" ref="D28:D35" si="4">B28-C28</f>
        <v>1544000</v>
      </c>
      <c r="E28" s="34">
        <f>(B28-C28)/ABS(C28)</f>
        <v>0.24395639121504187</v>
      </c>
    </row>
    <row r="29" spans="1:5" x14ac:dyDescent="0.25">
      <c r="A29" s="48" t="s">
        <v>40</v>
      </c>
      <c r="B29" s="96">
        <v>18334000</v>
      </c>
      <c r="C29" s="96">
        <v>14422000</v>
      </c>
      <c r="D29" s="97">
        <f t="shared" si="4"/>
        <v>3912000</v>
      </c>
      <c r="E29" s="34">
        <f t="shared" ref="E29:E34" si="5">(B29-C29)/ABS(C29)</f>
        <v>0.27125225350159476</v>
      </c>
    </row>
    <row r="30" spans="1:5" x14ac:dyDescent="0.25">
      <c r="A30" s="48" t="s">
        <v>90</v>
      </c>
      <c r="B30" s="96">
        <v>7661000</v>
      </c>
      <c r="C30" s="96">
        <v>7119000</v>
      </c>
      <c r="D30" s="97">
        <f t="shared" si="4"/>
        <v>542000</v>
      </c>
      <c r="E30" s="34">
        <f t="shared" si="5"/>
        <v>7.6134288523669061E-2</v>
      </c>
    </row>
    <row r="31" spans="1:5" x14ac:dyDescent="0.25">
      <c r="A31" s="48" t="s">
        <v>41</v>
      </c>
      <c r="B31" s="96">
        <v>12024000</v>
      </c>
      <c r="C31" s="96">
        <v>10265000</v>
      </c>
      <c r="D31" s="97">
        <f t="shared" si="4"/>
        <v>1759000</v>
      </c>
      <c r="E31" s="34">
        <f t="shared" si="5"/>
        <v>0.17135898684851436</v>
      </c>
    </row>
    <row r="32" spans="1:5" x14ac:dyDescent="0.25">
      <c r="A32" s="48" t="s">
        <v>42</v>
      </c>
      <c r="B32" s="96">
        <v>0</v>
      </c>
      <c r="C32" s="96">
        <v>0</v>
      </c>
      <c r="D32" s="97">
        <f t="shared" si="4"/>
        <v>0</v>
      </c>
      <c r="E32" s="34" t="e">
        <f t="shared" si="5"/>
        <v>#DIV/0!</v>
      </c>
    </row>
    <row r="33" spans="1:8" x14ac:dyDescent="0.25">
      <c r="A33" s="48" t="s">
        <v>43</v>
      </c>
      <c r="B33" s="96">
        <v>0</v>
      </c>
      <c r="C33" s="96">
        <v>0</v>
      </c>
      <c r="D33" s="97">
        <f t="shared" si="4"/>
        <v>0</v>
      </c>
      <c r="E33" s="34" t="e">
        <f t="shared" si="5"/>
        <v>#DIV/0!</v>
      </c>
    </row>
    <row r="34" spans="1:8" x14ac:dyDescent="0.25">
      <c r="A34" s="49" t="s">
        <v>54</v>
      </c>
      <c r="B34" s="91">
        <v>0</v>
      </c>
      <c r="C34" s="91">
        <v>0</v>
      </c>
      <c r="D34" s="118">
        <f t="shared" si="4"/>
        <v>0</v>
      </c>
      <c r="E34" s="35" t="e">
        <f t="shared" si="5"/>
        <v>#DIV/0!</v>
      </c>
      <c r="G34" s="145"/>
    </row>
    <row r="35" spans="1:8" x14ac:dyDescent="0.25">
      <c r="A35" s="3"/>
      <c r="B35" s="95">
        <f>SUM(B28:B34)</f>
        <v>45892000</v>
      </c>
      <c r="C35" s="95">
        <f>SUM(C28:C34)</f>
        <v>38135000</v>
      </c>
      <c r="D35" s="93">
        <f t="shared" si="4"/>
        <v>7757000</v>
      </c>
      <c r="E35" s="36">
        <f>(B35-C35)/ABS(C35)</f>
        <v>0.20340894191687425</v>
      </c>
    </row>
    <row r="36" spans="1:8" x14ac:dyDescent="0.25">
      <c r="A36" s="61" t="s">
        <v>25</v>
      </c>
      <c r="B36" s="96"/>
      <c r="C36" s="96"/>
      <c r="D36" s="97"/>
      <c r="E36" s="34"/>
    </row>
    <row r="37" spans="1:8" x14ac:dyDescent="0.25">
      <c r="A37" s="50" t="s">
        <v>44</v>
      </c>
      <c r="B37" s="96">
        <v>43998000</v>
      </c>
      <c r="C37" s="96">
        <v>43061000</v>
      </c>
      <c r="D37" s="97">
        <f>B37-C37</f>
        <v>937000</v>
      </c>
      <c r="E37" s="34">
        <f>(B37-C37)/ABS(C37)</f>
        <v>2.1759829079677665E-2</v>
      </c>
    </row>
    <row r="38" spans="1:8" x14ac:dyDescent="0.25">
      <c r="A38" s="50" t="s">
        <v>45</v>
      </c>
      <c r="B38" s="88">
        <f>10223000+6110000</f>
        <v>16333000</v>
      </c>
      <c r="C38" s="96">
        <f>8431000+5483000</f>
        <v>13914000</v>
      </c>
      <c r="D38" s="97">
        <f>B38-C38</f>
        <v>2419000</v>
      </c>
      <c r="E38" s="34">
        <f>(B38-C38)/ABS(C38)</f>
        <v>0.1738536725600115</v>
      </c>
    </row>
    <row r="39" spans="1:8" x14ac:dyDescent="0.25">
      <c r="A39" s="51" t="s">
        <v>55</v>
      </c>
      <c r="B39" s="150">
        <f>687000 + 402000-18000</f>
        <v>1071000</v>
      </c>
      <c r="C39" s="91">
        <f>3856000+61062000-60831000</f>
        <v>4087000</v>
      </c>
      <c r="D39" s="118">
        <f>B39-C39</f>
        <v>-3016000</v>
      </c>
      <c r="E39" s="35">
        <f>(B39-C39)/ABS(C39)</f>
        <v>-0.73794959628089063</v>
      </c>
    </row>
    <row r="40" spans="1:8" x14ac:dyDescent="0.25">
      <c r="A40" s="3"/>
      <c r="B40" s="95">
        <f>SUM(B37:B39)</f>
        <v>61402000</v>
      </c>
      <c r="C40" s="95">
        <f>SUM(C37:C39)</f>
        <v>61062000</v>
      </c>
      <c r="D40" s="93">
        <f>B40-C40</f>
        <v>340000</v>
      </c>
      <c r="E40" s="36">
        <f>(B40-C40)/ABS(C40)</f>
        <v>5.5681111001932458E-3</v>
      </c>
      <c r="H40" s="145"/>
    </row>
    <row r="41" spans="1:8" x14ac:dyDescent="0.25">
      <c r="A41" s="61" t="s">
        <v>26</v>
      </c>
      <c r="B41" s="95"/>
      <c r="C41" s="95"/>
      <c r="D41" s="93"/>
      <c r="E41" s="36"/>
    </row>
    <row r="42" spans="1:8" x14ac:dyDescent="0.25">
      <c r="A42" s="52" t="s">
        <v>50</v>
      </c>
      <c r="B42" s="96">
        <v>19889000</v>
      </c>
      <c r="C42" s="96">
        <v>20199000</v>
      </c>
      <c r="D42" s="97">
        <f t="shared" ref="D42:D48" si="6">B42-C42</f>
        <v>-310000</v>
      </c>
      <c r="E42" s="34">
        <f t="shared" ref="E42:E48" si="7">(B42-C42)/ABS(C42)</f>
        <v>-1.5347294420515868E-2</v>
      </c>
    </row>
    <row r="43" spans="1:8" x14ac:dyDescent="0.25">
      <c r="A43" s="52" t="s">
        <v>49</v>
      </c>
      <c r="B43" s="96">
        <v>0</v>
      </c>
      <c r="C43" s="96">
        <v>0</v>
      </c>
      <c r="D43" s="97">
        <f t="shared" si="6"/>
        <v>0</v>
      </c>
      <c r="E43" s="34" t="e">
        <f t="shared" si="7"/>
        <v>#DIV/0!</v>
      </c>
    </row>
    <row r="44" spans="1:8" x14ac:dyDescent="0.25">
      <c r="A44" s="50" t="s">
        <v>99</v>
      </c>
      <c r="B44" s="96">
        <v>9326000</v>
      </c>
      <c r="C44" s="96">
        <v>13243000</v>
      </c>
      <c r="D44" s="97">
        <f t="shared" si="6"/>
        <v>-3917000</v>
      </c>
      <c r="E44" s="34">
        <f t="shared" si="7"/>
        <v>-0.29577890206146645</v>
      </c>
    </row>
    <row r="45" spans="1:8" x14ac:dyDescent="0.25">
      <c r="A45" s="50" t="s">
        <v>46</v>
      </c>
      <c r="B45" s="96">
        <v>-9253000</v>
      </c>
      <c r="C45" s="96">
        <v>-5609000</v>
      </c>
      <c r="D45" s="97">
        <f t="shared" si="6"/>
        <v>-3644000</v>
      </c>
      <c r="E45" s="34">
        <f t="shared" si="7"/>
        <v>-0.64967017293635232</v>
      </c>
    </row>
    <row r="46" spans="1:8" x14ac:dyDescent="0.25">
      <c r="A46" s="50" t="s">
        <v>47</v>
      </c>
      <c r="B46" s="96">
        <f>-(127269000-122281000)</f>
        <v>-4988000</v>
      </c>
      <c r="C46" s="96">
        <f>-(126435000-118206000)</f>
        <v>-8229000</v>
      </c>
      <c r="D46" s="97">
        <f t="shared" si="6"/>
        <v>3241000</v>
      </c>
      <c r="E46" s="34">
        <f t="shared" si="7"/>
        <v>0.39385101470409528</v>
      </c>
    </row>
    <row r="47" spans="1:8" x14ac:dyDescent="0.25">
      <c r="A47" s="53" t="s">
        <v>56</v>
      </c>
      <c r="B47" s="91">
        <v>13000</v>
      </c>
      <c r="C47" s="91">
        <v>-595000</v>
      </c>
      <c r="D47" s="118">
        <f t="shared" si="6"/>
        <v>608000</v>
      </c>
      <c r="E47" s="35">
        <f t="shared" si="7"/>
        <v>1.0218487394957982</v>
      </c>
    </row>
    <row r="48" spans="1:8" x14ac:dyDescent="0.25">
      <c r="A48" s="3"/>
      <c r="B48" s="95">
        <f>SUM(B42:B47)</f>
        <v>14987000</v>
      </c>
      <c r="C48" s="95">
        <f>SUM(C42:C47)</f>
        <v>19009000</v>
      </c>
      <c r="D48" s="93">
        <f t="shared" si="6"/>
        <v>-4022000</v>
      </c>
      <c r="E48" s="36">
        <f t="shared" si="7"/>
        <v>-0.21158398653269503</v>
      </c>
    </row>
    <row r="49" spans="1:5" x14ac:dyDescent="0.25">
      <c r="A49" s="3"/>
      <c r="B49" s="96"/>
      <c r="C49" s="96"/>
      <c r="D49" s="97"/>
      <c r="E49" s="34"/>
    </row>
    <row r="50" spans="1:5" ht="13.8" thickBot="1" x14ac:dyDescent="0.3">
      <c r="A50" s="8" t="s">
        <v>27</v>
      </c>
      <c r="B50" s="33">
        <f>B35+B40+B48</f>
        <v>122281000</v>
      </c>
      <c r="C50" s="33">
        <f>C35+C40+C48</f>
        <v>118206000</v>
      </c>
      <c r="D50" s="101">
        <f>B50-C50</f>
        <v>4075000</v>
      </c>
      <c r="E50" s="66">
        <f>(B50-C50)/ABS(C50)</f>
        <v>3.4473715378237992E-2</v>
      </c>
    </row>
    <row r="52" spans="1:5" ht="13.8" thickBot="1" x14ac:dyDescent="0.3"/>
    <row r="53" spans="1:5" x14ac:dyDescent="0.25">
      <c r="A53" s="85" t="s">
        <v>86</v>
      </c>
      <c r="B53" s="86"/>
      <c r="C53" s="87"/>
    </row>
    <row r="54" spans="1:5" ht="13.8" thickBot="1" x14ac:dyDescent="0.3">
      <c r="A54" s="136" t="s">
        <v>87</v>
      </c>
      <c r="B54" s="137">
        <v>384</v>
      </c>
      <c r="C54" s="138">
        <v>231</v>
      </c>
    </row>
    <row r="55" spans="1:5" ht="13.8" thickBot="1" x14ac:dyDescent="0.3">
      <c r="A55" s="139" t="s">
        <v>93</v>
      </c>
      <c r="B55" s="140"/>
      <c r="C55" s="141"/>
    </row>
    <row r="56" spans="1:5" x14ac:dyDescent="0.25">
      <c r="A56" s="135"/>
      <c r="B56" s="31"/>
      <c r="C56" s="31"/>
    </row>
    <row r="58" spans="1:5" x14ac:dyDescent="0.25">
      <c r="A58" s="68" t="s">
        <v>79</v>
      </c>
      <c r="B58" s="68"/>
    </row>
    <row r="59" spans="1:5" x14ac:dyDescent="0.25">
      <c r="A59" t="s">
        <v>80</v>
      </c>
    </row>
    <row r="60" spans="1:5" x14ac:dyDescent="0.25">
      <c r="A60" t="s">
        <v>85</v>
      </c>
    </row>
    <row r="61" spans="1:5" x14ac:dyDescent="0.25">
      <c r="A61" t="s">
        <v>91</v>
      </c>
    </row>
  </sheetData>
  <mergeCells count="8">
    <mergeCell ref="A1:B1"/>
    <mergeCell ref="A2:B2"/>
    <mergeCell ref="C1:E1"/>
    <mergeCell ref="C2:E2"/>
    <mergeCell ref="D26:E26"/>
    <mergeCell ref="D4:E4"/>
    <mergeCell ref="D3:E3"/>
    <mergeCell ref="D25:E25"/>
  </mergeCells>
  <phoneticPr fontId="0" type="noConversion"/>
  <pageMargins left="0.49803149600000002" right="0.49803149600000002" top="0.484251969" bottom="0.484251969" header="0" footer="0"/>
  <pageSetup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5"/>
  <sheetViews>
    <sheetView tabSelected="1" zoomScaleNormal="100" zoomScaleSheetLayoutView="100" workbookViewId="0">
      <selection activeCell="A11" sqref="A11"/>
    </sheetView>
  </sheetViews>
  <sheetFormatPr defaultRowHeight="13.2" x14ac:dyDescent="0.25"/>
  <cols>
    <col min="1" max="1" width="53.109375" customWidth="1"/>
    <col min="2" max="4" width="20.109375" customWidth="1"/>
    <col min="5" max="5" width="12.6640625" customWidth="1"/>
  </cols>
  <sheetData>
    <row r="1" spans="1:8" ht="18" thickBot="1" x14ac:dyDescent="0.3">
      <c r="A1" s="151" t="str">
        <f>'BS-Horizontal'!A1:E1</f>
        <v>Dell Technologies Inc.</v>
      </c>
      <c r="B1" s="152"/>
      <c r="C1" s="154" t="str">
        <f>'BS-Horizontal'!C1:E1</f>
        <v>Dhrumil Patel</v>
      </c>
      <c r="D1" s="154"/>
      <c r="E1" s="155"/>
    </row>
    <row r="2" spans="1:8" ht="18" thickBot="1" x14ac:dyDescent="0.35">
      <c r="A2" s="153" t="s">
        <v>7</v>
      </c>
      <c r="B2" s="153"/>
      <c r="C2" s="156"/>
      <c r="D2" s="156"/>
      <c r="E2" s="156"/>
    </row>
    <row r="3" spans="1:8" ht="13.8" thickBot="1" x14ac:dyDescent="0.3">
      <c r="A3" s="26"/>
      <c r="B3" s="26"/>
      <c r="C3" s="26"/>
      <c r="D3" s="161" t="s">
        <v>83</v>
      </c>
      <c r="E3" s="162"/>
    </row>
    <row r="4" spans="1:8" ht="16.2" thickBot="1" x14ac:dyDescent="0.3">
      <c r="A4" s="25" t="s">
        <v>8</v>
      </c>
      <c r="B4" s="14">
        <f>'BS-Horizontal'!B4</f>
        <v>2018</v>
      </c>
      <c r="C4" s="14">
        <f>'BS-Horizontal'!C4</f>
        <v>2017</v>
      </c>
      <c r="D4" s="163">
        <f>'BS-Horizontal'!B4</f>
        <v>2018</v>
      </c>
      <c r="E4" s="164"/>
    </row>
    <row r="5" spans="1:8" x14ac:dyDescent="0.25">
      <c r="A5" s="5"/>
      <c r="B5" s="54"/>
      <c r="C5" s="32"/>
      <c r="D5" s="55"/>
      <c r="E5" s="56"/>
    </row>
    <row r="6" spans="1:8" x14ac:dyDescent="0.25">
      <c r="A6" s="63" t="s">
        <v>66</v>
      </c>
      <c r="B6" s="88">
        <v>78660000</v>
      </c>
      <c r="C6" s="88">
        <v>61642000</v>
      </c>
      <c r="D6" s="89">
        <f>B6-C6</f>
        <v>17018000</v>
      </c>
      <c r="E6" s="34">
        <f>(B6-C6)/ABS(C6)</f>
        <v>0.2760779987670744</v>
      </c>
    </row>
    <row r="7" spans="1:8" x14ac:dyDescent="0.25">
      <c r="A7" s="63" t="s">
        <v>48</v>
      </c>
      <c r="B7" s="88">
        <v>0</v>
      </c>
      <c r="C7" s="88">
        <v>0</v>
      </c>
      <c r="D7" s="89">
        <f>B7-C7</f>
        <v>0</v>
      </c>
      <c r="E7" s="34" t="e">
        <f>(B7-C7)/ABS(C7)</f>
        <v>#DIV/0!</v>
      </c>
    </row>
    <row r="8" spans="1:8" x14ac:dyDescent="0.25">
      <c r="A8" s="64" t="s">
        <v>88</v>
      </c>
      <c r="B8" s="91">
        <v>-58606000</v>
      </c>
      <c r="C8" s="91">
        <v>-48683000</v>
      </c>
      <c r="D8" s="92">
        <f>B8-C8</f>
        <v>-9923000</v>
      </c>
      <c r="E8" s="35">
        <f>(B8-C8)/ABS(C8)</f>
        <v>-0.20382885196064335</v>
      </c>
    </row>
    <row r="9" spans="1:8" x14ac:dyDescent="0.25">
      <c r="A9" s="65" t="s">
        <v>57</v>
      </c>
      <c r="B9" s="104">
        <f>SUM(B6:B8)</f>
        <v>20054000</v>
      </c>
      <c r="C9" s="104">
        <f>SUM(C6:C8)</f>
        <v>12959000</v>
      </c>
      <c r="D9" s="93">
        <f>B9-C9</f>
        <v>7095000</v>
      </c>
      <c r="E9" s="34">
        <f>(B9-C9)/ABS(C9)</f>
        <v>0.54749594876147856</v>
      </c>
    </row>
    <row r="10" spans="1:8" x14ac:dyDescent="0.25">
      <c r="A10" s="3"/>
      <c r="B10" s="94"/>
      <c r="C10" s="95"/>
      <c r="D10" s="93"/>
      <c r="E10" s="17"/>
    </row>
    <row r="11" spans="1:8" ht="15.6" x14ac:dyDescent="0.25">
      <c r="A11" s="29" t="s">
        <v>58</v>
      </c>
      <c r="B11" s="94"/>
      <c r="C11" s="95"/>
      <c r="D11" s="93"/>
      <c r="E11" s="17"/>
    </row>
    <row r="12" spans="1:8" x14ac:dyDescent="0.25">
      <c r="A12" s="5"/>
      <c r="B12" s="88"/>
      <c r="C12" s="96"/>
      <c r="D12" s="97"/>
      <c r="E12" s="16"/>
    </row>
    <row r="13" spans="1:8" x14ac:dyDescent="0.25">
      <c r="A13" s="63" t="s">
        <v>59</v>
      </c>
      <c r="B13" s="88">
        <v>0</v>
      </c>
      <c r="C13" s="96">
        <v>0</v>
      </c>
      <c r="D13" s="97">
        <f t="shared" ref="D13:D20" si="0">B13-C13</f>
        <v>0</v>
      </c>
      <c r="E13" s="34" t="e">
        <f>(B13-C13)/ABS(C13)</f>
        <v>#DIV/0!</v>
      </c>
    </row>
    <row r="14" spans="1:8" x14ac:dyDescent="0.25">
      <c r="A14" s="63" t="s">
        <v>100</v>
      </c>
      <c r="B14" s="88">
        <v>19003000</v>
      </c>
      <c r="C14" s="96">
        <v>13575000</v>
      </c>
      <c r="D14" s="97">
        <f t="shared" si="0"/>
        <v>5428000</v>
      </c>
      <c r="E14" s="34">
        <f t="shared" ref="E14:E20" si="1">(B14-C14)/ABS(C14)</f>
        <v>0.3998526703499079</v>
      </c>
    </row>
    <row r="15" spans="1:8" x14ac:dyDescent="0.25">
      <c r="A15" s="63" t="s">
        <v>60</v>
      </c>
      <c r="B15" s="88">
        <v>0</v>
      </c>
      <c r="C15" s="96">
        <v>0</v>
      </c>
      <c r="D15" s="97">
        <f t="shared" si="0"/>
        <v>0</v>
      </c>
      <c r="E15" s="34" t="e">
        <f t="shared" si="1"/>
        <v>#DIV/0!</v>
      </c>
      <c r="H15">
        <f>3252-1672</f>
        <v>1580</v>
      </c>
    </row>
    <row r="16" spans="1:8" x14ac:dyDescent="0.25">
      <c r="A16" s="63" t="s">
        <v>61</v>
      </c>
      <c r="B16" s="88">
        <v>0</v>
      </c>
      <c r="C16" s="96">
        <v>0</v>
      </c>
      <c r="D16" s="97">
        <f t="shared" si="0"/>
        <v>0</v>
      </c>
      <c r="E16" s="34" t="e">
        <f t="shared" si="1"/>
        <v>#DIV/0!</v>
      </c>
    </row>
    <row r="17" spans="1:11" x14ac:dyDescent="0.25">
      <c r="A17" s="63" t="s">
        <v>62</v>
      </c>
      <c r="B17" s="88">
        <v>0</v>
      </c>
      <c r="C17" s="96">
        <v>0</v>
      </c>
      <c r="D17" s="97">
        <f t="shared" si="0"/>
        <v>0</v>
      </c>
      <c r="E17" s="34" t="e">
        <f t="shared" si="1"/>
        <v>#DIV/0!</v>
      </c>
    </row>
    <row r="18" spans="1:11" x14ac:dyDescent="0.25">
      <c r="A18" s="63" t="s">
        <v>64</v>
      </c>
      <c r="B18" s="88">
        <v>0</v>
      </c>
      <c r="C18" s="96">
        <v>0</v>
      </c>
      <c r="D18" s="97">
        <f t="shared" si="0"/>
        <v>0</v>
      </c>
      <c r="E18" s="34" t="e">
        <f t="shared" si="1"/>
        <v>#DIV/0!</v>
      </c>
    </row>
    <row r="19" spans="1:11" x14ac:dyDescent="0.25">
      <c r="A19" s="63" t="s">
        <v>65</v>
      </c>
      <c r="B19" s="88">
        <v>4384000</v>
      </c>
      <c r="C19" s="96">
        <v>2636000</v>
      </c>
      <c r="D19" s="97">
        <f t="shared" si="0"/>
        <v>1748000</v>
      </c>
      <c r="E19" s="34">
        <f t="shared" si="1"/>
        <v>0.66312594840667682</v>
      </c>
    </row>
    <row r="20" spans="1:11" ht="13.8" thickBot="1" x14ac:dyDescent="0.3">
      <c r="A20" s="64" t="s">
        <v>63</v>
      </c>
      <c r="B20" s="98">
        <v>0</v>
      </c>
      <c r="C20" s="91">
        <v>0</v>
      </c>
      <c r="D20" s="99">
        <f t="shared" si="0"/>
        <v>0</v>
      </c>
      <c r="E20" s="130" t="e">
        <f t="shared" si="1"/>
        <v>#DIV/0!</v>
      </c>
    </row>
    <row r="21" spans="1:11" x14ac:dyDescent="0.25">
      <c r="A21" s="50"/>
      <c r="B21" s="88"/>
      <c r="C21" s="96"/>
      <c r="D21" s="97"/>
      <c r="E21" s="131"/>
    </row>
    <row r="22" spans="1:11" x14ac:dyDescent="0.25">
      <c r="A22" s="6" t="s">
        <v>68</v>
      </c>
      <c r="B22" s="100">
        <f>B9-SUM(B13:B20)</f>
        <v>-3333000</v>
      </c>
      <c r="C22" s="100">
        <f>C9-SUM(C13:C20)</f>
        <v>-3252000</v>
      </c>
      <c r="D22" s="101">
        <f>B22-C22</f>
        <v>-81000</v>
      </c>
      <c r="E22" s="35">
        <f>(B22-C22)/ABS(C22)</f>
        <v>-2.4907749077490774E-2</v>
      </c>
      <c r="K22">
        <f>2885-1672</f>
        <v>1213</v>
      </c>
    </row>
    <row r="23" spans="1:11" x14ac:dyDescent="0.25">
      <c r="A23" s="50"/>
      <c r="B23" s="88"/>
      <c r="C23" s="96"/>
      <c r="D23" s="97"/>
      <c r="E23" s="16"/>
    </row>
    <row r="24" spans="1:11" x14ac:dyDescent="0.25">
      <c r="A24" s="63" t="s">
        <v>72</v>
      </c>
      <c r="B24" s="88">
        <v>2406000</v>
      </c>
      <c r="C24" s="96">
        <v>1751000</v>
      </c>
      <c r="D24" s="97">
        <f>B24-C24</f>
        <v>655000</v>
      </c>
      <c r="E24" s="34">
        <f>(B24-C24)/ABS(C24)</f>
        <v>0.37407195888063965</v>
      </c>
    </row>
    <row r="25" spans="1:11" x14ac:dyDescent="0.25">
      <c r="A25" s="63" t="s">
        <v>73</v>
      </c>
      <c r="B25" s="88">
        <f>1833000</f>
        <v>1833000</v>
      </c>
      <c r="C25" s="96">
        <f>1619000</f>
        <v>1619000</v>
      </c>
      <c r="D25" s="97">
        <f>B25-C25</f>
        <v>214000</v>
      </c>
      <c r="E25" s="34">
        <f>(B25-C25)/ABS(C25)</f>
        <v>0.13218035824583077</v>
      </c>
      <c r="I25" s="145">
        <f>2885-1672</f>
        <v>1213</v>
      </c>
    </row>
    <row r="26" spans="1:11" x14ac:dyDescent="0.25">
      <c r="A26" s="63" t="s">
        <v>70</v>
      </c>
      <c r="B26" s="88">
        <v>-3855000</v>
      </c>
      <c r="C26" s="96">
        <f>-3737000</f>
        <v>-3737000</v>
      </c>
      <c r="D26" s="97">
        <f>B26-C26</f>
        <v>-118000</v>
      </c>
      <c r="E26" s="34">
        <f>(B26-C26)/ABS(C26)</f>
        <v>-3.1576130586031578E-2</v>
      </c>
    </row>
    <row r="27" spans="1:11" ht="13.8" thickBot="1" x14ac:dyDescent="0.3">
      <c r="A27" s="64" t="s">
        <v>71</v>
      </c>
      <c r="B27" s="98">
        <f>3728000-3717000</f>
        <v>11000</v>
      </c>
      <c r="C27" s="150">
        <v>-1213000</v>
      </c>
      <c r="D27" s="99">
        <f>B27-C27</f>
        <v>1224000</v>
      </c>
      <c r="E27" s="130">
        <f>(B27-C27)/ABS(C27)</f>
        <v>1.0090684253915911</v>
      </c>
    </row>
    <row r="28" spans="1:11" x14ac:dyDescent="0.25">
      <c r="A28" s="3" t="s">
        <v>69</v>
      </c>
      <c r="B28" s="95">
        <f>SUM(B24:B27)</f>
        <v>395000</v>
      </c>
      <c r="C28" s="95">
        <f>SUM(C24:C27)</f>
        <v>-1580000</v>
      </c>
      <c r="D28" s="93">
        <f>B28-C28</f>
        <v>1975000</v>
      </c>
      <c r="E28" s="34">
        <f>(B28-C28)/ABS(C28)</f>
        <v>1.25</v>
      </c>
    </row>
    <row r="29" spans="1:11" ht="13.8" thickBot="1" x14ac:dyDescent="0.3">
      <c r="A29" s="3"/>
      <c r="B29" s="96"/>
      <c r="C29" s="96"/>
      <c r="D29" s="99"/>
      <c r="E29" s="132"/>
    </row>
    <row r="30" spans="1:11" ht="13.8" thickBot="1" x14ac:dyDescent="0.3">
      <c r="A30" s="8" t="s">
        <v>84</v>
      </c>
      <c r="B30" s="102">
        <f>B22-B28</f>
        <v>-3728000</v>
      </c>
      <c r="C30" s="102">
        <f>C22-C28</f>
        <v>-1672000</v>
      </c>
      <c r="D30" s="133">
        <f>B30-C30</f>
        <v>-2056000</v>
      </c>
      <c r="E30" s="134">
        <f>(B30-C30)/ABS(C30)</f>
        <v>-1.229665071770335</v>
      </c>
    </row>
    <row r="32" spans="1:11" x14ac:dyDescent="0.25">
      <c r="A32" s="68" t="str">
        <f>'BS-Horizontal'!A58</f>
        <v>1. DO NOT DELETE ANY ITEM ON THIS SPREADSHEET!!!</v>
      </c>
      <c r="B32" s="68"/>
    </row>
    <row r="33" spans="1:1" x14ac:dyDescent="0.25">
      <c r="A33" t="str">
        <f>'BS-Horizontal'!A59</f>
        <v>2. If there is no value given for your company, then enter 0.</v>
      </c>
    </row>
    <row r="34" spans="1:1" x14ac:dyDescent="0.25">
      <c r="A34" t="str">
        <f>'BS-Horizontal'!A60</f>
        <v>3. Do NOT change any formulas.</v>
      </c>
    </row>
    <row r="35" spans="1:1" x14ac:dyDescent="0.25">
      <c r="A35" t="str">
        <f>'BS-Horizontal'!A61</f>
        <v>4. If an account is not found here, add the values in "others"</v>
      </c>
    </row>
  </sheetData>
  <mergeCells count="6">
    <mergeCell ref="D4:E4"/>
    <mergeCell ref="D3:E3"/>
    <mergeCell ref="A1:B1"/>
    <mergeCell ref="A2:B2"/>
    <mergeCell ref="C1:E1"/>
    <mergeCell ref="C2:E2"/>
  </mergeCells>
  <phoneticPr fontId="0" type="noConversion"/>
  <pageMargins left="0.5" right="0.5" top="0.5" bottom="0.5" header="0" footer="0"/>
  <pageSetup scale="7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56"/>
  <sheetViews>
    <sheetView zoomScaleNormal="100" zoomScaleSheetLayoutView="100" workbookViewId="0">
      <selection activeCell="A3" sqref="A3:E3"/>
    </sheetView>
  </sheetViews>
  <sheetFormatPr defaultRowHeight="13.2" x14ac:dyDescent="0.25"/>
  <cols>
    <col min="1" max="1" width="59.88671875" customWidth="1"/>
    <col min="2" max="2" width="20.109375" customWidth="1"/>
    <col min="3" max="3" width="12.6640625" customWidth="1"/>
    <col min="4" max="4" width="20.109375" customWidth="1"/>
    <col min="5" max="5" width="12.6640625" customWidth="1"/>
  </cols>
  <sheetData>
    <row r="1" spans="1:6" ht="18" thickBot="1" x14ac:dyDescent="0.3">
      <c r="A1" s="151" t="str">
        <f>'BS-Horizontal'!A1:E1</f>
        <v>Dell Technologies Inc.</v>
      </c>
      <c r="B1" s="152"/>
      <c r="C1" s="154" t="str">
        <f>'BS-Horizontal'!C1:E1</f>
        <v>Dhrumil Patel</v>
      </c>
      <c r="D1" s="154"/>
      <c r="E1" s="155"/>
      <c r="F1" s="31"/>
    </row>
    <row r="2" spans="1:6" ht="17.399999999999999" x14ac:dyDescent="0.3">
      <c r="A2" s="153" t="s">
        <v>9</v>
      </c>
      <c r="B2" s="153"/>
      <c r="C2" s="156"/>
      <c r="D2" s="156"/>
      <c r="E2" s="156"/>
    </row>
    <row r="3" spans="1:6" ht="13.8" thickBot="1" x14ac:dyDescent="0.3">
      <c r="A3" s="165"/>
      <c r="B3" s="165"/>
      <c r="C3" s="165"/>
      <c r="D3" s="165"/>
      <c r="E3" s="165"/>
    </row>
    <row r="4" spans="1:6" ht="16.2" thickBot="1" x14ac:dyDescent="0.3">
      <c r="A4" s="25" t="s">
        <v>2</v>
      </c>
      <c r="B4" s="73">
        <f>'BS-Horizontal'!B4</f>
        <v>2018</v>
      </c>
      <c r="C4" s="73" t="s">
        <v>3</v>
      </c>
      <c r="D4" s="80">
        <f>'BS-Horizontal'!C4</f>
        <v>2017</v>
      </c>
      <c r="E4" s="81" t="str">
        <f>C4</f>
        <v>%</v>
      </c>
    </row>
    <row r="5" spans="1:6" x14ac:dyDescent="0.25">
      <c r="A5" s="61" t="str">
        <f>'BS-Horizontal'!A5</f>
        <v>Current Assets:</v>
      </c>
      <c r="B5" s="2"/>
      <c r="C5" s="2"/>
      <c r="D5" s="77"/>
      <c r="E5" s="9"/>
    </row>
    <row r="6" spans="1:6" x14ac:dyDescent="0.25">
      <c r="A6" s="48" t="str">
        <f>'BS-Horizontal'!A6</f>
        <v>Cash and cash equivalents</v>
      </c>
      <c r="B6" s="96">
        <f>'BS-Horizontal'!B6</f>
        <v>13942000</v>
      </c>
      <c r="C6" s="124">
        <f>(B6/B23)</f>
        <v>0.11401607772262248</v>
      </c>
      <c r="D6" s="120">
        <f>'BS-Horizontal'!C6</f>
        <v>9474000</v>
      </c>
      <c r="E6" s="18">
        <f>(D6/D23)</f>
        <v>8.0148215826607791E-2</v>
      </c>
    </row>
    <row r="7" spans="1:6" x14ac:dyDescent="0.25">
      <c r="A7" s="48" t="str">
        <f>'BS-Horizontal'!A7</f>
        <v>Receivables (add all types of receivables)</v>
      </c>
      <c r="B7" s="96">
        <f>'BS-Horizontal'!B7</f>
        <v>15096000</v>
      </c>
      <c r="C7" s="124">
        <f>(B7/B23)</f>
        <v>0.12345335743083553</v>
      </c>
      <c r="D7" s="120">
        <f>'BS-Horizontal'!C7</f>
        <v>12642000</v>
      </c>
      <c r="E7" s="18">
        <f>(D7/D23)</f>
        <v>0.10694888584335821</v>
      </c>
    </row>
    <row r="8" spans="1:6" x14ac:dyDescent="0.25">
      <c r="A8" s="48" t="str">
        <f>'BS-Horizontal'!A8</f>
        <v>Inventories</v>
      </c>
      <c r="B8" s="96">
        <f>'BS-Horizontal'!B8</f>
        <v>2678000</v>
      </c>
      <c r="C8" s="124">
        <f>(B8/B23)</f>
        <v>2.1900377000515208E-2</v>
      </c>
      <c r="D8" s="120">
        <f>'BS-Horizontal'!C8</f>
        <v>2538000</v>
      </c>
      <c r="E8" s="18">
        <f>(D8/D23)</f>
        <v>2.147099132023755E-2</v>
      </c>
    </row>
    <row r="9" spans="1:6" x14ac:dyDescent="0.25">
      <c r="A9" s="48" t="str">
        <f>'BS-Horizontal'!A9</f>
        <v>Prepaid expenses and other</v>
      </c>
      <c r="B9" s="96">
        <f>'BS-Horizontal'!B9</f>
        <v>0</v>
      </c>
      <c r="C9" s="124">
        <f>(B9/B23)</f>
        <v>0</v>
      </c>
      <c r="D9" s="120">
        <f>'BS-Horizontal'!C9</f>
        <v>0</v>
      </c>
      <c r="E9" s="18">
        <f>(D9/D23)</f>
        <v>0</v>
      </c>
    </row>
    <row r="10" spans="1:6" x14ac:dyDescent="0.25">
      <c r="A10" s="48" t="str">
        <f>'BS-Horizontal'!A10</f>
        <v>Investments</v>
      </c>
      <c r="B10" s="96">
        <f>'BS-Horizontal'!B10</f>
        <v>2187000</v>
      </c>
      <c r="C10" s="125">
        <f>(B10/B23)</f>
        <v>1.7885035287575339E-2</v>
      </c>
      <c r="D10" s="120">
        <f>'BS-Horizontal'!C10</f>
        <v>1975000</v>
      </c>
      <c r="E10" s="18">
        <f>(D10/D23)</f>
        <v>1.6708119723195101E-2</v>
      </c>
    </row>
    <row r="11" spans="1:6" x14ac:dyDescent="0.25">
      <c r="A11" s="49" t="str">
        <f>'BS-Horizontal'!A11</f>
        <v>Other current assets</v>
      </c>
      <c r="B11" s="91">
        <f>'BS-Horizontal'!B11</f>
        <v>5054000</v>
      </c>
      <c r="C11" s="126">
        <f>(B11/B23)</f>
        <v>4.1331032621584711E-2</v>
      </c>
      <c r="D11" s="121">
        <f>'BS-Horizontal'!C11</f>
        <v>4144000</v>
      </c>
      <c r="E11" s="20">
        <f>(D11/D23)</f>
        <v>3.505744209261797E-2</v>
      </c>
    </row>
    <row r="12" spans="1:6" x14ac:dyDescent="0.25">
      <c r="A12" s="10"/>
      <c r="B12" s="104">
        <f>SUM(B6:B11)</f>
        <v>38957000</v>
      </c>
      <c r="C12" s="70">
        <f>(B12/B23)</f>
        <v>0.31858588006313326</v>
      </c>
      <c r="D12" s="104">
        <f>SUM(D6:D11)</f>
        <v>30773000</v>
      </c>
      <c r="E12" s="23">
        <f>(D12/D23)</f>
        <v>0.26033365480601661</v>
      </c>
    </row>
    <row r="13" spans="1:6" x14ac:dyDescent="0.25">
      <c r="A13" s="61" t="str">
        <f>'BS-Horizontal'!A13</f>
        <v>Long-Term Assets:</v>
      </c>
      <c r="B13" s="96"/>
      <c r="C13" s="18"/>
      <c r="D13" s="120"/>
      <c r="E13" s="18"/>
    </row>
    <row r="14" spans="1:6" x14ac:dyDescent="0.25">
      <c r="A14" s="48" t="str">
        <f>'BS-Horizontal'!A14</f>
        <v>Land</v>
      </c>
      <c r="B14" s="96">
        <f>'BS-Horizontal'!B14</f>
        <v>0</v>
      </c>
      <c r="C14" s="69">
        <f>(B14/B23)</f>
        <v>0</v>
      </c>
      <c r="D14" s="120">
        <f>'BS-Horizontal'!C14</f>
        <v>0</v>
      </c>
      <c r="E14" s="18">
        <f>(D14/$D$23)</f>
        <v>0</v>
      </c>
    </row>
    <row r="15" spans="1:6" x14ac:dyDescent="0.25">
      <c r="A15" s="48" t="str">
        <f>'BS-Horizontal'!A15</f>
        <v>Buildings and improvements</v>
      </c>
      <c r="B15" s="96">
        <f>'BS-Horizontal'!B15</f>
        <v>0</v>
      </c>
      <c r="C15" s="69">
        <f>(B15/B23)</f>
        <v>0</v>
      </c>
      <c r="D15" s="120">
        <f>'BS-Horizontal'!C15</f>
        <v>0</v>
      </c>
      <c r="E15" s="18">
        <f>(D15/$D$23)</f>
        <v>0</v>
      </c>
    </row>
    <row r="16" spans="1:6" x14ac:dyDescent="0.25">
      <c r="A16" s="48" t="str">
        <f>'BS-Horizontal'!A16</f>
        <v>Property, plant, and equipment</v>
      </c>
      <c r="B16" s="96">
        <f>'BS-Horizontal'!B16</f>
        <v>5390000</v>
      </c>
      <c r="C16" s="69">
        <f>(B16/B23)</f>
        <v>4.4078802103352112E-2</v>
      </c>
      <c r="D16" s="120">
        <f>'BS-Horizontal'!C16</f>
        <v>5653000</v>
      </c>
      <c r="E16" s="18">
        <f>(D16/$D$23)</f>
        <v>4.7823291541884506E-2</v>
      </c>
    </row>
    <row r="17" spans="1:8" x14ac:dyDescent="0.25">
      <c r="A17" s="48" t="str">
        <f>'BS-Horizontal'!A17</f>
        <v>Accumulated amortization for all assets (negative number)</v>
      </c>
      <c r="B17" s="96">
        <f>'BS-Horizontal'!B17</f>
        <v>0</v>
      </c>
      <c r="C17" s="69">
        <f>(B17/B23)</f>
        <v>0</v>
      </c>
      <c r="D17" s="120">
        <f>'BS-Horizontal'!C17</f>
        <v>0</v>
      </c>
      <c r="E17" s="18">
        <f>(D17/$D$23)</f>
        <v>0</v>
      </c>
    </row>
    <row r="18" spans="1:8" x14ac:dyDescent="0.25">
      <c r="A18" s="48" t="str">
        <f>'BS-Horizontal'!A18</f>
        <v>Goodwill</v>
      </c>
      <c r="B18" s="96">
        <f>'BS-Horizontal'!B18</f>
        <v>39920000</v>
      </c>
      <c r="C18" s="69">
        <f>(B18/B23)</f>
        <v>0.32646118366712734</v>
      </c>
      <c r="D18" s="120">
        <f>'BS-Horizontal'!C18</f>
        <v>38910000</v>
      </c>
      <c r="E18" s="18">
        <f>(D18/D23)</f>
        <v>0.32917110806558042</v>
      </c>
    </row>
    <row r="19" spans="1:8" x14ac:dyDescent="0.25">
      <c r="A19" s="48" t="str">
        <f>'BS-Horizontal'!A19</f>
        <v>Deferred charges</v>
      </c>
      <c r="B19" s="96">
        <f>'BS-Horizontal'!B19</f>
        <v>0</v>
      </c>
      <c r="C19" s="69">
        <f>(B19/B23)</f>
        <v>0</v>
      </c>
      <c r="D19" s="120">
        <f>'BS-Horizontal'!C19</f>
        <v>0</v>
      </c>
      <c r="E19" s="18">
        <f>(D19/D23)</f>
        <v>0</v>
      </c>
    </row>
    <row r="20" spans="1:8" x14ac:dyDescent="0.25">
      <c r="A20" s="49" t="str">
        <f>'BS-Horizontal'!A20</f>
        <v>Other assets</v>
      </c>
      <c r="B20" s="91">
        <f>'BS-Horizontal'!B20</f>
        <v>38014000</v>
      </c>
      <c r="C20" s="71">
        <f>(B20/B23)</f>
        <v>0.31087413416638726</v>
      </c>
      <c r="D20" s="121">
        <f>'BS-Horizontal'!C20</f>
        <v>42870000</v>
      </c>
      <c r="E20" s="20">
        <f>(D20/D23)</f>
        <v>0.36267194558651844</v>
      </c>
    </row>
    <row r="21" spans="1:8" x14ac:dyDescent="0.25">
      <c r="A21" s="10"/>
      <c r="B21" s="104">
        <f>SUM(B14:B20)</f>
        <v>83324000</v>
      </c>
      <c r="C21" s="70">
        <f>(B21/B23)</f>
        <v>0.68141411993686674</v>
      </c>
      <c r="D21" s="104">
        <f>SUM(D14:D20)</f>
        <v>87433000</v>
      </c>
      <c r="E21" s="23">
        <f>(D21/D23)</f>
        <v>0.73966634519398333</v>
      </c>
    </row>
    <row r="22" spans="1:8" x14ac:dyDescent="0.25">
      <c r="A22" s="3"/>
      <c r="B22" s="96"/>
      <c r="C22" s="18"/>
      <c r="D22" s="120"/>
      <c r="E22" s="18"/>
    </row>
    <row r="23" spans="1:8" ht="13.8" thickBot="1" x14ac:dyDescent="0.3">
      <c r="A23" s="8" t="s">
        <v>1</v>
      </c>
      <c r="B23" s="102">
        <f>B12+B21</f>
        <v>122281000</v>
      </c>
      <c r="C23" s="72">
        <f>(B23/B23)</f>
        <v>1</v>
      </c>
      <c r="D23" s="102">
        <f>D12+D21</f>
        <v>118206000</v>
      </c>
      <c r="E23" s="21">
        <f>(D23/D23)</f>
        <v>1</v>
      </c>
    </row>
    <row r="24" spans="1:8" x14ac:dyDescent="0.25">
      <c r="A24" s="3"/>
      <c r="B24" s="119"/>
      <c r="C24" s="62"/>
      <c r="D24" s="122"/>
      <c r="E24" s="9"/>
    </row>
    <row r="25" spans="1:8" x14ac:dyDescent="0.25">
      <c r="A25" s="3"/>
      <c r="B25" s="119"/>
      <c r="C25" s="62"/>
      <c r="D25" s="122"/>
      <c r="E25" s="9"/>
    </row>
    <row r="26" spans="1:8" ht="16.2" thickBot="1" x14ac:dyDescent="0.3">
      <c r="A26" s="30" t="s">
        <v>28</v>
      </c>
      <c r="B26" s="148">
        <f>'BS-Horizontal'!B4</f>
        <v>2018</v>
      </c>
      <c r="C26" s="82" t="str">
        <f>C4</f>
        <v>%</v>
      </c>
      <c r="D26" s="149">
        <f>'BS-Horizontal'!C4</f>
        <v>2017</v>
      </c>
      <c r="E26" s="82" t="str">
        <f>C4</f>
        <v>%</v>
      </c>
      <c r="G26" t="s">
        <v>4</v>
      </c>
      <c r="H26" t="s">
        <v>4</v>
      </c>
    </row>
    <row r="27" spans="1:8" x14ac:dyDescent="0.25">
      <c r="A27" s="61" t="str">
        <f>'BS-Horizontal'!A27</f>
        <v>Current Liabilities:</v>
      </c>
      <c r="B27" s="90"/>
      <c r="C27" s="2"/>
      <c r="D27" s="123"/>
      <c r="E27" s="9"/>
    </row>
    <row r="28" spans="1:8" x14ac:dyDescent="0.25">
      <c r="A28" s="48" t="str">
        <f>'BS-Horizontal'!A28</f>
        <v>Short-term borrowings</v>
      </c>
      <c r="B28" s="96">
        <f>'BS-Horizontal'!B28</f>
        <v>7873000</v>
      </c>
      <c r="C28" s="125">
        <f t="shared" ref="C28:C33" si="0">(B28/$B$23)</f>
        <v>6.4384491458198745E-2</v>
      </c>
      <c r="D28" s="120">
        <f>'BS-Horizontal'!C28</f>
        <v>6329000</v>
      </c>
      <c r="E28" s="18">
        <f t="shared" ref="E28:E33" si="1">(D28/$D$23)</f>
        <v>5.3542121381317365E-2</v>
      </c>
    </row>
    <row r="29" spans="1:8" x14ac:dyDescent="0.25">
      <c r="A29" s="48" t="str">
        <f>'BS-Horizontal'!A29</f>
        <v>Accounts payable</v>
      </c>
      <c r="B29" s="96">
        <f>'BS-Horizontal'!B29</f>
        <v>18334000</v>
      </c>
      <c r="C29" s="125">
        <f t="shared" si="0"/>
        <v>0.14993335023429641</v>
      </c>
      <c r="D29" s="120">
        <f>'BS-Horizontal'!C29</f>
        <v>14422000</v>
      </c>
      <c r="E29" s="18">
        <f t="shared" si="1"/>
        <v>0.12200734311287074</v>
      </c>
    </row>
    <row r="30" spans="1:8" x14ac:dyDescent="0.25">
      <c r="A30" s="48" t="str">
        <f>'BS-Horizontal'!A30</f>
        <v>Accrued liabilities (includes unearned revenues)</v>
      </c>
      <c r="B30" s="96">
        <f>'BS-Horizontal'!B30</f>
        <v>7661000</v>
      </c>
      <c r="C30" s="125">
        <f t="shared" si="0"/>
        <v>6.2650779761369305E-2</v>
      </c>
      <c r="D30" s="120">
        <f>'BS-Horizontal'!C30</f>
        <v>7119000</v>
      </c>
      <c r="E30" s="18">
        <f t="shared" si="1"/>
        <v>6.0225369270595401E-2</v>
      </c>
    </row>
    <row r="31" spans="1:8" x14ac:dyDescent="0.25">
      <c r="A31" s="48" t="str">
        <f>'BS-Horizontal'!A31</f>
        <v>Accrued income taxes</v>
      </c>
      <c r="B31" s="96">
        <f>'BS-Horizontal'!B31</f>
        <v>12024000</v>
      </c>
      <c r="C31" s="125">
        <f t="shared" si="0"/>
        <v>9.8330893597533553E-2</v>
      </c>
      <c r="D31" s="120">
        <f>'BS-Horizontal'!C31</f>
        <v>10265000</v>
      </c>
      <c r="E31" s="18">
        <f t="shared" si="1"/>
        <v>8.6839923523340606E-2</v>
      </c>
    </row>
    <row r="32" spans="1:8" x14ac:dyDescent="0.25">
      <c r="A32" s="48" t="str">
        <f>'BS-Horizontal'!A32</f>
        <v>Long-term debt due within one year</v>
      </c>
      <c r="B32" s="96">
        <f>'BS-Horizontal'!B32</f>
        <v>0</v>
      </c>
      <c r="C32" s="125">
        <f t="shared" si="0"/>
        <v>0</v>
      </c>
      <c r="D32" s="120">
        <f>'BS-Horizontal'!C32</f>
        <v>0</v>
      </c>
      <c r="E32" s="18">
        <f t="shared" si="1"/>
        <v>0</v>
      </c>
    </row>
    <row r="33" spans="1:5" x14ac:dyDescent="0.25">
      <c r="A33" s="48" t="str">
        <f>'BS-Horizontal'!A33</f>
        <v>Current liabilities of discontinued operations</v>
      </c>
      <c r="B33" s="96">
        <f>'BS-Horizontal'!B33</f>
        <v>0</v>
      </c>
      <c r="C33" s="125">
        <f t="shared" si="0"/>
        <v>0</v>
      </c>
      <c r="D33" s="120">
        <f>'BS-Horizontal'!C33</f>
        <v>0</v>
      </c>
      <c r="E33" s="18">
        <f t="shared" si="1"/>
        <v>0</v>
      </c>
    </row>
    <row r="34" spans="1:5" x14ac:dyDescent="0.25">
      <c r="A34" s="49" t="str">
        <f>'BS-Horizontal'!A34</f>
        <v>Other current liabilities</v>
      </c>
      <c r="B34" s="91">
        <f>'BS-Horizontal'!B34</f>
        <v>0</v>
      </c>
      <c r="C34" s="126">
        <f>(B34/B23)</f>
        <v>0</v>
      </c>
      <c r="D34" s="121">
        <f>'BS-Horizontal'!C34</f>
        <v>0</v>
      </c>
      <c r="E34" s="20">
        <f>(D34/D23)</f>
        <v>0</v>
      </c>
    </row>
    <row r="35" spans="1:5" x14ac:dyDescent="0.25">
      <c r="A35" s="10"/>
      <c r="B35" s="104">
        <f>SUM(B28:B34)</f>
        <v>45892000</v>
      </c>
      <c r="C35" s="127">
        <f>(B35/B23)</f>
        <v>0.37529951505139802</v>
      </c>
      <c r="D35" s="104">
        <f>SUM(D28:D34)</f>
        <v>38135000</v>
      </c>
      <c r="E35" s="23">
        <f>(D35/D23)</f>
        <v>0.32261475728812411</v>
      </c>
    </row>
    <row r="36" spans="1:5" x14ac:dyDescent="0.25">
      <c r="A36" s="61" t="str">
        <f>'BS-Horizontal'!A36</f>
        <v>Long-Term Liabilities:</v>
      </c>
      <c r="B36" s="96"/>
      <c r="C36" s="125"/>
      <c r="D36" s="120"/>
      <c r="E36" s="22"/>
    </row>
    <row r="37" spans="1:5" x14ac:dyDescent="0.25">
      <c r="A37" s="50" t="str">
        <f>'BS-Horizontal'!A37</f>
        <v>Long-term debt</v>
      </c>
      <c r="B37" s="96">
        <f>'BS-Horizontal'!B37</f>
        <v>43998000</v>
      </c>
      <c r="C37" s="125">
        <f>B37/$B$23</f>
        <v>0.35981060017500677</v>
      </c>
      <c r="D37" s="120">
        <f>'BS-Horizontal'!C37</f>
        <v>43061000</v>
      </c>
      <c r="E37" s="22">
        <f>D37/D23</f>
        <v>0.36428776881038188</v>
      </c>
    </row>
    <row r="38" spans="1:5" x14ac:dyDescent="0.25">
      <c r="A38" s="50" t="str">
        <f>'BS-Horizontal'!A38</f>
        <v>Deferred income taxes and other</v>
      </c>
      <c r="B38" s="96">
        <f>'BS-Horizontal'!B38</f>
        <v>16333000</v>
      </c>
      <c r="C38" s="125">
        <f>B38/$B$23</f>
        <v>0.13356940162412803</v>
      </c>
      <c r="D38" s="120">
        <f>'BS-Horizontal'!C38</f>
        <v>13914000</v>
      </c>
      <c r="E38" s="22" t="e">
        <f>D38/D24</f>
        <v>#DIV/0!</v>
      </c>
    </row>
    <row r="39" spans="1:5" x14ac:dyDescent="0.25">
      <c r="A39" s="51" t="str">
        <f>'BS-Horizontal'!A39</f>
        <v>Other liabilities</v>
      </c>
      <c r="B39" s="91">
        <f>'BS-Horizontal'!B39</f>
        <v>1071000</v>
      </c>
      <c r="C39" s="126">
        <f>(B39/B23)</f>
        <v>8.7585152231336016E-3</v>
      </c>
      <c r="D39" s="121">
        <f>'BS-Horizontal'!C39</f>
        <v>4087000</v>
      </c>
      <c r="E39" s="20">
        <f>(D39/D23)</f>
        <v>3.4575233067695381E-2</v>
      </c>
    </row>
    <row r="40" spans="1:5" x14ac:dyDescent="0.25">
      <c r="A40" s="10"/>
      <c r="B40" s="104">
        <f>SUM(B37:B39)</f>
        <v>61402000</v>
      </c>
      <c r="C40" s="127">
        <f>(B40/B23)</f>
        <v>0.50213851702226842</v>
      </c>
      <c r="D40" s="104">
        <f>SUM(D37:D39)</f>
        <v>61062000</v>
      </c>
      <c r="E40" s="23">
        <f>(D40/D23)</f>
        <v>0.51657276280391862</v>
      </c>
    </row>
    <row r="41" spans="1:5" x14ac:dyDescent="0.25">
      <c r="A41" s="61" t="str">
        <f>'BS-Horizontal'!A41</f>
        <v>Shareholders' Equity:</v>
      </c>
      <c r="B41" s="95"/>
      <c r="C41" s="128"/>
      <c r="D41" s="104"/>
      <c r="E41" s="23"/>
    </row>
    <row r="42" spans="1:5" x14ac:dyDescent="0.25">
      <c r="A42" s="52" t="str">
        <f>'BS-Horizontal'!A42</f>
        <v>Common shares</v>
      </c>
      <c r="B42" s="96">
        <f>'BS-Horizontal'!B42</f>
        <v>19889000</v>
      </c>
      <c r="C42" s="125">
        <f>(B42/$B$23)</f>
        <v>0.16264996197283307</v>
      </c>
      <c r="D42" s="96">
        <f>'BS-Horizontal'!C42</f>
        <v>20199000</v>
      </c>
      <c r="E42" s="18">
        <f>(D42/$D$23)</f>
        <v>0.17087965077914827</v>
      </c>
    </row>
    <row r="43" spans="1:5" x14ac:dyDescent="0.25">
      <c r="A43" s="52" t="str">
        <f>'BS-Horizontal'!A43</f>
        <v>Preferred shares</v>
      </c>
      <c r="B43" s="96">
        <f>'BS-Horizontal'!B43</f>
        <v>0</v>
      </c>
      <c r="C43" s="125">
        <f>(B43/$B$23)</f>
        <v>0</v>
      </c>
      <c r="D43" s="96">
        <f>'BS-Horizontal'!C43</f>
        <v>0</v>
      </c>
      <c r="E43" s="18">
        <f>(D43/$D$23)</f>
        <v>0</v>
      </c>
    </row>
    <row r="44" spans="1:5" x14ac:dyDescent="0.25">
      <c r="A44" s="50" t="str">
        <f>'BS-Horizontal'!A44</f>
        <v>Total Stockholders' Equity</v>
      </c>
      <c r="B44" s="96">
        <f>'BS-Horizontal'!B44</f>
        <v>9326000</v>
      </c>
      <c r="C44" s="125">
        <f>(B44/$B$23)</f>
        <v>7.6266958889770281E-2</v>
      </c>
      <c r="D44" s="96">
        <f>'BS-Horizontal'!C44</f>
        <v>13243000</v>
      </c>
      <c r="E44" s="18">
        <f>(D44/$D$23)</f>
        <v>0.11203323012368238</v>
      </c>
    </row>
    <row r="45" spans="1:5" x14ac:dyDescent="0.25">
      <c r="A45" s="50" t="str">
        <f>'BS-Horizontal'!A45</f>
        <v>Retained earnings</v>
      </c>
      <c r="B45" s="96">
        <f>'BS-Horizontal'!B45</f>
        <v>-9253000</v>
      </c>
      <c r="C45" s="125">
        <f>(B45/$B$23)</f>
        <v>-7.5669973258314871E-2</v>
      </c>
      <c r="D45" s="96">
        <f>'BS-Horizontal'!C45</f>
        <v>-5609000</v>
      </c>
      <c r="E45" s="18">
        <f>(D45/$D$23)</f>
        <v>-4.7451060013874086E-2</v>
      </c>
    </row>
    <row r="46" spans="1:5" x14ac:dyDescent="0.25">
      <c r="A46" s="50" t="str">
        <f>'BS-Horizontal'!A46</f>
        <v>Noncontrolling interest</v>
      </c>
      <c r="B46" s="96">
        <f>'BS-Horizontal'!B46</f>
        <v>-4988000</v>
      </c>
      <c r="C46" s="125">
        <f>(B46/$B$23)</f>
        <v>-4.0791292187666112E-2</v>
      </c>
      <c r="D46" s="96">
        <f>'BS-Horizontal'!C46</f>
        <v>-8229000</v>
      </c>
      <c r="E46" s="18">
        <f>(D46/$D$23)</f>
        <v>-6.9615755545403793E-2</v>
      </c>
    </row>
    <row r="47" spans="1:5" x14ac:dyDescent="0.25">
      <c r="A47" s="53" t="str">
        <f>'BS-Horizontal'!A47</f>
        <v>Other equity</v>
      </c>
      <c r="B47" s="91">
        <f>'BS-Horizontal'!B47</f>
        <v>13000</v>
      </c>
      <c r="C47" s="126">
        <f>(B47/B23)</f>
        <v>1.0631250971123887E-4</v>
      </c>
      <c r="D47" s="91">
        <f>'BS-Horizontal'!C47</f>
        <v>-595000</v>
      </c>
      <c r="E47" s="20">
        <f>(D47/D23)</f>
        <v>-5.033585435595486E-3</v>
      </c>
    </row>
    <row r="48" spans="1:5" x14ac:dyDescent="0.25">
      <c r="A48" s="10"/>
      <c r="B48" s="104">
        <f>SUM(B42:B47)</f>
        <v>14987000</v>
      </c>
      <c r="C48" s="127">
        <f>(B48/B23)</f>
        <v>0.12256196792633361</v>
      </c>
      <c r="D48" s="104">
        <f>SUM(D42:D47)</f>
        <v>19009000</v>
      </c>
      <c r="E48" s="23">
        <f>(D48/D23)</f>
        <v>0.1608124799079573</v>
      </c>
    </row>
    <row r="49" spans="1:5" x14ac:dyDescent="0.25">
      <c r="A49" s="3"/>
      <c r="B49" s="96"/>
      <c r="C49" s="125"/>
      <c r="D49" s="120"/>
      <c r="E49" s="22"/>
    </row>
    <row r="50" spans="1:5" ht="13.8" thickBot="1" x14ac:dyDescent="0.3">
      <c r="A50" s="8" t="s">
        <v>27</v>
      </c>
      <c r="B50" s="102">
        <f>B35+B40+B48</f>
        <v>122281000</v>
      </c>
      <c r="C50" s="129">
        <f>(B50/B23)</f>
        <v>1</v>
      </c>
      <c r="D50" s="102">
        <f>D35+D40+D48</f>
        <v>118206000</v>
      </c>
      <c r="E50" s="21">
        <f>(D50/D23)</f>
        <v>1</v>
      </c>
    </row>
    <row r="53" spans="1:5" x14ac:dyDescent="0.25">
      <c r="A53" s="68" t="str">
        <f>'BS-Horizontal'!A58</f>
        <v>1. DO NOT DELETE ANY ITEM ON THIS SPREADSHEET!!!</v>
      </c>
    </row>
    <row r="54" spans="1:5" x14ac:dyDescent="0.25">
      <c r="A54" t="str">
        <f>'BS-Horizontal'!A59</f>
        <v>2. If there is no value given for your company, then enter 0.</v>
      </c>
    </row>
    <row r="55" spans="1:5" x14ac:dyDescent="0.25">
      <c r="A55" t="str">
        <f>'BS-Horizontal'!A60</f>
        <v>3. Do NOT change any formulas.</v>
      </c>
    </row>
    <row r="56" spans="1:5" x14ac:dyDescent="0.25">
      <c r="A56" t="str">
        <f>'BS-Horizontal'!A61</f>
        <v>4. If an account is not found here, add the values in "others"</v>
      </c>
    </row>
  </sheetData>
  <mergeCells count="5">
    <mergeCell ref="C2:E2"/>
    <mergeCell ref="A3:E3"/>
    <mergeCell ref="A1:B1"/>
    <mergeCell ref="A2:B2"/>
    <mergeCell ref="C1:E1"/>
  </mergeCells>
  <phoneticPr fontId="0" type="noConversion"/>
  <pageMargins left="0.51181102362204722" right="0.51181102362204722" top="0.47244094488188981" bottom="0.47244094488188981" header="0" footer="0"/>
  <pageSetup scale="7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35"/>
  <sheetViews>
    <sheetView zoomScaleNormal="100" zoomScaleSheetLayoutView="100" workbookViewId="0">
      <selection activeCell="B30" sqref="B30"/>
    </sheetView>
  </sheetViews>
  <sheetFormatPr defaultRowHeight="13.2" x14ac:dyDescent="0.25"/>
  <cols>
    <col min="1" max="1" width="52.109375" customWidth="1"/>
    <col min="2" max="2" width="20.109375" customWidth="1"/>
    <col min="3" max="3" width="12.6640625" customWidth="1"/>
    <col min="4" max="4" width="20.109375" customWidth="1"/>
    <col min="5" max="5" width="12.6640625" customWidth="1"/>
  </cols>
  <sheetData>
    <row r="1" spans="1:6" ht="18" thickBot="1" x14ac:dyDescent="0.3">
      <c r="A1" s="151" t="str">
        <f>'BS-Horizontal'!A1:E1</f>
        <v>Dell Technologies Inc.</v>
      </c>
      <c r="B1" s="152"/>
      <c r="C1" s="154" t="str">
        <f>'BS-Horizontal'!C1:E1</f>
        <v>Dhrumil Patel</v>
      </c>
      <c r="D1" s="154"/>
      <c r="E1" s="155"/>
      <c r="F1" s="31"/>
    </row>
    <row r="2" spans="1:6" ht="17.399999999999999" x14ac:dyDescent="0.3">
      <c r="A2" s="153" t="s">
        <v>10</v>
      </c>
      <c r="B2" s="153"/>
      <c r="C2" s="156"/>
      <c r="D2" s="156"/>
      <c r="E2" s="156"/>
    </row>
    <row r="3" spans="1:6" ht="13.8" thickBot="1" x14ac:dyDescent="0.3">
      <c r="A3" s="165"/>
      <c r="B3" s="165"/>
      <c r="C3" s="165"/>
      <c r="D3" s="165"/>
      <c r="E3" s="165"/>
    </row>
    <row r="4" spans="1:6" ht="16.2" thickBot="1" x14ac:dyDescent="0.3">
      <c r="A4" s="25" t="s">
        <v>8</v>
      </c>
      <c r="B4" s="73">
        <f>'BS-Horizontal'!B4</f>
        <v>2018</v>
      </c>
      <c r="C4" s="84" t="s">
        <v>3</v>
      </c>
      <c r="D4" s="80">
        <f>'BS-Horizontal'!C4</f>
        <v>2017</v>
      </c>
      <c r="E4" s="81" t="str">
        <f>C4</f>
        <v>%</v>
      </c>
    </row>
    <row r="5" spans="1:6" x14ac:dyDescent="0.25">
      <c r="A5" s="5"/>
      <c r="B5" s="3"/>
      <c r="C5" s="2"/>
      <c r="D5" s="83"/>
      <c r="E5" s="77"/>
    </row>
    <row r="6" spans="1:6" x14ac:dyDescent="0.25">
      <c r="A6" s="63" t="str">
        <f>'IS-Horizontal'!A6</f>
        <v>Sales or Revenue</v>
      </c>
      <c r="B6" s="88">
        <f>'IS-Horizontal'!B6</f>
        <v>78660000</v>
      </c>
      <c r="C6" s="18">
        <f>(B6/$B$6)</f>
        <v>1</v>
      </c>
      <c r="D6" s="111">
        <f>'IS-Horizontal'!C6</f>
        <v>61642000</v>
      </c>
      <c r="E6" s="18">
        <f>(D6/$D$6)</f>
        <v>1</v>
      </c>
    </row>
    <row r="7" spans="1:6" x14ac:dyDescent="0.25">
      <c r="A7" s="63" t="str">
        <f>'IS-Horizontal'!A7</f>
        <v>Other income</v>
      </c>
      <c r="B7" s="88">
        <f>'IS-Horizontal'!B7</f>
        <v>0</v>
      </c>
      <c r="C7" s="18">
        <f>(B7/$B$6)</f>
        <v>0</v>
      </c>
      <c r="D7" s="111">
        <f>'IS-Horizontal'!C7</f>
        <v>0</v>
      </c>
      <c r="E7" s="18">
        <f>(D7/$D$6)</f>
        <v>0</v>
      </c>
    </row>
    <row r="8" spans="1:6" x14ac:dyDescent="0.25">
      <c r="A8" s="64" t="str">
        <f>'IS-Horizontal'!A8</f>
        <v>Less: Cost of Sales or COGS (negative number)</v>
      </c>
      <c r="B8" s="98">
        <f>'IS-Horizontal'!B8</f>
        <v>-58606000</v>
      </c>
      <c r="C8" s="20">
        <f>ABS(B8/$B$6)</f>
        <v>0.7450546656496313</v>
      </c>
      <c r="D8" s="112">
        <f>'IS-Horizontal'!C8</f>
        <v>-48683000</v>
      </c>
      <c r="E8" s="20">
        <f>ABS(D8/$D$6)</f>
        <v>0.78976996203886962</v>
      </c>
    </row>
    <row r="9" spans="1:6" x14ac:dyDescent="0.25">
      <c r="A9" s="65" t="str">
        <f>'IS-Horizontal'!A9</f>
        <v>Gross Profit or Gross Margin</v>
      </c>
      <c r="B9" s="105">
        <f>'IS-Horizontal'!B9</f>
        <v>20054000</v>
      </c>
      <c r="C9" s="23">
        <f>(B9/$B$6)</f>
        <v>0.2549453343503687</v>
      </c>
      <c r="D9" s="113">
        <f>'IS-Horizontal'!C9</f>
        <v>12959000</v>
      </c>
      <c r="E9" s="23">
        <f>(D9/$D$6)</f>
        <v>0.21023003796113041</v>
      </c>
    </row>
    <row r="10" spans="1:6" x14ac:dyDescent="0.25">
      <c r="A10" s="48"/>
      <c r="B10" s="105"/>
      <c r="C10" s="23"/>
      <c r="D10" s="113"/>
      <c r="E10" s="23"/>
    </row>
    <row r="11" spans="1:6" ht="15.6" x14ac:dyDescent="0.25">
      <c r="A11" s="29" t="str">
        <f>'IS-Horizontal'!A11</f>
        <v>OPERATING EXPENSES</v>
      </c>
      <c r="B11" s="88"/>
      <c r="C11" s="18"/>
      <c r="D11" s="111"/>
      <c r="E11" s="18"/>
    </row>
    <row r="12" spans="1:6" x14ac:dyDescent="0.25">
      <c r="A12" s="5"/>
      <c r="B12" s="88"/>
      <c r="C12" s="18"/>
      <c r="D12" s="111"/>
      <c r="E12" s="18"/>
    </row>
    <row r="13" spans="1:6" x14ac:dyDescent="0.25">
      <c r="A13" s="63" t="str">
        <f>'IS-Horizontal'!A13</f>
        <v>Sales and marketing</v>
      </c>
      <c r="B13" s="88">
        <f>'IS-Horizontal'!B13</f>
        <v>0</v>
      </c>
      <c r="C13" s="18">
        <f t="shared" ref="C13:C19" si="0">(B13/$B$6)</f>
        <v>0</v>
      </c>
      <c r="D13" s="111">
        <f>'IS-Horizontal'!C13</f>
        <v>0</v>
      </c>
      <c r="E13" s="18">
        <f t="shared" ref="E13:E20" si="1">(D13/$D$6)</f>
        <v>0</v>
      </c>
    </row>
    <row r="14" spans="1:6" x14ac:dyDescent="0.25">
      <c r="A14" s="63" t="str">
        <f>'IS-Horizontal'!A14</f>
        <v>Selling, General, and administrative</v>
      </c>
      <c r="B14" s="88">
        <f>'IS-Horizontal'!B14</f>
        <v>19003000</v>
      </c>
      <c r="C14" s="18">
        <f t="shared" si="0"/>
        <v>0.24158403254513094</v>
      </c>
      <c r="D14" s="111">
        <f>'IS-Horizontal'!C14</f>
        <v>13575000</v>
      </c>
      <c r="E14" s="18">
        <f t="shared" si="1"/>
        <v>0.22022322442490511</v>
      </c>
    </row>
    <row r="15" spans="1:6" x14ac:dyDescent="0.25">
      <c r="A15" s="63" t="str">
        <f>'IS-Horizontal'!A15</f>
        <v>Amortization</v>
      </c>
      <c r="B15" s="88">
        <f>'IS-Horizontal'!B15</f>
        <v>0</v>
      </c>
      <c r="C15" s="18">
        <f t="shared" si="0"/>
        <v>0</v>
      </c>
      <c r="D15" s="111">
        <f>'IS-Horizontal'!C15</f>
        <v>0</v>
      </c>
      <c r="E15" s="18">
        <f t="shared" si="1"/>
        <v>0</v>
      </c>
    </row>
    <row r="16" spans="1:6" x14ac:dyDescent="0.25">
      <c r="A16" s="63" t="str">
        <f>'IS-Horizontal'!A16</f>
        <v>Impairment losses</v>
      </c>
      <c r="B16" s="88">
        <f>'IS-Horizontal'!B16</f>
        <v>0</v>
      </c>
      <c r="C16" s="18">
        <f t="shared" si="0"/>
        <v>0</v>
      </c>
      <c r="D16" s="111">
        <f>'IS-Horizontal'!C16</f>
        <v>0</v>
      </c>
      <c r="E16" s="18">
        <f t="shared" si="1"/>
        <v>0</v>
      </c>
    </row>
    <row r="17" spans="1:5" x14ac:dyDescent="0.25">
      <c r="A17" s="63" t="str">
        <f>'IS-Horizontal'!A17</f>
        <v>Foreign exchange loss (gain)</v>
      </c>
      <c r="B17" s="88">
        <f>'IS-Horizontal'!B17</f>
        <v>0</v>
      </c>
      <c r="C17" s="18">
        <f t="shared" si="0"/>
        <v>0</v>
      </c>
      <c r="D17" s="111">
        <f>'IS-Horizontal'!C17</f>
        <v>0</v>
      </c>
      <c r="E17" s="18">
        <f t="shared" si="1"/>
        <v>0</v>
      </c>
    </row>
    <row r="18" spans="1:5" x14ac:dyDescent="0.25">
      <c r="A18" s="63" t="str">
        <f>'IS-Horizontal'!A18</f>
        <v>Pensions</v>
      </c>
      <c r="B18" s="88">
        <f>'IS-Horizontal'!B18</f>
        <v>0</v>
      </c>
      <c r="C18" s="18">
        <f t="shared" si="0"/>
        <v>0</v>
      </c>
      <c r="D18" s="111">
        <f>'IS-Horizontal'!C18</f>
        <v>0</v>
      </c>
      <c r="E18" s="18">
        <f t="shared" si="1"/>
        <v>0</v>
      </c>
    </row>
    <row r="19" spans="1:5" x14ac:dyDescent="0.25">
      <c r="A19" s="63" t="str">
        <f>'IS-Horizontal'!A19</f>
        <v>Research and development</v>
      </c>
      <c r="B19" s="88">
        <f>'IS-Horizontal'!B19</f>
        <v>4384000</v>
      </c>
      <c r="C19" s="18">
        <f t="shared" si="0"/>
        <v>5.5733536740401726E-2</v>
      </c>
      <c r="D19" s="111">
        <f>'IS-Horizontal'!C19</f>
        <v>2636000</v>
      </c>
      <c r="E19" s="18">
        <f t="shared" si="1"/>
        <v>4.2763051166412512E-2</v>
      </c>
    </row>
    <row r="20" spans="1:5" x14ac:dyDescent="0.25">
      <c r="A20" s="64" t="s">
        <v>63</v>
      </c>
      <c r="B20" s="98">
        <f>'IS-Horizontal'!B20</f>
        <v>0</v>
      </c>
      <c r="C20" s="20">
        <f>(B20/$B$6)</f>
        <v>0</v>
      </c>
      <c r="D20" s="112">
        <f>'IS-Horizontal'!C20</f>
        <v>0</v>
      </c>
      <c r="E20" s="20">
        <f t="shared" si="1"/>
        <v>0</v>
      </c>
    </row>
    <row r="21" spans="1:5" x14ac:dyDescent="0.25">
      <c r="A21" s="3"/>
      <c r="B21" s="88"/>
      <c r="C21" s="22"/>
      <c r="D21" s="107"/>
      <c r="E21" s="18"/>
    </row>
    <row r="22" spans="1:5" x14ac:dyDescent="0.25">
      <c r="A22" s="6" t="str">
        <f>'IS-Horizontal'!A22</f>
        <v>Earnings Before Interest &amp; Taxes (EBIT)</v>
      </c>
      <c r="B22" s="106">
        <f>'IS-Horizontal'!B22</f>
        <v>-3333000</v>
      </c>
      <c r="C22" s="19">
        <f>B22/$B$6</f>
        <v>-4.2372234935163997E-2</v>
      </c>
      <c r="D22" s="114">
        <f>'IS-Horizontal'!C22</f>
        <v>-3252000</v>
      </c>
      <c r="E22" s="19">
        <f>D22/$D$6</f>
        <v>-5.2756237630187212E-2</v>
      </c>
    </row>
    <row r="23" spans="1:5" x14ac:dyDescent="0.25">
      <c r="A23" s="3"/>
      <c r="B23" s="107"/>
      <c r="C23" s="22"/>
      <c r="D23" s="107"/>
      <c r="E23" s="18"/>
    </row>
    <row r="24" spans="1:5" x14ac:dyDescent="0.25">
      <c r="A24" s="3" t="str">
        <f>'IS-Horizontal'!A24</f>
        <v>Interest expense (positive number)</v>
      </c>
      <c r="B24" s="107">
        <f>'IS-Horizontal'!B24</f>
        <v>2406000</v>
      </c>
      <c r="C24" s="22">
        <f>ABS(B24/$B$6)</f>
        <v>3.0587337909992372E-2</v>
      </c>
      <c r="D24" s="107">
        <f>'IS-Horizontal'!C24</f>
        <v>1751000</v>
      </c>
      <c r="E24" s="18">
        <f>ABS(D24/$D$6)</f>
        <v>2.8405956977385551E-2</v>
      </c>
    </row>
    <row r="25" spans="1:5" x14ac:dyDescent="0.25">
      <c r="A25" s="3" t="str">
        <f>'IS-Horizontal'!A25</f>
        <v>Income taxes (positive number)</v>
      </c>
      <c r="B25" s="107">
        <f>'IS-Horizontal'!B25</f>
        <v>1833000</v>
      </c>
      <c r="C25" s="22">
        <f>ABS(B25/$B$6)</f>
        <v>2.3302822273073988E-2</v>
      </c>
      <c r="D25" s="107">
        <f>'IS-Horizontal'!C25</f>
        <v>1619000</v>
      </c>
      <c r="E25" s="18">
        <f>ABS(D25/$D$6)</f>
        <v>2.6264559878005255E-2</v>
      </c>
    </row>
    <row r="26" spans="1:5" x14ac:dyDescent="0.25">
      <c r="A26" s="3" t="str">
        <f>'IS-Horizontal'!A26</f>
        <v>Other revenues and gains (negative number)</v>
      </c>
      <c r="B26" s="107">
        <f>'IS-Horizontal'!B26</f>
        <v>-3855000</v>
      </c>
      <c r="C26" s="22">
        <f>ABS(B26/$B$6)</f>
        <v>4.9008390541571321E-2</v>
      </c>
      <c r="D26" s="107">
        <f>'IS-Horizontal'!C26</f>
        <v>-3737000</v>
      </c>
      <c r="E26" s="18">
        <f>ABS(D26/$D$6)</f>
        <v>6.0624249699879951E-2</v>
      </c>
    </row>
    <row r="27" spans="1:5" x14ac:dyDescent="0.25">
      <c r="A27" s="59" t="str">
        <f>'IS-Horizontal'!A27</f>
        <v>Other expenses and losses (positive number)</v>
      </c>
      <c r="B27" s="108">
        <f>'IS-Horizontal'!B27</f>
        <v>11000</v>
      </c>
      <c r="C27" s="60">
        <f>ABS(B27/$B$6)</f>
        <v>1.3984235952199339E-4</v>
      </c>
      <c r="D27" s="108">
        <f>'IS-Horizontal'!C27</f>
        <v>-1213000</v>
      </c>
      <c r="E27" s="20">
        <f>ABS(D27/$D$6)</f>
        <v>1.9678141526881021E-2</v>
      </c>
    </row>
    <row r="28" spans="1:5" x14ac:dyDescent="0.25">
      <c r="A28" s="3" t="str">
        <f>'IS-Horizontal'!A28</f>
        <v>Total interest, income taxes, and other gains and losses</v>
      </c>
      <c r="B28" s="107">
        <f>'IS-Horizontal'!B28</f>
        <v>395000</v>
      </c>
      <c r="C28" s="22">
        <f>ABS(B28/$B$6)</f>
        <v>5.0216120010170354E-3</v>
      </c>
      <c r="D28" s="107">
        <f>'IS-Horizontal'!C28</f>
        <v>-1580000</v>
      </c>
      <c r="E28" s="18">
        <f>ABS(D28/$D$6)</f>
        <v>2.563187437137017E-2</v>
      </c>
    </row>
    <row r="29" spans="1:5" x14ac:dyDescent="0.25">
      <c r="A29" s="3"/>
      <c r="B29" s="109"/>
      <c r="C29" s="18"/>
      <c r="D29" s="115"/>
      <c r="E29" s="58"/>
    </row>
    <row r="30" spans="1:5" ht="13.8" thickBot="1" x14ac:dyDescent="0.3">
      <c r="A30" s="8" t="str">
        <f>'IS-Horizontal'!A30</f>
        <v>Net Income or Net Earnings</v>
      </c>
      <c r="B30" s="110">
        <f>'IS-Horizontal'!B30</f>
        <v>-3728000</v>
      </c>
      <c r="C30" s="21">
        <f>(B30/$B$6)</f>
        <v>-4.7393846936181032E-2</v>
      </c>
      <c r="D30" s="57">
        <f>'IS-Horizontal'!C30</f>
        <v>-1672000</v>
      </c>
      <c r="E30" s="21">
        <f>(D30/$D$6)</f>
        <v>-2.7124363258817039E-2</v>
      </c>
    </row>
    <row r="32" spans="1:5" x14ac:dyDescent="0.25">
      <c r="A32" s="68" t="str">
        <f>'BS-Horizontal'!A58</f>
        <v>1. DO NOT DELETE ANY ITEM ON THIS SPREADSHEET!!!</v>
      </c>
    </row>
    <row r="33" spans="1:1" x14ac:dyDescent="0.25">
      <c r="A33" t="str">
        <f>'BS-Horizontal'!A59</f>
        <v>2. If there is no value given for your company, then enter 0.</v>
      </c>
    </row>
    <row r="34" spans="1:1" x14ac:dyDescent="0.25">
      <c r="A34" t="str">
        <f>'BS-Horizontal'!A60</f>
        <v>3. Do NOT change any formulas.</v>
      </c>
    </row>
    <row r="35" spans="1:1" x14ac:dyDescent="0.25">
      <c r="A35" t="str">
        <f>'BS-Horizontal'!A61</f>
        <v>4. If an account is not found here, add the values in "others"</v>
      </c>
    </row>
  </sheetData>
  <mergeCells count="5">
    <mergeCell ref="A3:E3"/>
    <mergeCell ref="A1:B1"/>
    <mergeCell ref="A2:B2"/>
    <mergeCell ref="C1:E1"/>
    <mergeCell ref="C2:E2"/>
  </mergeCells>
  <phoneticPr fontId="0" type="noConversion"/>
  <pageMargins left="0.49803149600000002" right="0.49803149600000002" top="0.484251969" bottom="0.484251969" header="0" footer="0"/>
  <pageSetup scale="8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7"/>
  <sheetViews>
    <sheetView zoomScaleNormal="100" zoomScaleSheetLayoutView="75" workbookViewId="0">
      <selection activeCell="J12" sqref="J12:K12"/>
    </sheetView>
  </sheetViews>
  <sheetFormatPr defaultRowHeight="13.2" x14ac:dyDescent="0.25"/>
  <cols>
    <col min="1" max="1" width="13" customWidth="1"/>
    <col min="2" max="2" width="16" customWidth="1"/>
    <col min="3" max="3" width="1.44140625" customWidth="1"/>
    <col min="4" max="4" width="14.44140625" customWidth="1"/>
    <col min="5" max="5" width="16.33203125" bestFit="1" customWidth="1"/>
    <col min="6" max="6" width="1.44140625" bestFit="1" customWidth="1"/>
    <col min="7" max="7" width="14.44140625" customWidth="1"/>
    <col min="8" max="9" width="14.6640625" customWidth="1"/>
    <col min="11" max="11" width="40" customWidth="1"/>
    <col min="12" max="12" width="11.33203125" customWidth="1"/>
  </cols>
  <sheetData>
    <row r="1" spans="1:12" ht="18.75" customHeight="1" thickBot="1" x14ac:dyDescent="0.3">
      <c r="A1" s="151" t="str">
        <f>'BS-Horizontal'!A1:E1</f>
        <v>Dell Technologies Inc.</v>
      </c>
      <c r="B1" s="152"/>
      <c r="C1" s="152"/>
      <c r="D1" s="152"/>
      <c r="E1" s="152"/>
      <c r="F1" s="152"/>
      <c r="G1" s="152"/>
      <c r="H1" s="74"/>
      <c r="I1" s="168" t="str">
        <f>'BS-Horizontal'!C1</f>
        <v>Dhrumil Patel</v>
      </c>
      <c r="J1" s="154"/>
      <c r="K1" s="155"/>
    </row>
    <row r="2" spans="1:12" ht="17.399999999999999" x14ac:dyDescent="0.3">
      <c r="A2" s="153" t="s">
        <v>11</v>
      </c>
      <c r="B2" s="153"/>
      <c r="C2" s="153"/>
      <c r="D2" s="153"/>
      <c r="E2" s="153"/>
      <c r="F2" s="153"/>
      <c r="G2" s="153"/>
      <c r="H2" s="75"/>
      <c r="I2" s="156"/>
      <c r="J2" s="156"/>
      <c r="K2" s="156"/>
    </row>
    <row r="3" spans="1:12" ht="13.8" thickBot="1" x14ac:dyDescent="0.3">
      <c r="A3" s="26"/>
      <c r="B3" s="26"/>
      <c r="C3" s="26"/>
      <c r="D3" s="26"/>
      <c r="E3" s="26"/>
      <c r="F3" s="26"/>
      <c r="G3" s="26"/>
      <c r="H3" s="26"/>
      <c r="I3" s="26"/>
      <c r="J3" s="26"/>
      <c r="K3" s="26"/>
    </row>
    <row r="4" spans="1:12" ht="16.2" thickBot="1" x14ac:dyDescent="0.3">
      <c r="A4" s="14" t="s">
        <v>12</v>
      </c>
      <c r="B4" s="173" t="s">
        <v>30</v>
      </c>
      <c r="C4" s="174"/>
      <c r="D4" s="174"/>
      <c r="E4" s="174"/>
      <c r="F4" s="174"/>
      <c r="G4" s="174"/>
      <c r="H4" s="12">
        <f>'BS-Horizontal'!B4</f>
        <v>2018</v>
      </c>
      <c r="I4" s="13">
        <f>'BS-Horizontal'!C4</f>
        <v>2017</v>
      </c>
      <c r="J4" s="169" t="s">
        <v>81</v>
      </c>
      <c r="K4" s="170"/>
    </row>
    <row r="5" spans="1:12" x14ac:dyDescent="0.25">
      <c r="A5" s="2"/>
      <c r="B5" s="175">
        <f>'BS-Horizontal'!B4</f>
        <v>2018</v>
      </c>
      <c r="C5" s="176"/>
      <c r="D5" s="176"/>
      <c r="E5" s="176">
        <f>'BS-Horizontal'!C4</f>
        <v>2017</v>
      </c>
      <c r="F5" s="176"/>
      <c r="G5" s="177"/>
      <c r="H5" s="2"/>
      <c r="I5" s="2"/>
      <c r="J5" s="171"/>
      <c r="K5" s="172"/>
    </row>
    <row r="6" spans="1:12" ht="24" customHeight="1" x14ac:dyDescent="0.25">
      <c r="A6" s="67" t="s">
        <v>94</v>
      </c>
      <c r="B6" s="40"/>
      <c r="C6" s="41"/>
      <c r="D6" s="41"/>
      <c r="E6" s="41"/>
      <c r="F6" s="41"/>
      <c r="G6" s="41"/>
      <c r="H6" s="2"/>
      <c r="I6" s="2"/>
      <c r="J6" s="167"/>
      <c r="K6" s="166"/>
    </row>
    <row r="7" spans="1:12" ht="30" customHeight="1" x14ac:dyDescent="0.25">
      <c r="A7" s="147" t="s">
        <v>13</v>
      </c>
      <c r="B7" s="42">
        <f>'BS-Horizontal'!B12</f>
        <v>38957000</v>
      </c>
      <c r="C7" s="43" t="s">
        <v>31</v>
      </c>
      <c r="D7" s="46">
        <f>'BS-Horizontal'!B35</f>
        <v>45892000</v>
      </c>
      <c r="E7" s="43">
        <f>'BS-Horizontal'!C12</f>
        <v>30773000</v>
      </c>
      <c r="F7" s="43" t="s">
        <v>31</v>
      </c>
      <c r="G7" s="46">
        <f>'BS-Horizontal'!C35</f>
        <v>38135000</v>
      </c>
      <c r="H7" s="38">
        <f t="shared" ref="H7:H11" si="0">B7/D7</f>
        <v>0.84888433713937073</v>
      </c>
      <c r="I7" s="38">
        <f t="shared" ref="I7:I12" si="1">E7/G7</f>
        <v>0.80694899698439748</v>
      </c>
      <c r="J7" s="178" t="s">
        <v>107</v>
      </c>
      <c r="K7" s="179"/>
      <c r="L7" s="37"/>
    </row>
    <row r="8" spans="1:12" ht="30" customHeight="1" x14ac:dyDescent="0.25">
      <c r="A8" s="147" t="s">
        <v>14</v>
      </c>
      <c r="B8" s="42">
        <f>'BS-Horizontal'!B6+'BS-Horizontal'!B7+'BS-Horizontal'!B10</f>
        <v>31225000</v>
      </c>
      <c r="C8" s="43" t="s">
        <v>31</v>
      </c>
      <c r="D8" s="46">
        <f>'BS-Horizontal'!B35</f>
        <v>45892000</v>
      </c>
      <c r="E8" s="43">
        <f>'BS-Horizontal'!C6+'BS-Horizontal'!C7+'BS-Horizontal'!C10</f>
        <v>24091000</v>
      </c>
      <c r="F8" s="43" t="s">
        <v>31</v>
      </c>
      <c r="G8" s="46">
        <f>'BS-Horizontal'!C35</f>
        <v>38135000</v>
      </c>
      <c r="H8" s="38">
        <f t="shared" si="0"/>
        <v>0.68040181295214852</v>
      </c>
      <c r="I8" s="38">
        <f t="shared" si="1"/>
        <v>0.63172938245706045</v>
      </c>
      <c r="J8" s="178" t="s">
        <v>108</v>
      </c>
      <c r="K8" s="181"/>
    </row>
    <row r="9" spans="1:12" ht="24.15" customHeight="1" x14ac:dyDescent="0.25">
      <c r="A9" s="147" t="s">
        <v>15</v>
      </c>
      <c r="B9" s="42">
        <f>'IS-Horizontal'!B6</f>
        <v>78660000</v>
      </c>
      <c r="C9" s="43" t="s">
        <v>31</v>
      </c>
      <c r="D9" s="46">
        <f>'BS-Horizontal'!B7</f>
        <v>15096000</v>
      </c>
      <c r="E9" s="43">
        <f>'IS-Horizontal'!C6</f>
        <v>61642000</v>
      </c>
      <c r="F9" s="43" t="s">
        <v>31</v>
      </c>
      <c r="G9" s="46">
        <f>'BS-Horizontal'!C7</f>
        <v>12642000</v>
      </c>
      <c r="H9" s="15">
        <f t="shared" si="0"/>
        <v>5.2106518282988867</v>
      </c>
      <c r="I9" s="15">
        <f t="shared" si="1"/>
        <v>4.8759689922480618</v>
      </c>
      <c r="J9" s="186" t="s">
        <v>109</v>
      </c>
      <c r="K9" s="182"/>
    </row>
    <row r="10" spans="1:12" ht="30" customHeight="1" x14ac:dyDescent="0.25">
      <c r="A10" s="147" t="s">
        <v>16</v>
      </c>
      <c r="B10" s="42">
        <f>'BS-Horizontal'!B7*365</f>
        <v>5510040000</v>
      </c>
      <c r="C10" s="43" t="s">
        <v>31</v>
      </c>
      <c r="D10" s="46">
        <f>'IS-Horizontal'!B6</f>
        <v>78660000</v>
      </c>
      <c r="E10" s="43">
        <f>'BS-Horizontal'!C7*365</f>
        <v>4614330000</v>
      </c>
      <c r="F10" s="43" t="s">
        <v>31</v>
      </c>
      <c r="G10" s="46">
        <f>'IS-Horizontal'!C6</f>
        <v>61642000</v>
      </c>
      <c r="H10" s="38">
        <f>B10/D10</f>
        <v>70.048817696414957</v>
      </c>
      <c r="I10" s="38">
        <f t="shared" si="1"/>
        <v>74.856915739268686</v>
      </c>
      <c r="J10" s="186" t="s">
        <v>110</v>
      </c>
      <c r="K10" s="183"/>
      <c r="L10" s="37"/>
    </row>
    <row r="11" spans="1:12" ht="30" customHeight="1" x14ac:dyDescent="0.25">
      <c r="A11" s="147" t="s">
        <v>17</v>
      </c>
      <c r="B11" s="42">
        <f>'IS-Horizontal'!B6</f>
        <v>78660000</v>
      </c>
      <c r="C11" s="43" t="s">
        <v>31</v>
      </c>
      <c r="D11" s="46">
        <f>'BS-Horizontal'!B8</f>
        <v>2678000</v>
      </c>
      <c r="E11" s="43">
        <f>'IS-Horizontal'!C6</f>
        <v>61642000</v>
      </c>
      <c r="F11" s="43" t="s">
        <v>31</v>
      </c>
      <c r="G11" s="46">
        <f>'BS-Horizontal'!C8</f>
        <v>2538000</v>
      </c>
      <c r="H11" s="38">
        <f t="shared" si="0"/>
        <v>29.372666168782672</v>
      </c>
      <c r="I11" s="38">
        <f t="shared" si="1"/>
        <v>24.2876280535855</v>
      </c>
      <c r="J11" s="186" t="s">
        <v>111</v>
      </c>
      <c r="K11" s="183"/>
      <c r="L11" s="37"/>
    </row>
    <row r="12" spans="1:12" ht="30" customHeight="1" x14ac:dyDescent="0.25">
      <c r="A12" s="147" t="s">
        <v>18</v>
      </c>
      <c r="B12" s="42">
        <f>'BS-Horizontal'!B8*365</f>
        <v>977470000</v>
      </c>
      <c r="C12" s="43" t="s">
        <v>31</v>
      </c>
      <c r="D12" s="46">
        <f>ABS('IS-Horizontal'!B8)</f>
        <v>58606000</v>
      </c>
      <c r="E12" s="43">
        <f>'BS-Horizontal'!C8*365</f>
        <v>926370000</v>
      </c>
      <c r="F12" s="43" t="s">
        <v>31</v>
      </c>
      <c r="G12" s="46">
        <f>ABS('IS-Horizontal'!C8)</f>
        <v>48683000</v>
      </c>
      <c r="H12" s="38">
        <f>B12/D12</f>
        <v>16.678667713203428</v>
      </c>
      <c r="I12" s="38">
        <f t="shared" si="1"/>
        <v>19.02861368444837</v>
      </c>
      <c r="J12" s="186" t="s">
        <v>112</v>
      </c>
      <c r="K12" s="183"/>
      <c r="L12" s="37"/>
    </row>
    <row r="13" spans="1:12" ht="12" customHeight="1" x14ac:dyDescent="0.25">
      <c r="A13" s="11"/>
      <c r="B13" s="42"/>
      <c r="C13" s="43"/>
      <c r="D13" s="46"/>
      <c r="E13" s="43"/>
      <c r="F13" s="43"/>
      <c r="G13" s="46"/>
      <c r="H13" s="1"/>
      <c r="I13" s="1"/>
      <c r="J13" s="184"/>
      <c r="K13" s="185"/>
    </row>
    <row r="14" spans="1:12" ht="24.15" customHeight="1" x14ac:dyDescent="0.25">
      <c r="A14" s="67" t="s">
        <v>95</v>
      </c>
      <c r="B14" s="44"/>
      <c r="C14" s="43"/>
      <c r="D14" s="47"/>
      <c r="E14" s="45"/>
      <c r="F14" s="43"/>
      <c r="G14" s="47"/>
      <c r="H14" s="1"/>
      <c r="I14" s="1"/>
      <c r="J14" s="180"/>
      <c r="K14" s="181"/>
    </row>
    <row r="15" spans="1:12" ht="30" customHeight="1" x14ac:dyDescent="0.25">
      <c r="A15" s="147" t="s">
        <v>77</v>
      </c>
      <c r="B15" s="42">
        <f>'IS-Horizontal'!B9</f>
        <v>20054000</v>
      </c>
      <c r="C15" s="43" t="s">
        <v>31</v>
      </c>
      <c r="D15" s="46">
        <f>'IS-Horizontal'!B6</f>
        <v>78660000</v>
      </c>
      <c r="E15" s="43">
        <f>'IS-Horizontal'!C9</f>
        <v>12959000</v>
      </c>
      <c r="F15" s="43" t="s">
        <v>31</v>
      </c>
      <c r="G15" s="46">
        <f>'IS-Horizontal'!C6</f>
        <v>61642000</v>
      </c>
      <c r="H15" s="38">
        <f>B15/D15</f>
        <v>0.2549453343503687</v>
      </c>
      <c r="I15" s="38">
        <f>E15/G15</f>
        <v>0.21023003796113041</v>
      </c>
      <c r="J15" s="183" t="s">
        <v>101</v>
      </c>
      <c r="K15" s="183"/>
      <c r="L15" s="37"/>
    </row>
    <row r="16" spans="1:12" ht="30" customHeight="1" x14ac:dyDescent="0.25">
      <c r="A16" s="147" t="s">
        <v>19</v>
      </c>
      <c r="B16" s="42">
        <f>'IS-Horizontal'!B30</f>
        <v>-3728000</v>
      </c>
      <c r="C16" s="43" t="s">
        <v>31</v>
      </c>
      <c r="D16" s="46">
        <f>'BS-Horizontal'!B23</f>
        <v>122281000</v>
      </c>
      <c r="E16" s="43">
        <f>'IS-Horizontal'!C30</f>
        <v>-1672000</v>
      </c>
      <c r="F16" s="43" t="s">
        <v>31</v>
      </c>
      <c r="G16" s="46">
        <f>'BS-Horizontal'!C23</f>
        <v>118206000</v>
      </c>
      <c r="H16" s="38">
        <f>B16/D16</f>
        <v>-3.0487156631038344E-2</v>
      </c>
      <c r="I16" s="38">
        <f>E16/G16</f>
        <v>-1.4144798064396055E-2</v>
      </c>
      <c r="J16" s="183" t="s">
        <v>102</v>
      </c>
      <c r="K16" s="183"/>
    </row>
    <row r="17" spans="1:12" ht="30" customHeight="1" x14ac:dyDescent="0.25">
      <c r="A17" s="147" t="s">
        <v>29</v>
      </c>
      <c r="B17" s="42">
        <f>'IS-Horizontal'!B30</f>
        <v>-3728000</v>
      </c>
      <c r="C17" s="43" t="s">
        <v>31</v>
      </c>
      <c r="D17" s="46">
        <f>'BS-Horizontal'!B48</f>
        <v>14987000</v>
      </c>
      <c r="E17" s="43">
        <f>'IS-Horizontal'!C30</f>
        <v>-1672000</v>
      </c>
      <c r="F17" s="43" t="s">
        <v>31</v>
      </c>
      <c r="G17" s="46">
        <f>'BS-Horizontal'!C48</f>
        <v>19009000</v>
      </c>
      <c r="H17" s="38">
        <f>B17/D17</f>
        <v>-0.24874891572696337</v>
      </c>
      <c r="I17" s="38">
        <f>E17/G17</f>
        <v>-8.7958335525277501E-2</v>
      </c>
      <c r="J17" s="183" t="s">
        <v>106</v>
      </c>
      <c r="K17" s="183"/>
      <c r="L17" s="37"/>
    </row>
    <row r="18" spans="1:12" ht="30" customHeight="1" x14ac:dyDescent="0.25">
      <c r="A18" s="147" t="s">
        <v>20</v>
      </c>
      <c r="B18" s="42">
        <f>'BS-Horizontal'!B23-'BS-Horizontal'!B35-'BS-Horizontal'!B40</f>
        <v>14987000</v>
      </c>
      <c r="C18" s="43" t="s">
        <v>31</v>
      </c>
      <c r="D18" s="46">
        <f>'BS-Horizontal'!B54</f>
        <v>384</v>
      </c>
      <c r="E18" s="43">
        <f>'BS-Horizontal'!C23-'BS-Horizontal'!C35-'BS-Horizontal'!C40</f>
        <v>19009000</v>
      </c>
      <c r="F18" s="43" t="s">
        <v>31</v>
      </c>
      <c r="G18" s="46">
        <f>'BS-Horizontal'!C54</f>
        <v>231</v>
      </c>
      <c r="H18" s="38">
        <f>B18/D18</f>
        <v>39028.645833333336</v>
      </c>
      <c r="I18" s="38">
        <f>E18/G18</f>
        <v>82290.043290043293</v>
      </c>
      <c r="J18" s="183" t="s">
        <v>103</v>
      </c>
      <c r="K18" s="183"/>
      <c r="L18" s="37"/>
    </row>
    <row r="19" spans="1:12" ht="30" customHeight="1" x14ac:dyDescent="0.25">
      <c r="A19" s="147" t="s">
        <v>21</v>
      </c>
      <c r="B19" s="42">
        <f>('IS-Horizontal'!B30-'BS-Horizontal'!B55)</f>
        <v>-3728000</v>
      </c>
      <c r="C19" s="43" t="s">
        <v>31</v>
      </c>
      <c r="D19" s="46">
        <f>'BS-Horizontal'!B54</f>
        <v>384</v>
      </c>
      <c r="E19" s="43">
        <f>('IS-Horizontal'!C30-'BS-Horizontal'!C55)</f>
        <v>-1672000</v>
      </c>
      <c r="F19" s="43" t="s">
        <v>31</v>
      </c>
      <c r="G19" s="46">
        <f>'BS-Horizontal'!C54</f>
        <v>231</v>
      </c>
      <c r="H19" s="38">
        <f>B19/D19</f>
        <v>-9708.3333333333339</v>
      </c>
      <c r="I19" s="38">
        <f>E19/G19</f>
        <v>-7238.0952380952385</v>
      </c>
      <c r="J19" s="183" t="s">
        <v>104</v>
      </c>
      <c r="K19" s="183"/>
      <c r="L19" s="37"/>
    </row>
    <row r="20" spans="1:12" ht="12.9" customHeight="1" x14ac:dyDescent="0.25">
      <c r="A20" s="11"/>
      <c r="B20" s="42"/>
      <c r="C20" s="43"/>
      <c r="D20" s="43"/>
      <c r="E20" s="43"/>
      <c r="F20" s="43"/>
      <c r="G20" s="43"/>
      <c r="H20" s="1"/>
      <c r="I20" s="1"/>
      <c r="J20" s="184"/>
      <c r="K20" s="185"/>
    </row>
    <row r="21" spans="1:12" ht="24.15" customHeight="1" x14ac:dyDescent="0.25">
      <c r="A21" s="67" t="s">
        <v>96</v>
      </c>
      <c r="B21" s="44"/>
      <c r="C21" s="43"/>
      <c r="D21" s="45"/>
      <c r="E21" s="45"/>
      <c r="F21" s="43"/>
      <c r="G21" s="45"/>
      <c r="H21" s="1"/>
      <c r="I21" s="1"/>
      <c r="J21" s="180"/>
      <c r="K21" s="181"/>
    </row>
    <row r="22" spans="1:12" ht="30" customHeight="1" x14ac:dyDescent="0.25">
      <c r="A22" s="147" t="s">
        <v>22</v>
      </c>
      <c r="B22" s="42">
        <f>'BS-Horizontal'!B35+'BS-Horizontal'!B40</f>
        <v>107294000</v>
      </c>
      <c r="C22" s="43" t="s">
        <v>31</v>
      </c>
      <c r="D22" s="46">
        <f>'BS-Horizontal'!B23</f>
        <v>122281000</v>
      </c>
      <c r="E22" s="43">
        <f>'BS-Horizontal'!C35+'BS-Horizontal'!C40</f>
        <v>99197000</v>
      </c>
      <c r="F22" s="43" t="s">
        <v>31</v>
      </c>
      <c r="G22" s="46">
        <f>'BS-Horizontal'!C23</f>
        <v>118206000</v>
      </c>
      <c r="H22" s="38">
        <f>B22/D22</f>
        <v>0.87743803207366644</v>
      </c>
      <c r="I22" s="38">
        <f>E22/G22</f>
        <v>0.83918752009204267</v>
      </c>
      <c r="J22" s="186" t="s">
        <v>113</v>
      </c>
      <c r="K22" s="183"/>
      <c r="L22" s="37"/>
    </row>
    <row r="23" spans="1:12" ht="30" customHeight="1" x14ac:dyDescent="0.25">
      <c r="A23" s="147" t="s">
        <v>23</v>
      </c>
      <c r="B23" s="42">
        <f>'IS-Horizontal'!B22</f>
        <v>-3333000</v>
      </c>
      <c r="C23" s="43" t="s">
        <v>31</v>
      </c>
      <c r="D23" s="46">
        <f>'IS-Horizontal'!B24</f>
        <v>2406000</v>
      </c>
      <c r="E23" s="43">
        <f>'IS-Horizontal'!C22</f>
        <v>-3252000</v>
      </c>
      <c r="F23" s="43" t="s">
        <v>31</v>
      </c>
      <c r="G23" s="46">
        <f>'IS-Horizontal'!C24</f>
        <v>1751000</v>
      </c>
      <c r="H23" s="38">
        <f>B23/D23</f>
        <v>-1.3852867830423941</v>
      </c>
      <c r="I23" s="38">
        <f>E23/G23</f>
        <v>-1.8572244431753284</v>
      </c>
      <c r="J23" s="183" t="s">
        <v>105</v>
      </c>
      <c r="K23" s="183"/>
      <c r="L23" s="37"/>
    </row>
    <row r="25" spans="1:12" ht="15.6" x14ac:dyDescent="0.3">
      <c r="A25" s="142" t="s">
        <v>92</v>
      </c>
    </row>
    <row r="26" spans="1:12" ht="135" customHeight="1" x14ac:dyDescent="0.25">
      <c r="A26" s="187" t="s">
        <v>114</v>
      </c>
      <c r="B26" s="188"/>
      <c r="C26" s="188"/>
      <c r="D26" s="188"/>
      <c r="E26" s="188"/>
      <c r="F26" s="188"/>
      <c r="G26" s="188"/>
      <c r="H26" s="188"/>
      <c r="I26" s="188"/>
      <c r="J26" s="188"/>
      <c r="K26" s="189"/>
    </row>
    <row r="27" spans="1:12" x14ac:dyDescent="0.25">
      <c r="A27" s="143"/>
      <c r="B27" s="143"/>
      <c r="C27" s="143"/>
      <c r="D27" s="143"/>
      <c r="E27" s="143"/>
      <c r="F27" s="143"/>
      <c r="G27" s="143"/>
      <c r="H27" s="143"/>
      <c r="I27" s="143"/>
      <c r="J27" s="143"/>
      <c r="K27" s="143"/>
    </row>
    <row r="28" spans="1:12" s="145" customFormat="1" x14ac:dyDescent="0.25">
      <c r="A28" s="144"/>
      <c r="B28" s="144"/>
      <c r="C28" s="144"/>
      <c r="D28" s="144"/>
      <c r="E28" s="144"/>
      <c r="F28" s="144"/>
      <c r="G28" s="144"/>
      <c r="H28" s="144"/>
      <c r="I28" s="144"/>
      <c r="J28" s="144"/>
      <c r="K28" s="144"/>
    </row>
    <row r="29" spans="1:12" s="145" customFormat="1" x14ac:dyDescent="0.25">
      <c r="A29" s="68" t="str">
        <f>'BS-Horizontal'!A58</f>
        <v>1. DO NOT DELETE ANY ITEM ON THIS SPREADSHEET!!!</v>
      </c>
    </row>
    <row r="30" spans="1:12" s="145" customFormat="1" x14ac:dyDescent="0.25">
      <c r="A30" s="145" t="str">
        <f>'BS-Horizontal'!A59</f>
        <v>2. If there is no value given for your company, then enter 0.</v>
      </c>
    </row>
    <row r="31" spans="1:12" s="145" customFormat="1" x14ac:dyDescent="0.25">
      <c r="A31" s="145" t="str">
        <f>'BS-Horizontal'!A60</f>
        <v>3. Do NOT change any formulas.</v>
      </c>
    </row>
    <row r="32" spans="1:12" s="145" customFormat="1" x14ac:dyDescent="0.25">
      <c r="A32" s="146" t="s">
        <v>75</v>
      </c>
      <c r="B32" s="146"/>
      <c r="C32" s="146"/>
      <c r="D32" s="146"/>
      <c r="E32" s="146"/>
      <c r="F32" s="146"/>
      <c r="G32" s="146"/>
    </row>
    <row r="33" spans="1:1" s="145" customFormat="1" x14ac:dyDescent="0.25">
      <c r="A33" s="145" t="s">
        <v>76</v>
      </c>
    </row>
    <row r="34" spans="1:1" s="145" customFormat="1" x14ac:dyDescent="0.25">
      <c r="A34" s="145" t="s">
        <v>78</v>
      </c>
    </row>
    <row r="35" spans="1:1" s="145" customFormat="1" x14ac:dyDescent="0.25">
      <c r="A35" s="145" t="s">
        <v>82</v>
      </c>
    </row>
    <row r="36" spans="1:1" s="145" customFormat="1" x14ac:dyDescent="0.25"/>
    <row r="37" spans="1:1" s="145" customFormat="1" x14ac:dyDescent="0.25"/>
  </sheetData>
  <mergeCells count="26">
    <mergeCell ref="A1:G1"/>
    <mergeCell ref="A2:G2"/>
    <mergeCell ref="I1:K1"/>
    <mergeCell ref="I2:K2"/>
    <mergeCell ref="J8:K8"/>
    <mergeCell ref="J4:K4"/>
    <mergeCell ref="J5:K5"/>
    <mergeCell ref="B4:G4"/>
    <mergeCell ref="B5:D5"/>
    <mergeCell ref="E5:G5"/>
    <mergeCell ref="J9:K9"/>
    <mergeCell ref="J6:K6"/>
    <mergeCell ref="J12:K12"/>
    <mergeCell ref="J7:K7"/>
    <mergeCell ref="J10:K10"/>
    <mergeCell ref="J11:K11"/>
    <mergeCell ref="A26:K26"/>
    <mergeCell ref="J23:K23"/>
    <mergeCell ref="J21:K21"/>
    <mergeCell ref="J14:K14"/>
    <mergeCell ref="J15:K15"/>
    <mergeCell ref="J16:K16"/>
    <mergeCell ref="J17:K17"/>
    <mergeCell ref="J18:K18"/>
    <mergeCell ref="J19:K19"/>
    <mergeCell ref="J22:K22"/>
  </mergeCells>
  <phoneticPr fontId="0" type="noConversion"/>
  <pageMargins left="0.25" right="0.25" top="0.75" bottom="0.75" header="0.3" footer="0.3"/>
  <pageSetup scale="6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BS-Horizontal</vt:lpstr>
      <vt:lpstr>IS-Horizontal</vt:lpstr>
      <vt:lpstr>BS-Vertical</vt:lpstr>
      <vt:lpstr>IS-Vertical</vt:lpstr>
      <vt:lpstr>Ratios</vt:lpstr>
      <vt:lpstr>'BS-Horizontal'!Print_Area</vt:lpstr>
      <vt:lpstr>'BS-Vertical'!Print_Area</vt:lpstr>
      <vt:lpstr>'IS-Horizontal'!Print_Area</vt:lpstr>
      <vt:lpstr>'IS-Vertical'!Print_Area</vt:lpstr>
      <vt:lpstr>Ratios!Print_Area</vt:lpstr>
    </vt:vector>
  </TitlesOfParts>
  <Company>Halton District School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stevenss</dc:creator>
  <cp:lastModifiedBy>Dhrumil Patel</cp:lastModifiedBy>
  <cp:lastPrinted>2020-01-10T19:50:34Z</cp:lastPrinted>
  <dcterms:created xsi:type="dcterms:W3CDTF">2009-12-02T15:23:28Z</dcterms:created>
  <dcterms:modified xsi:type="dcterms:W3CDTF">2020-01-10T20:00:35Z</dcterms:modified>
</cp:coreProperties>
</file>