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Chapter 3\"/>
    </mc:Choice>
  </mc:AlternateContent>
  <xr:revisionPtr revIDLastSave="0" documentId="13_ncr:1_{BA689616-8C38-4718-969D-5C05C901513F}" xr6:coauthVersionLast="41" xr6:coauthVersionMax="41" xr10:uidLastSave="{00000000-0000-0000-0000-000000000000}"/>
  <bookViews>
    <workbookView xWindow="-108" yWindow="-108" windowWidth="23256" windowHeight="12576" tabRatio="658" activeTab="3"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<sst xmlns="http://schemas.openxmlformats.org/spreadsheetml/2006/main" count="333" uniqueCount="231">
  <si>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</si>
  <si>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</si>
  <si>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</si>
  <si>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</si>
  <si>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</si>
  <si>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</si>
  <si>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</si>
  <si>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</si>
  <si>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</si>
  <si>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</si>
  <si>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</si>
  <si>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</si>
  <si>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</si>
  <si>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</si>
  <si>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</si>
  <si>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</si>
  <si>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</si>
  <si>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</si>
  <si>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</si>
  <si>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</si>
  <si>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</si>
  <si>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</si>
  <si>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</si>
  <si>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</si>
  <si>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</si>
  <si>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</si>
  <si>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</si>
  <si>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</si>
  <si>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</si>
  <si>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</si>
  <si>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</si>
  <si>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</si>
  <si>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</si>
  <si>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</si>
  <si>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</si>
  <si>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</si>
  <si>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</si>
  <si>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</si>
  <si>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</si>
  <si>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</si>
  <si>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</si>
  <si>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</si>
  <si>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</si>
  <si>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</si>
  <si>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</si>
  <si>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</si>
  <si>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</si>
  <si>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</si>
  <si>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</si>
  <si>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</si>
  <si>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</si>
  <si>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</si>
  <si>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</si>
  <si>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</si>
  <si>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</si>
  <si>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</si>
  <si>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</si>
  <si>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</si>
  <si>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</si>
  <si>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</si>
  <si>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</si>
  <si>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</si>
  <si>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</si>
  <si>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</si>
  <si>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</si>
  <si>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</si>
  <si>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</si>
  <si>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</si>
  <si>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</si>
  <si>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</si>
  <si>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</si>
  <si>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</si>
  <si>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</si>
  <si>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</si>
  <si>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</si>
  <si>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</si>
  <si>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</si>
  <si>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</si>
  <si>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</si>
  <si>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</si>
  <si>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</si>
  <si>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</si>
  <si>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</si>
  <si>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</si>
  <si>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</si>
  <si>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</si>
  <si>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</si>
  <si>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</si>
  <si>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</si>
  <si>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</si>
  <si>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</si>
  <si>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</si>
  <si>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</si>
  <si>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</si>
  <si>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</si>
  <si>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</si>
  <si>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</si>
  <si>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</si>
  <si>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</si>
  <si>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</si>
  <si>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</si>
  <si>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</si>
  <si>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</si>
  <si>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</si>
  <si>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</si>
  <si>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</si>
  <si>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</si>
  <si>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</si>
  <si>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</si>
  <si>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</si>
  <si>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</si>
  <si>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</si>
  <si>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</si>
  <si>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</si>
  <si>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</si>
  <si>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</si>
  <si>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</si>
  <si>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</si>
  <si>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</si>
  <si>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</si>
  <si>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</si>
  <si>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</si>
  <si>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</si>
  <si>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</si>
  <si>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</si>
  <si>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</si>
  <si>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</si>
  <si>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</si>
  <si>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</si>
  <si>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</si>
  <si>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</si>
  <si>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</si>
  <si>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</si>
  <si>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</si>
  <si>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</si>
  <si>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</si>
  <si>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</si>
  <si>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</si>
  <si>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</si>
  <si>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</si>
  <si>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</si>
  <si>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</si>
  <si>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</si>
  <si>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</si>
  <si>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</si>
  <si>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</si>
  <si>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</si>
  <si>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</si>
  <si>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</si>
  <si>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</si>
  <si>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</si>
  <si>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</si>
  <si>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</si>
  <si>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</si>
  <si>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</si>
  <si>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</si>
  <si>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</si>
  <si>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</si>
  <si>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</si>
  <si>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</si>
  <si>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</si>
  <si>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</si>
  <si>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</si>
  <si>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</si>
  <si>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</si>
  <si>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</si>
  <si>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</si>
  <si>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</si>
  <si>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</si>
  <si>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</si>
  <si>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</si>
  <si>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</si>
  <si>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</si>
  <si>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</si>
  <si>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</si>
  <si>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</si>
  <si>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</si>
  <si>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</si>
  <si>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</si>
  <si>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</si>
  <si>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</si>
  <si>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</si>
  <si>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</si>
  <si>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</si>
  <si>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</si>
  <si>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</si>
  <si>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</si>
  <si>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</si>
  <si>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</si>
  <si>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</si>
  <si>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</si>
  <si>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</si>
  <si>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</si>
  <si>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</si>
  <si>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</si>
  <si>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</si>
  <si>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</si>
  <si>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</si>
  <si>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</si>
  <si>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</si>
  <si>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</si>
  <si>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</si>
  <si>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</si>
  <si>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</si>
  <si>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</si>
  <si>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</si>
  <si>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</si>
  <si>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</si>
  <si>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</si>
  <si>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</si>
  <si>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</si>
  <si>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</si>
  <si>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</si>
  <si>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</si>
  <si>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</si>
  <si>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</si>
  <si>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</si>
  <si>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</si>
  <si>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</si>
  <si>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</si>
  <si>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</si>
  <si>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</si>
  <si>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</si>
  <si>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2200 (Accounts Payable)</t>
  </si>
  <si>
    <t>Kane's Pro Shop</t>
  </si>
  <si>
    <t>5001 (Purchases)</t>
  </si>
  <si>
    <t>1056 (Prepaid - others)</t>
  </si>
  <si>
    <t>5509 (Delivery, freight, and express expense)</t>
  </si>
  <si>
    <t>1020 (Accounts Receivable)</t>
  </si>
  <si>
    <t>2100 (Unearned Revenue)</t>
  </si>
  <si>
    <t>4000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</si>
</sst>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rial"/>
        <family val="2"/>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strike val="0"/>
        <outline val="0"/>
        <shadow val="0"/>
        <u val="none"/>
        <vertAlign val="baseline"/>
        <sz val="11"/>
        <color theme="1"/>
        <name val="Arial"/>
        <scheme val="none"/>
      </font>
      <border diagonalUp="0" diagonalDown="0">
        <left/>
        <right style="thin">
          <color indexed="64"/>
        </right>
        <top/>
        <bottom/>
        <vertical/>
        <horizontal/>
      </border>
    </dxf>
    <dxf>
      <font>
        <strike val="0"/>
        <outline val="0"/>
        <shadow val="0"/>
        <u val="none"/>
        <vertAlign val="baseline"/>
        <sz val="11"/>
        <color theme="1"/>
        <name val="Arial"/>
        <scheme val="none"/>
      </font>
      <border diagonalUp="0" diagonalDown="0">
        <left style="thin">
          <color indexed="64"/>
        </left>
        <right/>
        <top/>
        <bottom/>
        <vertical/>
        <horizontal/>
      </border>
    </dxf>
    <dxf>
      <font>
        <strike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4">
      <calculatedColumnFormula>'Chart of Accounts'!A1</calculatedColumnFormula>
    </tableColumn>
    <tableColumn id="2" xr3:uid="{00000000-0010-0000-0200-000002000000}" name="Grouping Code" dataDxfId="36" totalsRowDxfId="3">
      <calculatedColumnFormula>'Chart of Accounts'!D1</calculatedColumnFormula>
    </tableColumn>
    <tableColumn id="3" xr3:uid="{00000000-0010-0000-0200-000003000000}" name="Account Name" dataDxfId="35" totalsRowDxfId="2">
      <calculatedColumnFormula>'Chart of Accounts'!B1</calculatedColumnFormula>
    </tableColumn>
    <tableColumn id="4" xr3:uid="{00000000-0010-0000-0200-000004000000}" name="DR" totalsRowFunction="sum" dataDxfId="34" totalsRowDxfId="1"/>
    <tableColumn id="5" xr3:uid="{00000000-0010-0000-0200-000005000000}" name="CR" totalsRowFunction="sum" dataDxfId="33" totalsRow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32" dataDxfId="31" totalsRowDxfId="30">
  <autoFilter ref="A5:E135" xr:uid="{00000000-0009-0000-0100-000004000000}"/>
  <tableColumns count="5">
    <tableColumn id="1" xr3:uid="{00000000-0010-0000-0300-000001000000}" name="A/C #" dataDxfId="29" totalsRowDxfId="28">
      <calculatedColumnFormula>'Chart of Accounts'!A1</calculatedColumnFormula>
    </tableColumn>
    <tableColumn id="2" xr3:uid="{00000000-0010-0000-0300-000002000000}" name="Grouping Code" dataDxfId="27" totalsRowDxfId="26">
      <calculatedColumnFormula>'Chart of Accounts'!D1</calculatedColumnFormula>
    </tableColumn>
    <tableColumn id="3" xr3:uid="{00000000-0010-0000-0300-000003000000}" name="Account Name" dataDxfId="25" totalsRowDxfId="24">
      <calculatedColumnFormula>'Chart of Accounts'!B1</calculatedColumnFormula>
    </tableColumn>
    <tableColumn id="6" xr3:uid="{00000000-0010-0000-0300-000006000000}" name="DR" totalsRowFunction="sum" dataDxfId="23" totalsRowDxfId="22">
      <calculatedColumnFormula>(SUMIFS(DR,ACNumber2,"="&amp;A6) - SUMIFS(CR,ACNumber2,"="&amp;A6))+#REF!</calculatedColumnFormula>
    </tableColumn>
    <tableColumn id="7" xr3:uid="{00000000-0010-0000-0300-000007000000}" name="CR" totalsRowFunction="sum" dataDxfId="21" totalsRowDxfId="2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9" dataDxfId="18" totalsRowDxfId="16" tableBorderDxfId="17">
  <autoFilter ref="A1:D129" xr:uid="{00000000-0009-0000-0100-000001000000}"/>
  <tableColumns count="4">
    <tableColumn id="1" xr3:uid="{00000000-0010-0000-0400-000001000000}" name="A/C Number" totalsRowLabel="Total" dataDxfId="15" totalsRowDxfId="14" dataCellStyle="Normal 2 2"/>
    <tableColumn id="2" xr3:uid="{00000000-0010-0000-0400-000002000000}" name="Account Name" dataDxfId="13" totalsRowDxfId="12"/>
    <tableColumn id="3" xr3:uid="{00000000-0010-0000-0400-000003000000}" name="A/C Number and Name" totalsRowFunction="count" dataDxfId="11" totalsRowDxfId="10"/>
    <tableColumn id="4" xr3:uid="{00000000-0010-0000-0400-000004000000}" name="Grouping Code"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8" dataDxfId="7">
  <autoFilter ref="A1:B64" xr:uid="{00000000-0009-0000-0100-000003000000}"/>
  <tableColumns count="2">
    <tableColumn id="1" xr3:uid="{00000000-0010-0000-0500-000001000000}" name="List of Grouping Code" dataDxfId="6"/>
    <tableColumn id="2" xr3:uid="{00000000-0010-0000-0500-000002000000}" name="Account Name for Statements" dataDxfId="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8" sqref="B18"/>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t="s">
        <v>224</v>
      </c>
    </row>
    <row r="17" spans="1:2" x14ac:dyDescent="0.3">
      <c r="A17" s="99" t="s">
        <v>63</v>
      </c>
      <c r="B17" s="100">
        <v>37741</v>
      </c>
    </row>
    <row r="18" spans="1:2" x14ac:dyDescent="0.3">
      <c r="A18" s="99" t="s">
        <v>102</v>
      </c>
      <c r="B18" s="101">
        <v>2003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22" zoomScaleNormal="100" workbookViewId="0">
      <selection activeCell="E64" sqref="E64"/>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2500</v>
      </c>
      <c r="E10" s="77"/>
      <c r="H10" s="11" t="b">
        <f>OR(IF(ISERR(D10&lt;&gt;0),FALSE,D10&lt;&gt;0),IF(ISERR(E10&lt;&gt;0),FALSE,E10&lt;&gt;0),IF(ISERR(#REF!&lt;&gt;0),FALSE,#REF!&lt;&gt;0),IF(ISERR(#REF!&lt;&gt;0),FALSE,#REF!&lt;&gt;0))</f>
        <v>1</v>
      </c>
    </row>
    <row r="11" spans="1:8" x14ac:dyDescent="0.25">
      <c r="A11" s="44">
        <f>'Chart of Accounts'!A6</f>
        <v>1001</v>
      </c>
      <c r="B11" s="44">
        <f>'Chart of Accounts'!D6</f>
        <v>100</v>
      </c>
      <c r="C11" s="15" t="str">
        <f>'Chart of Accounts'!B6</f>
        <v>Petty cash</v>
      </c>
      <c r="D11" s="76"/>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c r="E12" s="77"/>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v>6000</v>
      </c>
      <c r="H64" s="11" t="b">
        <f>OR(IF(ISERR(D64&lt;&gt;0),FALSE,D64&lt;&gt;0),IF(ISERR(E64&lt;&gt;0),FALSE,E64&lt;&gt;0),IF(ISERR(#REF!&lt;&gt;0),FALSE,#REF!&lt;&gt;0),IF(ISERR(#REF!&lt;&gt;0),FALSE,#REF!&lt;&gt;0))</f>
        <v>1</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v>3500</v>
      </c>
      <c r="E81" s="79"/>
      <c r="H81" s="11" t="b">
        <f>OR(IF(ISERR(D81&lt;&gt;0),FALSE,D81&lt;&gt;0),IF(ISERR(E80&lt;&gt;0),FALSE,E80&lt;&gt;0),IF(ISERR(#REF!&lt;&gt;0),FALSE,#REF!&lt;&gt;0),IF(ISERR(#REF!&lt;&gt;0),FALSE,#REF!&lt;&gt;0))</f>
        <v>1</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6000</v>
      </c>
      <c r="E136" s="85">
        <f>SUBTOTAL(109,Table43[CR])</f>
        <v>6000</v>
      </c>
      <c r="H136" s="11" t="b">
        <f>OR(IF(ISERR(D136&lt;&gt;0),FALSE,D136&lt;&gt;0),IF(ISERR(E136&lt;&gt;0),FALSE,E136&lt;&gt;0),IF(ISERR(#REF!&lt;&gt;0),FALSE,#REF!&lt;&gt;0),IF(ISERR(#REF!&lt;&gt;0),FALSE,#REF!&lt;&gt;0))</f>
        <v>1</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abSelected="1" topLeftCell="A13" zoomScaleNormal="100" workbookViewId="0">
      <selection activeCell="D25" sqref="D25"/>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Kane's Pro Shop</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v>5</v>
      </c>
      <c r="B7" s="105">
        <f>IFERROR(LOOKUP(C:C,'Chart of Accounts'!C:C,ACNumber),0)</f>
        <v>5001</v>
      </c>
      <c r="C7" s="91" t="s">
        <v>225</v>
      </c>
      <c r="D7" s="76">
        <v>1440</v>
      </c>
      <c r="E7" s="93"/>
    </row>
    <row r="8" spans="1:5" x14ac:dyDescent="0.25">
      <c r="A8" s="92"/>
      <c r="B8" s="105">
        <f>IFERROR(LOOKUP(C:C,'Chart of Accounts'!C:C,ACNumber),0)</f>
        <v>1056</v>
      </c>
      <c r="C8" s="91" t="s">
        <v>226</v>
      </c>
      <c r="D8" s="76">
        <v>160</v>
      </c>
      <c r="E8" s="93"/>
    </row>
    <row r="9" spans="1:5" x14ac:dyDescent="0.25">
      <c r="A9" s="92"/>
      <c r="B9" s="105">
        <f>IFERROR(LOOKUP(C:C,'Chart of Accounts'!C:C,ACNumber),0)</f>
        <v>2200</v>
      </c>
      <c r="C9" s="91" t="s">
        <v>223</v>
      </c>
      <c r="D9" s="76"/>
      <c r="E9" s="93">
        <v>1600</v>
      </c>
    </row>
    <row r="10" spans="1:5" x14ac:dyDescent="0.25">
      <c r="A10" s="92"/>
      <c r="B10" s="105">
        <f>IFERROR(LOOKUP(C:C,'Chart of Accounts'!C:C,ACNumber),0)</f>
        <v>0</v>
      </c>
      <c r="C10" s="91"/>
      <c r="D10" s="76"/>
      <c r="E10" s="93"/>
    </row>
    <row r="11" spans="1:5" x14ac:dyDescent="0.25">
      <c r="A11" s="92">
        <v>7</v>
      </c>
      <c r="B11" s="105">
        <f>IFERROR(LOOKUP(C:C,'Chart of Accounts'!C:C,ACNumber),0)</f>
        <v>5509</v>
      </c>
      <c r="C11" s="91" t="s">
        <v>227</v>
      </c>
      <c r="D11" s="76">
        <v>80</v>
      </c>
      <c r="E11" s="93"/>
    </row>
    <row r="12" spans="1:5" x14ac:dyDescent="0.25">
      <c r="A12" s="92"/>
      <c r="B12" s="105">
        <f>IFERROR(LOOKUP(C:C,'Chart of Accounts'!C:C,ACNumber),0)</f>
        <v>1000</v>
      </c>
      <c r="C12" s="91" t="s">
        <v>64</v>
      </c>
      <c r="D12" s="76"/>
      <c r="E12" s="93">
        <v>80</v>
      </c>
    </row>
    <row r="13" spans="1:5" x14ac:dyDescent="0.25">
      <c r="A13" s="92"/>
      <c r="B13" s="105">
        <f>IFERROR(LOOKUP(C:C,'Chart of Accounts'!C:C,ACNumber),0)</f>
        <v>0</v>
      </c>
      <c r="C13" s="91"/>
      <c r="D13" s="76"/>
      <c r="E13" s="93"/>
    </row>
    <row r="14" spans="1:5" x14ac:dyDescent="0.25">
      <c r="A14" s="92">
        <v>10</v>
      </c>
      <c r="B14" s="105">
        <f>IFERROR(LOOKUP(C:C,'Chart of Accounts'!C:C,ACNumber),0)</f>
        <v>1020</v>
      </c>
      <c r="C14" s="91" t="s">
        <v>228</v>
      </c>
      <c r="D14" s="76">
        <v>900</v>
      </c>
      <c r="E14" s="93"/>
    </row>
    <row r="15" spans="1:5" x14ac:dyDescent="0.25">
      <c r="A15" s="92"/>
      <c r="B15" s="105">
        <f>IFERROR(LOOKUP(C:C,'Chart of Accounts'!C:C,ACNumber),0)</f>
        <v>2100</v>
      </c>
      <c r="C15" s="91" t="s">
        <v>229</v>
      </c>
      <c r="D15" s="76"/>
      <c r="E15" s="93">
        <v>90</v>
      </c>
    </row>
    <row r="16" spans="1:5" x14ac:dyDescent="0.25">
      <c r="A16" s="92"/>
      <c r="B16" s="105">
        <f>IFERROR(LOOKUP(C:C,'Chart of Accounts'!C:C,ACNumber),0)</f>
        <v>4000</v>
      </c>
      <c r="C16" s="91" t="s">
        <v>230</v>
      </c>
      <c r="D16" s="76"/>
      <c r="E16" s="93">
        <v>810</v>
      </c>
    </row>
    <row r="17" spans="1:5" x14ac:dyDescent="0.25">
      <c r="A17" s="92"/>
      <c r="B17" s="105">
        <f>IFERROR(LOOKUP(C:C,'Chart of Accounts'!C:C,ACNumber),0)</f>
        <v>0</v>
      </c>
      <c r="C17" s="91"/>
      <c r="D17" s="76"/>
      <c r="E17" s="93"/>
    </row>
    <row r="18" spans="1:5" x14ac:dyDescent="0.25">
      <c r="A18" s="92">
        <v>12</v>
      </c>
      <c r="B18" s="105">
        <f>IFERROR(LOOKUP(C:C,'Chart of Accounts'!C:C,ACNumber),0)</f>
        <v>5001</v>
      </c>
      <c r="C18" s="91" t="s">
        <v>225</v>
      </c>
      <c r="D18" s="76">
        <v>594</v>
      </c>
      <c r="E18" s="93"/>
    </row>
    <row r="19" spans="1:5" x14ac:dyDescent="0.25">
      <c r="A19" s="92"/>
      <c r="B19" s="105">
        <f>IFERROR(LOOKUP(C:C,'Chart of Accounts'!C:C,ACNumber),0)</f>
        <v>1056</v>
      </c>
      <c r="C19" s="91" t="s">
        <v>226</v>
      </c>
      <c r="D19" s="76">
        <v>66</v>
      </c>
      <c r="E19" s="93"/>
    </row>
    <row r="20" spans="1:5" x14ac:dyDescent="0.25">
      <c r="A20" s="92"/>
      <c r="B20" s="105">
        <f>IFERROR(LOOKUP(C:C,'Chart of Accounts'!C:C,ACNumber),0)</f>
        <v>2200</v>
      </c>
      <c r="C20" s="91" t="s">
        <v>223</v>
      </c>
      <c r="D20" s="76"/>
      <c r="E20" s="93">
        <v>660</v>
      </c>
    </row>
    <row r="21" spans="1:5" x14ac:dyDescent="0.25">
      <c r="A21" s="92"/>
      <c r="B21" s="105">
        <f>IFERROR(LOOKUP(C:C,'Chart of Accounts'!C:C,ACNumber),0)</f>
        <v>0</v>
      </c>
      <c r="C21" s="91"/>
      <c r="D21" s="76"/>
      <c r="E21" s="93"/>
    </row>
    <row r="22" spans="1:5" x14ac:dyDescent="0.25">
      <c r="A22" s="92">
        <v>14</v>
      </c>
      <c r="B22" s="105">
        <f>IFERROR(LOOKUP(C:C,'Chart of Accounts'!C:C,ACNumber),0)</f>
        <v>2200</v>
      </c>
      <c r="C22" s="91" t="s">
        <v>223</v>
      </c>
      <c r="D22" s="76">
        <v>1600</v>
      </c>
      <c r="E22" s="93"/>
    </row>
    <row r="23" spans="1:5" x14ac:dyDescent="0.25">
      <c r="A23" s="92"/>
      <c r="B23" s="105">
        <f>IFERROR(LOOKUP(C:C,'Chart of Accounts'!C:C,ACNumber),0)</f>
        <v>1000</v>
      </c>
      <c r="C23" s="91" t="s">
        <v>64</v>
      </c>
      <c r="D23" s="76"/>
      <c r="E23" s="93">
        <v>1600</v>
      </c>
    </row>
    <row r="24" spans="1:5" x14ac:dyDescent="0.25">
      <c r="A24" s="92"/>
      <c r="B24" s="105">
        <f>IFERROR(LOOKUP(C:C,'Chart of Accounts'!C:C,ACNumber),0)</f>
        <v>0</v>
      </c>
      <c r="C24" s="91"/>
      <c r="D24" s="76"/>
      <c r="E24" s="93"/>
    </row>
    <row r="25" spans="1:5" x14ac:dyDescent="0.25">
      <c r="A25" s="92">
        <v>20</v>
      </c>
      <c r="B25" s="105">
        <f>IFERROR(LOOKUP(C:C,'Chart of Accounts'!C:C,ACNumber),0)</f>
        <v>1020</v>
      </c>
      <c r="C25" s="91" t="s">
        <v>228</v>
      </c>
      <c r="D25" s="76">
        <v>700</v>
      </c>
      <c r="E25" s="93"/>
    </row>
    <row r="26" spans="1:5" x14ac:dyDescent="0.25">
      <c r="A26" s="92"/>
      <c r="B26" s="105">
        <f>IFERROR(LOOKUP(C:C,'Chart of Accounts'!C:C,ACNumber),0)</f>
        <v>2100</v>
      </c>
      <c r="C26" s="91" t="s">
        <v>229</v>
      </c>
      <c r="D26" s="76"/>
      <c r="E26" s="93">
        <v>70</v>
      </c>
    </row>
    <row r="27" spans="1:5" x14ac:dyDescent="0.25">
      <c r="A27" s="92"/>
      <c r="B27" s="105">
        <f>IFERROR(LOOKUP(C:C,'Chart of Accounts'!C:C,ACNumber),0)</f>
        <v>4000</v>
      </c>
      <c r="C27" s="91" t="s">
        <v>230</v>
      </c>
      <c r="D27" s="76"/>
      <c r="E27" s="93">
        <v>630</v>
      </c>
    </row>
    <row r="28" spans="1:5" x14ac:dyDescent="0.25">
      <c r="A28" s="92"/>
      <c r="B28" s="105">
        <f>IFERROR(LOOKUP(C:C,'Chart of Accounts'!C:C,ACNumber),0)</f>
        <v>0</v>
      </c>
      <c r="C28" s="91"/>
      <c r="D28" s="76"/>
      <c r="E28" s="93"/>
    </row>
    <row r="29" spans="1:5" x14ac:dyDescent="0.25">
      <c r="A29" s="92">
        <v>21</v>
      </c>
      <c r="B29" s="105">
        <f>IFERROR(LOOKUP(C:C,'Chart of Accounts'!C:C,ACNumber),0)</f>
        <v>2200</v>
      </c>
      <c r="C29" s="91" t="s">
        <v>223</v>
      </c>
      <c r="D29" s="76">
        <v>1600</v>
      </c>
      <c r="E29" s="93"/>
    </row>
    <row r="30" spans="1:5" x14ac:dyDescent="0.25">
      <c r="A30" s="92"/>
      <c r="B30" s="105">
        <f>IFERROR(LOOKUP(C:C,'Chart of Accounts'!C:C,ACNumber),0)</f>
        <v>1000</v>
      </c>
      <c r="C30" s="91" t="s">
        <v>64</v>
      </c>
      <c r="D30" s="76"/>
      <c r="E30" s="93">
        <v>1600</v>
      </c>
    </row>
    <row r="31" spans="1:5" x14ac:dyDescent="0.25">
      <c r="A31" s="92"/>
      <c r="B31" s="105">
        <f>IFERROR(LOOKUP(C:C,'Chart of Accounts'!C:C,ACNumber),0)</f>
        <v>0</v>
      </c>
      <c r="C31" s="91"/>
      <c r="D31" s="76"/>
      <c r="E31" s="93"/>
    </row>
    <row r="32" spans="1:5" x14ac:dyDescent="0.25">
      <c r="A32" s="92">
        <v>30</v>
      </c>
      <c r="B32" s="105">
        <f>IFERROR(LOOKUP(C:C,'Chart of Accounts'!C:C,ACNumber),0)</f>
        <v>1000</v>
      </c>
      <c r="C32" s="91" t="s">
        <v>64</v>
      </c>
      <c r="D32" s="76">
        <v>600</v>
      </c>
      <c r="E32" s="93"/>
    </row>
    <row r="33" spans="1:5" x14ac:dyDescent="0.25">
      <c r="A33" s="92"/>
      <c r="B33" s="105">
        <f>IFERROR(LOOKUP(C:C,'Chart of Accounts'!C:C,ACNumber),0)</f>
        <v>4000</v>
      </c>
      <c r="C33" s="91" t="s">
        <v>230</v>
      </c>
      <c r="D33" s="76"/>
      <c r="E33" s="93">
        <v>600</v>
      </c>
    </row>
    <row r="34" spans="1:5" x14ac:dyDescent="0.25">
      <c r="A34" s="92"/>
      <c r="B34" s="105">
        <f>IFERROR(LOOKUP(C:C,'Chart of Accounts'!C:C,ACNumber),0)</f>
        <v>0</v>
      </c>
      <c r="C34" s="91"/>
      <c r="D34" s="76"/>
      <c r="E34" s="93"/>
    </row>
    <row r="35" spans="1:5" x14ac:dyDescent="0.25">
      <c r="A35" s="92"/>
      <c r="B35" s="105">
        <f>IFERROR(LOOKUP(C:C,'Chart of Accounts'!C:C,ACNumber),0)</f>
        <v>1000</v>
      </c>
      <c r="C35" s="91" t="s">
        <v>64</v>
      </c>
      <c r="D35" s="76">
        <v>1100</v>
      </c>
      <c r="E35" s="93"/>
    </row>
    <row r="36" spans="1:5" x14ac:dyDescent="0.25">
      <c r="A36" s="92"/>
      <c r="B36" s="105">
        <f>IFERROR(LOOKUP(C:C,'Chart of Accounts'!C:C,ACNumber),0)</f>
        <v>1020</v>
      </c>
      <c r="C36" s="91" t="s">
        <v>228</v>
      </c>
      <c r="D36" s="76"/>
      <c r="E36" s="93">
        <v>1100</v>
      </c>
    </row>
    <row r="37" spans="1:5" x14ac:dyDescent="0.25">
      <c r="A37" s="92"/>
      <c r="B37" s="105">
        <f>IFERROR(LOOKUP(C:C,'Chart of Accounts'!C:C,ACNumber),0)</f>
        <v>0</v>
      </c>
      <c r="C37" s="91"/>
      <c r="D37" s="76"/>
      <c r="E37" s="93"/>
    </row>
    <row r="38" spans="1:5" x14ac:dyDescent="0.25">
      <c r="A38" s="92"/>
      <c r="B38" s="105">
        <f>IFERROR(LOOKUP(C:C,'Chart of Accounts'!C:C,ACNumber),0)</f>
        <v>1000</v>
      </c>
      <c r="C38" s="91" t="s">
        <v>64</v>
      </c>
      <c r="D38" s="76">
        <v>100</v>
      </c>
      <c r="E38" s="93"/>
    </row>
    <row r="39" spans="1:5" x14ac:dyDescent="0.25">
      <c r="A39" s="92"/>
      <c r="B39" s="105">
        <f>IFERROR(LOOKUP(C:C,'Chart of Accounts'!C:C,ACNumber),0)</f>
        <v>5001</v>
      </c>
      <c r="C39" s="91" t="s">
        <v>225</v>
      </c>
      <c r="D39" s="76"/>
      <c r="E39" s="93">
        <v>60</v>
      </c>
    </row>
    <row r="40" spans="1:5" x14ac:dyDescent="0.25">
      <c r="A40" s="92"/>
      <c r="B40" s="105">
        <f>IFERROR(LOOKUP(C:C,'Chart of Accounts'!C:C,ACNumber),0)</f>
        <v>1056</v>
      </c>
      <c r="C40" s="91" t="s">
        <v>226</v>
      </c>
      <c r="D40" s="76"/>
      <c r="E40" s="93">
        <v>40</v>
      </c>
    </row>
    <row r="41" spans="1:5" x14ac:dyDescent="0.25">
      <c r="A41" s="92"/>
      <c r="B41" s="105">
        <f>IFERROR(LOOKUP(C:C,'Chart of Accounts'!C:C,ACNumber),0)</f>
        <v>0</v>
      </c>
      <c r="C41" s="91"/>
      <c r="D41" s="76"/>
      <c r="E41" s="93"/>
    </row>
    <row r="42" spans="1:5" x14ac:dyDescent="0.25">
      <c r="A42" s="92"/>
      <c r="B42" s="105">
        <f>IFERROR(LOOKUP(C:C,'Chart of Accounts'!C:C,ACNumber),0)</f>
        <v>1000</v>
      </c>
      <c r="C42" s="91" t="s">
        <v>64</v>
      </c>
      <c r="D42" s="76"/>
      <c r="E42" s="93"/>
    </row>
    <row r="43" spans="1:5" x14ac:dyDescent="0.25">
      <c r="A43" s="92"/>
      <c r="B43" s="105">
        <f>IFERROR(LOOKUP(C:C,'Chart of Accounts'!C:C,ACNumber),0)</f>
        <v>5001</v>
      </c>
      <c r="C43" s="91" t="s">
        <v>225</v>
      </c>
      <c r="D43" s="76"/>
      <c r="E43" s="93"/>
    </row>
    <row r="44" spans="1:5" x14ac:dyDescent="0.25">
      <c r="A44" s="92"/>
      <c r="B44" s="105">
        <f>IFERROR(LOOKUP(C:C,'Chart of Accounts'!C:C,ACNumber),0)</f>
        <v>1056</v>
      </c>
      <c r="C44" s="91" t="s">
        <v>226</v>
      </c>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C31:C502 C7:C29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tr">
        <f>CONCATENATE("TRIAL BALANCE AS AT ",TEXT(CompanyYearEnd,"MMMM DD, YYYY"))</f>
        <v>TRIAL BALANCE AS AT April 30, 2003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1020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500</v>
      </c>
      <c r="H15" s="11" t="b">
        <f>OR(IF(ISERR(#REF!&lt;&gt;0),FALSE,#REF!&lt;&gt;0),IF(ISERR(#REF!&lt;&gt;0),FALSE,#REF!&lt;&gt;0),IF(ISERR(D15&lt;&gt;0),FALSE,D15&lt;&gt;0),IF(ISERR(E15&lt;&gt;0),FALSE,E15&lt;&gt;0))</f>
        <v>1</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186</v>
      </c>
      <c r="E28" s="81"/>
      <c r="H28" s="11" t="b">
        <f>OR(IF(ISERR(#REF!&lt;&gt;0),FALSE,#REF!&lt;&gt;0),IF(ISERR(#REF!&lt;&gt;0),FALSE,#REF!&lt;&gt;0),IF(ISERR(D28&lt;&gt;0),FALSE,D28&lt;&gt;0),IF(ISERR(E28&lt;&gt;0),FALSE,E28&lt;&gt;0))</f>
        <v>1</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160</v>
      </c>
      <c r="H49" s="11" t="b">
        <f>OR(IF(ISERR(#REF!&lt;&gt;0),FALSE,#REF!&lt;&gt;0),IF(ISERR(#REF!&lt;&gt;0),FALSE,#REF!&lt;&gt;0),IF(ISERR(D49&lt;&gt;0),FALSE,D49&lt;&gt;0),IF(ISERR(E49&lt;&gt;0),FALSE,E49&lt;&gt;0))</f>
        <v>1</v>
      </c>
    </row>
    <row r="50" spans="1:8" x14ac:dyDescent="0.25">
      <c r="A50" s="44">
        <f>'Chart of Accounts'!A45</f>
        <v>2200</v>
      </c>
      <c r="B50" s="44">
        <f>'Chart of Accounts'!D45</f>
        <v>210</v>
      </c>
      <c r="C50" s="15" t="str">
        <f>'Chart of Accounts'!B45</f>
        <v>Accounts payable</v>
      </c>
      <c r="E50" s="26">
        <f>(SUMIFS(CR,ACNumber2,"="&amp;A50) - SUMIFS(DR,ACNumber2,"="&amp;A50))+Table43[[#This Row],[CR]]</f>
        <v>-940</v>
      </c>
      <c r="H50" s="11" t="b">
        <f>OR(IF(ISERR(#REF!&lt;&gt;0),FALSE,#REF!&lt;&gt;0),IF(ISERR(#REF!&lt;&gt;0),FALSE,#REF!&lt;&gt;0),IF(ISERR(D50&lt;&gt;0),FALSE,D50&lt;&gt;0),IF(ISERR(E50&lt;&gt;0),FALSE,E50&lt;&gt;0))</f>
        <v>1</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x14ac:dyDescent="0.25">
      <c r="A64" s="44">
        <f>'Chart of Accounts'!A59</f>
        <v>3000</v>
      </c>
      <c r="B64" s="44">
        <f>'Chart of Accounts'!D59</f>
        <v>300</v>
      </c>
      <c r="C64" s="15" t="str">
        <f>'Chart of Accounts'!B59</f>
        <v>Owner's capital</v>
      </c>
      <c r="E64" s="26">
        <f>(SUMIFS(CR,ACNumber2,"="&amp;A64) - SUMIFS(DR,ACNumber2,"="&amp;A64))+Table43[[#This Row],[CR]]</f>
        <v>6000</v>
      </c>
      <c r="H64" s="11" t="b">
        <f>OR(IF(ISERR(#REF!&lt;&gt;0),FALSE,#REF!&lt;&gt;0),IF(ISERR(#REF!&lt;&gt;0),FALSE,#REF!&lt;&gt;0),IF(ISERR(D64&lt;&gt;0),FALSE,D64&lt;&gt;0),IF(ISERR(E64&lt;&gt;0),FALSE,E64&lt;&gt;0))</f>
        <v>1</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2040</v>
      </c>
      <c r="H71" s="11" t="b">
        <f>OR(IF(ISERR(#REF!&lt;&gt;0),FALSE,#REF!&lt;&gt;0),IF(ISERR(#REF!&lt;&gt;0),FALSE,#REF!&lt;&gt;0),IF(ISERR(D71&lt;&gt;0),FALSE,D71&lt;&gt;0),IF(ISERR(E71&lt;&gt;0),FALSE,E71&lt;&gt;0))</f>
        <v>1</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3500</v>
      </c>
      <c r="H81" s="11" t="b">
        <f>OR(IF(ISERR(#REF!&lt;&gt;0),FALSE,#REF!&lt;&gt;0),IF(ISERR(#REF!&lt;&gt;0),FALSE,#REF!&lt;&gt;0),IF(ISERR(D81&lt;&gt;0),FALSE,D81&lt;&gt;0),IF(ISERR(E81&lt;&gt;0),FALSE,E81&lt;&gt;0))</f>
        <v>1</v>
      </c>
    </row>
    <row r="82" spans="1:8" hidden="1" x14ac:dyDescent="0.25">
      <c r="A82" s="102">
        <f>'Chart of Accounts'!A77</f>
        <v>5001</v>
      </c>
      <c r="B82" s="102">
        <f>'Chart of Accounts'!D77</f>
        <v>491</v>
      </c>
      <c r="C82" s="15" t="str">
        <f>'Chart of Accounts'!B77</f>
        <v>Purchases</v>
      </c>
      <c r="D82" s="25">
        <f>(SUMIFS(DR,ACNumber2,"="&amp;A82) - SUMIFS(CR,ACNumber2,"="&amp;A82))+Table43[[#This Row],[DR]]</f>
        <v>1974</v>
      </c>
      <c r="H82" s="11" t="b">
        <f>OR(IF(ISERR(#REF!&lt;&gt;0),FALSE,#REF!&lt;&gt;0),IF(ISERR(#REF!&lt;&gt;0),FALSE,#REF!&lt;&gt;0),IF(ISERR(D82&lt;&gt;0),FALSE,D82&lt;&gt;0),IF(ISERR(E82&lt;&gt;0),FALSE,E82&lt;&gt;0))</f>
        <v>1</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80</v>
      </c>
      <c r="H112" s="11" t="b">
        <f>OR(IF(ISERR(#REF!&lt;&gt;0),FALSE,#REF!&lt;&gt;0),IF(ISERR(#REF!&lt;&gt;0),FALSE,#REF!&lt;&gt;0),IF(ISERR(D112&lt;&gt;0),FALSE,D112&lt;&gt;0),IF(ISERR(E112&lt;&gt;0),FALSE,E112&lt;&gt;0))</f>
        <v>1</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1520</v>
      </c>
      <c r="E136" s="85">
        <f>SUBTOTAL(109,Table4[CR])</f>
        <v>5220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topLeftCell="A4"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Kane's Pro Shop</v>
      </c>
      <c r="B3" s="121"/>
      <c r="C3" s="121"/>
    </row>
    <row r="4" spans="1:6" ht="14.4" x14ac:dyDescent="0.25">
      <c r="A4" s="122" t="s">
        <v>59</v>
      </c>
      <c r="B4" s="122"/>
      <c r="C4" s="122"/>
    </row>
    <row r="5" spans="1:6" ht="14.4" x14ac:dyDescent="0.25">
      <c r="A5" s="123" t="str">
        <f>CONCATENATE("AS AT ",TEXT(CompanyYearEnd,"MMMM DD, YYYY"))</f>
        <v>AS AT April 30, 2003</v>
      </c>
      <c r="B5" s="123"/>
      <c r="C5" s="123"/>
    </row>
    <row r="6" spans="1:6" ht="15" thickBot="1" x14ac:dyDescent="0.3">
      <c r="A6" s="58"/>
      <c r="B6" s="58"/>
      <c r="C6" s="58"/>
    </row>
    <row r="7" spans="1:6" ht="15" thickBot="1" x14ac:dyDescent="0.3">
      <c r="A7" s="27" t="s">
        <v>60</v>
      </c>
      <c r="B7" s="59"/>
      <c r="C7" s="60">
        <f>CompanyYear</f>
        <v>2003</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1020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500</v>
      </c>
      <c r="E12" s="55">
        <v>120</v>
      </c>
      <c r="F12" s="55" t="b">
        <f t="shared" si="1"/>
        <v>1</v>
      </c>
    </row>
    <row r="13" spans="1:6" ht="14.4" x14ac:dyDescent="0.25">
      <c r="A13" s="54"/>
      <c r="B13" s="55" t="str">
        <f t="shared" si="0"/>
        <v>Notes receivable</v>
      </c>
      <c r="C13" s="28">
        <f>SUMIFS('Trial Balance'!D:D,'Trial Balance'!B:B,"="&amp;BS!E13)-SUMIFS('Trial Balance'!E:E,'Trial Balance'!B:B,"="&amp;BS!E13)</f>
        <v>0</v>
      </c>
      <c r="E13" s="55">
        <v>130</v>
      </c>
      <c r="F13" s="55" t="b">
        <f t="shared" si="1"/>
        <v>0</v>
      </c>
    </row>
    <row r="14" spans="1:6" ht="14.4" x14ac:dyDescent="0.25">
      <c r="A14" s="54"/>
      <c r="B14" s="55" t="str">
        <f t="shared" si="0"/>
        <v>Interest receivable</v>
      </c>
      <c r="C14" s="28">
        <f>SUMIFS('Trial Balance'!D:D,'Trial Balance'!B:B,"="&amp;BS!E14)-SUMIFS('Trial Balance'!E:E,'Trial Balance'!B:B,"="&amp;BS!E14)</f>
        <v>0</v>
      </c>
      <c r="E14" s="55">
        <v>125</v>
      </c>
      <c r="F14" s="55" t="b">
        <f t="shared" si="1"/>
        <v>0</v>
      </c>
    </row>
    <row r="15" spans="1:6" ht="14.4"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x14ac:dyDescent="0.25">
      <c r="A17" s="54"/>
      <c r="B17" s="55" t="str">
        <f t="shared" si="0"/>
        <v>Inventory</v>
      </c>
      <c r="C17" s="28">
        <f>SUMIFS('Trial Balance'!D:D,'Trial Balance'!B:B,"="&amp;BS!E17)-SUMIFS('Trial Balance'!E:E,'Trial Balance'!B:B,"="&amp;BS!E17)</f>
        <v>0</v>
      </c>
      <c r="E17" s="55">
        <v>140</v>
      </c>
      <c r="F17" s="55" t="b">
        <f t="shared" si="1"/>
        <v>0</v>
      </c>
    </row>
    <row r="18" spans="1:6" ht="14.4" x14ac:dyDescent="0.25">
      <c r="A18" s="54"/>
      <c r="B18" s="55" t="str">
        <f t="shared" si="0"/>
        <v>Loans receivable</v>
      </c>
      <c r="C18" s="28">
        <f>SUMIFS('Trial Balance'!D:D,'Trial Balance'!B:B,"="&amp;BS!E18)-SUMIFS('Trial Balance'!E:E,'Trial Balance'!B:B,"="&amp;BS!E18)</f>
        <v>0</v>
      </c>
      <c r="E18" s="55">
        <v>150</v>
      </c>
      <c r="F18" s="55" t="b">
        <f t="shared" si="1"/>
        <v>0</v>
      </c>
    </row>
    <row r="19" spans="1:6" ht="14.4" x14ac:dyDescent="0.25">
      <c r="A19" s="54"/>
      <c r="B19" s="55" t="str">
        <f t="shared" si="0"/>
        <v>Income taxes receivable</v>
      </c>
      <c r="C19" s="28">
        <f>SUMIFS('Trial Balance'!D:D,'Trial Balance'!B:B,"="&amp;BS!E19)-SUMIFS('Trial Balance'!E:E,'Trial Balance'!B:B,"="&amp;BS!E19)</f>
        <v>0</v>
      </c>
      <c r="E19" s="55">
        <v>155</v>
      </c>
      <c r="F19" s="55" t="b">
        <f t="shared" si="1"/>
        <v>0</v>
      </c>
    </row>
    <row r="20" spans="1:6" ht="14.4" x14ac:dyDescent="0.25">
      <c r="A20" s="54"/>
      <c r="B20" s="55" t="str">
        <f t="shared" si="0"/>
        <v>Prepaids</v>
      </c>
      <c r="C20" s="28">
        <f>SUMIFS('Trial Balance'!D:D,'Trial Balance'!B:B,"="&amp;BS!E20)-SUMIFS('Trial Balance'!E:E,'Trial Balance'!B:B,"="&amp;BS!E20)</f>
        <v>186</v>
      </c>
      <c r="E20" s="55">
        <v>160</v>
      </c>
      <c r="F20" s="55" t="b">
        <f t="shared" si="1"/>
        <v>1</v>
      </c>
    </row>
    <row r="21" spans="1:6" ht="14.4"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1706</v>
      </c>
      <c r="F22" s="55" t="b">
        <f t="shared" si="1"/>
        <v>1</v>
      </c>
    </row>
    <row r="23" spans="1:6" ht="14.4" x14ac:dyDescent="0.25">
      <c r="A23" s="53"/>
      <c r="C23" s="30"/>
      <c r="F23" s="55" t="b">
        <f>TRUE</f>
        <v>1</v>
      </c>
    </row>
    <row r="24" spans="1:6" ht="14.4" x14ac:dyDescent="0.25">
      <c r="A24" s="53" t="s">
        <v>83</v>
      </c>
      <c r="C24" s="30"/>
      <c r="F24" s="55" t="b">
        <f>TRUE</f>
        <v>1</v>
      </c>
    </row>
    <row r="25" spans="1:6" ht="14.4"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x14ac:dyDescent="0.25">
      <c r="A27" s="54"/>
      <c r="B27" s="55" t="str">
        <f>VLOOKUP(E27,Table2,2,FALSE)</f>
        <v>Goodwill</v>
      </c>
      <c r="C27" s="30">
        <f>SUMIFS('Trial Balance'!D:D,'Trial Balance'!B:B,"="&amp;BS!E27)-SUMIFS('Trial Balance'!E:E,'Trial Balance'!B:B,"="&amp;BS!E27)</f>
        <v>0</v>
      </c>
      <c r="E27" s="55">
        <v>190</v>
      </c>
      <c r="F27" s="55" t="b">
        <f t="shared" si="2"/>
        <v>0</v>
      </c>
    </row>
    <row r="28" spans="1:6" ht="14.4"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x14ac:dyDescent="0.25">
      <c r="A29" s="54"/>
      <c r="C29" s="29">
        <f>SUM(C25:C28)</f>
        <v>0</v>
      </c>
      <c r="F29" s="55" t="b">
        <f t="shared" si="2"/>
        <v>0</v>
      </c>
    </row>
    <row r="30" spans="1:6" ht="14.4" x14ac:dyDescent="0.25">
      <c r="A30" s="54"/>
      <c r="C30" s="30"/>
      <c r="F30" s="55" t="b">
        <f>TRUE</f>
        <v>1</v>
      </c>
    </row>
    <row r="31" spans="1:6" ht="15" thickBot="1" x14ac:dyDescent="0.3">
      <c r="A31" s="54"/>
      <c r="C31" s="31">
        <f>SUM(C22,C29)</f>
        <v>1706</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x14ac:dyDescent="0.25">
      <c r="A36" s="54"/>
      <c r="B36" s="55" t="str">
        <f t="shared" si="3"/>
        <v>Short term other loans</v>
      </c>
      <c r="C36" s="28">
        <f>SUMIFS('Trial Balance'!E:E,'Trial Balance'!B:B,"="&amp;BS!E36)-SUMIFS('Trial Balance'!D:D,'Trial Balance'!B:B,"="&amp;BS!E36)</f>
        <v>0</v>
      </c>
      <c r="E36" s="55">
        <v>205</v>
      </c>
      <c r="F36" s="55" t="b">
        <f t="shared" si="4"/>
        <v>0</v>
      </c>
    </row>
    <row r="37" spans="1:6" ht="14.4"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160</v>
      </c>
      <c r="E38" s="55">
        <v>207</v>
      </c>
      <c r="F38" s="55" t="b">
        <f t="shared" si="4"/>
        <v>1</v>
      </c>
    </row>
    <row r="39" spans="1:6" ht="14.4" x14ac:dyDescent="0.25">
      <c r="A39" s="54"/>
      <c r="B39" s="55" t="str">
        <f t="shared" si="3"/>
        <v>Accounts payable</v>
      </c>
      <c r="C39" s="28">
        <f>SUMIFS('Trial Balance'!E:E,'Trial Balance'!B:B,"="&amp;BS!E39)-SUMIFS('Trial Balance'!D:D,'Trial Balance'!B:B,"="&amp;BS!E39)</f>
        <v>-940</v>
      </c>
      <c r="E39" s="55">
        <v>210</v>
      </c>
      <c r="F39" s="55" t="b">
        <f t="shared" si="4"/>
        <v>1</v>
      </c>
    </row>
    <row r="40" spans="1:6" ht="14.4" x14ac:dyDescent="0.25">
      <c r="A40" s="54"/>
      <c r="B40" s="55" t="str">
        <f t="shared" si="3"/>
        <v>Interest payable</v>
      </c>
      <c r="C40" s="28">
        <f>SUMIFS('Trial Balance'!E:E,'Trial Balance'!B:B,"="&amp;BS!E40)-SUMIFS('Trial Balance'!D:D,'Trial Balance'!B:B,"="&amp;BS!E40)</f>
        <v>0</v>
      </c>
      <c r="E40" s="55">
        <v>211</v>
      </c>
      <c r="F40" s="55" t="b">
        <f t="shared" si="4"/>
        <v>0</v>
      </c>
    </row>
    <row r="41" spans="1:6" ht="14.4" x14ac:dyDescent="0.25">
      <c r="A41" s="54"/>
      <c r="B41" s="55" t="str">
        <f t="shared" si="3"/>
        <v>Notes payable</v>
      </c>
      <c r="C41" s="28">
        <f>SUMIFS('Trial Balance'!E:E,'Trial Balance'!B:B,"="&amp;BS!E41)-SUMIFS('Trial Balance'!D:D,'Trial Balance'!B:B,"="&amp;BS!E41)</f>
        <v>0</v>
      </c>
      <c r="E41" s="55">
        <v>212</v>
      </c>
      <c r="F41" s="55" t="b">
        <f t="shared" si="4"/>
        <v>0</v>
      </c>
    </row>
    <row r="42" spans="1:6" ht="14.4" x14ac:dyDescent="0.25">
      <c r="A42" s="54"/>
      <c r="B42" s="55" t="str">
        <f t="shared" si="3"/>
        <v>Salaries payable</v>
      </c>
      <c r="C42" s="28">
        <f>SUMIFS('Trial Balance'!E:E,'Trial Balance'!B:B,"="&amp;BS!E42)-SUMIFS('Trial Balance'!D:D,'Trial Balance'!B:B,"="&amp;BS!E42)</f>
        <v>0</v>
      </c>
      <c r="E42" s="55">
        <v>220</v>
      </c>
      <c r="F42" s="55" t="b">
        <f t="shared" si="4"/>
        <v>0</v>
      </c>
    </row>
    <row r="43" spans="1:6" ht="14.4" x14ac:dyDescent="0.25">
      <c r="A43" s="54"/>
      <c r="B43" s="55" t="str">
        <f t="shared" si="3"/>
        <v>HST payable</v>
      </c>
      <c r="C43" s="28">
        <f>SUMIFS('Trial Balance'!E:E,'Trial Balance'!B:B,"="&amp;BS!E43)-SUMIFS('Trial Balance'!D:D,'Trial Balance'!B:B,"="&amp;BS!E43)</f>
        <v>0</v>
      </c>
      <c r="E43" s="55">
        <v>225</v>
      </c>
      <c r="F43" s="55" t="b">
        <f t="shared" si="4"/>
        <v>0</v>
      </c>
    </row>
    <row r="44" spans="1:6" ht="14.4" x14ac:dyDescent="0.25">
      <c r="A44" s="54"/>
      <c r="B44" s="55" t="str">
        <f t="shared" si="3"/>
        <v>Income taxes payable</v>
      </c>
      <c r="C44" s="28">
        <f>SUMIFS('Trial Balance'!E:E,'Trial Balance'!B:B,"="&amp;BS!E44)-SUMIFS('Trial Balance'!D:D,'Trial Balance'!B:B,"="&amp;BS!E44)</f>
        <v>0</v>
      </c>
      <c r="E44" s="55">
        <v>230</v>
      </c>
      <c r="F44" s="55" t="b">
        <f t="shared" si="4"/>
        <v>0</v>
      </c>
    </row>
    <row r="45" spans="1:6" ht="14.4"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-780</v>
      </c>
      <c r="F46" s="55" t="b">
        <f t="shared" si="4"/>
        <v>1</v>
      </c>
    </row>
    <row r="47" spans="1:6" ht="14.4" x14ac:dyDescent="0.25">
      <c r="A47" s="54"/>
      <c r="C47" s="30"/>
      <c r="F47" s="55" t="b">
        <f>TRUE</f>
        <v>1</v>
      </c>
    </row>
    <row r="48" spans="1:6" ht="14.4" x14ac:dyDescent="0.25">
      <c r="A48" s="53" t="s">
        <v>83</v>
      </c>
      <c r="C48" s="30"/>
      <c r="F48" s="55" t="b">
        <f>TRUE</f>
        <v>1</v>
      </c>
    </row>
    <row r="49" spans="1:6" ht="14.4"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x14ac:dyDescent="0.25">
      <c r="A53" s="32"/>
      <c r="C53" s="29">
        <f>SUM(C49:C52)</f>
        <v>0</v>
      </c>
      <c r="F53" s="55" t="b">
        <f t="shared" si="5"/>
        <v>0</v>
      </c>
    </row>
    <row r="54" spans="1:6" ht="14.4" x14ac:dyDescent="0.25">
      <c r="A54" s="32"/>
      <c r="C54" s="29">
        <f>C46+C53</f>
        <v>-780</v>
      </c>
      <c r="F54" s="55" t="b">
        <f t="shared" si="5"/>
        <v>1</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x14ac:dyDescent="0.25">
      <c r="A57" s="56"/>
      <c r="B57" s="55" t="str">
        <f t="shared" ref="B57:B63" si="6">VLOOKUP(E57,Table2,2,FALSE)</f>
        <v>Owner's capital</v>
      </c>
      <c r="C57" s="30">
        <f>SUMIFS('Trial Balance'!E:E,'Trial Balance'!B:B,"="&amp;BS!E57)-SUMIFS('Trial Balance'!D:D,'Trial Balance'!B:B,"="&amp;BS!E57)</f>
        <v>6000</v>
      </c>
      <c r="E57" s="55">
        <v>300</v>
      </c>
      <c r="F57" s="55" t="b">
        <f>OR(IF(ISERR(C57&lt;&gt;0),FALSE,C57&lt;&gt;0))</f>
        <v>1</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x14ac:dyDescent="0.25">
      <c r="A61" s="54"/>
      <c r="B61" s="55" t="str">
        <f t="shared" si="6"/>
        <v>Preferred shares</v>
      </c>
      <c r="C61" s="30">
        <f>SUMIFS('Trial Balance'!E:E,'Trial Balance'!B:B,"="&amp;BS!E61)-SUMIFS('Trial Balance'!D:D,'Trial Balance'!B:B,"="&amp;BS!E61)</f>
        <v>0</v>
      </c>
      <c r="E61" s="55">
        <v>320</v>
      </c>
      <c r="F61" s="55" t="b">
        <f t="shared" si="7"/>
        <v>0</v>
      </c>
    </row>
    <row r="62" spans="1:6" ht="14.4" x14ac:dyDescent="0.25">
      <c r="A62" s="54"/>
      <c r="B62" s="55" t="str">
        <f t="shared" si="6"/>
        <v>Retained earnings</v>
      </c>
      <c r="C62" s="30">
        <f>SUMIFS('Trial Balance'!E:E,'Trial Balance'!B:B,"="&amp;BS!E62)-SUMIFS('Trial Balance'!D:D,'Trial Balance'!B:B,"="&amp;BS!E62)</f>
        <v>0</v>
      </c>
      <c r="E62" s="55">
        <v>330</v>
      </c>
      <c r="F62" s="55" t="b">
        <f t="shared" si="7"/>
        <v>0</v>
      </c>
    </row>
    <row r="63" spans="1:6" ht="14.4"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loss</v>
      </c>
      <c r="C64" s="33">
        <f>Net_Income</f>
        <v>-3514</v>
      </c>
      <c r="F64" s="55" t="b">
        <f>OR(IF(ISERR(C64&lt;&gt;0),FALSE,C64&lt;&gt;0))</f>
        <v>1</v>
      </c>
    </row>
    <row r="65" spans="1:6" ht="14.4" x14ac:dyDescent="0.25">
      <c r="A65" s="54"/>
      <c r="B65" s="54"/>
      <c r="C65" s="30">
        <f>SUM(C57:C64)</f>
        <v>2486</v>
      </c>
      <c r="F65" s="55" t="b">
        <f>OR(IF(ISERR(C65&lt;&gt;0),FALSE,C65&lt;&gt;0))</f>
        <v>1</v>
      </c>
    </row>
    <row r="66" spans="1:6" ht="14.4" x14ac:dyDescent="0.25">
      <c r="A66" s="54"/>
      <c r="B66" s="54"/>
      <c r="C66" s="65"/>
      <c r="F66" s="55" t="b">
        <f>TRUE</f>
        <v>1</v>
      </c>
    </row>
    <row r="67" spans="1:6" ht="15" thickBot="1" x14ac:dyDescent="0.3">
      <c r="A67" s="54"/>
      <c r="B67" s="54"/>
      <c r="C67" s="31">
        <f>SUM(C54,C65)</f>
        <v>1706</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Kane's Pro Shop</v>
      </c>
      <c r="B3" s="125"/>
      <c r="C3" s="125"/>
      <c r="D3" s="125"/>
    </row>
    <row r="4" spans="1:7" x14ac:dyDescent="0.25">
      <c r="A4" s="126" t="s">
        <v>101</v>
      </c>
      <c r="B4" s="126"/>
      <c r="C4" s="126"/>
      <c r="D4" s="126"/>
    </row>
    <row r="5" spans="1:7" x14ac:dyDescent="0.25">
      <c r="A5" s="126" t="str">
        <f>CONCATENATE("FOR THE YEAR ENDING ",TEXT(CompanyYearEnd,"MMMM DD, YYYY"))</f>
        <v>FOR THE YEAR ENDING April 30, 2003</v>
      </c>
      <c r="B5" s="126"/>
      <c r="C5" s="126"/>
      <c r="D5" s="126"/>
    </row>
    <row r="6" spans="1:7" ht="15" thickBot="1" x14ac:dyDescent="0.3">
      <c r="A6" s="59"/>
      <c r="B6" s="59"/>
      <c r="C6" s="59"/>
      <c r="D6" s="67" t="s">
        <v>60</v>
      </c>
    </row>
    <row r="7" spans="1:7" ht="15" thickBot="1" x14ac:dyDescent="0.3">
      <c r="A7" s="27" t="s">
        <v>60</v>
      </c>
      <c r="B7" s="59"/>
      <c r="C7" s="59"/>
      <c r="D7" s="60">
        <f>CompanyYear</f>
        <v>2003</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2040</v>
      </c>
      <c r="F10" s="55">
        <v>400</v>
      </c>
      <c r="G10" s="55" t="b">
        <f t="shared" ref="G10:G15" si="0">OR(IF(ISERR(D10&lt;&gt;0),FALSE,D10&lt;&gt;0))</f>
        <v>1</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2040</v>
      </c>
      <c r="G15" s="55" t="b">
        <f t="shared" si="0"/>
        <v>1</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3500</v>
      </c>
      <c r="F18" s="55">
        <v>490</v>
      </c>
      <c r="G18" s="55" t="b">
        <f t="shared" ref="G18:G23" si="1">OR(IF(ISERR(D18&lt;&gt;0),FALSE,D18&lt;&gt;0))</f>
        <v>1</v>
      </c>
    </row>
    <row r="19" spans="1:7" ht="14.4" hidden="1" x14ac:dyDescent="0.25">
      <c r="A19" s="69"/>
      <c r="B19" s="86" t="str">
        <f>VLOOKUP(F19,Table2,2,FALSE)</f>
        <v>Purchases</v>
      </c>
      <c r="C19" s="69"/>
      <c r="D19" s="30">
        <f>SUMIFS('Trial Balance'!D:D,'Trial Balance'!B:B,"="&amp;F19)-SUMIFS('Trial Balance'!E:E,'Trial Balance'!B:B,"="&amp;F19)</f>
        <v>1974</v>
      </c>
      <c r="F19" s="55">
        <v>491</v>
      </c>
      <c r="G19" s="55" t="b">
        <f t="shared" si="1"/>
        <v>1</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104</v>
      </c>
      <c r="B23" s="53"/>
      <c r="C23" s="69"/>
      <c r="D23" s="33">
        <f>D18+D19+D20+D21-D22</f>
        <v>5474</v>
      </c>
      <c r="G23" s="55" t="b">
        <f t="shared" si="1"/>
        <v>1</v>
      </c>
    </row>
    <row r="24" spans="1:7" ht="14.4" x14ac:dyDescent="0.25">
      <c r="A24" s="69" t="s">
        <v>60</v>
      </c>
      <c r="B24" s="53"/>
      <c r="C24" s="69"/>
      <c r="D24" s="30"/>
      <c r="G24" s="55" t="b">
        <f>TRUE</f>
        <v>1</v>
      </c>
    </row>
    <row r="25" spans="1:7" ht="14.4" x14ac:dyDescent="0.25">
      <c r="A25" s="68" t="s">
        <v>99</v>
      </c>
      <c r="B25" s="53"/>
      <c r="C25" s="69"/>
      <c r="D25" s="33">
        <f>D15-D23</f>
        <v>-3434</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x14ac:dyDescent="0.25">
      <c r="A29" s="69"/>
      <c r="B29" s="86" t="str">
        <f t="shared" si="2"/>
        <v>Amortization</v>
      </c>
      <c r="C29" s="69"/>
      <c r="D29" s="30">
        <f>SUMIFS('Trial Balance'!D:D,'Trial Balance'!B:B,"="&amp;F29)-SUMIFS('Trial Balance'!E:E,'Trial Balance'!B:B,"="&amp;F29)</f>
        <v>0</v>
      </c>
      <c r="F29" s="55">
        <v>505</v>
      </c>
      <c r="G29" s="55" t="b">
        <f t="shared" si="3"/>
        <v>0</v>
      </c>
    </row>
    <row r="30" spans="1:7" ht="14.4"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x14ac:dyDescent="0.25">
      <c r="A33" s="69"/>
      <c r="B33" s="86" t="str">
        <f t="shared" si="2"/>
        <v>Insurance expense</v>
      </c>
      <c r="C33" s="69"/>
      <c r="D33" s="30">
        <f>SUMIFS('Trial Balance'!D:D,'Trial Balance'!B:B,"="&amp;F33)-SUMIFS('Trial Balance'!E:E,'Trial Balance'!B:B,"="&amp;F33)</f>
        <v>0</v>
      </c>
      <c r="F33" s="55">
        <v>530</v>
      </c>
      <c r="G33" s="55" t="b">
        <f t="shared" si="3"/>
        <v>0</v>
      </c>
    </row>
    <row r="34" spans="1:7" ht="14.4"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80</v>
      </c>
      <c r="F35" s="55">
        <v>525</v>
      </c>
      <c r="G35" s="55" t="b">
        <f t="shared" si="3"/>
        <v>1</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hidden="1"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80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-3514</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loss for the year</v>
      </c>
      <c r="B49" s="69"/>
      <c r="C49" s="69"/>
      <c r="D49" s="35">
        <f>D45-D47</f>
        <v>-3514</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91" workbookViewId="0">
      <selection activeCell="B126" sqref="B126"/>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topLeftCell="A37"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2019-10-24T17:48:55Z</dcterms:modified>
</cp:coreProperties>
</file>