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2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V:\AFP\"/>
    </mc:Choice>
  </mc:AlternateContent>
  <xr:revisionPtr revIDLastSave="0" documentId="8_{C692621C-1260-4DAF-8D04-8710499C093E}" xr6:coauthVersionLast="45" xr6:coauthVersionMax="45" xr10:uidLastSave="{00000000-0000-0000-0000-000000000000}"/>
  <bookViews>
    <workbookView xWindow="-96" yWindow="-96" windowWidth="23232" windowHeight="12552" activeTab="3"/>
  </bookViews>
  <sheets>
    <sheet name="Forecast_vs_Actual" sheetId="1" r:id="rId1"/>
    <sheet name="Monthly_Spot_Curve" sheetId="2" r:id="rId2"/>
    <sheet name="NSS_Betas" sheetId="3" r:id="rId3"/>
    <sheet name="Forecast_1m" sheetId="4" r:id="rId4"/>
    <sheet name="Forecast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" i="4" l="1"/>
  <c r="AD25" i="1" a="1"/>
  <c r="AD25" i="1" s="1"/>
  <c r="AC25" i="1" a="1"/>
  <c r="AC25" i="1" s="1"/>
  <c r="AB25" i="1" a="1"/>
  <c r="AB25" i="1" s="1"/>
  <c r="AA25" i="1" a="1"/>
  <c r="AA25" i="1" s="1"/>
  <c r="Z25" i="1" a="1"/>
  <c r="Z25" i="1" s="1"/>
  <c r="Y25" i="1" a="1"/>
  <c r="Y25" i="1" s="1"/>
  <c r="X25" i="1" a="1"/>
  <c r="X25" i="1" s="1"/>
  <c r="W25" i="1" a="1"/>
  <c r="W25" i="1" s="1"/>
  <c r="V25" i="1" a="1"/>
  <c r="V25" i="1" s="1"/>
  <c r="U25" i="1" a="1"/>
  <c r="U25" i="1" s="1"/>
  <c r="T25" i="1" a="1"/>
  <c r="T25" i="1" s="1"/>
  <c r="S25" i="1" a="1"/>
  <c r="S25" i="1" s="1"/>
  <c r="AD24" i="1" a="1"/>
  <c r="AD24" i="1" s="1"/>
  <c r="AC24" i="1" a="1"/>
  <c r="AC24" i="1" s="1"/>
  <c r="AB24" i="1" a="1"/>
  <c r="AB24" i="1" s="1"/>
  <c r="AA24" i="1" a="1"/>
  <c r="AA24" i="1" s="1"/>
  <c r="Z24" i="1" a="1"/>
  <c r="Z24" i="1" s="1"/>
  <c r="Y24" i="1" a="1"/>
  <c r="Y24" i="1" s="1"/>
  <c r="X24" i="1" a="1"/>
  <c r="X24" i="1" s="1"/>
  <c r="W24" i="1" a="1"/>
  <c r="W24" i="1" s="1"/>
  <c r="V24" i="1" a="1"/>
  <c r="V24" i="1" s="1"/>
  <c r="U24" i="1" a="1"/>
  <c r="U24" i="1" s="1"/>
  <c r="T24" i="1" a="1"/>
  <c r="T24" i="1" s="1"/>
  <c r="S24" i="1" a="1"/>
  <c r="S24" i="1" s="1"/>
  <c r="AD23" i="1" a="1"/>
  <c r="AD23" i="1" s="1"/>
  <c r="AC23" i="1" a="1"/>
  <c r="AC23" i="1" s="1"/>
  <c r="AB23" i="1" a="1"/>
  <c r="AB23" i="1" s="1"/>
  <c r="AA23" i="1" a="1"/>
  <c r="AA23" i="1" s="1"/>
  <c r="Z23" i="1" a="1"/>
  <c r="Z23" i="1" s="1"/>
  <c r="Y23" i="1" a="1"/>
  <c r="Y23" i="1" s="1"/>
  <c r="X23" i="1" a="1"/>
  <c r="X23" i="1" s="1"/>
  <c r="W23" i="1" a="1"/>
  <c r="W23" i="1" s="1"/>
  <c r="V23" i="1" a="1"/>
  <c r="V23" i="1" s="1"/>
  <c r="U23" i="1" a="1"/>
  <c r="U23" i="1" s="1"/>
  <c r="T23" i="1" a="1"/>
  <c r="T23" i="1" s="1"/>
  <c r="S23" i="1" a="1"/>
  <c r="S23" i="1" s="1"/>
  <c r="AD22" i="1" a="1"/>
  <c r="AD22" i="1" s="1"/>
  <c r="AC22" i="1" a="1"/>
  <c r="AC22" i="1" s="1"/>
  <c r="AB22" i="1" a="1"/>
  <c r="AB22" i="1" s="1"/>
  <c r="AA22" i="1" a="1"/>
  <c r="AA22" i="1" s="1"/>
  <c r="Z22" i="1" a="1"/>
  <c r="Z22" i="1" s="1"/>
  <c r="Y22" i="1" a="1"/>
  <c r="Y22" i="1" s="1"/>
  <c r="X22" i="1" a="1"/>
  <c r="X22" i="1" s="1"/>
  <c r="W22" i="1" a="1"/>
  <c r="W22" i="1" s="1"/>
  <c r="V22" i="1" a="1"/>
  <c r="V22" i="1" s="1"/>
  <c r="U22" i="1" a="1"/>
  <c r="U22" i="1" s="1"/>
  <c r="T22" i="1" a="1"/>
  <c r="T22" i="1" s="1"/>
  <c r="S22" i="1" a="1"/>
  <c r="S22" i="1" s="1"/>
  <c r="AD21" i="1" a="1"/>
  <c r="AD21" i="1" s="1"/>
  <c r="AC21" i="1" a="1"/>
  <c r="AC21" i="1" s="1"/>
  <c r="AB21" i="1" a="1"/>
  <c r="AB21" i="1" s="1"/>
  <c r="AA21" i="1" a="1"/>
  <c r="AA21" i="1" s="1"/>
  <c r="Z21" i="1" a="1"/>
  <c r="Z21" i="1" s="1"/>
  <c r="Y21" i="1" a="1"/>
  <c r="Y21" i="1" s="1"/>
  <c r="X21" i="1" a="1"/>
  <c r="X21" i="1" s="1"/>
  <c r="W21" i="1" a="1"/>
  <c r="W21" i="1" s="1"/>
  <c r="V21" i="1" a="1"/>
  <c r="V21" i="1" s="1"/>
  <c r="U21" i="1" a="1"/>
  <c r="U21" i="1" s="1"/>
  <c r="T21" i="1" a="1"/>
  <c r="T21" i="1" s="1"/>
  <c r="S21" i="1" a="1"/>
  <c r="S21" i="1" s="1"/>
  <c r="AD20" i="1" a="1"/>
  <c r="AD20" i="1" s="1"/>
  <c r="AC20" i="1" a="1"/>
  <c r="AC20" i="1" s="1"/>
  <c r="AB20" i="1" a="1"/>
  <c r="AB20" i="1" s="1"/>
  <c r="AA20" i="1" a="1"/>
  <c r="AA20" i="1" s="1"/>
  <c r="Z20" i="1" a="1"/>
  <c r="Z20" i="1" s="1"/>
  <c r="Y20" i="1" a="1"/>
  <c r="Y20" i="1" s="1"/>
  <c r="X20" i="1" a="1"/>
  <c r="X20" i="1" s="1"/>
  <c r="W20" i="1" a="1"/>
  <c r="W20" i="1" s="1"/>
  <c r="V20" i="1" a="1"/>
  <c r="V20" i="1" s="1"/>
  <c r="U20" i="1" a="1"/>
  <c r="U20" i="1" s="1"/>
  <c r="T20" i="1" a="1"/>
  <c r="T20" i="1" s="1"/>
  <c r="S20" i="1" a="1"/>
  <c r="S20" i="1" s="1"/>
  <c r="AD19" i="1" a="1"/>
  <c r="AD19" i="1" s="1"/>
  <c r="AC19" i="1" a="1"/>
  <c r="AC19" i="1" s="1"/>
  <c r="AB19" i="1" a="1"/>
  <c r="AB19" i="1" s="1"/>
  <c r="AA19" i="1" a="1"/>
  <c r="AA19" i="1" s="1"/>
  <c r="Z19" i="1" a="1"/>
  <c r="Z19" i="1" s="1"/>
  <c r="Y19" i="1" a="1"/>
  <c r="Y19" i="1" s="1"/>
  <c r="X19" i="1" a="1"/>
  <c r="X19" i="1" s="1"/>
  <c r="W19" i="1" a="1"/>
  <c r="W19" i="1" s="1"/>
  <c r="V19" i="1" a="1"/>
  <c r="V19" i="1" s="1"/>
  <c r="U19" i="1" a="1"/>
  <c r="U19" i="1" s="1"/>
  <c r="T19" i="1" a="1"/>
  <c r="T19" i="1" s="1"/>
  <c r="S19" i="1" a="1"/>
  <c r="S19" i="1" s="1"/>
  <c r="AD18" i="1" a="1"/>
  <c r="AD18" i="1" s="1"/>
  <c r="AC18" i="1" a="1"/>
  <c r="AC18" i="1" s="1"/>
  <c r="AB18" i="1" a="1"/>
  <c r="AB18" i="1" s="1"/>
  <c r="AA18" i="1" a="1"/>
  <c r="AA18" i="1" s="1"/>
  <c r="Z18" i="1" a="1"/>
  <c r="Z18" i="1" s="1"/>
  <c r="Y18" i="1" a="1"/>
  <c r="Y18" i="1" s="1"/>
  <c r="X18" i="1" a="1"/>
  <c r="X18" i="1" s="1"/>
  <c r="W18" i="1" a="1"/>
  <c r="W18" i="1" s="1"/>
  <c r="V18" i="1" a="1"/>
  <c r="V18" i="1" s="1"/>
  <c r="U18" i="1" a="1"/>
  <c r="U18" i="1" s="1"/>
  <c r="T18" i="1" a="1"/>
  <c r="T18" i="1" s="1"/>
  <c r="S18" i="1" a="1"/>
  <c r="S18" i="1" s="1"/>
  <c r="AD17" i="1" a="1"/>
  <c r="AD17" i="1" s="1"/>
  <c r="AC17" i="1" a="1"/>
  <c r="AC17" i="1" s="1"/>
  <c r="AB17" i="1" a="1"/>
  <c r="AB17" i="1" s="1"/>
  <c r="AA17" i="1" a="1"/>
  <c r="AA17" i="1" s="1"/>
  <c r="Z17" i="1" a="1"/>
  <c r="Z17" i="1" s="1"/>
  <c r="Y17" i="1" a="1"/>
  <c r="Y17" i="1" s="1"/>
  <c r="X17" i="1" a="1"/>
  <c r="X17" i="1" s="1"/>
  <c r="W17" i="1" a="1"/>
  <c r="W17" i="1" s="1"/>
  <c r="V17" i="1" a="1"/>
  <c r="V17" i="1" s="1"/>
  <c r="U17" i="1" a="1"/>
  <c r="U17" i="1" s="1"/>
  <c r="T17" i="1" a="1"/>
  <c r="T17" i="1" s="1"/>
  <c r="S17" i="1" a="1"/>
  <c r="S17" i="1" s="1"/>
  <c r="AD16" i="1" a="1"/>
  <c r="AD16" i="1" s="1"/>
  <c r="AC16" i="1" a="1"/>
  <c r="AC16" i="1" s="1"/>
  <c r="AB16" i="1" a="1"/>
  <c r="AB16" i="1" s="1"/>
  <c r="AA16" i="1" a="1"/>
  <c r="AA16" i="1" s="1"/>
  <c r="Z16" i="1" a="1"/>
  <c r="Z16" i="1" s="1"/>
  <c r="Y16" i="1" a="1"/>
  <c r="Y16" i="1" s="1"/>
  <c r="X16" i="1" a="1"/>
  <c r="X16" i="1" s="1"/>
  <c r="W16" i="1" a="1"/>
  <c r="W16" i="1" s="1"/>
  <c r="V16" i="1" a="1"/>
  <c r="V16" i="1" s="1"/>
  <c r="U16" i="1" a="1"/>
  <c r="U16" i="1" s="1"/>
  <c r="T16" i="1" a="1"/>
  <c r="T16" i="1" s="1"/>
  <c r="S16" i="1" a="1"/>
  <c r="S16" i="1" s="1"/>
  <c r="AD15" i="1" a="1"/>
  <c r="AD15" i="1" s="1"/>
  <c r="AC15" i="1" a="1"/>
  <c r="AC15" i="1" s="1"/>
  <c r="AB15" i="1" a="1"/>
  <c r="AB15" i="1" s="1"/>
  <c r="AA15" i="1" a="1"/>
  <c r="AA15" i="1" s="1"/>
  <c r="Z15" i="1" a="1"/>
  <c r="Z15" i="1" s="1"/>
  <c r="Y15" i="1" a="1"/>
  <c r="Y15" i="1" s="1"/>
  <c r="X15" i="1" a="1"/>
  <c r="X15" i="1" s="1"/>
  <c r="W15" i="1" a="1"/>
  <c r="W15" i="1" s="1"/>
  <c r="V15" i="1" a="1"/>
  <c r="V15" i="1" s="1"/>
  <c r="U15" i="1" a="1"/>
  <c r="U15" i="1" s="1"/>
  <c r="T15" i="1" a="1"/>
  <c r="T15" i="1" s="1"/>
  <c r="S15" i="1" a="1"/>
  <c r="S15" i="1" s="1"/>
  <c r="AD14" i="1" a="1"/>
  <c r="AD14" i="1" s="1"/>
  <c r="AC14" i="1" a="1"/>
  <c r="AC14" i="1" s="1"/>
  <c r="AB14" i="1" a="1"/>
  <c r="AB14" i="1" s="1"/>
  <c r="AA14" i="1" a="1"/>
  <c r="AA14" i="1" s="1"/>
  <c r="Z14" i="1" a="1"/>
  <c r="Z14" i="1" s="1"/>
  <c r="Y14" i="1" a="1"/>
  <c r="Y14" i="1" s="1"/>
  <c r="X14" i="1" a="1"/>
  <c r="X14" i="1" s="1"/>
  <c r="W14" i="1" a="1"/>
  <c r="W14" i="1" s="1"/>
  <c r="V14" i="1" a="1"/>
  <c r="V14" i="1" s="1"/>
  <c r="U14" i="1" a="1"/>
  <c r="U14" i="1" s="1"/>
  <c r="T14" i="1" a="1"/>
  <c r="T14" i="1" s="1"/>
  <c r="S14" i="1" a="1"/>
  <c r="S14" i="1" s="1"/>
  <c r="O14" i="1"/>
  <c r="M7" i="1"/>
  <c r="L7" i="1"/>
  <c r="K7" i="1"/>
  <c r="J7" i="1"/>
  <c r="I7" i="1"/>
  <c r="H7" i="1"/>
  <c r="G7" i="1"/>
  <c r="F7" i="1"/>
  <c r="E7" i="1"/>
  <c r="D7" i="1"/>
  <c r="C7" i="1"/>
  <c r="B7" i="1"/>
  <c r="M6" i="1"/>
  <c r="L6" i="1"/>
  <c r="K6" i="1"/>
  <c r="J6" i="1"/>
  <c r="I6" i="1"/>
  <c r="H6" i="1"/>
  <c r="G6" i="1"/>
  <c r="F6" i="1"/>
  <c r="E6" i="1"/>
  <c r="D6" i="1"/>
  <c r="C6" i="1"/>
  <c r="B6" i="1"/>
  <c r="M5" i="1"/>
  <c r="L5" i="1"/>
  <c r="K5" i="1"/>
  <c r="J5" i="1"/>
  <c r="I5" i="1"/>
  <c r="H5" i="1"/>
  <c r="G5" i="1"/>
  <c r="F5" i="1"/>
  <c r="E5" i="1"/>
  <c r="D5" i="1"/>
  <c r="C5" i="1"/>
  <c r="B5" i="1"/>
  <c r="M4" i="1"/>
  <c r="M25" i="1" s="1"/>
  <c r="L4" i="1"/>
  <c r="L24" i="1" s="1"/>
  <c r="K4" i="1"/>
  <c r="K24" i="1" s="1"/>
  <c r="J4" i="1"/>
  <c r="I4" i="1"/>
  <c r="I25" i="1" s="1"/>
  <c r="H4" i="1"/>
  <c r="G4" i="1"/>
  <c r="F4" i="1"/>
  <c r="F19" i="1" s="1"/>
  <c r="E4" i="1"/>
  <c r="E20" i="1" s="1"/>
  <c r="D4" i="1"/>
  <c r="C4" i="1"/>
  <c r="B4" i="1"/>
  <c r="AC48" i="5"/>
  <c r="AA48" i="5"/>
  <c r="Y48" i="5"/>
  <c r="X48" i="5"/>
  <c r="W48" i="5"/>
  <c r="V48" i="5"/>
  <c r="U48" i="5"/>
  <c r="T48" i="5"/>
  <c r="S48" i="5"/>
  <c r="R48" i="5"/>
  <c r="AC47" i="5"/>
  <c r="AA47" i="5"/>
  <c r="Y47" i="5"/>
  <c r="X47" i="5"/>
  <c r="W47" i="5"/>
  <c r="V47" i="5"/>
  <c r="U47" i="5"/>
  <c r="T47" i="5"/>
  <c r="S47" i="5"/>
  <c r="R47" i="5"/>
  <c r="AC46" i="5"/>
  <c r="AA46" i="5"/>
  <c r="Y46" i="5"/>
  <c r="X46" i="5"/>
  <c r="W46" i="5"/>
  <c r="V46" i="5"/>
  <c r="U46" i="5"/>
  <c r="T46" i="5"/>
  <c r="S46" i="5"/>
  <c r="R46" i="5"/>
  <c r="AC45" i="5"/>
  <c r="AA45" i="5"/>
  <c r="Y45" i="5"/>
  <c r="X45" i="5"/>
  <c r="W45" i="5"/>
  <c r="V45" i="5"/>
  <c r="U45" i="5"/>
  <c r="T45" i="5"/>
  <c r="S45" i="5"/>
  <c r="R45" i="5"/>
  <c r="AC44" i="5"/>
  <c r="AA44" i="5"/>
  <c r="Y44" i="5"/>
  <c r="X44" i="5"/>
  <c r="W44" i="5"/>
  <c r="V44" i="5"/>
  <c r="U44" i="5"/>
  <c r="T44" i="5"/>
  <c r="S44" i="5"/>
  <c r="R44" i="5"/>
  <c r="AC43" i="5"/>
  <c r="AA43" i="5"/>
  <c r="Y43" i="5"/>
  <c r="X43" i="5"/>
  <c r="W43" i="5"/>
  <c r="V43" i="5"/>
  <c r="U43" i="5"/>
  <c r="T43" i="5"/>
  <c r="S43" i="5"/>
  <c r="R43" i="5"/>
  <c r="AC42" i="5"/>
  <c r="AA42" i="5"/>
  <c r="Y42" i="5"/>
  <c r="X42" i="5"/>
  <c r="W42" i="5"/>
  <c r="V42" i="5"/>
  <c r="U42" i="5"/>
  <c r="T42" i="5"/>
  <c r="S42" i="5"/>
  <c r="R42" i="5"/>
  <c r="AC41" i="5"/>
  <c r="AA41" i="5"/>
  <c r="Y41" i="5"/>
  <c r="X41" i="5"/>
  <c r="W41" i="5"/>
  <c r="V41" i="5"/>
  <c r="U41" i="5"/>
  <c r="T41" i="5"/>
  <c r="S41" i="5"/>
  <c r="R41" i="5"/>
  <c r="AC40" i="5"/>
  <c r="AA40" i="5"/>
  <c r="Y40" i="5"/>
  <c r="X40" i="5"/>
  <c r="W40" i="5"/>
  <c r="V40" i="5"/>
  <c r="U40" i="5"/>
  <c r="T40" i="5"/>
  <c r="S40" i="5"/>
  <c r="R40" i="5"/>
  <c r="AC39" i="5"/>
  <c r="AA39" i="5"/>
  <c r="Y39" i="5"/>
  <c r="X39" i="5"/>
  <c r="W39" i="5"/>
  <c r="V39" i="5"/>
  <c r="U39" i="5"/>
  <c r="T39" i="5"/>
  <c r="S39" i="5"/>
  <c r="R39" i="5"/>
  <c r="AC38" i="5"/>
  <c r="AA38" i="5"/>
  <c r="Y38" i="5"/>
  <c r="X38" i="5"/>
  <c r="W38" i="5"/>
  <c r="V38" i="5"/>
  <c r="U38" i="5"/>
  <c r="T38" i="5"/>
  <c r="S38" i="5"/>
  <c r="R38" i="5"/>
  <c r="AC37" i="5"/>
  <c r="AA37" i="5"/>
  <c r="Y37" i="5"/>
  <c r="X37" i="5"/>
  <c r="W37" i="5"/>
  <c r="V37" i="5"/>
  <c r="U37" i="5"/>
  <c r="T37" i="5"/>
  <c r="S37" i="5"/>
  <c r="R37" i="5"/>
  <c r="AC36" i="5"/>
  <c r="AA36" i="5"/>
  <c r="Y36" i="5"/>
  <c r="X36" i="5"/>
  <c r="W36" i="5"/>
  <c r="V36" i="5"/>
  <c r="U36" i="5"/>
  <c r="T36" i="5"/>
  <c r="S36" i="5"/>
  <c r="R36" i="5"/>
  <c r="AC35" i="5"/>
  <c r="AA35" i="5"/>
  <c r="Y35" i="5"/>
  <c r="X35" i="5"/>
  <c r="W35" i="5"/>
  <c r="V35" i="5"/>
  <c r="U35" i="5"/>
  <c r="T35" i="5"/>
  <c r="S35" i="5"/>
  <c r="R35" i="5"/>
  <c r="AC34" i="5"/>
  <c r="AA34" i="5"/>
  <c r="Y34" i="5"/>
  <c r="X34" i="5"/>
  <c r="W34" i="5"/>
  <c r="V34" i="5"/>
  <c r="U34" i="5"/>
  <c r="T34" i="5"/>
  <c r="S34" i="5"/>
  <c r="R34" i="5"/>
  <c r="AC33" i="5"/>
  <c r="AA33" i="5"/>
  <c r="Y33" i="5"/>
  <c r="X33" i="5"/>
  <c r="W33" i="5"/>
  <c r="V33" i="5"/>
  <c r="U33" i="5"/>
  <c r="T33" i="5"/>
  <c r="S33" i="5"/>
  <c r="R33" i="5"/>
  <c r="AC32" i="5"/>
  <c r="AA32" i="5"/>
  <c r="Y32" i="5"/>
  <c r="X32" i="5"/>
  <c r="W32" i="5"/>
  <c r="V32" i="5"/>
  <c r="U32" i="5"/>
  <c r="T32" i="5"/>
  <c r="S32" i="5"/>
  <c r="R32" i="5"/>
  <c r="AC31" i="5"/>
  <c r="AA31" i="5"/>
  <c r="Y31" i="5"/>
  <c r="X31" i="5"/>
  <c r="W31" i="5"/>
  <c r="V31" i="5"/>
  <c r="U31" i="5"/>
  <c r="T31" i="5"/>
  <c r="S31" i="5"/>
  <c r="R31" i="5"/>
  <c r="AC30" i="5"/>
  <c r="AA30" i="5"/>
  <c r="Y30" i="5"/>
  <c r="X30" i="5"/>
  <c r="W30" i="5"/>
  <c r="V30" i="5"/>
  <c r="U30" i="5"/>
  <c r="T30" i="5"/>
  <c r="S30" i="5"/>
  <c r="R30" i="5"/>
  <c r="AC29" i="5"/>
  <c r="AA29" i="5"/>
  <c r="Y29" i="5"/>
  <c r="X29" i="5"/>
  <c r="W29" i="5"/>
  <c r="V29" i="5"/>
  <c r="U29" i="5"/>
  <c r="T29" i="5"/>
  <c r="S29" i="5"/>
  <c r="R29" i="5"/>
  <c r="AC28" i="5"/>
  <c r="AA28" i="5"/>
  <c r="Y28" i="5"/>
  <c r="X28" i="5"/>
  <c r="W28" i="5"/>
  <c r="V28" i="5"/>
  <c r="U28" i="5"/>
  <c r="T28" i="5"/>
  <c r="S28" i="5"/>
  <c r="R28" i="5"/>
  <c r="AC27" i="5"/>
  <c r="AA27" i="5"/>
  <c r="Y27" i="5"/>
  <c r="X27" i="5"/>
  <c r="W27" i="5"/>
  <c r="V27" i="5"/>
  <c r="U27" i="5"/>
  <c r="T27" i="5"/>
  <c r="S27" i="5"/>
  <c r="R27" i="5"/>
  <c r="AC26" i="5"/>
  <c r="AA26" i="5"/>
  <c r="Y26" i="5"/>
  <c r="X26" i="5"/>
  <c r="W26" i="5"/>
  <c r="V26" i="5"/>
  <c r="U26" i="5"/>
  <c r="T26" i="5"/>
  <c r="S26" i="5"/>
  <c r="R26" i="5"/>
  <c r="AC25" i="5"/>
  <c r="AA25" i="5"/>
  <c r="Y25" i="5"/>
  <c r="X25" i="5"/>
  <c r="W25" i="5"/>
  <c r="V25" i="5"/>
  <c r="U25" i="5"/>
  <c r="T25" i="5"/>
  <c r="S25" i="5"/>
  <c r="R25" i="5"/>
  <c r="AC24" i="5"/>
  <c r="AA24" i="5"/>
  <c r="Y24" i="5"/>
  <c r="X24" i="5"/>
  <c r="W24" i="5"/>
  <c r="V24" i="5"/>
  <c r="U24" i="5"/>
  <c r="T24" i="5"/>
  <c r="S24" i="5"/>
  <c r="R24" i="5"/>
  <c r="AC23" i="5"/>
  <c r="AA23" i="5"/>
  <c r="Y23" i="5"/>
  <c r="X23" i="5"/>
  <c r="W23" i="5"/>
  <c r="V23" i="5"/>
  <c r="U23" i="5"/>
  <c r="T23" i="5"/>
  <c r="S23" i="5"/>
  <c r="R23" i="5"/>
  <c r="AC22" i="5"/>
  <c r="AA22" i="5"/>
  <c r="Y22" i="5"/>
  <c r="X22" i="5"/>
  <c r="W22" i="5"/>
  <c r="V22" i="5"/>
  <c r="U22" i="5"/>
  <c r="T22" i="5"/>
  <c r="S22" i="5"/>
  <c r="R22" i="5"/>
  <c r="AC21" i="5"/>
  <c r="AA21" i="5"/>
  <c r="Y21" i="5"/>
  <c r="X21" i="5"/>
  <c r="W21" i="5"/>
  <c r="V21" i="5"/>
  <c r="U21" i="5"/>
  <c r="T21" i="5"/>
  <c r="S21" i="5"/>
  <c r="R21" i="5"/>
  <c r="AC20" i="5"/>
  <c r="AA20" i="5"/>
  <c r="Y20" i="5"/>
  <c r="X20" i="5"/>
  <c r="W20" i="5"/>
  <c r="V20" i="5"/>
  <c r="U20" i="5"/>
  <c r="T20" i="5"/>
  <c r="S20" i="5"/>
  <c r="R20" i="5"/>
  <c r="AC19" i="5"/>
  <c r="AA19" i="5"/>
  <c r="Y19" i="5"/>
  <c r="X19" i="5"/>
  <c r="W19" i="5"/>
  <c r="V19" i="5"/>
  <c r="U19" i="5"/>
  <c r="T19" i="5"/>
  <c r="S19" i="5"/>
  <c r="R19" i="5"/>
  <c r="AC18" i="5"/>
  <c r="AA18" i="5"/>
  <c r="Y18" i="5"/>
  <c r="X18" i="5"/>
  <c r="W18" i="5"/>
  <c r="V18" i="5"/>
  <c r="U18" i="5"/>
  <c r="T18" i="5"/>
  <c r="S18" i="5"/>
  <c r="R18" i="5"/>
  <c r="AC17" i="5"/>
  <c r="AA17" i="5"/>
  <c r="Y17" i="5"/>
  <c r="X17" i="5"/>
  <c r="W17" i="5"/>
  <c r="V17" i="5"/>
  <c r="U17" i="5"/>
  <c r="T17" i="5"/>
  <c r="S17" i="5"/>
  <c r="R17" i="5"/>
  <c r="AC16" i="5"/>
  <c r="AA16" i="5"/>
  <c r="Y16" i="5"/>
  <c r="X16" i="5"/>
  <c r="W16" i="5"/>
  <c r="V16" i="5"/>
  <c r="U16" i="5"/>
  <c r="T16" i="5"/>
  <c r="S16" i="5"/>
  <c r="R16" i="5"/>
  <c r="AC15" i="5"/>
  <c r="AA15" i="5"/>
  <c r="Y15" i="5"/>
  <c r="X15" i="5"/>
  <c r="W15" i="5"/>
  <c r="V15" i="5"/>
  <c r="U15" i="5"/>
  <c r="T15" i="5"/>
  <c r="S15" i="5"/>
  <c r="R15" i="5"/>
  <c r="AC14" i="5"/>
  <c r="AA14" i="5"/>
  <c r="Y14" i="5"/>
  <c r="X14" i="5"/>
  <c r="W14" i="5"/>
  <c r="V14" i="5"/>
  <c r="U14" i="5"/>
  <c r="T14" i="5"/>
  <c r="S14" i="5"/>
  <c r="R14" i="5"/>
  <c r="AC13" i="5"/>
  <c r="AA13" i="5"/>
  <c r="Y13" i="5"/>
  <c r="X13" i="5"/>
  <c r="W13" i="5"/>
  <c r="V13" i="5"/>
  <c r="U13" i="5"/>
  <c r="T13" i="5"/>
  <c r="S13" i="5"/>
  <c r="R13" i="5"/>
  <c r="AC12" i="5"/>
  <c r="AA12" i="5"/>
  <c r="Y12" i="5"/>
  <c r="X12" i="5"/>
  <c r="W12" i="5"/>
  <c r="V12" i="5"/>
  <c r="U12" i="5"/>
  <c r="T12" i="5"/>
  <c r="S12" i="5"/>
  <c r="R12" i="5"/>
  <c r="AC11" i="5"/>
  <c r="AA11" i="5"/>
  <c r="Y11" i="5"/>
  <c r="X11" i="5"/>
  <c r="W11" i="5"/>
  <c r="V11" i="5"/>
  <c r="U11" i="5"/>
  <c r="T11" i="5"/>
  <c r="S11" i="5"/>
  <c r="R11" i="5"/>
  <c r="AC10" i="5"/>
  <c r="AA10" i="5"/>
  <c r="Y10" i="5"/>
  <c r="X10" i="5"/>
  <c r="W10" i="5"/>
  <c r="V10" i="5"/>
  <c r="U10" i="5"/>
  <c r="T10" i="5"/>
  <c r="S10" i="5"/>
  <c r="R10" i="5"/>
  <c r="AC9" i="5"/>
  <c r="AA9" i="5"/>
  <c r="Y9" i="5"/>
  <c r="X9" i="5"/>
  <c r="W9" i="5"/>
  <c r="V9" i="5"/>
  <c r="U9" i="5"/>
  <c r="T9" i="5"/>
  <c r="S9" i="5"/>
  <c r="R9" i="5"/>
  <c r="AC8" i="5"/>
  <c r="AA8" i="5"/>
  <c r="Y8" i="5"/>
  <c r="X8" i="5"/>
  <c r="W8" i="5"/>
  <c r="V8" i="5"/>
  <c r="U8" i="5"/>
  <c r="T8" i="5"/>
  <c r="S8" i="5"/>
  <c r="R8" i="5"/>
  <c r="AC7" i="5"/>
  <c r="AA7" i="5"/>
  <c r="Y7" i="5"/>
  <c r="X7" i="5"/>
  <c r="W7" i="5"/>
  <c r="V7" i="5"/>
  <c r="U7" i="5"/>
  <c r="T7" i="5"/>
  <c r="S7" i="5"/>
  <c r="R7" i="5"/>
  <c r="AC6" i="5"/>
  <c r="AA6" i="5"/>
  <c r="Y6" i="5"/>
  <c r="X6" i="5"/>
  <c r="W6" i="5"/>
  <c r="V6" i="5"/>
  <c r="U6" i="5"/>
  <c r="T6" i="5"/>
  <c r="S6" i="5"/>
  <c r="R6" i="5"/>
  <c r="AC5" i="5"/>
  <c r="AA5" i="5"/>
  <c r="Y5" i="5"/>
  <c r="X5" i="5"/>
  <c r="W5" i="5"/>
  <c r="V5" i="5"/>
  <c r="U5" i="5"/>
  <c r="T5" i="5"/>
  <c r="S5" i="5"/>
  <c r="R5" i="5"/>
  <c r="AC4" i="5"/>
  <c r="AA4" i="5"/>
  <c r="Y4" i="5"/>
  <c r="X4" i="5"/>
  <c r="W4" i="5"/>
  <c r="V4" i="5"/>
  <c r="U4" i="5"/>
  <c r="T4" i="5"/>
  <c r="S4" i="5"/>
  <c r="R4" i="5"/>
  <c r="AC3" i="5"/>
  <c r="AA3" i="5"/>
  <c r="Y3" i="5"/>
  <c r="X3" i="5"/>
  <c r="W3" i="5"/>
  <c r="V3" i="5"/>
  <c r="U3" i="5"/>
  <c r="T3" i="5"/>
  <c r="S3" i="5"/>
  <c r="R3" i="5"/>
  <c r="AB2" i="5"/>
  <c r="Z2" i="5"/>
  <c r="Z48" i="5" s="1"/>
  <c r="L2" i="5"/>
  <c r="J2" i="5"/>
  <c r="K168" i="4"/>
  <c r="I168" i="4"/>
  <c r="H168" i="4"/>
  <c r="G168" i="4"/>
  <c r="F168" i="4"/>
  <c r="I167" i="4"/>
  <c r="H167" i="4"/>
  <c r="G167" i="4"/>
  <c r="M168" i="4" s="1"/>
  <c r="F167" i="4"/>
  <c r="K166" i="4"/>
  <c r="I166" i="4"/>
  <c r="H166" i="4"/>
  <c r="G166" i="4"/>
  <c r="M167" i="4" s="1"/>
  <c r="F166" i="4"/>
  <c r="I165" i="4"/>
  <c r="H165" i="4"/>
  <c r="G165" i="4"/>
  <c r="M166" i="4" s="1"/>
  <c r="F165" i="4"/>
  <c r="K164" i="4"/>
  <c r="I164" i="4"/>
  <c r="H164" i="4"/>
  <c r="G164" i="4"/>
  <c r="F164" i="4"/>
  <c r="I163" i="4"/>
  <c r="H163" i="4"/>
  <c r="G163" i="4"/>
  <c r="M164" i="4" s="1"/>
  <c r="F163" i="4"/>
  <c r="L162" i="4"/>
  <c r="J162" i="4"/>
  <c r="I162" i="4"/>
  <c r="H162" i="4"/>
  <c r="M163" i="4" s="1"/>
  <c r="G162" i="4"/>
  <c r="L163" i="4" s="1"/>
  <c r="F162" i="4"/>
  <c r="I161" i="4"/>
  <c r="H161" i="4"/>
  <c r="G161" i="4"/>
  <c r="F161" i="4"/>
  <c r="I160" i="4"/>
  <c r="H160" i="4"/>
  <c r="G160" i="4"/>
  <c r="F160" i="4"/>
  <c r="I159" i="4"/>
  <c r="H159" i="4"/>
  <c r="G159" i="4"/>
  <c r="K160" i="4" s="1"/>
  <c r="F159" i="4"/>
  <c r="I158" i="4"/>
  <c r="H158" i="4"/>
  <c r="G158" i="4"/>
  <c r="K159" i="4" s="1"/>
  <c r="F158" i="4"/>
  <c r="M159" i="4" s="1"/>
  <c r="I157" i="4"/>
  <c r="H157" i="4"/>
  <c r="G157" i="4"/>
  <c r="K158" i="4" s="1"/>
  <c r="F157" i="4"/>
  <c r="M158" i="4" s="1"/>
  <c r="I156" i="4"/>
  <c r="H156" i="4"/>
  <c r="G156" i="4"/>
  <c r="F156" i="4"/>
  <c r="I155" i="4"/>
  <c r="H155" i="4"/>
  <c r="G155" i="4"/>
  <c r="K156" i="4" s="1"/>
  <c r="F155" i="4"/>
  <c r="I154" i="4"/>
  <c r="H154" i="4"/>
  <c r="G154" i="4"/>
  <c r="K155" i="4" s="1"/>
  <c r="F154" i="4"/>
  <c r="I153" i="4"/>
  <c r="H153" i="4"/>
  <c r="G153" i="4"/>
  <c r="K154" i="4" s="1"/>
  <c r="F153" i="4"/>
  <c r="M154" i="4" s="1"/>
  <c r="I152" i="4"/>
  <c r="H152" i="4"/>
  <c r="G152" i="4"/>
  <c r="K153" i="4" s="1"/>
  <c r="F152" i="4"/>
  <c r="I151" i="4"/>
  <c r="H151" i="4"/>
  <c r="G151" i="4"/>
  <c r="F151" i="4"/>
  <c r="I150" i="4"/>
  <c r="H150" i="4"/>
  <c r="G150" i="4"/>
  <c r="F150" i="4"/>
  <c r="I149" i="4"/>
  <c r="H149" i="4"/>
  <c r="G149" i="4"/>
  <c r="F149" i="4"/>
  <c r="I148" i="4"/>
  <c r="J149" i="4" s="1"/>
  <c r="H148" i="4"/>
  <c r="G148" i="4"/>
  <c r="F148" i="4"/>
  <c r="J147" i="4"/>
  <c r="I147" i="4"/>
  <c r="J148" i="4" s="1"/>
  <c r="H147" i="4"/>
  <c r="G147" i="4"/>
  <c r="F147" i="4"/>
  <c r="I146" i="4"/>
  <c r="H146" i="4"/>
  <c r="G146" i="4"/>
  <c r="F146" i="4"/>
  <c r="K145" i="4"/>
  <c r="I145" i="4"/>
  <c r="H145" i="4"/>
  <c r="G145" i="4"/>
  <c r="F145" i="4"/>
  <c r="I144" i="4"/>
  <c r="H144" i="4"/>
  <c r="G144" i="4"/>
  <c r="F144" i="4"/>
  <c r="I143" i="4"/>
  <c r="H143" i="4"/>
  <c r="G143" i="4"/>
  <c r="F143" i="4"/>
  <c r="L144" i="4" s="1"/>
  <c r="I142" i="4"/>
  <c r="L143" i="4" s="1"/>
  <c r="H142" i="4"/>
  <c r="G142" i="4"/>
  <c r="F142" i="4"/>
  <c r="I141" i="4"/>
  <c r="H141" i="4"/>
  <c r="G141" i="4"/>
  <c r="F141" i="4"/>
  <c r="L142" i="4" s="1"/>
  <c r="L140" i="4"/>
  <c r="I140" i="4"/>
  <c r="H140" i="4"/>
  <c r="G140" i="4"/>
  <c r="F140" i="4"/>
  <c r="L139" i="4"/>
  <c r="I139" i="4"/>
  <c r="H139" i="4"/>
  <c r="K140" i="4" s="1"/>
  <c r="G139" i="4"/>
  <c r="F139" i="4"/>
  <c r="I138" i="4"/>
  <c r="H138" i="4"/>
  <c r="G138" i="4"/>
  <c r="F138" i="4"/>
  <c r="I137" i="4"/>
  <c r="H137" i="4"/>
  <c r="K138" i="4" s="1"/>
  <c r="G137" i="4"/>
  <c r="F137" i="4"/>
  <c r="I136" i="4"/>
  <c r="H136" i="4"/>
  <c r="G136" i="4"/>
  <c r="F136" i="4"/>
  <c r="K137" i="4" s="1"/>
  <c r="L135" i="4"/>
  <c r="I135" i="4"/>
  <c r="H135" i="4"/>
  <c r="K136" i="4" s="1"/>
  <c r="G135" i="4"/>
  <c r="F135" i="4"/>
  <c r="K134" i="4"/>
  <c r="I134" i="4"/>
  <c r="H134" i="4"/>
  <c r="G134" i="4"/>
  <c r="K135" i="4" s="1"/>
  <c r="F134" i="4"/>
  <c r="I133" i="4"/>
  <c r="H133" i="4"/>
  <c r="L134" i="4" s="1"/>
  <c r="G133" i="4"/>
  <c r="F133" i="4"/>
  <c r="M132" i="4"/>
  <c r="I132" i="4"/>
  <c r="H132" i="4"/>
  <c r="G132" i="4"/>
  <c r="F132" i="4"/>
  <c r="I131" i="4"/>
  <c r="H131" i="4"/>
  <c r="G131" i="4"/>
  <c r="K132" i="4" s="1"/>
  <c r="F131" i="4"/>
  <c r="K130" i="4"/>
  <c r="I130" i="4"/>
  <c r="H130" i="4"/>
  <c r="G130" i="4"/>
  <c r="F130" i="4"/>
  <c r="I129" i="4"/>
  <c r="H129" i="4"/>
  <c r="G129" i="4"/>
  <c r="F129" i="4"/>
  <c r="I128" i="4"/>
  <c r="L129" i="4" s="1"/>
  <c r="H128" i="4"/>
  <c r="G128" i="4"/>
  <c r="F128" i="4"/>
  <c r="K127" i="4"/>
  <c r="I127" i="4"/>
  <c r="H127" i="4"/>
  <c r="G127" i="4"/>
  <c r="F127" i="4"/>
  <c r="I126" i="4"/>
  <c r="H126" i="4"/>
  <c r="G126" i="4"/>
  <c r="F126" i="4"/>
  <c r="I125" i="4"/>
  <c r="L126" i="4" s="1"/>
  <c r="H125" i="4"/>
  <c r="G125" i="4"/>
  <c r="F125" i="4"/>
  <c r="K126" i="4" s="1"/>
  <c r="L124" i="4"/>
  <c r="K124" i="4"/>
  <c r="I124" i="4"/>
  <c r="H124" i="4"/>
  <c r="G124" i="4"/>
  <c r="M125" i="4" s="1"/>
  <c r="F124" i="4"/>
  <c r="I123" i="4"/>
  <c r="H123" i="4"/>
  <c r="J124" i="4" s="1"/>
  <c r="G123" i="4"/>
  <c r="F123" i="4"/>
  <c r="M122" i="4"/>
  <c r="K122" i="4"/>
  <c r="J122" i="4"/>
  <c r="I122" i="4"/>
  <c r="H122" i="4"/>
  <c r="G122" i="4"/>
  <c r="M123" i="4" s="1"/>
  <c r="F122" i="4"/>
  <c r="L121" i="4"/>
  <c r="J121" i="4"/>
  <c r="I121" i="4"/>
  <c r="H121" i="4"/>
  <c r="L122" i="4" s="1"/>
  <c r="G121" i="4"/>
  <c r="F121" i="4"/>
  <c r="I120" i="4"/>
  <c r="H120" i="4"/>
  <c r="G120" i="4"/>
  <c r="F120" i="4"/>
  <c r="M119" i="4"/>
  <c r="L119" i="4"/>
  <c r="I119" i="4"/>
  <c r="H119" i="4"/>
  <c r="G119" i="4"/>
  <c r="F119" i="4"/>
  <c r="I118" i="4"/>
  <c r="H118" i="4"/>
  <c r="G118" i="4"/>
  <c r="F118" i="4"/>
  <c r="J117" i="4"/>
  <c r="I117" i="4"/>
  <c r="H117" i="4"/>
  <c r="G117" i="4"/>
  <c r="F117" i="4"/>
  <c r="K116" i="4"/>
  <c r="I116" i="4"/>
  <c r="H116" i="4"/>
  <c r="G116" i="4"/>
  <c r="F116" i="4"/>
  <c r="I115" i="4"/>
  <c r="H115" i="4"/>
  <c r="M116" i="4" s="1"/>
  <c r="G115" i="4"/>
  <c r="F115" i="4"/>
  <c r="L116" i="4" s="1"/>
  <c r="K114" i="4"/>
  <c r="I114" i="4"/>
  <c r="H114" i="4"/>
  <c r="G114" i="4"/>
  <c r="M115" i="4" s="1"/>
  <c r="F114" i="4"/>
  <c r="J113" i="4"/>
  <c r="I113" i="4"/>
  <c r="H113" i="4"/>
  <c r="G113" i="4"/>
  <c r="F113" i="4"/>
  <c r="M112" i="4"/>
  <c r="K112" i="4"/>
  <c r="I112" i="4"/>
  <c r="H112" i="4"/>
  <c r="G112" i="4"/>
  <c r="F112" i="4"/>
  <c r="I111" i="4"/>
  <c r="H111" i="4"/>
  <c r="G111" i="4"/>
  <c r="J112" i="4" s="1"/>
  <c r="F111" i="4"/>
  <c r="L112" i="4" s="1"/>
  <c r="M110" i="4"/>
  <c r="K110" i="4"/>
  <c r="I110" i="4"/>
  <c r="H110" i="4"/>
  <c r="G110" i="4"/>
  <c r="M111" i="4" s="1"/>
  <c r="F110" i="4"/>
  <c r="I109" i="4"/>
  <c r="H109" i="4"/>
  <c r="G109" i="4"/>
  <c r="F109" i="4"/>
  <c r="I108" i="4"/>
  <c r="H108" i="4"/>
  <c r="G108" i="4"/>
  <c r="J109" i="4" s="1"/>
  <c r="F108" i="4"/>
  <c r="M109" i="4" s="1"/>
  <c r="M107" i="4"/>
  <c r="I107" i="4"/>
  <c r="H107" i="4"/>
  <c r="G107" i="4"/>
  <c r="M108" i="4" s="1"/>
  <c r="F107" i="4"/>
  <c r="L108" i="4" s="1"/>
  <c r="L106" i="4"/>
  <c r="I106" i="4"/>
  <c r="H106" i="4"/>
  <c r="G106" i="4"/>
  <c r="F106" i="4"/>
  <c r="M105" i="4"/>
  <c r="I105" i="4"/>
  <c r="H105" i="4"/>
  <c r="G105" i="4"/>
  <c r="F105" i="4"/>
  <c r="M104" i="4"/>
  <c r="I104" i="4"/>
  <c r="H104" i="4"/>
  <c r="G104" i="4"/>
  <c r="F104" i="4"/>
  <c r="M103" i="4"/>
  <c r="I103" i="4"/>
  <c r="H103" i="4"/>
  <c r="G103" i="4"/>
  <c r="F103" i="4"/>
  <c r="L102" i="4"/>
  <c r="I102" i="4"/>
  <c r="H102" i="4"/>
  <c r="G102" i="4"/>
  <c r="F102" i="4"/>
  <c r="M101" i="4"/>
  <c r="I101" i="4"/>
  <c r="H101" i="4"/>
  <c r="G101" i="4"/>
  <c r="F101" i="4"/>
  <c r="M100" i="4"/>
  <c r="I100" i="4"/>
  <c r="H100" i="4"/>
  <c r="G100" i="4"/>
  <c r="F100" i="4"/>
  <c r="I99" i="4"/>
  <c r="H99" i="4"/>
  <c r="G99" i="4"/>
  <c r="F99" i="4"/>
  <c r="I98" i="4"/>
  <c r="H98" i="4"/>
  <c r="G98" i="4"/>
  <c r="F98" i="4"/>
  <c r="M99" i="4" s="1"/>
  <c r="K97" i="4"/>
  <c r="I97" i="4"/>
  <c r="H97" i="4"/>
  <c r="G97" i="4"/>
  <c r="L98" i="4" s="1"/>
  <c r="F97" i="4"/>
  <c r="I96" i="4"/>
  <c r="H96" i="4"/>
  <c r="G96" i="4"/>
  <c r="J97" i="4" s="1"/>
  <c r="F96" i="4"/>
  <c r="K95" i="4"/>
  <c r="I95" i="4"/>
  <c r="H95" i="4"/>
  <c r="G95" i="4"/>
  <c r="F95" i="4"/>
  <c r="J94" i="4"/>
  <c r="I94" i="4"/>
  <c r="H94" i="4"/>
  <c r="G94" i="4"/>
  <c r="M95" i="4" s="1"/>
  <c r="F94" i="4"/>
  <c r="L95" i="4" s="1"/>
  <c r="K93" i="4"/>
  <c r="I93" i="4"/>
  <c r="H93" i="4"/>
  <c r="G93" i="4"/>
  <c r="M94" i="4" s="1"/>
  <c r="F93" i="4"/>
  <c r="I92" i="4"/>
  <c r="H92" i="4"/>
  <c r="G92" i="4"/>
  <c r="J93" i="4" s="1"/>
  <c r="F92" i="4"/>
  <c r="K91" i="4"/>
  <c r="I91" i="4"/>
  <c r="H91" i="4"/>
  <c r="G91" i="4"/>
  <c r="F91" i="4"/>
  <c r="J90" i="4"/>
  <c r="I90" i="4"/>
  <c r="H90" i="4"/>
  <c r="G90" i="4"/>
  <c r="M91" i="4" s="1"/>
  <c r="F90" i="4"/>
  <c r="L91" i="4" s="1"/>
  <c r="K89" i="4"/>
  <c r="I89" i="4"/>
  <c r="H89" i="4"/>
  <c r="G89" i="4"/>
  <c r="M90" i="4" s="1"/>
  <c r="F89" i="4"/>
  <c r="I88" i="4"/>
  <c r="H88" i="4"/>
  <c r="G88" i="4"/>
  <c r="J89" i="4" s="1"/>
  <c r="F88" i="4"/>
  <c r="I87" i="4"/>
  <c r="H87" i="4"/>
  <c r="G87" i="4"/>
  <c r="F87" i="4"/>
  <c r="M86" i="4"/>
  <c r="L86" i="4"/>
  <c r="J86" i="4"/>
  <c r="I86" i="4"/>
  <c r="H86" i="4"/>
  <c r="G86" i="4"/>
  <c r="F86" i="4"/>
  <c r="I85" i="4"/>
  <c r="H85" i="4"/>
  <c r="G85" i="4"/>
  <c r="F85" i="4"/>
  <c r="K86" i="4" s="1"/>
  <c r="I84" i="4"/>
  <c r="H84" i="4"/>
  <c r="G84" i="4"/>
  <c r="F84" i="4"/>
  <c r="L83" i="4"/>
  <c r="I83" i="4"/>
  <c r="H83" i="4"/>
  <c r="G83" i="4"/>
  <c r="F83" i="4"/>
  <c r="L84" i="4" s="1"/>
  <c r="I82" i="4"/>
  <c r="H82" i="4"/>
  <c r="G82" i="4"/>
  <c r="F82" i="4"/>
  <c r="J81" i="4"/>
  <c r="I81" i="4"/>
  <c r="H81" i="4"/>
  <c r="J82" i="4" s="1"/>
  <c r="G81" i="4"/>
  <c r="F81" i="4"/>
  <c r="I80" i="4"/>
  <c r="H80" i="4"/>
  <c r="G80" i="4"/>
  <c r="F80" i="4"/>
  <c r="I79" i="4"/>
  <c r="H79" i="4"/>
  <c r="G79" i="4"/>
  <c r="F79" i="4"/>
  <c r="J80" i="4" s="1"/>
  <c r="I78" i="4"/>
  <c r="H78" i="4"/>
  <c r="G78" i="4"/>
  <c r="F78" i="4"/>
  <c r="J77" i="4"/>
  <c r="I77" i="4"/>
  <c r="H77" i="4"/>
  <c r="G77" i="4"/>
  <c r="F77" i="4"/>
  <c r="I76" i="4"/>
  <c r="H76" i="4"/>
  <c r="G76" i="4"/>
  <c r="F76" i="4"/>
  <c r="J75" i="4"/>
  <c r="I75" i="4"/>
  <c r="H75" i="4"/>
  <c r="J76" i="4" s="1"/>
  <c r="G75" i="4"/>
  <c r="F75" i="4"/>
  <c r="I74" i="4"/>
  <c r="H74" i="4"/>
  <c r="G74" i="4"/>
  <c r="F74" i="4"/>
  <c r="I73" i="4"/>
  <c r="H73" i="4"/>
  <c r="G73" i="4"/>
  <c r="F73" i="4"/>
  <c r="I72" i="4"/>
  <c r="H72" i="4"/>
  <c r="G72" i="4"/>
  <c r="F72" i="4"/>
  <c r="I71" i="4"/>
  <c r="H71" i="4"/>
  <c r="G71" i="4"/>
  <c r="F71" i="4"/>
  <c r="I70" i="4"/>
  <c r="H70" i="4"/>
  <c r="G70" i="4"/>
  <c r="F70" i="4"/>
  <c r="J71" i="4" s="1"/>
  <c r="J69" i="4"/>
  <c r="I69" i="4"/>
  <c r="H69" i="4"/>
  <c r="M70" i="4" s="1"/>
  <c r="G69" i="4"/>
  <c r="F69" i="4"/>
  <c r="I68" i="4"/>
  <c r="H68" i="4"/>
  <c r="G68" i="4"/>
  <c r="F68" i="4"/>
  <c r="I67" i="4"/>
  <c r="H67" i="4"/>
  <c r="G67" i="4"/>
  <c r="M68" i="4" s="1"/>
  <c r="F67" i="4"/>
  <c r="I66" i="4"/>
  <c r="H66" i="4"/>
  <c r="G66" i="4"/>
  <c r="F66" i="4"/>
  <c r="I65" i="4"/>
  <c r="H65" i="4"/>
  <c r="G65" i="4"/>
  <c r="F65" i="4"/>
  <c r="M66" i="4" s="1"/>
  <c r="I64" i="4"/>
  <c r="H64" i="4"/>
  <c r="G64" i="4"/>
  <c r="F64" i="4"/>
  <c r="I63" i="4"/>
  <c r="J64" i="4" s="1"/>
  <c r="H63" i="4"/>
  <c r="G63" i="4"/>
  <c r="F63" i="4"/>
  <c r="J62" i="4"/>
  <c r="I62" i="4"/>
  <c r="H62" i="4"/>
  <c r="G62" i="4"/>
  <c r="F62" i="4"/>
  <c r="I61" i="4"/>
  <c r="H61" i="4"/>
  <c r="G61" i="4"/>
  <c r="F61" i="4"/>
  <c r="I60" i="4"/>
  <c r="H60" i="4"/>
  <c r="M61" i="4" s="1"/>
  <c r="G60" i="4"/>
  <c r="F60" i="4"/>
  <c r="I59" i="4"/>
  <c r="H59" i="4"/>
  <c r="G59" i="4"/>
  <c r="F59" i="4"/>
  <c r="I58" i="4"/>
  <c r="H58" i="4"/>
  <c r="G58" i="4"/>
  <c r="F58" i="4"/>
  <c r="I57" i="4"/>
  <c r="H57" i="4"/>
  <c r="J58" i="4" s="1"/>
  <c r="G57" i="4"/>
  <c r="F57" i="4"/>
  <c r="M58" i="4" s="1"/>
  <c r="I56" i="4"/>
  <c r="H56" i="4"/>
  <c r="G56" i="4"/>
  <c r="F56" i="4"/>
  <c r="M57" i="4" s="1"/>
  <c r="K55" i="4"/>
  <c r="J55" i="4"/>
  <c r="I55" i="4"/>
  <c r="H55" i="4"/>
  <c r="G55" i="4"/>
  <c r="F55" i="4"/>
  <c r="M56" i="4" s="1"/>
  <c r="K54" i="4"/>
  <c r="J54" i="4"/>
  <c r="I54" i="4"/>
  <c r="H54" i="4"/>
  <c r="G54" i="4"/>
  <c r="F54" i="4"/>
  <c r="M55" i="4" s="1"/>
  <c r="K53" i="4"/>
  <c r="J53" i="4"/>
  <c r="I53" i="4"/>
  <c r="H53" i="4"/>
  <c r="G53" i="4"/>
  <c r="F53" i="4"/>
  <c r="M54" i="4" s="1"/>
  <c r="K52" i="4"/>
  <c r="J52" i="4"/>
  <c r="I52" i="4"/>
  <c r="H52" i="4"/>
  <c r="G52" i="4"/>
  <c r="F52" i="4"/>
  <c r="M53" i="4" s="1"/>
  <c r="K51" i="4"/>
  <c r="J51" i="4"/>
  <c r="I51" i="4"/>
  <c r="H51" i="4"/>
  <c r="G51" i="4"/>
  <c r="F51" i="4"/>
  <c r="M52" i="4" s="1"/>
  <c r="K50" i="4"/>
  <c r="J50" i="4"/>
  <c r="I50" i="4"/>
  <c r="H50" i="4"/>
  <c r="G50" i="4"/>
  <c r="F50" i="4"/>
  <c r="M51" i="4" s="1"/>
  <c r="K49" i="4"/>
  <c r="J49" i="4"/>
  <c r="I49" i="4"/>
  <c r="H49" i="4"/>
  <c r="G49" i="4"/>
  <c r="F49" i="4"/>
  <c r="M50" i="4" s="1"/>
  <c r="K48" i="4"/>
  <c r="J48" i="4"/>
  <c r="I48" i="4"/>
  <c r="H48" i="4"/>
  <c r="G48" i="4"/>
  <c r="F48" i="4"/>
  <c r="M49" i="4" s="1"/>
  <c r="K47" i="4"/>
  <c r="J47" i="4"/>
  <c r="I47" i="4"/>
  <c r="H47" i="4"/>
  <c r="G47" i="4"/>
  <c r="F47" i="4"/>
  <c r="M48" i="4" s="1"/>
  <c r="K46" i="4"/>
  <c r="J46" i="4"/>
  <c r="I46" i="4"/>
  <c r="H46" i="4"/>
  <c r="G46" i="4"/>
  <c r="F46" i="4"/>
  <c r="M47" i="4" s="1"/>
  <c r="K45" i="4"/>
  <c r="J45" i="4"/>
  <c r="I45" i="4"/>
  <c r="H45" i="4"/>
  <c r="G45" i="4"/>
  <c r="F45" i="4"/>
  <c r="M46" i="4" s="1"/>
  <c r="K44" i="4"/>
  <c r="J44" i="4"/>
  <c r="I44" i="4"/>
  <c r="H44" i="4"/>
  <c r="G44" i="4"/>
  <c r="F44" i="4"/>
  <c r="M45" i="4" s="1"/>
  <c r="K43" i="4"/>
  <c r="J43" i="4"/>
  <c r="I43" i="4"/>
  <c r="H43" i="4"/>
  <c r="G43" i="4"/>
  <c r="F43" i="4"/>
  <c r="M44" i="4" s="1"/>
  <c r="K42" i="4"/>
  <c r="J42" i="4"/>
  <c r="I42" i="4"/>
  <c r="H42" i="4"/>
  <c r="G42" i="4"/>
  <c r="F42" i="4"/>
  <c r="M43" i="4" s="1"/>
  <c r="K41" i="4"/>
  <c r="J41" i="4"/>
  <c r="I41" i="4"/>
  <c r="H41" i="4"/>
  <c r="G41" i="4"/>
  <c r="F41" i="4"/>
  <c r="M42" i="4" s="1"/>
  <c r="K40" i="4"/>
  <c r="J40" i="4"/>
  <c r="I40" i="4"/>
  <c r="H40" i="4"/>
  <c r="G40" i="4"/>
  <c r="F40" i="4"/>
  <c r="M41" i="4" s="1"/>
  <c r="J39" i="4"/>
  <c r="I39" i="4"/>
  <c r="H39" i="4"/>
  <c r="G39" i="4"/>
  <c r="F39" i="4"/>
  <c r="M40" i="4" s="1"/>
  <c r="K38" i="4"/>
  <c r="J38" i="4"/>
  <c r="I38" i="4"/>
  <c r="H38" i="4"/>
  <c r="K39" i="4" s="1"/>
  <c r="G38" i="4"/>
  <c r="F38" i="4"/>
  <c r="M39" i="4" s="1"/>
  <c r="I37" i="4"/>
  <c r="H37" i="4"/>
  <c r="G37" i="4"/>
  <c r="F37" i="4"/>
  <c r="J36" i="4"/>
  <c r="I36" i="4"/>
  <c r="H36" i="4"/>
  <c r="G36" i="4"/>
  <c r="F36" i="4"/>
  <c r="K35" i="4"/>
  <c r="J35" i="4"/>
  <c r="I35" i="4"/>
  <c r="H35" i="4"/>
  <c r="K36" i="4" s="1"/>
  <c r="G35" i="4"/>
  <c r="F35" i="4"/>
  <c r="I34" i="4"/>
  <c r="H34" i="4"/>
  <c r="G34" i="4"/>
  <c r="F34" i="4"/>
  <c r="M35" i="4" s="1"/>
  <c r="J33" i="4"/>
  <c r="I33" i="4"/>
  <c r="H33" i="4"/>
  <c r="G33" i="4"/>
  <c r="F33" i="4"/>
  <c r="K32" i="4"/>
  <c r="I32" i="4"/>
  <c r="H32" i="4"/>
  <c r="G32" i="4"/>
  <c r="F32" i="4"/>
  <c r="J31" i="4"/>
  <c r="I31" i="4"/>
  <c r="H31" i="4"/>
  <c r="G31" i="4"/>
  <c r="F31" i="4"/>
  <c r="J32" i="4" s="1"/>
  <c r="K30" i="4"/>
  <c r="I30" i="4"/>
  <c r="H30" i="4"/>
  <c r="K31" i="4" s="1"/>
  <c r="G30" i="4"/>
  <c r="F30" i="4"/>
  <c r="I29" i="4"/>
  <c r="H29" i="4"/>
  <c r="J30" i="4" s="1"/>
  <c r="G29" i="4"/>
  <c r="F29" i="4"/>
  <c r="I28" i="4"/>
  <c r="K29" i="4" s="1"/>
  <c r="H28" i="4"/>
  <c r="G28" i="4"/>
  <c r="F28" i="4"/>
  <c r="J27" i="4"/>
  <c r="I27" i="4"/>
  <c r="H27" i="4"/>
  <c r="G27" i="4"/>
  <c r="F27" i="4"/>
  <c r="I26" i="4"/>
  <c r="K27" i="4" s="1"/>
  <c r="H26" i="4"/>
  <c r="G26" i="4"/>
  <c r="F26" i="4"/>
  <c r="J25" i="4"/>
  <c r="I25" i="4"/>
  <c r="H25" i="4"/>
  <c r="G25" i="4"/>
  <c r="F25" i="4"/>
  <c r="K26" i="4" s="1"/>
  <c r="I24" i="4"/>
  <c r="H24" i="4"/>
  <c r="G24" i="4"/>
  <c r="F24" i="4"/>
  <c r="K25" i="4" s="1"/>
  <c r="J23" i="4"/>
  <c r="I23" i="4"/>
  <c r="H23" i="4"/>
  <c r="K24" i="4" s="1"/>
  <c r="G23" i="4"/>
  <c r="F23" i="4"/>
  <c r="J24" i="4" s="1"/>
  <c r="I22" i="4"/>
  <c r="H22" i="4"/>
  <c r="G22" i="4"/>
  <c r="F22" i="4"/>
  <c r="K23" i="4" s="1"/>
  <c r="I21" i="4"/>
  <c r="H21" i="4"/>
  <c r="G21" i="4"/>
  <c r="K22" i="4" s="1"/>
  <c r="F21" i="4"/>
  <c r="I20" i="4"/>
  <c r="H20" i="4"/>
  <c r="G20" i="4"/>
  <c r="F20" i="4"/>
  <c r="J21" i="4" s="1"/>
  <c r="J19" i="4"/>
  <c r="I19" i="4"/>
  <c r="H19" i="4"/>
  <c r="J20" i="4" s="1"/>
  <c r="G19" i="4"/>
  <c r="F19" i="4"/>
  <c r="I18" i="4"/>
  <c r="H18" i="4"/>
  <c r="G18" i="4"/>
  <c r="L19" i="4" s="1"/>
  <c r="F18" i="4"/>
  <c r="I17" i="4"/>
  <c r="H17" i="4"/>
  <c r="J18" i="4" s="1"/>
  <c r="G17" i="4"/>
  <c r="F17" i="4"/>
  <c r="I16" i="4"/>
  <c r="H16" i="4"/>
  <c r="J17" i="4" s="1"/>
  <c r="G16" i="4"/>
  <c r="L17" i="4" s="1"/>
  <c r="F16" i="4"/>
  <c r="I15" i="4"/>
  <c r="H15" i="4"/>
  <c r="J16" i="4" s="1"/>
  <c r="G15" i="4"/>
  <c r="L16" i="4" s="1"/>
  <c r="F15" i="4"/>
  <c r="M16" i="4" s="1"/>
  <c r="I14" i="4"/>
  <c r="H14" i="4"/>
  <c r="G14" i="4"/>
  <c r="F14" i="4"/>
  <c r="J15" i="4" s="1"/>
  <c r="I13" i="4"/>
  <c r="H13" i="4"/>
  <c r="G13" i="4"/>
  <c r="F13" i="4"/>
  <c r="I12" i="4"/>
  <c r="H12" i="4"/>
  <c r="J13" i="4" s="1"/>
  <c r="G12" i="4"/>
  <c r="F12" i="4"/>
  <c r="M13" i="4" s="1"/>
  <c r="I11" i="4"/>
  <c r="H11" i="4"/>
  <c r="G11" i="4"/>
  <c r="F11" i="4"/>
  <c r="I10" i="4"/>
  <c r="H10" i="4"/>
  <c r="G10" i="4"/>
  <c r="L11" i="4" s="1"/>
  <c r="F10" i="4"/>
  <c r="J9" i="4"/>
  <c r="I9" i="4"/>
  <c r="H9" i="4"/>
  <c r="J10" i="4" s="1"/>
  <c r="G9" i="4"/>
  <c r="F9" i="4"/>
  <c r="I8" i="4"/>
  <c r="H8" i="4"/>
  <c r="G8" i="4"/>
  <c r="F8" i="4"/>
  <c r="J7" i="4"/>
  <c r="I7" i="4"/>
  <c r="H7" i="4"/>
  <c r="G7" i="4"/>
  <c r="F7" i="4"/>
  <c r="I6" i="4"/>
  <c r="H6" i="4"/>
  <c r="G6" i="4"/>
  <c r="L7" i="4" s="1"/>
  <c r="F6" i="4"/>
  <c r="I5" i="4"/>
  <c r="H5" i="4"/>
  <c r="G5" i="4"/>
  <c r="F5" i="4"/>
  <c r="J6" i="4" s="1"/>
  <c r="I4" i="4"/>
  <c r="H4" i="4"/>
  <c r="G4" i="4"/>
  <c r="M5" i="4"/>
  <c r="J25" i="1"/>
  <c r="H25" i="1"/>
  <c r="G25" i="1"/>
  <c r="D25" i="1"/>
  <c r="C25" i="1"/>
  <c r="B25" i="1"/>
  <c r="J24" i="1"/>
  <c r="I24" i="1"/>
  <c r="H24" i="1"/>
  <c r="D24" i="1"/>
  <c r="C24" i="1"/>
  <c r="B24" i="1"/>
  <c r="A24" i="1"/>
  <c r="M24" i="1" s="1"/>
  <c r="M23" i="1"/>
  <c r="J23" i="1"/>
  <c r="I23" i="1"/>
  <c r="H23" i="1"/>
  <c r="G23" i="1"/>
  <c r="D23" i="1"/>
  <c r="C23" i="1"/>
  <c r="B23" i="1"/>
  <c r="A22" i="1"/>
  <c r="J21" i="1"/>
  <c r="I21" i="1"/>
  <c r="H21" i="1"/>
  <c r="G21" i="1"/>
  <c r="D21" i="1"/>
  <c r="C21" i="1"/>
  <c r="B21" i="1"/>
  <c r="J20" i="1"/>
  <c r="I20" i="1"/>
  <c r="H20" i="1"/>
  <c r="G20" i="1"/>
  <c r="D20" i="1"/>
  <c r="C20" i="1"/>
  <c r="B20" i="1"/>
  <c r="J19" i="1"/>
  <c r="I19" i="1"/>
  <c r="H19" i="1"/>
  <c r="G19" i="1"/>
  <c r="D19" i="1"/>
  <c r="C19" i="1"/>
  <c r="B19" i="1"/>
  <c r="J18" i="1"/>
  <c r="I18" i="1"/>
  <c r="H18" i="1"/>
  <c r="G18" i="1"/>
  <c r="D18" i="1"/>
  <c r="C18" i="1"/>
  <c r="B18" i="1"/>
  <c r="J17" i="1"/>
  <c r="I17" i="1"/>
  <c r="H17" i="1"/>
  <c r="G17" i="1"/>
  <c r="D17" i="1"/>
  <c r="C17" i="1"/>
  <c r="B17" i="1"/>
  <c r="J16" i="1"/>
  <c r="I16" i="1"/>
  <c r="H16" i="1"/>
  <c r="G16" i="1"/>
  <c r="D16" i="1"/>
  <c r="C16" i="1"/>
  <c r="B16" i="1"/>
  <c r="N15" i="1"/>
  <c r="J15" i="1"/>
  <c r="I15" i="1"/>
  <c r="H15" i="1"/>
  <c r="G15" i="1"/>
  <c r="F15" i="1"/>
  <c r="D15" i="1"/>
  <c r="C15" i="1"/>
  <c r="B15" i="1"/>
  <c r="J14" i="1"/>
  <c r="I14" i="1"/>
  <c r="H14" i="1"/>
  <c r="G14" i="1"/>
  <c r="D14" i="1"/>
  <c r="C14" i="1"/>
  <c r="B14" i="1"/>
  <c r="AD13" i="1"/>
  <c r="AC13" i="1"/>
  <c r="AB13" i="1"/>
  <c r="AA13" i="1"/>
  <c r="Z13" i="1"/>
  <c r="Y13" i="1"/>
  <c r="X13" i="1"/>
  <c r="W13" i="1"/>
  <c r="V13" i="1"/>
  <c r="U13" i="1"/>
  <c r="T13" i="1"/>
  <c r="S13" i="1"/>
  <c r="F18" i="1" l="1"/>
  <c r="F21" i="1"/>
  <c r="F14" i="1"/>
  <c r="F17" i="1"/>
  <c r="F20" i="1"/>
  <c r="F24" i="1"/>
  <c r="F16" i="1"/>
  <c r="F23" i="1"/>
  <c r="E15" i="1"/>
  <c r="E25" i="1"/>
  <c r="E19" i="1"/>
  <c r="F25" i="1"/>
  <c r="E14" i="1"/>
  <c r="E24" i="1"/>
  <c r="E23" i="1"/>
  <c r="E18" i="1"/>
  <c r="E17" i="1"/>
  <c r="E21" i="1"/>
  <c r="E16" i="1"/>
  <c r="K15" i="1"/>
  <c r="K14" i="1"/>
  <c r="L14" i="1"/>
  <c r="L15" i="1"/>
  <c r="K16" i="1"/>
  <c r="K17" i="1"/>
  <c r="K18" i="1"/>
  <c r="K19" i="1"/>
  <c r="K20" i="1"/>
  <c r="K21" i="1"/>
  <c r="K25" i="1"/>
  <c r="M15" i="1"/>
  <c r="L20" i="1"/>
  <c r="M14" i="1"/>
  <c r="L16" i="1"/>
  <c r="L17" i="1"/>
  <c r="L18" i="1"/>
  <c r="L19" i="1"/>
  <c r="L21" i="1"/>
  <c r="K23" i="1"/>
  <c r="L25" i="1"/>
  <c r="M16" i="1"/>
  <c r="M17" i="1"/>
  <c r="M18" i="1"/>
  <c r="M19" i="1"/>
  <c r="M20" i="1"/>
  <c r="M21" i="1"/>
  <c r="L23" i="1"/>
  <c r="N21" i="4"/>
  <c r="Q21" i="4"/>
  <c r="P21" i="4"/>
  <c r="G22" i="1"/>
  <c r="F22" i="1"/>
  <c r="D22" i="1"/>
  <c r="C22" i="1"/>
  <c r="B22" i="1"/>
  <c r="L22" i="1"/>
  <c r="J22" i="1"/>
  <c r="L59" i="4"/>
  <c r="K59" i="4"/>
  <c r="M59" i="4"/>
  <c r="J59" i="4"/>
  <c r="E22" i="1"/>
  <c r="M7" i="4"/>
  <c r="M11" i="4"/>
  <c r="K33" i="4"/>
  <c r="Q34" i="4" s="1"/>
  <c r="M14" i="4"/>
  <c r="O24" i="4"/>
  <c r="H22" i="1"/>
  <c r="I22" i="1"/>
  <c r="L14" i="4"/>
  <c r="Q10" i="4"/>
  <c r="P10" i="4"/>
  <c r="N10" i="4"/>
  <c r="M9" i="4"/>
  <c r="L9" i="4"/>
  <c r="K9" i="4"/>
  <c r="O10" i="4" s="1"/>
  <c r="K22" i="1"/>
  <c r="M15" i="4"/>
  <c r="L15" i="4"/>
  <c r="K15" i="4"/>
  <c r="Q16" i="4" s="1"/>
  <c r="M22" i="1"/>
  <c r="L5" i="4"/>
  <c r="M8" i="4"/>
  <c r="M10" i="4"/>
  <c r="L13" i="4"/>
  <c r="M20" i="4"/>
  <c r="L8" i="4"/>
  <c r="L10" i="4"/>
  <c r="P11" i="4" s="1"/>
  <c r="M19" i="4"/>
  <c r="L20" i="4"/>
  <c r="N26" i="4"/>
  <c r="K37" i="4"/>
  <c r="J37" i="4"/>
  <c r="Q70" i="4"/>
  <c r="N70" i="4"/>
  <c r="P70" i="4"/>
  <c r="O15" i="1"/>
  <c r="N16" i="1"/>
  <c r="M18" i="4"/>
  <c r="K34" i="4"/>
  <c r="M6" i="4"/>
  <c r="L6" i="4"/>
  <c r="K6" i="4"/>
  <c r="Q7" i="4" s="1"/>
  <c r="M12" i="4"/>
  <c r="L12" i="4"/>
  <c r="K12" i="4"/>
  <c r="J12" i="4"/>
  <c r="M17" i="4"/>
  <c r="L18" i="4"/>
  <c r="P19" i="4" s="1"/>
  <c r="N32" i="4"/>
  <c r="Q37" i="4"/>
  <c r="P37" i="4"/>
  <c r="G24" i="1"/>
  <c r="M27" i="4"/>
  <c r="L27" i="4"/>
  <c r="O28" i="4" s="1"/>
  <c r="M38" i="4"/>
  <c r="K7" i="4"/>
  <c r="P8" i="4" s="1"/>
  <c r="K10" i="4"/>
  <c r="O11" i="4" s="1"/>
  <c r="K13" i="4"/>
  <c r="O14" i="4" s="1"/>
  <c r="K16" i="4"/>
  <c r="Q17" i="4" s="1"/>
  <c r="K17" i="4"/>
  <c r="Q18" i="4" s="1"/>
  <c r="K18" i="4"/>
  <c r="Q19" i="4" s="1"/>
  <c r="K19" i="4"/>
  <c r="Q20" i="4" s="1"/>
  <c r="K20" i="4"/>
  <c r="O21" i="4" s="1"/>
  <c r="M25" i="4"/>
  <c r="L25" i="4"/>
  <c r="Q26" i="4" s="1"/>
  <c r="J34" i="4"/>
  <c r="N72" i="4"/>
  <c r="M28" i="4"/>
  <c r="L28" i="4"/>
  <c r="M22" i="4"/>
  <c r="L22" i="4"/>
  <c r="M23" i="4"/>
  <c r="L23" i="4"/>
  <c r="Q24" i="4" s="1"/>
  <c r="J26" i="4"/>
  <c r="M29" i="4"/>
  <c r="L29" i="4"/>
  <c r="J5" i="4"/>
  <c r="J8" i="4"/>
  <c r="J11" i="4"/>
  <c r="J14" i="4"/>
  <c r="M30" i="4"/>
  <c r="Q31" i="4" s="1"/>
  <c r="L30" i="4"/>
  <c r="M36" i="4"/>
  <c r="N37" i="4" s="1"/>
  <c r="K5" i="4"/>
  <c r="K8" i="4"/>
  <c r="K11" i="4"/>
  <c r="K14" i="4"/>
  <c r="M31" i="4"/>
  <c r="L31" i="4"/>
  <c r="Q32" i="4" s="1"/>
  <c r="M26" i="4"/>
  <c r="L26" i="4"/>
  <c r="Q28" i="4"/>
  <c r="P28" i="4"/>
  <c r="M32" i="4"/>
  <c r="N33" i="4" s="1"/>
  <c r="L32" i="4"/>
  <c r="Q33" i="4" s="1"/>
  <c r="O39" i="4"/>
  <c r="N40" i="4"/>
  <c r="Q41" i="4"/>
  <c r="Q43" i="4"/>
  <c r="P43" i="4"/>
  <c r="O43" i="4"/>
  <c r="N43" i="4"/>
  <c r="Q44" i="4"/>
  <c r="O45" i="4"/>
  <c r="Q46" i="4"/>
  <c r="P46" i="4"/>
  <c r="O46" i="4"/>
  <c r="N46" i="4"/>
  <c r="Q47" i="4"/>
  <c r="O47" i="4"/>
  <c r="N47" i="4"/>
  <c r="Q49" i="4"/>
  <c r="P49" i="4"/>
  <c r="O49" i="4"/>
  <c r="N49" i="4"/>
  <c r="Q50" i="4"/>
  <c r="O50" i="4"/>
  <c r="O51" i="4"/>
  <c r="N52" i="4"/>
  <c r="Q53" i="4"/>
  <c r="Q55" i="4"/>
  <c r="P55" i="4"/>
  <c r="O55" i="4"/>
  <c r="N55" i="4"/>
  <c r="Q56" i="4"/>
  <c r="J22" i="4"/>
  <c r="J28" i="4"/>
  <c r="M33" i="4"/>
  <c r="L33" i="4"/>
  <c r="L60" i="4"/>
  <c r="K60" i="4"/>
  <c r="M60" i="4"/>
  <c r="J60" i="4"/>
  <c r="L66" i="4"/>
  <c r="K66" i="4"/>
  <c r="J66" i="4"/>
  <c r="M21" i="4"/>
  <c r="L21" i="4"/>
  <c r="O22" i="4" s="1"/>
  <c r="K21" i="4"/>
  <c r="M24" i="4"/>
  <c r="L24" i="4"/>
  <c r="Q25" i="4" s="1"/>
  <c r="K28" i="4"/>
  <c r="J29" i="4"/>
  <c r="M34" i="4"/>
  <c r="L34" i="4"/>
  <c r="O36" i="4"/>
  <c r="N36" i="4"/>
  <c r="M37" i="4"/>
  <c r="N28" i="4"/>
  <c r="L35" i="4"/>
  <c r="Q36" i="4" s="1"/>
  <c r="L36" i="4"/>
  <c r="O37" i="4" s="1"/>
  <c r="L37" i="4"/>
  <c r="L38" i="4"/>
  <c r="Q39" i="4" s="1"/>
  <c r="L39" i="4"/>
  <c r="Q40" i="4" s="1"/>
  <c r="L40" i="4"/>
  <c r="P41" i="4" s="1"/>
  <c r="L41" i="4"/>
  <c r="Q42" i="4" s="1"/>
  <c r="L42" i="4"/>
  <c r="L43" i="4"/>
  <c r="P44" i="4" s="1"/>
  <c r="L44" i="4"/>
  <c r="Q45" i="4" s="1"/>
  <c r="L45" i="4"/>
  <c r="L46" i="4"/>
  <c r="P47" i="4" s="1"/>
  <c r="L47" i="4"/>
  <c r="Q48" i="4" s="1"/>
  <c r="L48" i="4"/>
  <c r="L49" i="4"/>
  <c r="P50" i="4" s="1"/>
  <c r="L50" i="4"/>
  <c r="Q51" i="4" s="1"/>
  <c r="L51" i="4"/>
  <c r="Q52" i="4" s="1"/>
  <c r="L52" i="4"/>
  <c r="P53" i="4" s="1"/>
  <c r="L53" i="4"/>
  <c r="Q54" i="4" s="1"/>
  <c r="L54" i="4"/>
  <c r="L55" i="4"/>
  <c r="P56" i="4" s="1"/>
  <c r="J56" i="4"/>
  <c r="L61" i="4"/>
  <c r="K61" i="4"/>
  <c r="J57" i="4"/>
  <c r="L62" i="4"/>
  <c r="K62" i="4"/>
  <c r="Q63" i="4" s="1"/>
  <c r="L63" i="4"/>
  <c r="K63" i="4"/>
  <c r="M65" i="4"/>
  <c r="L65" i="4"/>
  <c r="K65" i="4"/>
  <c r="M64" i="4"/>
  <c r="N65" i="4" s="1"/>
  <c r="L64" i="4"/>
  <c r="K64" i="4"/>
  <c r="Q65" i="4" s="1"/>
  <c r="J65" i="4"/>
  <c r="L69" i="4"/>
  <c r="K69" i="4"/>
  <c r="O70" i="4" s="1"/>
  <c r="M69" i="4"/>
  <c r="N83" i="4"/>
  <c r="Q83" i="4"/>
  <c r="O83" i="4"/>
  <c r="J61" i="4"/>
  <c r="L56" i="4"/>
  <c r="K56" i="4"/>
  <c r="N63" i="4"/>
  <c r="M62" i="4"/>
  <c r="J63" i="4"/>
  <c r="L67" i="4"/>
  <c r="K67" i="4"/>
  <c r="M67" i="4"/>
  <c r="J67" i="4"/>
  <c r="L70" i="4"/>
  <c r="K70" i="4"/>
  <c r="J70" i="4"/>
  <c r="L57" i="4"/>
  <c r="K57" i="4"/>
  <c r="M63" i="4"/>
  <c r="M71" i="4"/>
  <c r="L71" i="4"/>
  <c r="K71" i="4"/>
  <c r="O72" i="4" s="1"/>
  <c r="L58" i="4"/>
  <c r="K58" i="4"/>
  <c r="Q59" i="4" s="1"/>
  <c r="O63" i="4"/>
  <c r="M74" i="4"/>
  <c r="L74" i="4"/>
  <c r="K74" i="4"/>
  <c r="J74" i="4"/>
  <c r="Q113" i="4"/>
  <c r="P113" i="4"/>
  <c r="O113" i="4"/>
  <c r="N113" i="4"/>
  <c r="M77" i="4"/>
  <c r="L77" i="4"/>
  <c r="K77" i="4"/>
  <c r="Q78" i="4" s="1"/>
  <c r="M83" i="4"/>
  <c r="K83" i="4"/>
  <c r="M85" i="4"/>
  <c r="L85" i="4"/>
  <c r="K85" i="4"/>
  <c r="J85" i="4"/>
  <c r="N91" i="4"/>
  <c r="M72" i="4"/>
  <c r="L72" i="4"/>
  <c r="K72" i="4"/>
  <c r="M78" i="4"/>
  <c r="L78" i="4"/>
  <c r="K78" i="4"/>
  <c r="P82" i="4"/>
  <c r="M96" i="4"/>
  <c r="K96" i="4"/>
  <c r="J96" i="4"/>
  <c r="L68" i="4"/>
  <c r="K68" i="4"/>
  <c r="J68" i="4"/>
  <c r="M73" i="4"/>
  <c r="L73" i="4"/>
  <c r="K73" i="4"/>
  <c r="M79" i="4"/>
  <c r="L79" i="4"/>
  <c r="K79" i="4"/>
  <c r="P90" i="4"/>
  <c r="N90" i="4"/>
  <c r="Q90" i="4"/>
  <c r="O90" i="4"/>
  <c r="M92" i="4"/>
  <c r="K92" i="4"/>
  <c r="J92" i="4"/>
  <c r="M80" i="4"/>
  <c r="L80" i="4"/>
  <c r="K80" i="4"/>
  <c r="O81" i="4" s="1"/>
  <c r="K84" i="4"/>
  <c r="J84" i="4"/>
  <c r="M84" i="4"/>
  <c r="Q76" i="4"/>
  <c r="J72" i="4"/>
  <c r="M75" i="4"/>
  <c r="L75" i="4"/>
  <c r="O76" i="4" s="1"/>
  <c r="K75" i="4"/>
  <c r="N76" i="4" s="1"/>
  <c r="J78" i="4"/>
  <c r="M81" i="4"/>
  <c r="L81" i="4"/>
  <c r="Q82" i="4" s="1"/>
  <c r="K81" i="4"/>
  <c r="N82" i="4" s="1"/>
  <c r="L88" i="4"/>
  <c r="M88" i="4"/>
  <c r="K88" i="4"/>
  <c r="J88" i="4"/>
  <c r="N78" i="4"/>
  <c r="M87" i="4"/>
  <c r="L87" i="4"/>
  <c r="K87" i="4"/>
  <c r="J87" i="4"/>
  <c r="J73" i="4"/>
  <c r="M76" i="4"/>
  <c r="L76" i="4"/>
  <c r="K76" i="4"/>
  <c r="O77" i="4" s="1"/>
  <c r="J79" i="4"/>
  <c r="M82" i="4"/>
  <c r="L82" i="4"/>
  <c r="K82" i="4"/>
  <c r="P83" i="4" s="1"/>
  <c r="J83" i="4"/>
  <c r="M89" i="4"/>
  <c r="L92" i="4"/>
  <c r="M93" i="4"/>
  <c r="L96" i="4"/>
  <c r="M97" i="4"/>
  <c r="O98" i="4" s="1"/>
  <c r="J114" i="4"/>
  <c r="L114" i="4"/>
  <c r="M114" i="4"/>
  <c r="K90" i="4"/>
  <c r="P91" i="4" s="1"/>
  <c r="K94" i="4"/>
  <c r="P95" i="4" s="1"/>
  <c r="L89" i="4"/>
  <c r="L93" i="4"/>
  <c r="P94" i="4" s="1"/>
  <c r="L97" i="4"/>
  <c r="N98" i="4" s="1"/>
  <c r="Q110" i="4"/>
  <c r="O110" i="4"/>
  <c r="N110" i="4"/>
  <c r="J91" i="4"/>
  <c r="J95" i="4"/>
  <c r="P87" i="4"/>
  <c r="N87" i="4"/>
  <c r="K99" i="4"/>
  <c r="J99" i="4"/>
  <c r="L99" i="4"/>
  <c r="L90" i="4"/>
  <c r="L94" i="4"/>
  <c r="N95" i="4" s="1"/>
  <c r="M98" i="4"/>
  <c r="K101" i="4"/>
  <c r="J101" i="4"/>
  <c r="L101" i="4"/>
  <c r="O87" i="4"/>
  <c r="P123" i="4"/>
  <c r="N123" i="4"/>
  <c r="Q87" i="4"/>
  <c r="K102" i="4"/>
  <c r="J102" i="4"/>
  <c r="K106" i="4"/>
  <c r="J106" i="4"/>
  <c r="K129" i="4"/>
  <c r="J133" i="4"/>
  <c r="K133" i="4"/>
  <c r="L133" i="4"/>
  <c r="M133" i="4"/>
  <c r="M102" i="4"/>
  <c r="M106" i="4"/>
  <c r="J111" i="4"/>
  <c r="J116" i="4"/>
  <c r="Q125" i="4"/>
  <c r="N125" i="4"/>
  <c r="P125" i="4"/>
  <c r="K105" i="4"/>
  <c r="J105" i="4"/>
  <c r="K111" i="4"/>
  <c r="K98" i="4"/>
  <c r="J98" i="4"/>
  <c r="L105" i="4"/>
  <c r="L111" i="4"/>
  <c r="L118" i="4"/>
  <c r="K118" i="4"/>
  <c r="J118" i="4"/>
  <c r="M118" i="4"/>
  <c r="J123" i="4"/>
  <c r="J115" i="4"/>
  <c r="K100" i="4"/>
  <c r="J100" i="4"/>
  <c r="K104" i="4"/>
  <c r="J104" i="4"/>
  <c r="K115" i="4"/>
  <c r="L100" i="4"/>
  <c r="L104" i="4"/>
  <c r="M113" i="4"/>
  <c r="Q114" i="4" s="1"/>
  <c r="L113" i="4"/>
  <c r="K113" i="4"/>
  <c r="P114" i="4" s="1"/>
  <c r="L115" i="4"/>
  <c r="K103" i="4"/>
  <c r="J103" i="4"/>
  <c r="L107" i="4"/>
  <c r="K107" i="4"/>
  <c r="J107" i="4"/>
  <c r="Q122" i="4"/>
  <c r="O122" i="4"/>
  <c r="K123" i="4"/>
  <c r="L123" i="4"/>
  <c r="L103" i="4"/>
  <c r="J110" i="4"/>
  <c r="L110" i="4"/>
  <c r="M117" i="4"/>
  <c r="L117" i="4"/>
  <c r="P118" i="4" s="1"/>
  <c r="K117" i="4"/>
  <c r="M134" i="4"/>
  <c r="M141" i="4"/>
  <c r="J141" i="4"/>
  <c r="L141" i="4"/>
  <c r="K141" i="4"/>
  <c r="J108" i="4"/>
  <c r="K109" i="4"/>
  <c r="P110" i="4" s="1"/>
  <c r="K119" i="4"/>
  <c r="J119" i="4"/>
  <c r="M124" i="4"/>
  <c r="O125" i="4" s="1"/>
  <c r="O149" i="4"/>
  <c r="P149" i="4"/>
  <c r="K108" i="4"/>
  <c r="L109" i="4"/>
  <c r="M121" i="4"/>
  <c r="N122" i="4" s="1"/>
  <c r="M120" i="4"/>
  <c r="L120" i="4"/>
  <c r="K120" i="4"/>
  <c r="Q123" i="4"/>
  <c r="O123" i="4"/>
  <c r="J120" i="4"/>
  <c r="K121" i="4"/>
  <c r="P122" i="4" s="1"/>
  <c r="J128" i="4"/>
  <c r="L128" i="4"/>
  <c r="M128" i="4"/>
  <c r="K128" i="4"/>
  <c r="J131" i="4"/>
  <c r="M131" i="4"/>
  <c r="L131" i="4"/>
  <c r="K131" i="4"/>
  <c r="N150" i="4"/>
  <c r="Q150" i="4"/>
  <c r="O150" i="4"/>
  <c r="L136" i="4"/>
  <c r="J126" i="4"/>
  <c r="M126" i="4"/>
  <c r="J129" i="4"/>
  <c r="M129" i="4"/>
  <c r="K125" i="4"/>
  <c r="J127" i="4"/>
  <c r="M127" i="4"/>
  <c r="L127" i="4"/>
  <c r="J130" i="4"/>
  <c r="M130" i="4"/>
  <c r="L130" i="4"/>
  <c r="L146" i="4"/>
  <c r="M137" i="4"/>
  <c r="J137" i="4"/>
  <c r="L137" i="4"/>
  <c r="K150" i="4"/>
  <c r="J150" i="4"/>
  <c r="K152" i="4"/>
  <c r="J152" i="4"/>
  <c r="J132" i="4"/>
  <c r="J134" i="4"/>
  <c r="K144" i="4"/>
  <c r="J125" i="4"/>
  <c r="M135" i="4"/>
  <c r="J135" i="4"/>
  <c r="M136" i="4"/>
  <c r="J136" i="4"/>
  <c r="M138" i="4"/>
  <c r="J138" i="4"/>
  <c r="L138" i="4"/>
  <c r="M142" i="4"/>
  <c r="J142" i="4"/>
  <c r="K142" i="4"/>
  <c r="M144" i="4"/>
  <c r="J144" i="4"/>
  <c r="M146" i="4"/>
  <c r="J146" i="4"/>
  <c r="K146" i="4"/>
  <c r="L125" i="4"/>
  <c r="L132" i="4"/>
  <c r="M139" i="4"/>
  <c r="J139" i="4"/>
  <c r="K139" i="4"/>
  <c r="M150" i="4"/>
  <c r="M152" i="4"/>
  <c r="K143" i="4"/>
  <c r="M145" i="4"/>
  <c r="J145" i="4"/>
  <c r="L145" i="4"/>
  <c r="M161" i="4"/>
  <c r="M160" i="4"/>
  <c r="M147" i="4"/>
  <c r="L147" i="4"/>
  <c r="K147" i="4"/>
  <c r="N148" i="4" s="1"/>
  <c r="K149" i="4"/>
  <c r="P150" i="4" s="1"/>
  <c r="M151" i="4"/>
  <c r="J160" i="4"/>
  <c r="M140" i="4"/>
  <c r="J140" i="4"/>
  <c r="K151" i="4"/>
  <c r="M155" i="4"/>
  <c r="M156" i="4"/>
  <c r="K157" i="4"/>
  <c r="M165" i="4"/>
  <c r="L165" i="4"/>
  <c r="K165" i="4"/>
  <c r="J165" i="4"/>
  <c r="M143" i="4"/>
  <c r="J143" i="4"/>
  <c r="K148" i="4"/>
  <c r="Q149" i="4" s="1"/>
  <c r="J156" i="4"/>
  <c r="J151" i="4"/>
  <c r="J155" i="4"/>
  <c r="J159" i="4"/>
  <c r="M162" i="4"/>
  <c r="K162" i="4"/>
  <c r="P163" i="4" s="1"/>
  <c r="J154" i="4"/>
  <c r="J158" i="4"/>
  <c r="J161" i="4"/>
  <c r="M148" i="4"/>
  <c r="M149" i="4"/>
  <c r="M153" i="4"/>
  <c r="M157" i="4"/>
  <c r="K161" i="4"/>
  <c r="J153" i="4"/>
  <c r="J157" i="4"/>
  <c r="L161" i="4"/>
  <c r="J164" i="4"/>
  <c r="J166" i="4"/>
  <c r="J168" i="4"/>
  <c r="L164" i="4"/>
  <c r="L166" i="4"/>
  <c r="L168" i="4"/>
  <c r="AB48" i="5"/>
  <c r="AB47" i="5"/>
  <c r="AB46" i="5"/>
  <c r="AB45" i="5"/>
  <c r="AB44" i="5"/>
  <c r="AB43" i="5"/>
  <c r="AB42" i="5"/>
  <c r="AB41" i="5"/>
  <c r="AB40" i="5"/>
  <c r="AB39" i="5"/>
  <c r="AB38" i="5"/>
  <c r="AB37" i="5"/>
  <c r="AB36" i="5"/>
  <c r="AB35" i="5"/>
  <c r="AB34" i="5"/>
  <c r="AB33" i="5"/>
  <c r="AB32" i="5"/>
  <c r="AB31" i="5"/>
  <c r="AB30" i="5"/>
  <c r="AB29" i="5"/>
  <c r="AB28" i="5"/>
  <c r="AB27" i="5"/>
  <c r="AB26" i="5"/>
  <c r="AB25" i="5"/>
  <c r="AB24" i="5"/>
  <c r="AB23" i="5"/>
  <c r="AB22" i="5"/>
  <c r="AB21" i="5"/>
  <c r="AB20" i="5"/>
  <c r="AB19" i="5"/>
  <c r="AB18" i="5"/>
  <c r="AB17" i="5"/>
  <c r="AB16" i="5"/>
  <c r="AB15" i="5"/>
  <c r="AB14" i="5"/>
  <c r="AB13" i="5"/>
  <c r="AB12" i="5"/>
  <c r="AB11" i="5"/>
  <c r="AB10" i="5"/>
  <c r="AB9" i="5"/>
  <c r="AB8" i="5"/>
  <c r="AB7" i="5"/>
  <c r="AB6" i="5"/>
  <c r="AB5" i="5"/>
  <c r="AB4" i="5"/>
  <c r="AB3" i="5"/>
  <c r="L148" i="4"/>
  <c r="N149" i="4" s="1"/>
  <c r="L149" i="4"/>
  <c r="L150" i="4"/>
  <c r="L151" i="4"/>
  <c r="L152" i="4"/>
  <c r="L153" i="4"/>
  <c r="L154" i="4"/>
  <c r="L155" i="4"/>
  <c r="L156" i="4"/>
  <c r="L157" i="4"/>
  <c r="L158" i="4"/>
  <c r="L159" i="4"/>
  <c r="L160" i="4"/>
  <c r="J163" i="4"/>
  <c r="J167" i="4"/>
  <c r="K163" i="4"/>
  <c r="K167" i="4"/>
  <c r="L167" i="4"/>
  <c r="Z3" i="5"/>
  <c r="Z4" i="5"/>
  <c r="Z5" i="5"/>
  <c r="Z6" i="5"/>
  <c r="Z7" i="5"/>
  <c r="Z8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44" i="5"/>
  <c r="Z45" i="5"/>
  <c r="Z46" i="5"/>
  <c r="Z47" i="5"/>
  <c r="R150" i="4" l="1"/>
  <c r="U150" i="4"/>
  <c r="S150" i="4"/>
  <c r="T150" i="4"/>
  <c r="R34" i="4"/>
  <c r="T34" i="4"/>
  <c r="U123" i="4"/>
  <c r="R123" i="4"/>
  <c r="T123" i="4"/>
  <c r="S123" i="4"/>
  <c r="U83" i="4"/>
  <c r="T77" i="4"/>
  <c r="R66" i="4"/>
  <c r="U38" i="4"/>
  <c r="T38" i="4"/>
  <c r="S38" i="4"/>
  <c r="R38" i="4"/>
  <c r="N155" i="4"/>
  <c r="Q155" i="4"/>
  <c r="P155" i="4"/>
  <c r="O155" i="4"/>
  <c r="U37" i="4"/>
  <c r="S37" i="4"/>
  <c r="R37" i="4"/>
  <c r="T37" i="4"/>
  <c r="U47" i="4"/>
  <c r="T47" i="4"/>
  <c r="S47" i="4"/>
  <c r="R47" i="4"/>
  <c r="U91" i="4"/>
  <c r="T91" i="4"/>
  <c r="R91" i="4"/>
  <c r="S91" i="4"/>
  <c r="P98" i="4"/>
  <c r="T99" i="4" s="1"/>
  <c r="O67" i="4"/>
  <c r="P67" i="4"/>
  <c r="Q67" i="4"/>
  <c r="N67" i="4"/>
  <c r="O52" i="4"/>
  <c r="O40" i="4"/>
  <c r="Q12" i="4"/>
  <c r="P12" i="4"/>
  <c r="O12" i="4"/>
  <c r="N12" i="4"/>
  <c r="S73" i="4"/>
  <c r="U73" i="4"/>
  <c r="T73" i="4"/>
  <c r="R73" i="4"/>
  <c r="N34" i="4"/>
  <c r="Q22" i="4"/>
  <c r="O31" i="4"/>
  <c r="N11" i="4"/>
  <c r="S22" i="4"/>
  <c r="U22" i="4"/>
  <c r="R22" i="4"/>
  <c r="T22" i="4"/>
  <c r="N159" i="4"/>
  <c r="Q159" i="4"/>
  <c r="P159" i="4"/>
  <c r="O159" i="4"/>
  <c r="Q121" i="4"/>
  <c r="O121" i="4"/>
  <c r="P121" i="4"/>
  <c r="N121" i="4"/>
  <c r="P92" i="4"/>
  <c r="N92" i="4"/>
  <c r="O92" i="4"/>
  <c r="Q92" i="4"/>
  <c r="P86" i="4"/>
  <c r="N86" i="4"/>
  <c r="Q86" i="4"/>
  <c r="O86" i="4"/>
  <c r="N22" i="4"/>
  <c r="Q124" i="4"/>
  <c r="O124" i="4"/>
  <c r="P124" i="4"/>
  <c r="N124" i="4"/>
  <c r="R151" i="4"/>
  <c r="U151" i="4"/>
  <c r="S151" i="4"/>
  <c r="T151" i="4"/>
  <c r="Q108" i="4"/>
  <c r="N108" i="4"/>
  <c r="P108" i="4"/>
  <c r="O108" i="4"/>
  <c r="Q98" i="4"/>
  <c r="U84" i="4"/>
  <c r="T84" i="4"/>
  <c r="S84" i="4"/>
  <c r="R84" i="4"/>
  <c r="N163" i="4"/>
  <c r="N153" i="4"/>
  <c r="Q153" i="4"/>
  <c r="P153" i="4"/>
  <c r="O153" i="4"/>
  <c r="N118" i="4"/>
  <c r="Q119" i="4"/>
  <c r="O119" i="4"/>
  <c r="P119" i="4"/>
  <c r="N119" i="4"/>
  <c r="O74" i="4"/>
  <c r="Q74" i="4"/>
  <c r="P74" i="4"/>
  <c r="N74" i="4"/>
  <c r="P97" i="4"/>
  <c r="N97" i="4"/>
  <c r="Q97" i="4"/>
  <c r="O97" i="4"/>
  <c r="P36" i="4"/>
  <c r="Q29" i="4"/>
  <c r="P29" i="4"/>
  <c r="O29" i="4"/>
  <c r="N29" i="4"/>
  <c r="P52" i="4"/>
  <c r="R53" i="4" s="1"/>
  <c r="P40" i="4"/>
  <c r="S41" i="4" s="1"/>
  <c r="Q9" i="4"/>
  <c r="P9" i="4"/>
  <c r="O9" i="4"/>
  <c r="N9" i="4"/>
  <c r="Q72" i="4"/>
  <c r="O32" i="4"/>
  <c r="T33" i="4" s="1"/>
  <c r="O34" i="4"/>
  <c r="P25" i="4"/>
  <c r="Q8" i="4"/>
  <c r="P31" i="4"/>
  <c r="Q11" i="4"/>
  <c r="N160" i="4"/>
  <c r="Q160" i="4"/>
  <c r="P160" i="4"/>
  <c r="O160" i="4"/>
  <c r="O163" i="4"/>
  <c r="N105" i="4"/>
  <c r="Q105" i="4"/>
  <c r="P105" i="4"/>
  <c r="O105" i="4"/>
  <c r="N103" i="4"/>
  <c r="Q103" i="4"/>
  <c r="O103" i="4"/>
  <c r="P103" i="4"/>
  <c r="O95" i="4"/>
  <c r="U96" i="4" s="1"/>
  <c r="P85" i="4"/>
  <c r="N85" i="4"/>
  <c r="Q85" i="4"/>
  <c r="O85" i="4"/>
  <c r="O82" i="4"/>
  <c r="T83" i="4" s="1"/>
  <c r="N77" i="4"/>
  <c r="Q64" i="4"/>
  <c r="P64" i="4"/>
  <c r="N64" i="4"/>
  <c r="O64" i="4"/>
  <c r="Q23" i="4"/>
  <c r="O23" i="4"/>
  <c r="P23" i="4"/>
  <c r="N23" i="4"/>
  <c r="Q6" i="4"/>
  <c r="P6" i="4"/>
  <c r="O6" i="4"/>
  <c r="N6" i="4"/>
  <c r="P72" i="4"/>
  <c r="P32" i="4"/>
  <c r="S33" i="4" s="1"/>
  <c r="N25" i="4"/>
  <c r="Q38" i="4"/>
  <c r="P38" i="4"/>
  <c r="O38" i="4"/>
  <c r="N38" i="4"/>
  <c r="P34" i="4"/>
  <c r="O25" i="4"/>
  <c r="N8" i="4"/>
  <c r="N17" i="4"/>
  <c r="N16" i="4"/>
  <c r="N18" i="4"/>
  <c r="Q142" i="4"/>
  <c r="P142" i="4"/>
  <c r="N142" i="4"/>
  <c r="O142" i="4"/>
  <c r="Q115" i="4"/>
  <c r="P115" i="4"/>
  <c r="O115" i="4"/>
  <c r="N115" i="4"/>
  <c r="O68" i="4"/>
  <c r="Q68" i="4"/>
  <c r="P68" i="4"/>
  <c r="N68" i="4"/>
  <c r="N102" i="4"/>
  <c r="P102" i="4"/>
  <c r="O102" i="4"/>
  <c r="Q102" i="4"/>
  <c r="U53" i="4"/>
  <c r="T53" i="4"/>
  <c r="S53" i="4"/>
  <c r="N158" i="4"/>
  <c r="Q158" i="4"/>
  <c r="P158" i="4"/>
  <c r="O158" i="4"/>
  <c r="Q140" i="4"/>
  <c r="P140" i="4"/>
  <c r="O140" i="4"/>
  <c r="N140" i="4"/>
  <c r="Q128" i="4"/>
  <c r="O128" i="4"/>
  <c r="N128" i="4"/>
  <c r="P128" i="4"/>
  <c r="N154" i="4"/>
  <c r="Q154" i="4"/>
  <c r="P154" i="4"/>
  <c r="O154" i="4"/>
  <c r="N156" i="4"/>
  <c r="Q156" i="4"/>
  <c r="P156" i="4"/>
  <c r="O156" i="4"/>
  <c r="Q163" i="4"/>
  <c r="Q139" i="4"/>
  <c r="P139" i="4"/>
  <c r="O139" i="4"/>
  <c r="N139" i="4"/>
  <c r="N151" i="4"/>
  <c r="Q151" i="4"/>
  <c r="O151" i="4"/>
  <c r="P151" i="4"/>
  <c r="N104" i="4"/>
  <c r="P104" i="4"/>
  <c r="O104" i="4"/>
  <c r="Q104" i="4"/>
  <c r="O117" i="4"/>
  <c r="Q117" i="4"/>
  <c r="P117" i="4"/>
  <c r="N117" i="4"/>
  <c r="Q95" i="4"/>
  <c r="P77" i="4"/>
  <c r="O65" i="4"/>
  <c r="T66" i="4" s="1"/>
  <c r="N81" i="4"/>
  <c r="N54" i="4"/>
  <c r="N51" i="4"/>
  <c r="N48" i="4"/>
  <c r="N45" i="4"/>
  <c r="N42" i="4"/>
  <c r="N39" i="4"/>
  <c r="O78" i="4"/>
  <c r="S79" i="4" s="1"/>
  <c r="O8" i="4"/>
  <c r="Q60" i="4"/>
  <c r="P60" i="4"/>
  <c r="N60" i="4"/>
  <c r="O60" i="4"/>
  <c r="O17" i="4"/>
  <c r="O16" i="4"/>
  <c r="O18" i="4"/>
  <c r="U41" i="4"/>
  <c r="T41" i="4"/>
  <c r="Q132" i="4"/>
  <c r="O132" i="4"/>
  <c r="P132" i="4"/>
  <c r="N132" i="4"/>
  <c r="O148" i="4"/>
  <c r="R149" i="4" s="1"/>
  <c r="Q120" i="4"/>
  <c r="O120" i="4"/>
  <c r="P120" i="4"/>
  <c r="N120" i="4"/>
  <c r="N101" i="4"/>
  <c r="P101" i="4"/>
  <c r="O101" i="4"/>
  <c r="Q101" i="4"/>
  <c r="Q112" i="4"/>
  <c r="P112" i="4"/>
  <c r="O112" i="4"/>
  <c r="N112" i="4"/>
  <c r="P84" i="4"/>
  <c r="N84" i="4"/>
  <c r="Q84" i="4"/>
  <c r="O84" i="4"/>
  <c r="O94" i="4"/>
  <c r="Q77" i="4"/>
  <c r="Q58" i="4"/>
  <c r="P58" i="4"/>
  <c r="N58" i="4"/>
  <c r="O58" i="4"/>
  <c r="P81" i="4"/>
  <c r="O54" i="4"/>
  <c r="O48" i="4"/>
  <c r="O42" i="4"/>
  <c r="Q35" i="4"/>
  <c r="P35" i="4"/>
  <c r="O35" i="4"/>
  <c r="N35" i="4"/>
  <c r="O16" i="1"/>
  <c r="N17" i="1"/>
  <c r="P22" i="4"/>
  <c r="P17" i="4"/>
  <c r="P16" i="4"/>
  <c r="P18" i="4"/>
  <c r="Q131" i="4"/>
  <c r="O131" i="4"/>
  <c r="N131" i="4"/>
  <c r="P131" i="4"/>
  <c r="U111" i="4"/>
  <c r="T111" i="4"/>
  <c r="R111" i="4"/>
  <c r="S111" i="4"/>
  <c r="S56" i="4"/>
  <c r="U56" i="4"/>
  <c r="T56" i="4"/>
  <c r="R56" i="4"/>
  <c r="S71" i="4"/>
  <c r="U71" i="4"/>
  <c r="R71" i="4"/>
  <c r="T71" i="4"/>
  <c r="P165" i="4"/>
  <c r="Q165" i="4"/>
  <c r="O165" i="4"/>
  <c r="N165" i="4"/>
  <c r="N107" i="4"/>
  <c r="Q107" i="4"/>
  <c r="P107" i="4"/>
  <c r="O107" i="4"/>
  <c r="N152" i="4"/>
  <c r="Q152" i="4"/>
  <c r="P152" i="4"/>
  <c r="O152" i="4"/>
  <c r="N157" i="4"/>
  <c r="Q157" i="4"/>
  <c r="O157" i="4"/>
  <c r="P157" i="4"/>
  <c r="Q141" i="4"/>
  <c r="P141" i="4"/>
  <c r="N141" i="4"/>
  <c r="O141" i="4"/>
  <c r="Q137" i="4"/>
  <c r="O137" i="4"/>
  <c r="N137" i="4"/>
  <c r="P137" i="4"/>
  <c r="Q130" i="4"/>
  <c r="P130" i="4"/>
  <c r="N130" i="4"/>
  <c r="O130" i="4"/>
  <c r="P148" i="4"/>
  <c r="Q111" i="4"/>
  <c r="P111" i="4"/>
  <c r="O111" i="4"/>
  <c r="N111" i="4"/>
  <c r="O118" i="4"/>
  <c r="N100" i="4"/>
  <c r="P100" i="4"/>
  <c r="Q100" i="4"/>
  <c r="O100" i="4"/>
  <c r="Q94" i="4"/>
  <c r="P63" i="4"/>
  <c r="S64" i="4" s="1"/>
  <c r="O66" i="4"/>
  <c r="Q66" i="4"/>
  <c r="P66" i="4"/>
  <c r="N66" i="4"/>
  <c r="S29" i="4"/>
  <c r="U29" i="4"/>
  <c r="R29" i="4"/>
  <c r="T29" i="4"/>
  <c r="Q30" i="4"/>
  <c r="P30" i="4"/>
  <c r="O30" i="4"/>
  <c r="N30" i="4"/>
  <c r="P65" i="4"/>
  <c r="U66" i="4" s="1"/>
  <c r="Q81" i="4"/>
  <c r="P54" i="4"/>
  <c r="P51" i="4"/>
  <c r="P48" i="4"/>
  <c r="P45" i="4"/>
  <c r="P42" i="4"/>
  <c r="P39" i="4"/>
  <c r="Q27" i="4"/>
  <c r="P27" i="4"/>
  <c r="O27" i="4"/>
  <c r="N27" i="4"/>
  <c r="P26" i="4"/>
  <c r="O33" i="4"/>
  <c r="U34" i="4" s="1"/>
  <c r="P167" i="4"/>
  <c r="N167" i="4"/>
  <c r="Q167" i="4"/>
  <c r="O167" i="4"/>
  <c r="P89" i="4"/>
  <c r="N89" i="4"/>
  <c r="Q89" i="4"/>
  <c r="O89" i="4"/>
  <c r="U44" i="4"/>
  <c r="T44" i="4"/>
  <c r="S44" i="4"/>
  <c r="R44" i="4"/>
  <c r="Q168" i="4"/>
  <c r="P168" i="4"/>
  <c r="O168" i="4"/>
  <c r="N168" i="4"/>
  <c r="Q138" i="4"/>
  <c r="P138" i="4"/>
  <c r="O138" i="4"/>
  <c r="N138" i="4"/>
  <c r="Q148" i="4"/>
  <c r="Q118" i="4"/>
  <c r="Q116" i="4"/>
  <c r="P116" i="4"/>
  <c r="O116" i="4"/>
  <c r="N116" i="4"/>
  <c r="N99" i="4"/>
  <c r="Q99" i="4"/>
  <c r="O99" i="4"/>
  <c r="P99" i="4"/>
  <c r="U124" i="4"/>
  <c r="R124" i="4"/>
  <c r="S124" i="4"/>
  <c r="T124" i="4"/>
  <c r="P88" i="4"/>
  <c r="N88" i="4"/>
  <c r="O88" i="4"/>
  <c r="Q88" i="4"/>
  <c r="O79" i="4"/>
  <c r="P79" i="4"/>
  <c r="Q79" i="4"/>
  <c r="N79" i="4"/>
  <c r="N94" i="4"/>
  <c r="O91" i="4"/>
  <c r="O75" i="4"/>
  <c r="Q75" i="4"/>
  <c r="P75" i="4"/>
  <c r="N75" i="4"/>
  <c r="O59" i="4"/>
  <c r="Q13" i="4"/>
  <c r="P13" i="4"/>
  <c r="O13" i="4"/>
  <c r="N13" i="4"/>
  <c r="N20" i="4"/>
  <c r="O26" i="4"/>
  <c r="R27" i="4" s="1"/>
  <c r="P33" i="4"/>
  <c r="N24" i="4"/>
  <c r="P14" i="4"/>
  <c r="N19" i="4"/>
  <c r="N7" i="4"/>
  <c r="O73" i="4"/>
  <c r="P73" i="4"/>
  <c r="Q73" i="4"/>
  <c r="N73" i="4"/>
  <c r="U126" i="4"/>
  <c r="R126" i="4"/>
  <c r="T126" i="4"/>
  <c r="S126" i="4"/>
  <c r="Q164" i="4"/>
  <c r="P164" i="4"/>
  <c r="O164" i="4"/>
  <c r="N164" i="4"/>
  <c r="Q144" i="4"/>
  <c r="P144" i="4"/>
  <c r="N144" i="4"/>
  <c r="O144" i="4"/>
  <c r="P161" i="4"/>
  <c r="O161" i="4"/>
  <c r="N161" i="4"/>
  <c r="Q161" i="4"/>
  <c r="P147" i="4"/>
  <c r="O147" i="4"/>
  <c r="N147" i="4"/>
  <c r="Q147" i="4"/>
  <c r="Q136" i="4"/>
  <c r="P136" i="4"/>
  <c r="O136" i="4"/>
  <c r="N136" i="4"/>
  <c r="Q127" i="4"/>
  <c r="P127" i="4"/>
  <c r="N127" i="4"/>
  <c r="O127" i="4"/>
  <c r="Q109" i="4"/>
  <c r="P109" i="4"/>
  <c r="O109" i="4"/>
  <c r="N109" i="4"/>
  <c r="N114" i="4"/>
  <c r="U88" i="4"/>
  <c r="T88" i="4"/>
  <c r="R88" i="4"/>
  <c r="S88" i="4"/>
  <c r="P76" i="4"/>
  <c r="S77" i="4" s="1"/>
  <c r="P93" i="4"/>
  <c r="N93" i="4"/>
  <c r="Q93" i="4"/>
  <c r="O93" i="4"/>
  <c r="Q91" i="4"/>
  <c r="U92" i="4" s="1"/>
  <c r="U114" i="4"/>
  <c r="S114" i="4"/>
  <c r="R114" i="4"/>
  <c r="T114" i="4"/>
  <c r="O71" i="4"/>
  <c r="P71" i="4"/>
  <c r="N71" i="4"/>
  <c r="Q71" i="4"/>
  <c r="Q57" i="4"/>
  <c r="P57" i="4"/>
  <c r="N57" i="4"/>
  <c r="O57" i="4"/>
  <c r="N59" i="4"/>
  <c r="Q61" i="4"/>
  <c r="P61" i="4"/>
  <c r="N61" i="4"/>
  <c r="O61" i="4"/>
  <c r="O56" i="4"/>
  <c r="N53" i="4"/>
  <c r="N50" i="4"/>
  <c r="U48" i="4"/>
  <c r="T48" i="4"/>
  <c r="S48" i="4"/>
  <c r="R48" i="4"/>
  <c r="N44" i="4"/>
  <c r="N41" i="4"/>
  <c r="O20" i="4"/>
  <c r="P24" i="4"/>
  <c r="Q14" i="4"/>
  <c r="O19" i="4"/>
  <c r="O7" i="4"/>
  <c r="Q134" i="4"/>
  <c r="P134" i="4"/>
  <c r="O134" i="4"/>
  <c r="N134" i="4"/>
  <c r="O69" i="4"/>
  <c r="Q69" i="4"/>
  <c r="P69" i="4"/>
  <c r="N69" i="4"/>
  <c r="Q135" i="4"/>
  <c r="O135" i="4"/>
  <c r="P135" i="4"/>
  <c r="N135" i="4"/>
  <c r="U50" i="4"/>
  <c r="T50" i="4"/>
  <c r="S50" i="4"/>
  <c r="R50" i="4"/>
  <c r="Q15" i="4"/>
  <c r="P15" i="4"/>
  <c r="O15" i="4"/>
  <c r="N15" i="4"/>
  <c r="Q133" i="4"/>
  <c r="O133" i="4"/>
  <c r="N133" i="4"/>
  <c r="P133" i="4"/>
  <c r="Q146" i="4"/>
  <c r="P146" i="4"/>
  <c r="O146" i="4"/>
  <c r="N146" i="4"/>
  <c r="Q129" i="4"/>
  <c r="P129" i="4"/>
  <c r="N129" i="4"/>
  <c r="O129" i="4"/>
  <c r="O114" i="4"/>
  <c r="O80" i="4"/>
  <c r="Q80" i="4"/>
  <c r="P80" i="4"/>
  <c r="N80" i="4"/>
  <c r="R92" i="4"/>
  <c r="S92" i="4"/>
  <c r="P59" i="4"/>
  <c r="N56" i="4"/>
  <c r="O53" i="4"/>
  <c r="O44" i="4"/>
  <c r="O41" i="4"/>
  <c r="P20" i="4"/>
  <c r="U11" i="4"/>
  <c r="T11" i="4"/>
  <c r="S11" i="4"/>
  <c r="R11" i="4"/>
  <c r="N14" i="4"/>
  <c r="P7" i="4"/>
  <c r="Q143" i="4"/>
  <c r="P143" i="4"/>
  <c r="O143" i="4"/>
  <c r="N143" i="4"/>
  <c r="Q162" i="4"/>
  <c r="P162" i="4"/>
  <c r="O162" i="4"/>
  <c r="N162" i="4"/>
  <c r="Q166" i="4"/>
  <c r="P166" i="4"/>
  <c r="O166" i="4"/>
  <c r="N166" i="4"/>
  <c r="Q145" i="4"/>
  <c r="P145" i="4"/>
  <c r="N145" i="4"/>
  <c r="O145" i="4"/>
  <c r="Q126" i="4"/>
  <c r="P126" i="4"/>
  <c r="N126" i="4"/>
  <c r="O126" i="4"/>
  <c r="N106" i="4"/>
  <c r="Q106" i="4"/>
  <c r="P106" i="4"/>
  <c r="O106" i="4"/>
  <c r="P96" i="4"/>
  <c r="N96" i="4"/>
  <c r="O96" i="4"/>
  <c r="Q96" i="4"/>
  <c r="P78" i="4"/>
  <c r="Q62" i="4"/>
  <c r="P62" i="4"/>
  <c r="N62" i="4"/>
  <c r="O62" i="4"/>
  <c r="N31" i="4"/>
  <c r="Y54" i="4" l="1"/>
  <c r="X54" i="4"/>
  <c r="W54" i="4"/>
  <c r="V54" i="4"/>
  <c r="R158" i="4"/>
  <c r="U158" i="4"/>
  <c r="S158" i="4"/>
  <c r="T158" i="4"/>
  <c r="U125" i="4"/>
  <c r="S125" i="4"/>
  <c r="T125" i="4"/>
  <c r="R125" i="4"/>
  <c r="U54" i="4"/>
  <c r="T54" i="4"/>
  <c r="S54" i="4"/>
  <c r="R54" i="4"/>
  <c r="V127" i="4"/>
  <c r="X127" i="4"/>
  <c r="W127" i="4"/>
  <c r="Y127" i="4"/>
  <c r="U113" i="4"/>
  <c r="R113" i="4"/>
  <c r="T113" i="4"/>
  <c r="S113" i="4"/>
  <c r="U82" i="4"/>
  <c r="T82" i="4"/>
  <c r="S82" i="4"/>
  <c r="R82" i="4"/>
  <c r="R157" i="4"/>
  <c r="U157" i="4"/>
  <c r="T157" i="4"/>
  <c r="S157" i="4"/>
  <c r="T103" i="4"/>
  <c r="U103" i="4"/>
  <c r="S103" i="4"/>
  <c r="R103" i="4"/>
  <c r="T104" i="4"/>
  <c r="U104" i="4"/>
  <c r="R104" i="4"/>
  <c r="S104" i="4"/>
  <c r="U120" i="4"/>
  <c r="R120" i="4"/>
  <c r="T120" i="4"/>
  <c r="S120" i="4"/>
  <c r="U122" i="4"/>
  <c r="R122" i="4"/>
  <c r="T122" i="4"/>
  <c r="S122" i="4"/>
  <c r="S12" i="4"/>
  <c r="R12" i="4"/>
  <c r="U12" i="4"/>
  <c r="T12" i="4"/>
  <c r="S13" i="4"/>
  <c r="R13" i="4"/>
  <c r="U13" i="4"/>
  <c r="T13" i="4"/>
  <c r="X92" i="4"/>
  <c r="Y92" i="4"/>
  <c r="W92" i="4"/>
  <c r="V92" i="4"/>
  <c r="S66" i="4"/>
  <c r="V67" i="4" s="1"/>
  <c r="R77" i="4"/>
  <c r="U134" i="4"/>
  <c r="T134" i="4"/>
  <c r="S134" i="4"/>
  <c r="R134" i="4"/>
  <c r="U14" i="4"/>
  <c r="T14" i="4"/>
  <c r="S14" i="4"/>
  <c r="R14" i="4"/>
  <c r="Y30" i="4"/>
  <c r="X30" i="4"/>
  <c r="W30" i="4"/>
  <c r="V30" i="4"/>
  <c r="T101" i="4"/>
  <c r="S101" i="4"/>
  <c r="R101" i="4"/>
  <c r="U101" i="4"/>
  <c r="S138" i="4"/>
  <c r="U138" i="4"/>
  <c r="R138" i="4"/>
  <c r="T138" i="4"/>
  <c r="Y72" i="4"/>
  <c r="X72" i="4"/>
  <c r="W72" i="4"/>
  <c r="V72" i="4"/>
  <c r="U132" i="4"/>
  <c r="S132" i="4"/>
  <c r="T132" i="4"/>
  <c r="R132" i="4"/>
  <c r="U133" i="4"/>
  <c r="T133" i="4"/>
  <c r="R133" i="4"/>
  <c r="S133" i="4"/>
  <c r="S61" i="4"/>
  <c r="T61" i="4"/>
  <c r="R61" i="4"/>
  <c r="U61" i="4"/>
  <c r="U69" i="4"/>
  <c r="T69" i="4"/>
  <c r="S69" i="4"/>
  <c r="R69" i="4"/>
  <c r="S19" i="4"/>
  <c r="R19" i="4"/>
  <c r="U19" i="4"/>
  <c r="T19" i="4"/>
  <c r="U77" i="4"/>
  <c r="S34" i="4"/>
  <c r="W35" i="4" s="1"/>
  <c r="T105" i="4"/>
  <c r="S105" i="4"/>
  <c r="R105" i="4"/>
  <c r="U105" i="4"/>
  <c r="S30" i="4"/>
  <c r="U30" i="4"/>
  <c r="T30" i="4"/>
  <c r="R30" i="4"/>
  <c r="S7" i="4"/>
  <c r="R7" i="4"/>
  <c r="U7" i="4"/>
  <c r="T7" i="4"/>
  <c r="R156" i="4"/>
  <c r="U156" i="4"/>
  <c r="T156" i="4"/>
  <c r="S156" i="4"/>
  <c r="S27" i="4"/>
  <c r="Y28" i="4" s="1"/>
  <c r="U55" i="4"/>
  <c r="T55" i="4"/>
  <c r="S55" i="4"/>
  <c r="R55" i="4"/>
  <c r="X67" i="4"/>
  <c r="W67" i="4"/>
  <c r="Y67" i="4"/>
  <c r="U136" i="4"/>
  <c r="S136" i="4"/>
  <c r="R136" i="4"/>
  <c r="T136" i="4"/>
  <c r="S80" i="4"/>
  <c r="U80" i="4"/>
  <c r="T80" i="4"/>
  <c r="R80" i="4"/>
  <c r="O17" i="1"/>
  <c r="N18" i="1"/>
  <c r="U137" i="4"/>
  <c r="S137" i="4"/>
  <c r="R137" i="4"/>
  <c r="T137" i="4"/>
  <c r="U36" i="4"/>
  <c r="S36" i="4"/>
  <c r="R36" i="4"/>
  <c r="T36" i="4"/>
  <c r="U64" i="4"/>
  <c r="S17" i="4"/>
  <c r="R17" i="4"/>
  <c r="U17" i="4"/>
  <c r="T17" i="4"/>
  <c r="S78" i="4"/>
  <c r="U78" i="4"/>
  <c r="R78" i="4"/>
  <c r="T78" i="4"/>
  <c r="S144" i="4"/>
  <c r="U144" i="4"/>
  <c r="R144" i="4"/>
  <c r="T144" i="4"/>
  <c r="S62" i="4"/>
  <c r="R62" i="4"/>
  <c r="U62" i="4"/>
  <c r="T62" i="4"/>
  <c r="S145" i="4"/>
  <c r="T145" i="4"/>
  <c r="U145" i="4"/>
  <c r="R145" i="4"/>
  <c r="T100" i="4"/>
  <c r="U100" i="4"/>
  <c r="R100" i="4"/>
  <c r="S100" i="4"/>
  <c r="U112" i="4"/>
  <c r="S112" i="4"/>
  <c r="T112" i="4"/>
  <c r="R112" i="4"/>
  <c r="R153" i="4"/>
  <c r="U153" i="4"/>
  <c r="T153" i="4"/>
  <c r="S153" i="4"/>
  <c r="R64" i="4"/>
  <c r="R152" i="4"/>
  <c r="U152" i="4"/>
  <c r="T152" i="4"/>
  <c r="S152" i="4"/>
  <c r="S18" i="4"/>
  <c r="R18" i="4"/>
  <c r="U18" i="4"/>
  <c r="T18" i="4"/>
  <c r="S23" i="4"/>
  <c r="U23" i="4"/>
  <c r="T23" i="4"/>
  <c r="R23" i="4"/>
  <c r="U35" i="4"/>
  <c r="S35" i="4"/>
  <c r="R35" i="4"/>
  <c r="T35" i="4"/>
  <c r="Y48" i="4"/>
  <c r="X48" i="4"/>
  <c r="W48" i="4"/>
  <c r="V48" i="4"/>
  <c r="R79" i="4"/>
  <c r="R99" i="4"/>
  <c r="R83" i="4"/>
  <c r="S149" i="4"/>
  <c r="Y150" i="4" s="1"/>
  <c r="R162" i="4"/>
  <c r="T162" i="4"/>
  <c r="S162" i="4"/>
  <c r="U162" i="4"/>
  <c r="U127" i="4"/>
  <c r="T127" i="4"/>
  <c r="S127" i="4"/>
  <c r="R127" i="4"/>
  <c r="S72" i="4"/>
  <c r="U72" i="4"/>
  <c r="R72" i="4"/>
  <c r="T72" i="4"/>
  <c r="U90" i="4"/>
  <c r="T90" i="4"/>
  <c r="R90" i="4"/>
  <c r="S90" i="4"/>
  <c r="X89" i="4"/>
  <c r="Y89" i="4"/>
  <c r="W89" i="4"/>
  <c r="V89" i="4"/>
  <c r="S16" i="4"/>
  <c r="R16" i="4"/>
  <c r="U16" i="4"/>
  <c r="T16" i="4"/>
  <c r="U70" i="4"/>
  <c r="T70" i="4"/>
  <c r="S70" i="4"/>
  <c r="R70" i="4"/>
  <c r="Y115" i="4"/>
  <c r="W115" i="4"/>
  <c r="V115" i="4"/>
  <c r="X115" i="4"/>
  <c r="U117" i="4"/>
  <c r="R117" i="4"/>
  <c r="S117" i="4"/>
  <c r="T117" i="4"/>
  <c r="T168" i="4"/>
  <c r="R168" i="4"/>
  <c r="U168" i="4"/>
  <c r="S168" i="4"/>
  <c r="U67" i="4"/>
  <c r="T67" i="4"/>
  <c r="S67" i="4"/>
  <c r="R67" i="4"/>
  <c r="X57" i="4"/>
  <c r="W57" i="4"/>
  <c r="Y57" i="4"/>
  <c r="V57" i="4"/>
  <c r="T64" i="4"/>
  <c r="U118" i="4"/>
  <c r="R118" i="4"/>
  <c r="T118" i="4"/>
  <c r="S118" i="4"/>
  <c r="S140" i="4"/>
  <c r="U140" i="4"/>
  <c r="T140" i="4"/>
  <c r="R140" i="4"/>
  <c r="R155" i="4"/>
  <c r="U155" i="4"/>
  <c r="T155" i="4"/>
  <c r="S155" i="4"/>
  <c r="R159" i="4"/>
  <c r="U159" i="4"/>
  <c r="T159" i="4"/>
  <c r="S159" i="4"/>
  <c r="S9" i="4"/>
  <c r="R9" i="4"/>
  <c r="U9" i="4"/>
  <c r="T9" i="4"/>
  <c r="T106" i="4"/>
  <c r="U106" i="4"/>
  <c r="S106" i="4"/>
  <c r="R106" i="4"/>
  <c r="U119" i="4"/>
  <c r="R119" i="4"/>
  <c r="S119" i="4"/>
  <c r="T119" i="4"/>
  <c r="R33" i="4"/>
  <c r="T79" i="4"/>
  <c r="U99" i="4"/>
  <c r="S83" i="4"/>
  <c r="T149" i="4"/>
  <c r="W150" i="4" s="1"/>
  <c r="U21" i="4"/>
  <c r="T21" i="4"/>
  <c r="S21" i="4"/>
  <c r="R21" i="4"/>
  <c r="S74" i="4"/>
  <c r="U74" i="4"/>
  <c r="T74" i="4"/>
  <c r="R74" i="4"/>
  <c r="U97" i="4"/>
  <c r="T97" i="4"/>
  <c r="R97" i="4"/>
  <c r="S97" i="4"/>
  <c r="S57" i="4"/>
  <c r="U57" i="4"/>
  <c r="T57" i="4"/>
  <c r="R57" i="4"/>
  <c r="U42" i="4"/>
  <c r="T42" i="4"/>
  <c r="S42" i="4"/>
  <c r="R42" i="4"/>
  <c r="U115" i="4"/>
  <c r="T115" i="4"/>
  <c r="R115" i="4"/>
  <c r="S115" i="4"/>
  <c r="S142" i="4"/>
  <c r="T142" i="4"/>
  <c r="R142" i="4"/>
  <c r="U142" i="4"/>
  <c r="R41" i="4"/>
  <c r="U116" i="4"/>
  <c r="S116" i="4"/>
  <c r="T116" i="4"/>
  <c r="R116" i="4"/>
  <c r="S10" i="4"/>
  <c r="R10" i="4"/>
  <c r="U10" i="4"/>
  <c r="T10" i="4"/>
  <c r="U109" i="4"/>
  <c r="R109" i="4"/>
  <c r="T109" i="4"/>
  <c r="S109" i="4"/>
  <c r="U79" i="4"/>
  <c r="S99" i="4"/>
  <c r="U149" i="4"/>
  <c r="S63" i="4"/>
  <c r="U63" i="4"/>
  <c r="T63" i="4"/>
  <c r="R63" i="4"/>
  <c r="U51" i="4"/>
  <c r="T51" i="4"/>
  <c r="S51" i="4"/>
  <c r="R51" i="4"/>
  <c r="U95" i="4"/>
  <c r="T95" i="4"/>
  <c r="R95" i="4"/>
  <c r="S95" i="4"/>
  <c r="S146" i="4"/>
  <c r="U146" i="4"/>
  <c r="R146" i="4"/>
  <c r="T146" i="4"/>
  <c r="U130" i="4"/>
  <c r="T130" i="4"/>
  <c r="S130" i="4"/>
  <c r="R130" i="4"/>
  <c r="U45" i="4"/>
  <c r="T45" i="4"/>
  <c r="S45" i="4"/>
  <c r="R45" i="4"/>
  <c r="S60" i="4"/>
  <c r="U60" i="4"/>
  <c r="T60" i="4"/>
  <c r="R60" i="4"/>
  <c r="U110" i="4"/>
  <c r="S110" i="4"/>
  <c r="R110" i="4"/>
  <c r="T110" i="4"/>
  <c r="T165" i="4"/>
  <c r="R165" i="4"/>
  <c r="U165" i="4"/>
  <c r="S165" i="4"/>
  <c r="U8" i="4"/>
  <c r="T8" i="4"/>
  <c r="S8" i="4"/>
  <c r="R8" i="4"/>
  <c r="S76" i="4"/>
  <c r="U76" i="4"/>
  <c r="R76" i="4"/>
  <c r="T76" i="4"/>
  <c r="U89" i="4"/>
  <c r="T89" i="4"/>
  <c r="R89" i="4"/>
  <c r="S89" i="4"/>
  <c r="Y45" i="4"/>
  <c r="X45" i="4"/>
  <c r="W45" i="4"/>
  <c r="V45" i="4"/>
  <c r="U40" i="4"/>
  <c r="T40" i="4"/>
  <c r="S40" i="4"/>
  <c r="R40" i="4"/>
  <c r="U129" i="4"/>
  <c r="R129" i="4"/>
  <c r="T129" i="4"/>
  <c r="S129" i="4"/>
  <c r="S24" i="4"/>
  <c r="R24" i="4"/>
  <c r="U24" i="4"/>
  <c r="T24" i="4"/>
  <c r="U86" i="4"/>
  <c r="T86" i="4"/>
  <c r="S86" i="4"/>
  <c r="R86" i="4"/>
  <c r="T98" i="4"/>
  <c r="S98" i="4"/>
  <c r="R98" i="4"/>
  <c r="U98" i="4"/>
  <c r="U87" i="4"/>
  <c r="T87" i="4"/>
  <c r="R87" i="4"/>
  <c r="S87" i="4"/>
  <c r="U33" i="4"/>
  <c r="U68" i="4"/>
  <c r="S68" i="4"/>
  <c r="R68" i="4"/>
  <c r="T68" i="4"/>
  <c r="S59" i="4"/>
  <c r="U59" i="4"/>
  <c r="T59" i="4"/>
  <c r="R59" i="4"/>
  <c r="T167" i="4"/>
  <c r="R167" i="4"/>
  <c r="U167" i="4"/>
  <c r="S167" i="4"/>
  <c r="Y49" i="4"/>
  <c r="X49" i="4"/>
  <c r="W49" i="4"/>
  <c r="V49" i="4"/>
  <c r="R148" i="4"/>
  <c r="U148" i="4"/>
  <c r="T148" i="4"/>
  <c r="S148" i="4"/>
  <c r="S20" i="4"/>
  <c r="R20" i="4"/>
  <c r="U20" i="4"/>
  <c r="T20" i="4"/>
  <c r="U108" i="4"/>
  <c r="S108" i="4"/>
  <c r="R108" i="4"/>
  <c r="T108" i="4"/>
  <c r="T102" i="4"/>
  <c r="S102" i="4"/>
  <c r="R102" i="4"/>
  <c r="U102" i="4"/>
  <c r="U43" i="4"/>
  <c r="T43" i="4"/>
  <c r="S43" i="4"/>
  <c r="R43" i="4"/>
  <c r="U39" i="4"/>
  <c r="T39" i="4"/>
  <c r="S39" i="4"/>
  <c r="R39" i="4"/>
  <c r="R160" i="4"/>
  <c r="U160" i="4"/>
  <c r="T160" i="4"/>
  <c r="S160" i="4"/>
  <c r="Y39" i="4"/>
  <c r="X39" i="4"/>
  <c r="W39" i="4"/>
  <c r="V39" i="4"/>
  <c r="S96" i="4"/>
  <c r="S26" i="4"/>
  <c r="U26" i="4"/>
  <c r="T26" i="4"/>
  <c r="R26" i="4"/>
  <c r="S15" i="4"/>
  <c r="R15" i="4"/>
  <c r="U15" i="4"/>
  <c r="T15" i="4"/>
  <c r="U135" i="4"/>
  <c r="S135" i="4"/>
  <c r="R135" i="4"/>
  <c r="T135" i="4"/>
  <c r="S28" i="4"/>
  <c r="T28" i="4"/>
  <c r="R28" i="4"/>
  <c r="U28" i="4"/>
  <c r="T166" i="4"/>
  <c r="R166" i="4"/>
  <c r="U166" i="4"/>
  <c r="S166" i="4"/>
  <c r="T27" i="4"/>
  <c r="X28" i="4" s="1"/>
  <c r="U121" i="4"/>
  <c r="R121" i="4"/>
  <c r="T121" i="4"/>
  <c r="S121" i="4"/>
  <c r="U46" i="4"/>
  <c r="T46" i="4"/>
  <c r="S46" i="4"/>
  <c r="R46" i="4"/>
  <c r="S75" i="4"/>
  <c r="U75" i="4"/>
  <c r="T75" i="4"/>
  <c r="R75" i="4"/>
  <c r="R154" i="4"/>
  <c r="U154" i="4"/>
  <c r="T154" i="4"/>
  <c r="S154" i="4"/>
  <c r="Y74" i="4"/>
  <c r="X74" i="4"/>
  <c r="W74" i="4"/>
  <c r="V74" i="4"/>
  <c r="Y38" i="4"/>
  <c r="X38" i="4"/>
  <c r="W38" i="4"/>
  <c r="V38" i="4"/>
  <c r="R96" i="4"/>
  <c r="S81" i="4"/>
  <c r="U81" i="4"/>
  <c r="T81" i="4"/>
  <c r="R81" i="4"/>
  <c r="S65" i="4"/>
  <c r="U65" i="4"/>
  <c r="T65" i="4"/>
  <c r="R65" i="4"/>
  <c r="X93" i="4"/>
  <c r="V93" i="4"/>
  <c r="Y51" i="4"/>
  <c r="X51" i="4"/>
  <c r="W51" i="4"/>
  <c r="V51" i="4"/>
  <c r="S58" i="4"/>
  <c r="U58" i="4"/>
  <c r="T58" i="4"/>
  <c r="R58" i="4"/>
  <c r="S31" i="4"/>
  <c r="U31" i="4"/>
  <c r="T31" i="4"/>
  <c r="R31" i="4"/>
  <c r="S32" i="4"/>
  <c r="U32" i="4"/>
  <c r="T32" i="4"/>
  <c r="R32" i="4"/>
  <c r="Y12" i="4"/>
  <c r="X12" i="4"/>
  <c r="W12" i="4"/>
  <c r="V12" i="4"/>
  <c r="U131" i="4"/>
  <c r="T131" i="4"/>
  <c r="S131" i="4"/>
  <c r="R131" i="4"/>
  <c r="Y112" i="4"/>
  <c r="X112" i="4"/>
  <c r="V112" i="4"/>
  <c r="W112" i="4"/>
  <c r="U27" i="4"/>
  <c r="U49" i="4"/>
  <c r="T49" i="4"/>
  <c r="S49" i="4"/>
  <c r="R49" i="4"/>
  <c r="S141" i="4"/>
  <c r="T141" i="4"/>
  <c r="R141" i="4"/>
  <c r="U141" i="4"/>
  <c r="R161" i="4"/>
  <c r="U161" i="4"/>
  <c r="T161" i="4"/>
  <c r="S161" i="4"/>
  <c r="T164" i="4"/>
  <c r="R164" i="4"/>
  <c r="S164" i="4"/>
  <c r="U164" i="4"/>
  <c r="Y23" i="4"/>
  <c r="X23" i="4"/>
  <c r="W23" i="4"/>
  <c r="V23" i="4"/>
  <c r="T96" i="4"/>
  <c r="Y124" i="4"/>
  <c r="X124" i="4"/>
  <c r="W124" i="4"/>
  <c r="V124" i="4"/>
  <c r="T163" i="4"/>
  <c r="R163" i="4"/>
  <c r="U163" i="4"/>
  <c r="S163" i="4"/>
  <c r="U128" i="4"/>
  <c r="S128" i="4"/>
  <c r="T128" i="4"/>
  <c r="R128" i="4"/>
  <c r="R147" i="4"/>
  <c r="U147" i="4"/>
  <c r="T147" i="4"/>
  <c r="S147" i="4"/>
  <c r="T92" i="4"/>
  <c r="Y93" i="4" s="1"/>
  <c r="S25" i="4"/>
  <c r="U25" i="4"/>
  <c r="T25" i="4"/>
  <c r="R25" i="4"/>
  <c r="R107" i="4"/>
  <c r="T107" i="4"/>
  <c r="U107" i="4"/>
  <c r="S107" i="4"/>
  <c r="U94" i="4"/>
  <c r="T94" i="4"/>
  <c r="R94" i="4"/>
  <c r="S94" i="4"/>
  <c r="V125" i="4"/>
  <c r="W125" i="4"/>
  <c r="Y125" i="4"/>
  <c r="X125" i="4"/>
  <c r="S139" i="4"/>
  <c r="T139" i="4"/>
  <c r="U139" i="4"/>
  <c r="R139" i="4"/>
  <c r="U85" i="4"/>
  <c r="T85" i="4"/>
  <c r="S85" i="4"/>
  <c r="R85" i="4"/>
  <c r="U52" i="4"/>
  <c r="T52" i="4"/>
  <c r="S52" i="4"/>
  <c r="R52" i="4"/>
  <c r="S143" i="4"/>
  <c r="R143" i="4"/>
  <c r="U143" i="4"/>
  <c r="T143" i="4"/>
  <c r="Y85" i="4"/>
  <c r="X85" i="4"/>
  <c r="W85" i="4"/>
  <c r="V85" i="4"/>
  <c r="Y152" i="4"/>
  <c r="X152" i="4"/>
  <c r="W152" i="4"/>
  <c r="V152" i="4"/>
  <c r="U93" i="4"/>
  <c r="T93" i="4"/>
  <c r="R93" i="4"/>
  <c r="S93" i="4"/>
  <c r="Y151" i="4"/>
  <c r="X151" i="4"/>
  <c r="V151" i="4"/>
  <c r="W151" i="4"/>
  <c r="AA68" i="4" l="1"/>
  <c r="AC68" i="4"/>
  <c r="AB68" i="4"/>
  <c r="Z68" i="4"/>
  <c r="Y50" i="4"/>
  <c r="X50" i="4"/>
  <c r="W50" i="4"/>
  <c r="V50" i="4"/>
  <c r="AC116" i="4"/>
  <c r="AB116" i="4"/>
  <c r="AA116" i="4"/>
  <c r="Z116" i="4"/>
  <c r="AC55" i="4"/>
  <c r="AB55" i="4"/>
  <c r="AA55" i="4"/>
  <c r="Z55" i="4"/>
  <c r="X164" i="4"/>
  <c r="Y164" i="4"/>
  <c r="W164" i="4"/>
  <c r="V164" i="4"/>
  <c r="Y35" i="4"/>
  <c r="W105" i="4"/>
  <c r="V105" i="4"/>
  <c r="X105" i="4"/>
  <c r="Y105" i="4"/>
  <c r="AB86" i="4"/>
  <c r="Z86" i="4"/>
  <c r="AC86" i="4"/>
  <c r="AA86" i="4"/>
  <c r="Y86" i="4"/>
  <c r="X86" i="4"/>
  <c r="W86" i="4"/>
  <c r="V86" i="4"/>
  <c r="Y165" i="4"/>
  <c r="X165" i="4"/>
  <c r="W165" i="4"/>
  <c r="V165" i="4"/>
  <c r="AA75" i="4"/>
  <c r="AB75" i="4"/>
  <c r="AC75" i="4"/>
  <c r="Z75" i="4"/>
  <c r="Y47" i="4"/>
  <c r="X47" i="4"/>
  <c r="W47" i="4"/>
  <c r="V47" i="4"/>
  <c r="W99" i="4"/>
  <c r="V99" i="4"/>
  <c r="Y99" i="4"/>
  <c r="X99" i="4"/>
  <c r="X90" i="4"/>
  <c r="Y90" i="4"/>
  <c r="W90" i="4"/>
  <c r="V90" i="4"/>
  <c r="X96" i="4"/>
  <c r="Y96" i="4"/>
  <c r="W96" i="4"/>
  <c r="V96" i="4"/>
  <c r="X63" i="4"/>
  <c r="W63" i="4"/>
  <c r="Y63" i="4"/>
  <c r="V63" i="4"/>
  <c r="Y18" i="4"/>
  <c r="X18" i="4"/>
  <c r="W18" i="4"/>
  <c r="V18" i="4"/>
  <c r="Y8" i="4"/>
  <c r="X8" i="4"/>
  <c r="W8" i="4"/>
  <c r="V8" i="4"/>
  <c r="Y15" i="4"/>
  <c r="X15" i="4"/>
  <c r="W15" i="4"/>
  <c r="V15" i="4"/>
  <c r="Y78" i="4"/>
  <c r="X78" i="4"/>
  <c r="W78" i="4"/>
  <c r="V78" i="4"/>
  <c r="Y13" i="4"/>
  <c r="X13" i="4"/>
  <c r="W13" i="4"/>
  <c r="V13" i="4"/>
  <c r="W103" i="4"/>
  <c r="V103" i="4"/>
  <c r="Y103" i="4"/>
  <c r="X103" i="4"/>
  <c r="X95" i="4"/>
  <c r="V95" i="4"/>
  <c r="Y95" i="4"/>
  <c r="W95" i="4"/>
  <c r="Y161" i="4"/>
  <c r="X161" i="4"/>
  <c r="W161" i="4"/>
  <c r="V161" i="4"/>
  <c r="Y149" i="4"/>
  <c r="X149" i="4"/>
  <c r="V149" i="4"/>
  <c r="W149" i="4"/>
  <c r="V130" i="4"/>
  <c r="X130" i="4"/>
  <c r="W130" i="4"/>
  <c r="Y130" i="4"/>
  <c r="X166" i="4"/>
  <c r="Y166" i="4"/>
  <c r="W166" i="4"/>
  <c r="V166" i="4"/>
  <c r="Y71" i="4"/>
  <c r="X71" i="4"/>
  <c r="W71" i="4"/>
  <c r="V71" i="4"/>
  <c r="Y81" i="4"/>
  <c r="X81" i="4"/>
  <c r="W81" i="4"/>
  <c r="V81" i="4"/>
  <c r="X56" i="4"/>
  <c r="W56" i="4"/>
  <c r="Y56" i="4"/>
  <c r="V56" i="4"/>
  <c r="V134" i="4"/>
  <c r="Y134" i="4"/>
  <c r="X134" i="4"/>
  <c r="W134" i="4"/>
  <c r="Y139" i="4"/>
  <c r="V139" i="4"/>
  <c r="X139" i="4"/>
  <c r="W139" i="4"/>
  <c r="X66" i="4"/>
  <c r="W66" i="4"/>
  <c r="Y66" i="4"/>
  <c r="V66" i="4"/>
  <c r="O18" i="1"/>
  <c r="N19" i="1"/>
  <c r="AC50" i="4"/>
  <c r="AB50" i="4"/>
  <c r="AA50" i="4"/>
  <c r="Z50" i="4"/>
  <c r="Y42" i="4"/>
  <c r="X42" i="4"/>
  <c r="W42" i="4"/>
  <c r="V42" i="4"/>
  <c r="V120" i="4"/>
  <c r="X120" i="4"/>
  <c r="W120" i="4"/>
  <c r="Y120" i="4"/>
  <c r="Y119" i="4"/>
  <c r="X119" i="4"/>
  <c r="V119" i="4"/>
  <c r="W119" i="4"/>
  <c r="X91" i="4"/>
  <c r="V91" i="4"/>
  <c r="Y91" i="4"/>
  <c r="W91" i="4"/>
  <c r="Y36" i="4"/>
  <c r="X36" i="4"/>
  <c r="W36" i="4"/>
  <c r="V36" i="4"/>
  <c r="Y31" i="4"/>
  <c r="X31" i="4"/>
  <c r="W31" i="4"/>
  <c r="V31" i="4"/>
  <c r="Y20" i="4"/>
  <c r="X20" i="4"/>
  <c r="W20" i="4"/>
  <c r="V20" i="4"/>
  <c r="AB93" i="4"/>
  <c r="Z93" i="4"/>
  <c r="AC93" i="4"/>
  <c r="AA93" i="4"/>
  <c r="W104" i="4"/>
  <c r="V104" i="4"/>
  <c r="Y104" i="4"/>
  <c r="X104" i="4"/>
  <c r="V126" i="4"/>
  <c r="Y126" i="4"/>
  <c r="W126" i="4"/>
  <c r="X126" i="4"/>
  <c r="V28" i="4"/>
  <c r="Y83" i="4"/>
  <c r="X83" i="4"/>
  <c r="W83" i="4"/>
  <c r="V83" i="4"/>
  <c r="Z152" i="4"/>
  <c r="AA152" i="4"/>
  <c r="AB152" i="4"/>
  <c r="AC152" i="4"/>
  <c r="AC125" i="4"/>
  <c r="Z125" i="4"/>
  <c r="AA125" i="4"/>
  <c r="AB125" i="4"/>
  <c r="Y27" i="4"/>
  <c r="X27" i="4"/>
  <c r="W27" i="4"/>
  <c r="V27" i="4"/>
  <c r="Y29" i="4"/>
  <c r="X29" i="4"/>
  <c r="W29" i="4"/>
  <c r="V29" i="4"/>
  <c r="Y40" i="4"/>
  <c r="X40" i="4"/>
  <c r="W40" i="4"/>
  <c r="V40" i="4"/>
  <c r="Y33" i="4"/>
  <c r="X33" i="4"/>
  <c r="W33" i="4"/>
  <c r="V33" i="4"/>
  <c r="AC52" i="4"/>
  <c r="AB52" i="4"/>
  <c r="AA52" i="4"/>
  <c r="Z52" i="4"/>
  <c r="W82" i="4"/>
  <c r="Y82" i="4"/>
  <c r="X82" i="4"/>
  <c r="V82" i="4"/>
  <c r="W109" i="4"/>
  <c r="Y109" i="4"/>
  <c r="X109" i="4"/>
  <c r="V109" i="4"/>
  <c r="X69" i="4"/>
  <c r="W69" i="4"/>
  <c r="Y69" i="4"/>
  <c r="V69" i="4"/>
  <c r="X87" i="4"/>
  <c r="V87" i="4"/>
  <c r="Y87" i="4"/>
  <c r="W87" i="4"/>
  <c r="Y41" i="4"/>
  <c r="X41" i="4"/>
  <c r="W41" i="4"/>
  <c r="V41" i="4"/>
  <c r="V131" i="4"/>
  <c r="Y131" i="4"/>
  <c r="X131" i="4"/>
  <c r="W131" i="4"/>
  <c r="Y52" i="4"/>
  <c r="X52" i="4"/>
  <c r="W52" i="4"/>
  <c r="V52" i="4"/>
  <c r="X58" i="4"/>
  <c r="W58" i="4"/>
  <c r="Y58" i="4"/>
  <c r="V58" i="4"/>
  <c r="Y22" i="4"/>
  <c r="X22" i="4"/>
  <c r="W22" i="4"/>
  <c r="V22" i="4"/>
  <c r="Y160" i="4"/>
  <c r="X160" i="4"/>
  <c r="W160" i="4"/>
  <c r="V160" i="4"/>
  <c r="W101" i="4"/>
  <c r="V101" i="4"/>
  <c r="X101" i="4"/>
  <c r="Y101" i="4"/>
  <c r="Y145" i="4"/>
  <c r="V145" i="4"/>
  <c r="X145" i="4"/>
  <c r="W145" i="4"/>
  <c r="W28" i="4"/>
  <c r="W117" i="4"/>
  <c r="Y117" i="4"/>
  <c r="X117" i="4"/>
  <c r="V117" i="4"/>
  <c r="Y167" i="4"/>
  <c r="X167" i="4"/>
  <c r="W167" i="4"/>
  <c r="V167" i="4"/>
  <c r="Y34" i="4"/>
  <c r="X34" i="4"/>
  <c r="W34" i="4"/>
  <c r="V34" i="4"/>
  <c r="Y140" i="4"/>
  <c r="V140" i="4"/>
  <c r="X140" i="4"/>
  <c r="W140" i="4"/>
  <c r="Y148" i="4"/>
  <c r="X148" i="4"/>
  <c r="V148" i="4"/>
  <c r="W148" i="4"/>
  <c r="AC113" i="4"/>
  <c r="AB113" i="4"/>
  <c r="AA113" i="4"/>
  <c r="Z113" i="4"/>
  <c r="V110" i="4"/>
  <c r="X110" i="4"/>
  <c r="Y110" i="4"/>
  <c r="W110" i="4"/>
  <c r="X107" i="4"/>
  <c r="W107" i="4"/>
  <c r="V107" i="4"/>
  <c r="Y107" i="4"/>
  <c r="Y163" i="4"/>
  <c r="X163" i="4"/>
  <c r="W163" i="4"/>
  <c r="V163" i="4"/>
  <c r="Y153" i="4"/>
  <c r="X153" i="4"/>
  <c r="W153" i="4"/>
  <c r="V153" i="4"/>
  <c r="Y37" i="4"/>
  <c r="X37" i="4"/>
  <c r="W37" i="4"/>
  <c r="V37" i="4"/>
  <c r="X70" i="4"/>
  <c r="W70" i="4"/>
  <c r="Y70" i="4"/>
  <c r="V70" i="4"/>
  <c r="V133" i="4"/>
  <c r="W133" i="4"/>
  <c r="Y133" i="4"/>
  <c r="X133" i="4"/>
  <c r="Y135" i="4"/>
  <c r="V135" i="4"/>
  <c r="X135" i="4"/>
  <c r="W135" i="4"/>
  <c r="W123" i="4"/>
  <c r="V123" i="4"/>
  <c r="Y123" i="4"/>
  <c r="X123" i="4"/>
  <c r="V114" i="4"/>
  <c r="Y114" i="4"/>
  <c r="X114" i="4"/>
  <c r="W114" i="4"/>
  <c r="X35" i="4"/>
  <c r="X59" i="4"/>
  <c r="W59" i="4"/>
  <c r="V59" i="4"/>
  <c r="Y59" i="4"/>
  <c r="Y77" i="4"/>
  <c r="X77" i="4"/>
  <c r="W77" i="4"/>
  <c r="V77" i="4"/>
  <c r="Y143" i="4"/>
  <c r="V143" i="4"/>
  <c r="W143" i="4"/>
  <c r="X143" i="4"/>
  <c r="X94" i="4"/>
  <c r="Y94" i="4"/>
  <c r="W94" i="4"/>
  <c r="V94" i="4"/>
  <c r="AC58" i="4"/>
  <c r="AB58" i="4"/>
  <c r="Z58" i="4"/>
  <c r="AA58" i="4"/>
  <c r="Y24" i="4"/>
  <c r="X24" i="4"/>
  <c r="W24" i="4"/>
  <c r="V24" i="4"/>
  <c r="Y65" i="4"/>
  <c r="X65" i="4"/>
  <c r="W65" i="4"/>
  <c r="V65" i="4"/>
  <c r="W102" i="4"/>
  <c r="V102" i="4"/>
  <c r="Y102" i="4"/>
  <c r="X102" i="4"/>
  <c r="X55" i="4"/>
  <c r="W55" i="4"/>
  <c r="Y55" i="4"/>
  <c r="V55" i="4"/>
  <c r="AC126" i="4"/>
  <c r="AB126" i="4"/>
  <c r="AA126" i="4"/>
  <c r="Z126" i="4"/>
  <c r="Y43" i="4"/>
  <c r="X43" i="4"/>
  <c r="W43" i="4"/>
  <c r="V43" i="4"/>
  <c r="Y111" i="4"/>
  <c r="W111" i="4"/>
  <c r="V111" i="4"/>
  <c r="X111" i="4"/>
  <c r="V129" i="4"/>
  <c r="Y129" i="4"/>
  <c r="W129" i="4"/>
  <c r="X129" i="4"/>
  <c r="X162" i="4"/>
  <c r="Y162" i="4"/>
  <c r="W162" i="4"/>
  <c r="V162" i="4"/>
  <c r="Y144" i="4"/>
  <c r="V144" i="4"/>
  <c r="W144" i="4"/>
  <c r="X144" i="4"/>
  <c r="AC24" i="4"/>
  <c r="AA24" i="4"/>
  <c r="AB24" i="4"/>
  <c r="Z24" i="4"/>
  <c r="Y122" i="4"/>
  <c r="W122" i="4"/>
  <c r="X122" i="4"/>
  <c r="V122" i="4"/>
  <c r="Y136" i="4"/>
  <c r="V136" i="4"/>
  <c r="W136" i="4"/>
  <c r="X136" i="4"/>
  <c r="AC40" i="4"/>
  <c r="AB40" i="4"/>
  <c r="AA40" i="4"/>
  <c r="Z40" i="4"/>
  <c r="Y44" i="4"/>
  <c r="X44" i="4"/>
  <c r="W44" i="4"/>
  <c r="V44" i="4"/>
  <c r="Y73" i="4"/>
  <c r="X73" i="4"/>
  <c r="W73" i="4"/>
  <c r="V73" i="4"/>
  <c r="X84" i="4"/>
  <c r="W84" i="4"/>
  <c r="Y84" i="4"/>
  <c r="V84" i="4"/>
  <c r="Y146" i="4"/>
  <c r="V146" i="4"/>
  <c r="X146" i="4"/>
  <c r="W146" i="4"/>
  <c r="Y137" i="4"/>
  <c r="V137" i="4"/>
  <c r="X137" i="4"/>
  <c r="W137" i="4"/>
  <c r="V150" i="4"/>
  <c r="Y10" i="4"/>
  <c r="X10" i="4"/>
  <c r="W10" i="4"/>
  <c r="V10" i="4"/>
  <c r="W113" i="4"/>
  <c r="Y113" i="4"/>
  <c r="X113" i="4"/>
  <c r="V113" i="4"/>
  <c r="Y16" i="4"/>
  <c r="X16" i="4"/>
  <c r="W16" i="4"/>
  <c r="V16" i="4"/>
  <c r="Y46" i="4"/>
  <c r="X46" i="4"/>
  <c r="W46" i="4"/>
  <c r="V46" i="4"/>
  <c r="Y19" i="4"/>
  <c r="X19" i="4"/>
  <c r="W19" i="4"/>
  <c r="V19" i="4"/>
  <c r="Y142" i="4"/>
  <c r="V142" i="4"/>
  <c r="X142" i="4"/>
  <c r="W142" i="4"/>
  <c r="X97" i="4"/>
  <c r="Y97" i="4"/>
  <c r="W97" i="4"/>
  <c r="V97" i="4"/>
  <c r="AC46" i="4"/>
  <c r="AB46" i="4"/>
  <c r="AA46" i="4"/>
  <c r="Z46" i="4"/>
  <c r="X61" i="4"/>
  <c r="W61" i="4"/>
  <c r="Y61" i="4"/>
  <c r="V61" i="4"/>
  <c r="Y64" i="4"/>
  <c r="X64" i="4"/>
  <c r="W64" i="4"/>
  <c r="V64" i="4"/>
  <c r="Y118" i="4"/>
  <c r="W118" i="4"/>
  <c r="X118" i="4"/>
  <c r="V118" i="4"/>
  <c r="Y17" i="4"/>
  <c r="X17" i="4"/>
  <c r="W17" i="4"/>
  <c r="V17" i="4"/>
  <c r="W100" i="4"/>
  <c r="V100" i="4"/>
  <c r="Y100" i="4"/>
  <c r="X100" i="4"/>
  <c r="Y79" i="4"/>
  <c r="X79" i="4"/>
  <c r="W79" i="4"/>
  <c r="V79" i="4"/>
  <c r="X106" i="4"/>
  <c r="W106" i="4"/>
  <c r="V106" i="4"/>
  <c r="Y106" i="4"/>
  <c r="X60" i="4"/>
  <c r="W60" i="4"/>
  <c r="Y60" i="4"/>
  <c r="V60" i="4"/>
  <c r="V132" i="4"/>
  <c r="X132" i="4"/>
  <c r="W132" i="4"/>
  <c r="Y132" i="4"/>
  <c r="Y155" i="4"/>
  <c r="X155" i="4"/>
  <c r="V155" i="4"/>
  <c r="W155" i="4"/>
  <c r="Y53" i="4"/>
  <c r="X53" i="4"/>
  <c r="W53" i="4"/>
  <c r="V53" i="4"/>
  <c r="Y26" i="4"/>
  <c r="X26" i="4"/>
  <c r="W26" i="4"/>
  <c r="V26" i="4"/>
  <c r="AC39" i="4"/>
  <c r="AB39" i="4"/>
  <c r="AA39" i="4"/>
  <c r="Z39" i="4"/>
  <c r="Y21" i="4"/>
  <c r="X21" i="4"/>
  <c r="W21" i="4"/>
  <c r="V21" i="4"/>
  <c r="X88" i="4"/>
  <c r="Y88" i="4"/>
  <c r="W88" i="4"/>
  <c r="V88" i="4"/>
  <c r="Y147" i="4"/>
  <c r="X147" i="4"/>
  <c r="W147" i="4"/>
  <c r="V147" i="4"/>
  <c r="Y11" i="4"/>
  <c r="X11" i="4"/>
  <c r="W11" i="4"/>
  <c r="V11" i="4"/>
  <c r="Y116" i="4"/>
  <c r="X116" i="4"/>
  <c r="V116" i="4"/>
  <c r="W116" i="4"/>
  <c r="W98" i="4"/>
  <c r="V98" i="4"/>
  <c r="Y98" i="4"/>
  <c r="X98" i="4"/>
  <c r="Y141" i="4"/>
  <c r="V141" i="4"/>
  <c r="W141" i="4"/>
  <c r="X141" i="4"/>
  <c r="Y80" i="4"/>
  <c r="X80" i="4"/>
  <c r="W80" i="4"/>
  <c r="V80" i="4"/>
  <c r="Y138" i="4"/>
  <c r="V138" i="4"/>
  <c r="X138" i="4"/>
  <c r="W138" i="4"/>
  <c r="AA73" i="4"/>
  <c r="AC73" i="4"/>
  <c r="Z73" i="4"/>
  <c r="AB73" i="4"/>
  <c r="AC31" i="4"/>
  <c r="AB31" i="4"/>
  <c r="AA31" i="4"/>
  <c r="Z31" i="4"/>
  <c r="V35" i="4"/>
  <c r="Y14" i="4"/>
  <c r="X14" i="4"/>
  <c r="W14" i="4"/>
  <c r="V14" i="4"/>
  <c r="W121" i="4"/>
  <c r="V121" i="4"/>
  <c r="Y121" i="4"/>
  <c r="X121" i="4"/>
  <c r="X150" i="4"/>
  <c r="AC13" i="4"/>
  <c r="AB13" i="4"/>
  <c r="AA13" i="4"/>
  <c r="Z13" i="4"/>
  <c r="Y75" i="4"/>
  <c r="X75" i="4"/>
  <c r="W75" i="4"/>
  <c r="V75" i="4"/>
  <c r="Y108" i="4"/>
  <c r="X108" i="4"/>
  <c r="V108" i="4"/>
  <c r="W108" i="4"/>
  <c r="Y32" i="4"/>
  <c r="X32" i="4"/>
  <c r="W32" i="4"/>
  <c r="V32" i="4"/>
  <c r="AB94" i="4"/>
  <c r="Z94" i="4"/>
  <c r="AA94" i="4"/>
  <c r="Y9" i="4"/>
  <c r="X9" i="4"/>
  <c r="W9" i="4"/>
  <c r="V9" i="4"/>
  <c r="Y156" i="4"/>
  <c r="X156" i="4"/>
  <c r="W156" i="4"/>
  <c r="V156" i="4"/>
  <c r="Z153" i="4"/>
  <c r="AC153" i="4"/>
  <c r="AB153" i="4"/>
  <c r="AA153" i="4"/>
  <c r="W93" i="4"/>
  <c r="AC94" i="4" s="1"/>
  <c r="Y76" i="4"/>
  <c r="X76" i="4"/>
  <c r="W76" i="4"/>
  <c r="V76" i="4"/>
  <c r="X168" i="4"/>
  <c r="Y168" i="4"/>
  <c r="W168" i="4"/>
  <c r="V168" i="4"/>
  <c r="Y25" i="4"/>
  <c r="X25" i="4"/>
  <c r="W25" i="4"/>
  <c r="V25" i="4"/>
  <c r="X68" i="4"/>
  <c r="W68" i="4"/>
  <c r="Y68" i="4"/>
  <c r="V68" i="4"/>
  <c r="AB90" i="4"/>
  <c r="Z90" i="4"/>
  <c r="AA90" i="4"/>
  <c r="AC90" i="4"/>
  <c r="V128" i="4"/>
  <c r="W128" i="4"/>
  <c r="Y128" i="4"/>
  <c r="X128" i="4"/>
  <c r="AC49" i="4"/>
  <c r="AB49" i="4"/>
  <c r="AA49" i="4"/>
  <c r="Z49" i="4"/>
  <c r="Y154" i="4"/>
  <c r="X154" i="4"/>
  <c r="W154" i="4"/>
  <c r="V154" i="4"/>
  <c r="Y157" i="4"/>
  <c r="X157" i="4"/>
  <c r="W157" i="4"/>
  <c r="V157" i="4"/>
  <c r="X62" i="4"/>
  <c r="W62" i="4"/>
  <c r="Y62" i="4"/>
  <c r="V62" i="4"/>
  <c r="Y158" i="4"/>
  <c r="X158" i="4"/>
  <c r="W158" i="4"/>
  <c r="V158" i="4"/>
  <c r="AC128" i="4"/>
  <c r="Z128" i="4"/>
  <c r="AA128" i="4"/>
  <c r="AB128" i="4"/>
  <c r="Y159" i="4"/>
  <c r="X159" i="4"/>
  <c r="W159" i="4"/>
  <c r="V159" i="4"/>
  <c r="AC28" i="4" l="1"/>
  <c r="AB28" i="4"/>
  <c r="AA28" i="4"/>
  <c r="Z28" i="4"/>
  <c r="AG95" i="4"/>
  <c r="AF95" i="4"/>
  <c r="AD95" i="4"/>
  <c r="AE95" i="4"/>
  <c r="AG40" i="4"/>
  <c r="AF40" i="4"/>
  <c r="AE40" i="4"/>
  <c r="AD40" i="4"/>
  <c r="AC17" i="4"/>
  <c r="AB17" i="4"/>
  <c r="AA17" i="4"/>
  <c r="Z17" i="4"/>
  <c r="Z151" i="4"/>
  <c r="AC151" i="4"/>
  <c r="AA151" i="4"/>
  <c r="AB151" i="4"/>
  <c r="AC130" i="4"/>
  <c r="AA130" i="4"/>
  <c r="Z130" i="4"/>
  <c r="AB130" i="4"/>
  <c r="AC136" i="4"/>
  <c r="Z136" i="4"/>
  <c r="AB136" i="4"/>
  <c r="AA136" i="4"/>
  <c r="AC37" i="4"/>
  <c r="AB37" i="4"/>
  <c r="AA37" i="4"/>
  <c r="Z37" i="4"/>
  <c r="O19" i="1"/>
  <c r="N20" i="1"/>
  <c r="Z104" i="4"/>
  <c r="AC104" i="4"/>
  <c r="AB104" i="4"/>
  <c r="AA104" i="4"/>
  <c r="Z100" i="4"/>
  <c r="AC100" i="4"/>
  <c r="AB100" i="4"/>
  <c r="AA100" i="4"/>
  <c r="Z106" i="4"/>
  <c r="AA106" i="4"/>
  <c r="AC106" i="4"/>
  <c r="AB106" i="4"/>
  <c r="AC42" i="4"/>
  <c r="AB42" i="4"/>
  <c r="AA42" i="4"/>
  <c r="Z42" i="4"/>
  <c r="AC62" i="4"/>
  <c r="AB62" i="4"/>
  <c r="Z62" i="4"/>
  <c r="AA62" i="4"/>
  <c r="AD154" i="4"/>
  <c r="AG154" i="4"/>
  <c r="AF154" i="4"/>
  <c r="AE154" i="4"/>
  <c r="Z107" i="4"/>
  <c r="AC107" i="4"/>
  <c r="AA107" i="4"/>
  <c r="AB107" i="4"/>
  <c r="AA74" i="4"/>
  <c r="AB74" i="4"/>
  <c r="Z74" i="4"/>
  <c r="AC74" i="4"/>
  <c r="AC56" i="4"/>
  <c r="AB56" i="4"/>
  <c r="Z56" i="4"/>
  <c r="AA56" i="4"/>
  <c r="AC25" i="4"/>
  <c r="AA25" i="4"/>
  <c r="AB25" i="4"/>
  <c r="Z25" i="4"/>
  <c r="Z102" i="4"/>
  <c r="AB102" i="4"/>
  <c r="AA102" i="4"/>
  <c r="AC102" i="4"/>
  <c r="AC135" i="4"/>
  <c r="AB135" i="4"/>
  <c r="Z135" i="4"/>
  <c r="AA135" i="4"/>
  <c r="Z157" i="4"/>
  <c r="AC157" i="4"/>
  <c r="AB157" i="4"/>
  <c r="AA157" i="4"/>
  <c r="AC33" i="4"/>
  <c r="AB33" i="4"/>
  <c r="AA33" i="4"/>
  <c r="Z33" i="4"/>
  <c r="AG14" i="4"/>
  <c r="AF14" i="4"/>
  <c r="AE14" i="4"/>
  <c r="AD14" i="4"/>
  <c r="AC139" i="4"/>
  <c r="AB139" i="4"/>
  <c r="AA139" i="4"/>
  <c r="Z139" i="4"/>
  <c r="Z99" i="4"/>
  <c r="AC99" i="4"/>
  <c r="AB99" i="4"/>
  <c r="AA99" i="4"/>
  <c r="AC143" i="4"/>
  <c r="AB143" i="4"/>
  <c r="Z143" i="4"/>
  <c r="AA143" i="4"/>
  <c r="AC112" i="4"/>
  <c r="AB112" i="4"/>
  <c r="AA112" i="4"/>
  <c r="Z112" i="4"/>
  <c r="Z154" i="4"/>
  <c r="AC154" i="4"/>
  <c r="AA154" i="4"/>
  <c r="AB154" i="4"/>
  <c r="AC118" i="4"/>
  <c r="AA118" i="4"/>
  <c r="AB118" i="4"/>
  <c r="Z118" i="4"/>
  <c r="AG94" i="4"/>
  <c r="AF94" i="4"/>
  <c r="AD94" i="4"/>
  <c r="AE94" i="4"/>
  <c r="AA67" i="4"/>
  <c r="AC67" i="4"/>
  <c r="Z67" i="4"/>
  <c r="AB67" i="4"/>
  <c r="AC57" i="4"/>
  <c r="AB57" i="4"/>
  <c r="Z57" i="4"/>
  <c r="AA57" i="4"/>
  <c r="AA167" i="4"/>
  <c r="Z167" i="4"/>
  <c r="AC167" i="4"/>
  <c r="AB167" i="4"/>
  <c r="Z162" i="4"/>
  <c r="AC162" i="4"/>
  <c r="AB162" i="4"/>
  <c r="AA162" i="4"/>
  <c r="AA14" i="4"/>
  <c r="Z14" i="4"/>
  <c r="AC14" i="4"/>
  <c r="AB14" i="4"/>
  <c r="AC9" i="4"/>
  <c r="AB9" i="4"/>
  <c r="AA9" i="4"/>
  <c r="Z9" i="4"/>
  <c r="AB97" i="4"/>
  <c r="Z97" i="4"/>
  <c r="AC97" i="4"/>
  <c r="AA97" i="4"/>
  <c r="AC48" i="4"/>
  <c r="AB48" i="4"/>
  <c r="AA48" i="4"/>
  <c r="Z48" i="4"/>
  <c r="AB87" i="4"/>
  <c r="Z87" i="4"/>
  <c r="AC87" i="4"/>
  <c r="AA87" i="4"/>
  <c r="Z148" i="4"/>
  <c r="AA148" i="4"/>
  <c r="AB148" i="4"/>
  <c r="AC148" i="4"/>
  <c r="AC36" i="4"/>
  <c r="AB36" i="4"/>
  <c r="AA36" i="4"/>
  <c r="Z36" i="4"/>
  <c r="AC138" i="4"/>
  <c r="AA138" i="4"/>
  <c r="AB138" i="4"/>
  <c r="Z138" i="4"/>
  <c r="AC137" i="4"/>
  <c r="AB137" i="4"/>
  <c r="AA137" i="4"/>
  <c r="Z137" i="4"/>
  <c r="AC145" i="4"/>
  <c r="AB145" i="4"/>
  <c r="Z145" i="4"/>
  <c r="AA145" i="4"/>
  <c r="AC144" i="4"/>
  <c r="AB144" i="4"/>
  <c r="AA144" i="4"/>
  <c r="Z144" i="4"/>
  <c r="AC161" i="4"/>
  <c r="AB161" i="4"/>
  <c r="AA161" i="4"/>
  <c r="Z161" i="4"/>
  <c r="AC53" i="4"/>
  <c r="AB53" i="4"/>
  <c r="AA53" i="4"/>
  <c r="Z53" i="4"/>
  <c r="AB83" i="4"/>
  <c r="Z83" i="4"/>
  <c r="AC83" i="4"/>
  <c r="AA83" i="4"/>
  <c r="AC41" i="4"/>
  <c r="AB41" i="4"/>
  <c r="AA41" i="4"/>
  <c r="Z41" i="4"/>
  <c r="AC29" i="4"/>
  <c r="AB29" i="4"/>
  <c r="AA29" i="4"/>
  <c r="Z29" i="4"/>
  <c r="AC121" i="4"/>
  <c r="AA121" i="4"/>
  <c r="AB121" i="4"/>
  <c r="Z121" i="4"/>
  <c r="AA165" i="4"/>
  <c r="Z165" i="4"/>
  <c r="AC165" i="4"/>
  <c r="AB165" i="4"/>
  <c r="AC51" i="4"/>
  <c r="AB51" i="4"/>
  <c r="AA51" i="4"/>
  <c r="Z51" i="4"/>
  <c r="AE32" i="4"/>
  <c r="AF32" i="4"/>
  <c r="AD32" i="4"/>
  <c r="AG32" i="4"/>
  <c r="AA81" i="4"/>
  <c r="AB81" i="4"/>
  <c r="Z81" i="4"/>
  <c r="AC81" i="4"/>
  <c r="AB89" i="4"/>
  <c r="Z89" i="4"/>
  <c r="AC89" i="4"/>
  <c r="AA89" i="4"/>
  <c r="AC27" i="4"/>
  <c r="AB27" i="4"/>
  <c r="AA27" i="4"/>
  <c r="Z27" i="4"/>
  <c r="AA80" i="4"/>
  <c r="AC80" i="4"/>
  <c r="AB80" i="4"/>
  <c r="Z80" i="4"/>
  <c r="AC119" i="4"/>
  <c r="AA119" i="4"/>
  <c r="AB119" i="4"/>
  <c r="Z119" i="4"/>
  <c r="AG47" i="4"/>
  <c r="AF47" i="4"/>
  <c r="AE47" i="4"/>
  <c r="AD47" i="4"/>
  <c r="AC20" i="4"/>
  <c r="AB20" i="4"/>
  <c r="AA20" i="4"/>
  <c r="Z20" i="4"/>
  <c r="AC114" i="4"/>
  <c r="AB114" i="4"/>
  <c r="AA114" i="4"/>
  <c r="Z114" i="4"/>
  <c r="AC141" i="4"/>
  <c r="AB141" i="4"/>
  <c r="AA141" i="4"/>
  <c r="Z141" i="4"/>
  <c r="AA21" i="4"/>
  <c r="AC21" i="4"/>
  <c r="AB21" i="4"/>
  <c r="Z21" i="4"/>
  <c r="AC43" i="4"/>
  <c r="AB43" i="4"/>
  <c r="AA43" i="4"/>
  <c r="Z43" i="4"/>
  <c r="AC108" i="4"/>
  <c r="AB108" i="4"/>
  <c r="AA108" i="4"/>
  <c r="Z108" i="4"/>
  <c r="AC34" i="4"/>
  <c r="AB34" i="4"/>
  <c r="AA34" i="4"/>
  <c r="Z34" i="4"/>
  <c r="AC129" i="4"/>
  <c r="AB129" i="4"/>
  <c r="AA129" i="4"/>
  <c r="Z129" i="4"/>
  <c r="Z155" i="4"/>
  <c r="AC155" i="4"/>
  <c r="AA155" i="4"/>
  <c r="AB155" i="4"/>
  <c r="Z160" i="4"/>
  <c r="AA160" i="4"/>
  <c r="AC160" i="4"/>
  <c r="AB160" i="4"/>
  <c r="AC63" i="4"/>
  <c r="AB63" i="4"/>
  <c r="Z63" i="4"/>
  <c r="AA63" i="4"/>
  <c r="AG50" i="4"/>
  <c r="AF50" i="4"/>
  <c r="AE50" i="4"/>
  <c r="AD50" i="4"/>
  <c r="AA69" i="4"/>
  <c r="AB69" i="4"/>
  <c r="AC69" i="4"/>
  <c r="Z69" i="4"/>
  <c r="AA77" i="4"/>
  <c r="AC77" i="4"/>
  <c r="AB77" i="4"/>
  <c r="Z77" i="4"/>
  <c r="AA117" i="4"/>
  <c r="AB117" i="4"/>
  <c r="AC117" i="4"/>
  <c r="Z117" i="4"/>
  <c r="AC45" i="4"/>
  <c r="AB45" i="4"/>
  <c r="AA45" i="4"/>
  <c r="Z45" i="4"/>
  <c r="AC123" i="4"/>
  <c r="AA123" i="4"/>
  <c r="AB123" i="4"/>
  <c r="Z123" i="4"/>
  <c r="Z163" i="4"/>
  <c r="AC163" i="4"/>
  <c r="AB163" i="4"/>
  <c r="AA163" i="4"/>
  <c r="AC44" i="4"/>
  <c r="AB44" i="4"/>
  <c r="AA44" i="4"/>
  <c r="Z44" i="4"/>
  <c r="AA78" i="4"/>
  <c r="AC78" i="4"/>
  <c r="AB78" i="4"/>
  <c r="Z78" i="4"/>
  <c r="AC115" i="4"/>
  <c r="AB115" i="4"/>
  <c r="AA115" i="4"/>
  <c r="Z115" i="4"/>
  <c r="AC134" i="4"/>
  <c r="AB134" i="4"/>
  <c r="AA134" i="4"/>
  <c r="Z134" i="4"/>
  <c r="AC111" i="4"/>
  <c r="AB111" i="4"/>
  <c r="AA111" i="4"/>
  <c r="Z111" i="4"/>
  <c r="AB88" i="4"/>
  <c r="Z88" i="4"/>
  <c r="AC88" i="4"/>
  <c r="AA88" i="4"/>
  <c r="AF126" i="4"/>
  <c r="AE126" i="4"/>
  <c r="AD126" i="4"/>
  <c r="AG126" i="4"/>
  <c r="AC15" i="4"/>
  <c r="AB15" i="4"/>
  <c r="AA15" i="4"/>
  <c r="Z15" i="4"/>
  <c r="AC110" i="4"/>
  <c r="AB110" i="4"/>
  <c r="AA110" i="4"/>
  <c r="Z110" i="4"/>
  <c r="AC18" i="4"/>
  <c r="AB18" i="4"/>
  <c r="AA18" i="4"/>
  <c r="Z18" i="4"/>
  <c r="Z156" i="4"/>
  <c r="AA156" i="4"/>
  <c r="AC156" i="4"/>
  <c r="AB156" i="4"/>
  <c r="AC10" i="4"/>
  <c r="AB10" i="4"/>
  <c r="AA10" i="4"/>
  <c r="Z10" i="4"/>
  <c r="AE59" i="4"/>
  <c r="AG59" i="4"/>
  <c r="AF59" i="4"/>
  <c r="AD59" i="4"/>
  <c r="AA164" i="4"/>
  <c r="Z164" i="4"/>
  <c r="AB164" i="4"/>
  <c r="AC164" i="4"/>
  <c r="AC35" i="4"/>
  <c r="AB35" i="4"/>
  <c r="AA35" i="4"/>
  <c r="Z35" i="4"/>
  <c r="AB92" i="4"/>
  <c r="Z92" i="4"/>
  <c r="AC92" i="4"/>
  <c r="AA92" i="4"/>
  <c r="AB82" i="4"/>
  <c r="Z82" i="4"/>
  <c r="AC82" i="4"/>
  <c r="AA82" i="4"/>
  <c r="AA79" i="4"/>
  <c r="AC79" i="4"/>
  <c r="AB79" i="4"/>
  <c r="Z79" i="4"/>
  <c r="AC19" i="4"/>
  <c r="AB19" i="4"/>
  <c r="AA19" i="4"/>
  <c r="Z19" i="4"/>
  <c r="AB91" i="4"/>
  <c r="Z91" i="4"/>
  <c r="AC91" i="4"/>
  <c r="AA91" i="4"/>
  <c r="AE76" i="4"/>
  <c r="AG76" i="4"/>
  <c r="AF76" i="4"/>
  <c r="AD76" i="4"/>
  <c r="Z149" i="4"/>
  <c r="AB149" i="4"/>
  <c r="AA149" i="4"/>
  <c r="AC149" i="4"/>
  <c r="AG117" i="4"/>
  <c r="AF117" i="4"/>
  <c r="AE117" i="4"/>
  <c r="AD117" i="4"/>
  <c r="Z159" i="4"/>
  <c r="AC159" i="4"/>
  <c r="AA159" i="4"/>
  <c r="AB159" i="4"/>
  <c r="AG91" i="4"/>
  <c r="AF91" i="4"/>
  <c r="AD91" i="4"/>
  <c r="AE91" i="4"/>
  <c r="AA71" i="4"/>
  <c r="AC71" i="4"/>
  <c r="AB71" i="4"/>
  <c r="Z71" i="4"/>
  <c r="AG114" i="4"/>
  <c r="AE114" i="4"/>
  <c r="AF114" i="4"/>
  <c r="AD114" i="4"/>
  <c r="AC109" i="4"/>
  <c r="AB109" i="4"/>
  <c r="AA109" i="4"/>
  <c r="Z109" i="4"/>
  <c r="AC133" i="4"/>
  <c r="Z133" i="4"/>
  <c r="AB133" i="4"/>
  <c r="AA133" i="4"/>
  <c r="AB147" i="4"/>
  <c r="AA147" i="4"/>
  <c r="Z147" i="4"/>
  <c r="AC147" i="4"/>
  <c r="Z103" i="4"/>
  <c r="AC103" i="4"/>
  <c r="AB103" i="4"/>
  <c r="AA103" i="4"/>
  <c r="AC23" i="4"/>
  <c r="AA23" i="4"/>
  <c r="Z23" i="4"/>
  <c r="AB23" i="4"/>
  <c r="AA70" i="4"/>
  <c r="AC70" i="4"/>
  <c r="Z70" i="4"/>
  <c r="AB70" i="4"/>
  <c r="AG53" i="4"/>
  <c r="AF53" i="4"/>
  <c r="AE53" i="4"/>
  <c r="AD53" i="4"/>
  <c r="AC30" i="4"/>
  <c r="AB30" i="4"/>
  <c r="AA30" i="4"/>
  <c r="Z30" i="4"/>
  <c r="AC127" i="4"/>
  <c r="AA127" i="4"/>
  <c r="Z127" i="4"/>
  <c r="AB127" i="4"/>
  <c r="AE56" i="4"/>
  <c r="AD56" i="4"/>
  <c r="AG56" i="4"/>
  <c r="AF56" i="4"/>
  <c r="AG69" i="4"/>
  <c r="AF69" i="4"/>
  <c r="AE69" i="4"/>
  <c r="AD69" i="4"/>
  <c r="Z150" i="4"/>
  <c r="AA150" i="4"/>
  <c r="AC150" i="4"/>
  <c r="AB150" i="4"/>
  <c r="AC22" i="4"/>
  <c r="AA22" i="4"/>
  <c r="AB22" i="4"/>
  <c r="Z22" i="4"/>
  <c r="AC65" i="4"/>
  <c r="AB65" i="4"/>
  <c r="Z65" i="4"/>
  <c r="AA65" i="4"/>
  <c r="AA11" i="4"/>
  <c r="Z11" i="4"/>
  <c r="AC11" i="4"/>
  <c r="AB11" i="4"/>
  <c r="AC124" i="4"/>
  <c r="AA124" i="4"/>
  <c r="Z124" i="4"/>
  <c r="AB124" i="4"/>
  <c r="AC32" i="4"/>
  <c r="AB32" i="4"/>
  <c r="AA32" i="4"/>
  <c r="Z32" i="4"/>
  <c r="AG51" i="4"/>
  <c r="AF51" i="4"/>
  <c r="AE51" i="4"/>
  <c r="AD51" i="4"/>
  <c r="AC140" i="4"/>
  <c r="AB140" i="4"/>
  <c r="AA140" i="4"/>
  <c r="Z140" i="4"/>
  <c r="AB96" i="4"/>
  <c r="Z96" i="4"/>
  <c r="AC96" i="4"/>
  <c r="AA96" i="4"/>
  <c r="AG87" i="4"/>
  <c r="AF87" i="4"/>
  <c r="AD87" i="4"/>
  <c r="AE87" i="4"/>
  <c r="AF129" i="4"/>
  <c r="AE129" i="4"/>
  <c r="AD129" i="4"/>
  <c r="AG129" i="4"/>
  <c r="AC59" i="4"/>
  <c r="AB59" i="4"/>
  <c r="Z59" i="4"/>
  <c r="AA59" i="4"/>
  <c r="AC12" i="4"/>
  <c r="AB12" i="4"/>
  <c r="AA12" i="4"/>
  <c r="Z12" i="4"/>
  <c r="AC61" i="4"/>
  <c r="AB61" i="4"/>
  <c r="Z61" i="4"/>
  <c r="AA61" i="4"/>
  <c r="Z98" i="4"/>
  <c r="AB98" i="4"/>
  <c r="AC98" i="4"/>
  <c r="AA98" i="4"/>
  <c r="AE74" i="4"/>
  <c r="AG74" i="4"/>
  <c r="AD74" i="4"/>
  <c r="AF74" i="4"/>
  <c r="AB85" i="4"/>
  <c r="Z85" i="4"/>
  <c r="AC85" i="4"/>
  <c r="AA85" i="4"/>
  <c r="AG41" i="4"/>
  <c r="AF41" i="4"/>
  <c r="AE41" i="4"/>
  <c r="AD41" i="4"/>
  <c r="AE25" i="4"/>
  <c r="AD25" i="4"/>
  <c r="AG25" i="4"/>
  <c r="AF25" i="4"/>
  <c r="AE127" i="4"/>
  <c r="AD127" i="4"/>
  <c r="AG127" i="4"/>
  <c r="AF127" i="4"/>
  <c r="AA66" i="4"/>
  <c r="AC66" i="4"/>
  <c r="Z66" i="4"/>
  <c r="AB66" i="4"/>
  <c r="AB95" i="4"/>
  <c r="Z95" i="4"/>
  <c r="AC95" i="4"/>
  <c r="AA95" i="4"/>
  <c r="AC146" i="4"/>
  <c r="AB146" i="4"/>
  <c r="Z146" i="4"/>
  <c r="AA146" i="4"/>
  <c r="AC120" i="4"/>
  <c r="AA120" i="4"/>
  <c r="AB120" i="4"/>
  <c r="Z120" i="4"/>
  <c r="AC131" i="4"/>
  <c r="AB131" i="4"/>
  <c r="AA131" i="4"/>
  <c r="Z131" i="4"/>
  <c r="AB84" i="4"/>
  <c r="Z84" i="4"/>
  <c r="AC84" i="4"/>
  <c r="AA84" i="4"/>
  <c r="AC54" i="4"/>
  <c r="AB54" i="4"/>
  <c r="AA54" i="4"/>
  <c r="Z54" i="4"/>
  <c r="AC47" i="4"/>
  <c r="AB47" i="4"/>
  <c r="AA47" i="4"/>
  <c r="Z47" i="4"/>
  <c r="Z158" i="4"/>
  <c r="AC158" i="4"/>
  <c r="AB158" i="4"/>
  <c r="AA158" i="4"/>
  <c r="AC26" i="4"/>
  <c r="AA26" i="4"/>
  <c r="AB26" i="4"/>
  <c r="Z26" i="4"/>
  <c r="AC122" i="4"/>
  <c r="AA122" i="4"/>
  <c r="Z122" i="4"/>
  <c r="AB122" i="4"/>
  <c r="AA76" i="4"/>
  <c r="AB76" i="4"/>
  <c r="AC76" i="4"/>
  <c r="Z76" i="4"/>
  <c r="AC142" i="4"/>
  <c r="AB142" i="4"/>
  <c r="Z142" i="4"/>
  <c r="AA142" i="4"/>
  <c r="Z101" i="4"/>
  <c r="AC101" i="4"/>
  <c r="AB101" i="4"/>
  <c r="AA101" i="4"/>
  <c r="AC60" i="4"/>
  <c r="AB60" i="4"/>
  <c r="Z60" i="4"/>
  <c r="AA60" i="4"/>
  <c r="AC38" i="4"/>
  <c r="AB38" i="4"/>
  <c r="AA38" i="4"/>
  <c r="Z38" i="4"/>
  <c r="AC168" i="4"/>
  <c r="AA168" i="4"/>
  <c r="Z168" i="4"/>
  <c r="AB168" i="4"/>
  <c r="AC132" i="4"/>
  <c r="AA132" i="4"/>
  <c r="AB132" i="4"/>
  <c r="Z132" i="4"/>
  <c r="AD153" i="4"/>
  <c r="AE153" i="4"/>
  <c r="AG153" i="4"/>
  <c r="AF153" i="4"/>
  <c r="Z105" i="4"/>
  <c r="AC105" i="4"/>
  <c r="AB105" i="4"/>
  <c r="AA105" i="4"/>
  <c r="AA72" i="4"/>
  <c r="AC72" i="4"/>
  <c r="AB72" i="4"/>
  <c r="Z72" i="4"/>
  <c r="AC16" i="4"/>
  <c r="AB16" i="4"/>
  <c r="AA16" i="4"/>
  <c r="Z16" i="4"/>
  <c r="AC64" i="4"/>
  <c r="AB64" i="4"/>
  <c r="Z64" i="4"/>
  <c r="AA64" i="4"/>
  <c r="AC166" i="4"/>
  <c r="AA166" i="4"/>
  <c r="Z166" i="4"/>
  <c r="AB166" i="4"/>
  <c r="AG123" i="4" l="1"/>
  <c r="AD123" i="4"/>
  <c r="AF123" i="4"/>
  <c r="AE123" i="4"/>
  <c r="AG89" i="4"/>
  <c r="AF89" i="4"/>
  <c r="AD89" i="4"/>
  <c r="AE89" i="4"/>
  <c r="AG88" i="4"/>
  <c r="AF88" i="4"/>
  <c r="AD88" i="4"/>
  <c r="AE88" i="4"/>
  <c r="AD106" i="4"/>
  <c r="AF106" i="4"/>
  <c r="AG106" i="4"/>
  <c r="AE106" i="4"/>
  <c r="AD160" i="4"/>
  <c r="AE160" i="4"/>
  <c r="AF160" i="4"/>
  <c r="AG160" i="4"/>
  <c r="AD156" i="4"/>
  <c r="AG156" i="4"/>
  <c r="AE156" i="4"/>
  <c r="AF156" i="4"/>
  <c r="AD158" i="4"/>
  <c r="AG158" i="4"/>
  <c r="AF158" i="4"/>
  <c r="AE158" i="4"/>
  <c r="AG108" i="4"/>
  <c r="AE108" i="4"/>
  <c r="AF108" i="4"/>
  <c r="AD108" i="4"/>
  <c r="AF105" i="4"/>
  <c r="AG105" i="4"/>
  <c r="AE105" i="4"/>
  <c r="AD105" i="4"/>
  <c r="AG131" i="4"/>
  <c r="AF131" i="4"/>
  <c r="AE131" i="4"/>
  <c r="AD131" i="4"/>
  <c r="AK42" i="4"/>
  <c r="AJ42" i="4"/>
  <c r="AI42" i="4"/>
  <c r="AH42" i="4"/>
  <c r="AE33" i="4"/>
  <c r="AD33" i="4"/>
  <c r="AG33" i="4"/>
  <c r="AF33" i="4"/>
  <c r="AJ70" i="4"/>
  <c r="AI70" i="4"/>
  <c r="AK70" i="4"/>
  <c r="AH70" i="4"/>
  <c r="AG112" i="4"/>
  <c r="AE112" i="4"/>
  <c r="AF112" i="4"/>
  <c r="AD112" i="4"/>
  <c r="AE78" i="4"/>
  <c r="AG78" i="4"/>
  <c r="AF78" i="4"/>
  <c r="AD78" i="4"/>
  <c r="AG44" i="4"/>
  <c r="AF44" i="4"/>
  <c r="AE44" i="4"/>
  <c r="AD44" i="4"/>
  <c r="AG120" i="4"/>
  <c r="AD120" i="4"/>
  <c r="AF120" i="4"/>
  <c r="AE120" i="4"/>
  <c r="AG52" i="4"/>
  <c r="AF52" i="4"/>
  <c r="AE52" i="4"/>
  <c r="AD52" i="4"/>
  <c r="AG54" i="4"/>
  <c r="AF54" i="4"/>
  <c r="AE54" i="4"/>
  <c r="AD54" i="4"/>
  <c r="AG37" i="4"/>
  <c r="AE37" i="4"/>
  <c r="AD37" i="4"/>
  <c r="AF37" i="4"/>
  <c r="AG49" i="4"/>
  <c r="AF49" i="4"/>
  <c r="AE49" i="4"/>
  <c r="AD49" i="4"/>
  <c r="AG119" i="4"/>
  <c r="AD119" i="4"/>
  <c r="AF119" i="4"/>
  <c r="AE119" i="4"/>
  <c r="AK15" i="4"/>
  <c r="AJ15" i="4"/>
  <c r="AI15" i="4"/>
  <c r="AH15" i="4"/>
  <c r="O20" i="1"/>
  <c r="N21" i="1"/>
  <c r="AK26" i="4"/>
  <c r="AJ26" i="4"/>
  <c r="AI26" i="4"/>
  <c r="AH26" i="4"/>
  <c r="AG39" i="4"/>
  <c r="AF39" i="4"/>
  <c r="AE39" i="4"/>
  <c r="AD39" i="4"/>
  <c r="AE31" i="4"/>
  <c r="AG31" i="4"/>
  <c r="AF31" i="4"/>
  <c r="AD31" i="4"/>
  <c r="AE72" i="4"/>
  <c r="AG72" i="4"/>
  <c r="AF72" i="4"/>
  <c r="AD72" i="4"/>
  <c r="AH118" i="4"/>
  <c r="AJ118" i="4"/>
  <c r="AK118" i="4"/>
  <c r="AI118" i="4"/>
  <c r="AE16" i="4"/>
  <c r="AD16" i="4"/>
  <c r="AG16" i="4"/>
  <c r="AF16" i="4"/>
  <c r="AE79" i="4"/>
  <c r="AG79" i="4"/>
  <c r="AF79" i="4"/>
  <c r="AD79" i="4"/>
  <c r="AG124" i="4"/>
  <c r="AD124" i="4"/>
  <c r="AF124" i="4"/>
  <c r="AE124" i="4"/>
  <c r="AE130" i="4"/>
  <c r="AD130" i="4"/>
  <c r="AG130" i="4"/>
  <c r="AF130" i="4"/>
  <c r="AG115" i="4"/>
  <c r="AF115" i="4"/>
  <c r="AD115" i="4"/>
  <c r="AE115" i="4"/>
  <c r="AE30" i="4"/>
  <c r="AG30" i="4"/>
  <c r="AF30" i="4"/>
  <c r="AD30" i="4"/>
  <c r="AE143" i="4"/>
  <c r="AF143" i="4"/>
  <c r="AD143" i="4"/>
  <c r="AG143" i="4"/>
  <c r="AG67" i="4"/>
  <c r="AF67" i="4"/>
  <c r="AD67" i="4"/>
  <c r="AE67" i="4"/>
  <c r="AE60" i="4"/>
  <c r="AG60" i="4"/>
  <c r="AF60" i="4"/>
  <c r="AD60" i="4"/>
  <c r="AG66" i="4"/>
  <c r="AF66" i="4"/>
  <c r="AE66" i="4"/>
  <c r="AD66" i="4"/>
  <c r="AE24" i="4"/>
  <c r="AG24" i="4"/>
  <c r="AF24" i="4"/>
  <c r="AD24" i="4"/>
  <c r="AE64" i="4"/>
  <c r="AG64" i="4"/>
  <c r="AF64" i="4"/>
  <c r="AD64" i="4"/>
  <c r="AE146" i="4"/>
  <c r="AF146" i="4"/>
  <c r="AD146" i="4"/>
  <c r="AG146" i="4"/>
  <c r="AE58" i="4"/>
  <c r="AG58" i="4"/>
  <c r="AF58" i="4"/>
  <c r="AD58" i="4"/>
  <c r="AE144" i="4"/>
  <c r="AG144" i="4"/>
  <c r="AD144" i="4"/>
  <c r="AF144" i="4"/>
  <c r="AG136" i="4"/>
  <c r="AE136" i="4"/>
  <c r="AF136" i="4"/>
  <c r="AD136" i="4"/>
  <c r="AE57" i="4"/>
  <c r="AG57" i="4"/>
  <c r="AF57" i="4"/>
  <c r="AD57" i="4"/>
  <c r="AG96" i="4"/>
  <c r="AF96" i="4"/>
  <c r="AD96" i="4"/>
  <c r="AE96" i="4"/>
  <c r="AE55" i="4"/>
  <c r="AG55" i="4"/>
  <c r="AF55" i="4"/>
  <c r="AD55" i="4"/>
  <c r="AF97" i="4"/>
  <c r="AG97" i="4"/>
  <c r="AD97" i="4"/>
  <c r="AE97" i="4"/>
  <c r="AG134" i="4"/>
  <c r="AF134" i="4"/>
  <c r="AE134" i="4"/>
  <c r="AD134" i="4"/>
  <c r="AG92" i="4"/>
  <c r="AF92" i="4"/>
  <c r="AD92" i="4"/>
  <c r="AE92" i="4"/>
  <c r="AG83" i="4"/>
  <c r="AF83" i="4"/>
  <c r="AE83" i="4"/>
  <c r="AD83" i="4"/>
  <c r="AF165" i="4"/>
  <c r="AD165" i="4"/>
  <c r="AE165" i="4"/>
  <c r="AG165" i="4"/>
  <c r="AG90" i="4"/>
  <c r="AF90" i="4"/>
  <c r="AD90" i="4"/>
  <c r="AE90" i="4"/>
  <c r="AE15" i="4"/>
  <c r="AD15" i="4"/>
  <c r="AG15" i="4"/>
  <c r="AF15" i="4"/>
  <c r="AG38" i="4"/>
  <c r="AF38" i="4"/>
  <c r="AE38" i="4"/>
  <c r="AD38" i="4"/>
  <c r="AK154" i="4"/>
  <c r="AJ154" i="4"/>
  <c r="AH154" i="4"/>
  <c r="AI154" i="4"/>
  <c r="AF99" i="4"/>
  <c r="AE99" i="4"/>
  <c r="AD99" i="4"/>
  <c r="AG99" i="4"/>
  <c r="AD157" i="4"/>
  <c r="AE157" i="4"/>
  <c r="AG157" i="4"/>
  <c r="AF157" i="4"/>
  <c r="AK155" i="4"/>
  <c r="AJ155" i="4"/>
  <c r="AI155" i="4"/>
  <c r="AH155" i="4"/>
  <c r="AD107" i="4"/>
  <c r="AF107" i="4"/>
  <c r="AG107" i="4"/>
  <c r="AE107" i="4"/>
  <c r="AJ96" i="4"/>
  <c r="AK96" i="4"/>
  <c r="AI96" i="4"/>
  <c r="AH96" i="4"/>
  <c r="AG84" i="4"/>
  <c r="AF84" i="4"/>
  <c r="AE84" i="4"/>
  <c r="AD84" i="4"/>
  <c r="AF102" i="4"/>
  <c r="AG102" i="4"/>
  <c r="AE102" i="4"/>
  <c r="AD102" i="4"/>
  <c r="AE27" i="4"/>
  <c r="AG27" i="4"/>
  <c r="AF27" i="4"/>
  <c r="AD27" i="4"/>
  <c r="AG133" i="4"/>
  <c r="AF133" i="4"/>
  <c r="AE133" i="4"/>
  <c r="AD133" i="4"/>
  <c r="AE141" i="4"/>
  <c r="AG141" i="4"/>
  <c r="AF141" i="4"/>
  <c r="AD141" i="4"/>
  <c r="AE23" i="4"/>
  <c r="AG23" i="4"/>
  <c r="AD23" i="4"/>
  <c r="AF23" i="4"/>
  <c r="AK54" i="4"/>
  <c r="AJ54" i="4"/>
  <c r="AI54" i="4"/>
  <c r="AH54" i="4"/>
  <c r="AG110" i="4"/>
  <c r="AE110" i="4"/>
  <c r="AF110" i="4"/>
  <c r="AD110" i="4"/>
  <c r="AE20" i="4"/>
  <c r="AD20" i="4"/>
  <c r="AG20" i="4"/>
  <c r="AF20" i="4"/>
  <c r="AJ60" i="4"/>
  <c r="AI60" i="4"/>
  <c r="AK60" i="4"/>
  <c r="AH60" i="4"/>
  <c r="AE19" i="4"/>
  <c r="AD19" i="4"/>
  <c r="AG19" i="4"/>
  <c r="AF19" i="4"/>
  <c r="AG135" i="4"/>
  <c r="AE135" i="4"/>
  <c r="AD135" i="4"/>
  <c r="AF135" i="4"/>
  <c r="AG45" i="4"/>
  <c r="AF45" i="4"/>
  <c r="AE45" i="4"/>
  <c r="AD45" i="4"/>
  <c r="AG46" i="4"/>
  <c r="AF46" i="4"/>
  <c r="AE46" i="4"/>
  <c r="AD46" i="4"/>
  <c r="AG70" i="4"/>
  <c r="AE70" i="4"/>
  <c r="AF70" i="4"/>
  <c r="AD70" i="4"/>
  <c r="AG35" i="4"/>
  <c r="AE35" i="4"/>
  <c r="AD35" i="4"/>
  <c r="AF35" i="4"/>
  <c r="AE22" i="4"/>
  <c r="AG22" i="4"/>
  <c r="AF22" i="4"/>
  <c r="AD22" i="4"/>
  <c r="AD21" i="4"/>
  <c r="AF21" i="4"/>
  <c r="AG21" i="4"/>
  <c r="AE21" i="4"/>
  <c r="AE81" i="4"/>
  <c r="AG81" i="4"/>
  <c r="AD81" i="4"/>
  <c r="AF81" i="4"/>
  <c r="AG42" i="4"/>
  <c r="AF42" i="4"/>
  <c r="AE42" i="4"/>
  <c r="AD42" i="4"/>
  <c r="AF162" i="4"/>
  <c r="AD162" i="4"/>
  <c r="AG162" i="4"/>
  <c r="AE162" i="4"/>
  <c r="AE138" i="4"/>
  <c r="AG138" i="4"/>
  <c r="AD138" i="4"/>
  <c r="AF138" i="4"/>
  <c r="AG34" i="4"/>
  <c r="AE34" i="4"/>
  <c r="AD34" i="4"/>
  <c r="AF34" i="4"/>
  <c r="AE65" i="4"/>
  <c r="AG65" i="4"/>
  <c r="AD65" i="4"/>
  <c r="AF65" i="4"/>
  <c r="AF168" i="4"/>
  <c r="AD168" i="4"/>
  <c r="AG168" i="4"/>
  <c r="AE168" i="4"/>
  <c r="AF164" i="4"/>
  <c r="AD164" i="4"/>
  <c r="AG164" i="4"/>
  <c r="AE164" i="4"/>
  <c r="AE73" i="4"/>
  <c r="AG73" i="4"/>
  <c r="AD73" i="4"/>
  <c r="AF73" i="4"/>
  <c r="AE77" i="4"/>
  <c r="AG77" i="4"/>
  <c r="AF77" i="4"/>
  <c r="AD77" i="4"/>
  <c r="AE61" i="4"/>
  <c r="AG61" i="4"/>
  <c r="AF61" i="4"/>
  <c r="AD61" i="4"/>
  <c r="AE62" i="4"/>
  <c r="AG62" i="4"/>
  <c r="AF62" i="4"/>
  <c r="AD62" i="4"/>
  <c r="AG125" i="4"/>
  <c r="AF125" i="4"/>
  <c r="AE125" i="4"/>
  <c r="AD125" i="4"/>
  <c r="AJ92" i="4"/>
  <c r="AK92" i="4"/>
  <c r="AI92" i="4"/>
  <c r="AH92" i="4"/>
  <c r="AG68" i="4"/>
  <c r="AF68" i="4"/>
  <c r="AD68" i="4"/>
  <c r="AE68" i="4"/>
  <c r="AE75" i="4"/>
  <c r="AG75" i="4"/>
  <c r="AD75" i="4"/>
  <c r="AF75" i="4"/>
  <c r="AE63" i="4"/>
  <c r="AG63" i="4"/>
  <c r="AF63" i="4"/>
  <c r="AD63" i="4"/>
  <c r="AD152" i="4"/>
  <c r="AG152" i="4"/>
  <c r="AE152" i="4"/>
  <c r="AF152" i="4"/>
  <c r="AE17" i="4"/>
  <c r="AD17" i="4"/>
  <c r="AG17" i="4"/>
  <c r="AF17" i="4"/>
  <c r="AG121" i="4"/>
  <c r="AD121" i="4"/>
  <c r="AF121" i="4"/>
  <c r="AE121" i="4"/>
  <c r="AF167" i="4"/>
  <c r="AD167" i="4"/>
  <c r="AE167" i="4"/>
  <c r="AG167" i="4"/>
  <c r="AD147" i="4"/>
  <c r="AF147" i="4"/>
  <c r="AE147" i="4"/>
  <c r="AG147" i="4"/>
  <c r="AH130" i="4"/>
  <c r="AI130" i="4"/>
  <c r="AK130" i="4"/>
  <c r="AJ130" i="4"/>
  <c r="AH127" i="4"/>
  <c r="AI127" i="4"/>
  <c r="AK127" i="4"/>
  <c r="AJ127" i="4"/>
  <c r="AG82" i="4"/>
  <c r="AF82" i="4"/>
  <c r="AE82" i="4"/>
  <c r="AD82" i="4"/>
  <c r="AG85" i="4"/>
  <c r="AF85" i="4"/>
  <c r="AE85" i="4"/>
  <c r="AD85" i="4"/>
  <c r="AH128" i="4"/>
  <c r="AK128" i="4"/>
  <c r="AJ128" i="4"/>
  <c r="AI128" i="4"/>
  <c r="AG86" i="4"/>
  <c r="AF86" i="4"/>
  <c r="AE86" i="4"/>
  <c r="AD86" i="4"/>
  <c r="AJ57" i="4"/>
  <c r="AI57" i="4"/>
  <c r="AK57" i="4"/>
  <c r="AH57" i="4"/>
  <c r="AG93" i="4"/>
  <c r="AF93" i="4"/>
  <c r="AD93" i="4"/>
  <c r="AE93" i="4"/>
  <c r="AF166" i="4"/>
  <c r="AD166" i="4"/>
  <c r="AG166" i="4"/>
  <c r="AE166" i="4"/>
  <c r="AF98" i="4"/>
  <c r="AG98" i="4"/>
  <c r="AD98" i="4"/>
  <c r="AE98" i="4"/>
  <c r="AE18" i="4"/>
  <c r="AD18" i="4"/>
  <c r="AG18" i="4"/>
  <c r="AF18" i="4"/>
  <c r="AE29" i="4"/>
  <c r="AG29" i="4"/>
  <c r="AF29" i="4"/>
  <c r="AD29" i="4"/>
  <c r="AD151" i="4"/>
  <c r="AG151" i="4"/>
  <c r="AE151" i="4"/>
  <c r="AF151" i="4"/>
  <c r="AD159" i="4"/>
  <c r="AG159" i="4"/>
  <c r="AF159" i="4"/>
  <c r="AE159" i="4"/>
  <c r="AF104" i="4"/>
  <c r="AG104" i="4"/>
  <c r="AE104" i="4"/>
  <c r="AD104" i="4"/>
  <c r="AD150" i="4"/>
  <c r="AF150" i="4"/>
  <c r="AE150" i="4"/>
  <c r="AG150" i="4"/>
  <c r="AD161" i="4"/>
  <c r="AG161" i="4"/>
  <c r="AF161" i="4"/>
  <c r="AE161" i="4"/>
  <c r="AD149" i="4"/>
  <c r="AE149" i="4"/>
  <c r="AF149" i="4"/>
  <c r="AG149" i="4"/>
  <c r="AF163" i="4"/>
  <c r="AD163" i="4"/>
  <c r="AE163" i="4"/>
  <c r="AG163" i="4"/>
  <c r="AD155" i="4"/>
  <c r="AG155" i="4"/>
  <c r="AF155" i="4"/>
  <c r="AE155" i="4"/>
  <c r="AF100" i="4"/>
  <c r="AG100" i="4"/>
  <c r="AE100" i="4"/>
  <c r="AD100" i="4"/>
  <c r="AF103" i="4"/>
  <c r="AE103" i="4"/>
  <c r="AD103" i="4"/>
  <c r="AG103" i="4"/>
  <c r="AF101" i="4"/>
  <c r="AG101" i="4"/>
  <c r="AE101" i="4"/>
  <c r="AD101" i="4"/>
  <c r="AE12" i="4"/>
  <c r="AD12" i="4"/>
  <c r="AG12" i="4"/>
  <c r="AF12" i="4"/>
  <c r="AK41" i="4"/>
  <c r="AJ41" i="4"/>
  <c r="AI41" i="4"/>
  <c r="AH41" i="4"/>
  <c r="AG48" i="4"/>
  <c r="AF48" i="4"/>
  <c r="AE48" i="4"/>
  <c r="AD48" i="4"/>
  <c r="AG132" i="4"/>
  <c r="AF132" i="4"/>
  <c r="AE132" i="4"/>
  <c r="AD132" i="4"/>
  <c r="AE13" i="4"/>
  <c r="AD13" i="4"/>
  <c r="AG13" i="4"/>
  <c r="AF13" i="4"/>
  <c r="AK52" i="4"/>
  <c r="AJ52" i="4"/>
  <c r="AI52" i="4"/>
  <c r="AH52" i="4"/>
  <c r="AK115" i="4"/>
  <c r="AI115" i="4"/>
  <c r="AJ115" i="4"/>
  <c r="AH115" i="4"/>
  <c r="AK77" i="4"/>
  <c r="AJ77" i="4"/>
  <c r="AI77" i="4"/>
  <c r="AH77" i="4"/>
  <c r="AE80" i="4"/>
  <c r="AG80" i="4"/>
  <c r="AD80" i="4"/>
  <c r="AF80" i="4"/>
  <c r="AG36" i="4"/>
  <c r="AE36" i="4"/>
  <c r="AD36" i="4"/>
  <c r="AF36" i="4"/>
  <c r="AG11" i="4"/>
  <c r="AF11" i="4"/>
  <c r="AE11" i="4"/>
  <c r="AD11" i="4"/>
  <c r="AG111" i="4"/>
  <c r="AF111" i="4"/>
  <c r="AE111" i="4"/>
  <c r="AD111" i="4"/>
  <c r="AG116" i="4"/>
  <c r="AE116" i="4"/>
  <c r="AF116" i="4"/>
  <c r="AD116" i="4"/>
  <c r="AG118" i="4"/>
  <c r="AF118" i="4"/>
  <c r="AE118" i="4"/>
  <c r="AD118" i="4"/>
  <c r="AK51" i="4"/>
  <c r="AJ51" i="4"/>
  <c r="AI51" i="4"/>
  <c r="AH51" i="4"/>
  <c r="AG109" i="4"/>
  <c r="AF109" i="4"/>
  <c r="AE109" i="4"/>
  <c r="AD109" i="4"/>
  <c r="AE142" i="4"/>
  <c r="AF142" i="4"/>
  <c r="AD142" i="4"/>
  <c r="AG142" i="4"/>
  <c r="AK48" i="4"/>
  <c r="AJ48" i="4"/>
  <c r="AI48" i="4"/>
  <c r="AH48" i="4"/>
  <c r="AE28" i="4"/>
  <c r="AG28" i="4"/>
  <c r="AF28" i="4"/>
  <c r="AD28" i="4"/>
  <c r="AG122" i="4"/>
  <c r="AD122" i="4"/>
  <c r="AF122" i="4"/>
  <c r="AE122" i="4"/>
  <c r="AE145" i="4"/>
  <c r="AG145" i="4"/>
  <c r="AD145" i="4"/>
  <c r="AF145" i="4"/>
  <c r="AE139" i="4"/>
  <c r="AD139" i="4"/>
  <c r="AG139" i="4"/>
  <c r="AF139" i="4"/>
  <c r="AE10" i="4"/>
  <c r="AD10" i="4"/>
  <c r="AG10" i="4"/>
  <c r="AF10" i="4"/>
  <c r="AG113" i="4"/>
  <c r="AF113" i="4"/>
  <c r="AE113" i="4"/>
  <c r="AD113" i="4"/>
  <c r="AE140" i="4"/>
  <c r="AF140" i="4"/>
  <c r="AG140" i="4"/>
  <c r="AD140" i="4"/>
  <c r="AE26" i="4"/>
  <c r="AG26" i="4"/>
  <c r="AF26" i="4"/>
  <c r="AD26" i="4"/>
  <c r="AG43" i="4"/>
  <c r="AF43" i="4"/>
  <c r="AE43" i="4"/>
  <c r="AD43" i="4"/>
  <c r="AG137" i="4"/>
  <c r="AE137" i="4"/>
  <c r="AF137" i="4"/>
  <c r="AD137" i="4"/>
  <c r="AK75" i="4"/>
  <c r="AJ75" i="4"/>
  <c r="AI75" i="4"/>
  <c r="AH75" i="4"/>
  <c r="AJ88" i="4"/>
  <c r="AK88" i="4"/>
  <c r="AI88" i="4"/>
  <c r="AH88" i="4"/>
  <c r="AG128" i="4"/>
  <c r="AF128" i="4"/>
  <c r="AE128" i="4"/>
  <c r="AD128" i="4"/>
  <c r="AE71" i="4"/>
  <c r="AG71" i="4"/>
  <c r="AF71" i="4"/>
  <c r="AD71" i="4"/>
  <c r="AD148" i="4"/>
  <c r="AG148" i="4"/>
  <c r="AE148" i="4"/>
  <c r="AF148" i="4"/>
  <c r="AK33" i="4"/>
  <c r="AJ33" i="4"/>
  <c r="AI33" i="4"/>
  <c r="AH33" i="4"/>
  <c r="AJ95" i="4"/>
  <c r="AK95" i="4"/>
  <c r="AI95" i="4"/>
  <c r="AH95" i="4"/>
  <c r="AK123" i="4" l="1"/>
  <c r="AJ123" i="4"/>
  <c r="AH123" i="4"/>
  <c r="AI123" i="4"/>
  <c r="AK165" i="4"/>
  <c r="AI165" i="4"/>
  <c r="AH165" i="4"/>
  <c r="AJ165" i="4"/>
  <c r="AJ106" i="4"/>
  <c r="AI106" i="4"/>
  <c r="AH106" i="4"/>
  <c r="AK106" i="4"/>
  <c r="AK152" i="4"/>
  <c r="AJ152" i="4"/>
  <c r="AH152" i="4"/>
  <c r="AI152" i="4"/>
  <c r="AJ108" i="4"/>
  <c r="AK108" i="4"/>
  <c r="AI108" i="4"/>
  <c r="AH108" i="4"/>
  <c r="AJ89" i="4"/>
  <c r="AH89" i="4"/>
  <c r="AK89" i="4"/>
  <c r="AI89" i="4"/>
  <c r="AO34" i="4"/>
  <c r="AN34" i="4"/>
  <c r="AM34" i="4"/>
  <c r="AL34" i="4"/>
  <c r="AH129" i="4"/>
  <c r="AJ129" i="4"/>
  <c r="AK129" i="4"/>
  <c r="AI129" i="4"/>
  <c r="AK138" i="4"/>
  <c r="AH138" i="4"/>
  <c r="AI138" i="4"/>
  <c r="AJ138" i="4"/>
  <c r="AK141" i="4"/>
  <c r="AH141" i="4"/>
  <c r="AJ141" i="4"/>
  <c r="AI141" i="4"/>
  <c r="AK29" i="4"/>
  <c r="AJ29" i="4"/>
  <c r="AI29" i="4"/>
  <c r="AH29" i="4"/>
  <c r="AJ110" i="4"/>
  <c r="AI110" i="4"/>
  <c r="AH110" i="4"/>
  <c r="AK110" i="4"/>
  <c r="AK117" i="4"/>
  <c r="AJ117" i="4"/>
  <c r="AI117" i="4"/>
  <c r="AH117" i="4"/>
  <c r="AO116" i="4"/>
  <c r="AN116" i="4"/>
  <c r="AM116" i="4"/>
  <c r="AL116" i="4"/>
  <c r="AH133" i="4"/>
  <c r="AK133" i="4"/>
  <c r="AI133" i="4"/>
  <c r="AJ133" i="4"/>
  <c r="AI101" i="4"/>
  <c r="AH101" i="4"/>
  <c r="AK101" i="4"/>
  <c r="AJ101" i="4"/>
  <c r="AI105" i="4"/>
  <c r="AH105" i="4"/>
  <c r="AK105" i="4"/>
  <c r="AJ105" i="4"/>
  <c r="AK30" i="4"/>
  <c r="AJ30" i="4"/>
  <c r="AH30" i="4"/>
  <c r="AI30" i="4"/>
  <c r="AJ87" i="4"/>
  <c r="AK87" i="4"/>
  <c r="AI87" i="4"/>
  <c r="AH87" i="4"/>
  <c r="AK83" i="4"/>
  <c r="AI83" i="4"/>
  <c r="AH83" i="4"/>
  <c r="AJ83" i="4"/>
  <c r="AH126" i="4"/>
  <c r="AJ126" i="4"/>
  <c r="AK126" i="4"/>
  <c r="AI126" i="4"/>
  <c r="AK78" i="4"/>
  <c r="AJ78" i="4"/>
  <c r="AI78" i="4"/>
  <c r="AH78" i="4"/>
  <c r="AK46" i="4"/>
  <c r="AJ46" i="4"/>
  <c r="AI46" i="4"/>
  <c r="AH46" i="4"/>
  <c r="AO61" i="4"/>
  <c r="AN61" i="4"/>
  <c r="AL61" i="4"/>
  <c r="AM61" i="4"/>
  <c r="AL55" i="4"/>
  <c r="AO55" i="4"/>
  <c r="AN55" i="4"/>
  <c r="AM55" i="4"/>
  <c r="AH134" i="4"/>
  <c r="AK134" i="4"/>
  <c r="AJ134" i="4"/>
  <c r="AI134" i="4"/>
  <c r="AK85" i="4"/>
  <c r="AI85" i="4"/>
  <c r="AJ85" i="4"/>
  <c r="AH85" i="4"/>
  <c r="AL156" i="4"/>
  <c r="AO156" i="4"/>
  <c r="AN156" i="4"/>
  <c r="AM156" i="4"/>
  <c r="AJ56" i="4"/>
  <c r="AI56" i="4"/>
  <c r="AK56" i="4"/>
  <c r="AH56" i="4"/>
  <c r="AH137" i="4"/>
  <c r="AI137" i="4"/>
  <c r="AK137" i="4"/>
  <c r="AJ137" i="4"/>
  <c r="AJ67" i="4"/>
  <c r="AI67" i="4"/>
  <c r="AK67" i="4"/>
  <c r="AH67" i="4"/>
  <c r="AK32" i="4"/>
  <c r="AJ32" i="4"/>
  <c r="AH32" i="4"/>
  <c r="AI32" i="4"/>
  <c r="O21" i="1"/>
  <c r="N22" i="1"/>
  <c r="AK34" i="4"/>
  <c r="AJ34" i="4"/>
  <c r="AH34" i="4"/>
  <c r="AI34" i="4"/>
  <c r="AH164" i="4"/>
  <c r="AK164" i="4"/>
  <c r="AJ164" i="4"/>
  <c r="AI164" i="4"/>
  <c r="AK79" i="4"/>
  <c r="AJ79" i="4"/>
  <c r="AI79" i="4"/>
  <c r="AH79" i="4"/>
  <c r="AK151" i="4"/>
  <c r="AJ151" i="4"/>
  <c r="AI151" i="4"/>
  <c r="AH151" i="4"/>
  <c r="AK76" i="4"/>
  <c r="AJ76" i="4"/>
  <c r="AI76" i="4"/>
  <c r="AH76" i="4"/>
  <c r="AK36" i="4"/>
  <c r="AJ36" i="4"/>
  <c r="AI36" i="4"/>
  <c r="AH36" i="4"/>
  <c r="AJ91" i="4"/>
  <c r="AK91" i="4"/>
  <c r="AI91" i="4"/>
  <c r="AH91" i="4"/>
  <c r="AJ93" i="4"/>
  <c r="AH93" i="4"/>
  <c r="AK93" i="4"/>
  <c r="AI93" i="4"/>
  <c r="AK144" i="4"/>
  <c r="AH144" i="4"/>
  <c r="AI144" i="4"/>
  <c r="AJ144" i="4"/>
  <c r="AK157" i="4"/>
  <c r="AJ157" i="4"/>
  <c r="AH157" i="4"/>
  <c r="AI157" i="4"/>
  <c r="AK53" i="4"/>
  <c r="AJ53" i="4"/>
  <c r="AI53" i="4"/>
  <c r="AH53" i="4"/>
  <c r="AK167" i="4"/>
  <c r="AI167" i="4"/>
  <c r="AH167" i="4"/>
  <c r="AJ167" i="4"/>
  <c r="AK18" i="4"/>
  <c r="AJ18" i="4"/>
  <c r="AI18" i="4"/>
  <c r="AH18" i="4"/>
  <c r="AH131" i="4"/>
  <c r="AK131" i="4"/>
  <c r="AJ131" i="4"/>
  <c r="AI131" i="4"/>
  <c r="AK17" i="4"/>
  <c r="AJ17" i="4"/>
  <c r="AI17" i="4"/>
  <c r="AH17" i="4"/>
  <c r="AO16" i="4"/>
  <c r="AN16" i="4"/>
  <c r="AM16" i="4"/>
  <c r="AL16" i="4"/>
  <c r="AI113" i="4"/>
  <c r="AK113" i="4"/>
  <c r="AH113" i="4"/>
  <c r="AJ113" i="4"/>
  <c r="AO43" i="4"/>
  <c r="AN43" i="4"/>
  <c r="AM43" i="4"/>
  <c r="AL43" i="4"/>
  <c r="AI109" i="4"/>
  <c r="AJ109" i="4"/>
  <c r="AH109" i="4"/>
  <c r="AK109" i="4"/>
  <c r="AK14" i="4"/>
  <c r="AJ14" i="4"/>
  <c r="AI14" i="4"/>
  <c r="AH14" i="4"/>
  <c r="AO131" i="4"/>
  <c r="AN131" i="4"/>
  <c r="AM131" i="4"/>
  <c r="AL131" i="4"/>
  <c r="AK37" i="4"/>
  <c r="AJ37" i="4"/>
  <c r="AH37" i="4"/>
  <c r="AI37" i="4"/>
  <c r="AK139" i="4"/>
  <c r="AH139" i="4"/>
  <c r="AJ139" i="4"/>
  <c r="AI139" i="4"/>
  <c r="AL155" i="4"/>
  <c r="AN155" i="4"/>
  <c r="AM155" i="4"/>
  <c r="AO155" i="4"/>
  <c r="AK147" i="4"/>
  <c r="AJ147" i="4"/>
  <c r="AI147" i="4"/>
  <c r="AH147" i="4"/>
  <c r="AK140" i="4"/>
  <c r="AH140" i="4"/>
  <c r="AJ140" i="4"/>
  <c r="AI140" i="4"/>
  <c r="AK13" i="4"/>
  <c r="AJ13" i="4"/>
  <c r="AI13" i="4"/>
  <c r="AH13" i="4"/>
  <c r="AK150" i="4"/>
  <c r="AJ150" i="4"/>
  <c r="AH150" i="4"/>
  <c r="AI150" i="4"/>
  <c r="AK148" i="4"/>
  <c r="AJ148" i="4"/>
  <c r="AH148" i="4"/>
  <c r="AI148" i="4"/>
  <c r="AK38" i="4"/>
  <c r="AJ38" i="4"/>
  <c r="AI38" i="4"/>
  <c r="AH38" i="4"/>
  <c r="AJ90" i="4"/>
  <c r="AK90" i="4"/>
  <c r="AI90" i="4"/>
  <c r="AH90" i="4"/>
  <c r="AK122" i="4"/>
  <c r="AJ122" i="4"/>
  <c r="AI122" i="4"/>
  <c r="AH122" i="4"/>
  <c r="AI82" i="4"/>
  <c r="AJ82" i="4"/>
  <c r="AK82" i="4"/>
  <c r="AH82" i="4"/>
  <c r="AN89" i="4"/>
  <c r="AL89" i="4"/>
  <c r="AO89" i="4"/>
  <c r="AM89" i="4"/>
  <c r="AK44" i="4"/>
  <c r="AJ44" i="4"/>
  <c r="AI44" i="4"/>
  <c r="AH44" i="4"/>
  <c r="AJ114" i="4"/>
  <c r="AI114" i="4"/>
  <c r="AH114" i="4"/>
  <c r="AK114" i="4"/>
  <c r="AO49" i="4"/>
  <c r="AN49" i="4"/>
  <c r="AM49" i="4"/>
  <c r="AL49" i="4"/>
  <c r="AO52" i="4"/>
  <c r="AN52" i="4"/>
  <c r="AM52" i="4"/>
  <c r="AL52" i="4"/>
  <c r="AJ112" i="4"/>
  <c r="AK112" i="4"/>
  <c r="AI112" i="4"/>
  <c r="AH112" i="4"/>
  <c r="AO53" i="4"/>
  <c r="AN53" i="4"/>
  <c r="AM53" i="4"/>
  <c r="AL53" i="4"/>
  <c r="AK49" i="4"/>
  <c r="AJ49" i="4"/>
  <c r="AI49" i="4"/>
  <c r="AH49" i="4"/>
  <c r="AI102" i="4"/>
  <c r="AH102" i="4"/>
  <c r="AK102" i="4"/>
  <c r="AJ102" i="4"/>
  <c r="AK63" i="4"/>
  <c r="AJ63" i="4"/>
  <c r="AI63" i="4"/>
  <c r="AH63" i="4"/>
  <c r="AK71" i="4"/>
  <c r="AJ71" i="4"/>
  <c r="AI71" i="4"/>
  <c r="AH71" i="4"/>
  <c r="AK28" i="4"/>
  <c r="AJ28" i="4"/>
  <c r="AI28" i="4"/>
  <c r="AH28" i="4"/>
  <c r="AL97" i="4"/>
  <c r="AM97" i="4"/>
  <c r="AO97" i="4"/>
  <c r="AN97" i="4"/>
  <c r="AK39" i="4"/>
  <c r="AJ39" i="4"/>
  <c r="AI39" i="4"/>
  <c r="AH39" i="4"/>
  <c r="AK135" i="4"/>
  <c r="AH135" i="4"/>
  <c r="AJ135" i="4"/>
  <c r="AI135" i="4"/>
  <c r="AK65" i="4"/>
  <c r="AJ65" i="4"/>
  <c r="AI65" i="4"/>
  <c r="AH65" i="4"/>
  <c r="AJ61" i="4"/>
  <c r="AI61" i="4"/>
  <c r="AK61" i="4"/>
  <c r="AH61" i="4"/>
  <c r="AK31" i="4"/>
  <c r="AJ31" i="4"/>
  <c r="AI31" i="4"/>
  <c r="AH31" i="4"/>
  <c r="AK40" i="4"/>
  <c r="AJ40" i="4"/>
  <c r="AI40" i="4"/>
  <c r="AH40" i="4"/>
  <c r="AI121" i="4"/>
  <c r="AH121" i="4"/>
  <c r="AJ121" i="4"/>
  <c r="AK121" i="4"/>
  <c r="AK146" i="4"/>
  <c r="AJ146" i="4"/>
  <c r="AH146" i="4"/>
  <c r="AI146" i="4"/>
  <c r="AK81" i="4"/>
  <c r="AJ81" i="4"/>
  <c r="AI81" i="4"/>
  <c r="AH81" i="4"/>
  <c r="AJ94" i="4"/>
  <c r="AK94" i="4"/>
  <c r="AI94" i="4"/>
  <c r="AH94" i="4"/>
  <c r="AJ69" i="4"/>
  <c r="AI69" i="4"/>
  <c r="AH69" i="4"/>
  <c r="AK69" i="4"/>
  <c r="AK74" i="4"/>
  <c r="AJ74" i="4"/>
  <c r="AI74" i="4"/>
  <c r="AH74" i="4"/>
  <c r="AJ66" i="4"/>
  <c r="AI66" i="4"/>
  <c r="AK66" i="4"/>
  <c r="AH66" i="4"/>
  <c r="AK136" i="4"/>
  <c r="AH136" i="4"/>
  <c r="AJ136" i="4"/>
  <c r="AI136" i="4"/>
  <c r="AK24" i="4"/>
  <c r="AJ24" i="4"/>
  <c r="AI24" i="4"/>
  <c r="AH24" i="4"/>
  <c r="AH97" i="4"/>
  <c r="AI97" i="4"/>
  <c r="AJ97" i="4"/>
  <c r="AK97" i="4"/>
  <c r="AK145" i="4"/>
  <c r="AH145" i="4"/>
  <c r="AI145" i="4"/>
  <c r="AJ145" i="4"/>
  <c r="AH161" i="4"/>
  <c r="AI161" i="4"/>
  <c r="AK161" i="4"/>
  <c r="AJ161" i="4"/>
  <c r="AK19" i="4"/>
  <c r="AJ19" i="4"/>
  <c r="AI19" i="4"/>
  <c r="AH19" i="4"/>
  <c r="AI168" i="4"/>
  <c r="AH168" i="4"/>
  <c r="AK168" i="4"/>
  <c r="AJ168" i="4"/>
  <c r="AI163" i="4"/>
  <c r="AH163" i="4"/>
  <c r="AK163" i="4"/>
  <c r="AJ163" i="4"/>
  <c r="AK21" i="4"/>
  <c r="AJ21" i="4"/>
  <c r="AI21" i="4"/>
  <c r="AH21" i="4"/>
  <c r="AI166" i="4"/>
  <c r="AH166" i="4"/>
  <c r="AJ166" i="4"/>
  <c r="AK166" i="4"/>
  <c r="AH125" i="4"/>
  <c r="AK125" i="4"/>
  <c r="AJ125" i="4"/>
  <c r="AI125" i="4"/>
  <c r="AJ55" i="4"/>
  <c r="AI55" i="4"/>
  <c r="AK55" i="4"/>
  <c r="AH55" i="4"/>
  <c r="AK45" i="4"/>
  <c r="AJ45" i="4"/>
  <c r="AI45" i="4"/>
  <c r="AH45" i="4"/>
  <c r="AM71" i="4"/>
  <c r="AN71" i="4"/>
  <c r="AL71" i="4"/>
  <c r="AO71" i="4"/>
  <c r="AH132" i="4"/>
  <c r="AJ132" i="4"/>
  <c r="AK132" i="4"/>
  <c r="AI132" i="4"/>
  <c r="AK50" i="4"/>
  <c r="AJ50" i="4"/>
  <c r="AI50" i="4"/>
  <c r="AH50" i="4"/>
  <c r="AK149" i="4"/>
  <c r="AJ149" i="4"/>
  <c r="AH149" i="4"/>
  <c r="AI149" i="4"/>
  <c r="AK156" i="4"/>
  <c r="AJ156" i="4"/>
  <c r="AI156" i="4"/>
  <c r="AH156" i="4"/>
  <c r="AH162" i="4"/>
  <c r="AK162" i="4"/>
  <c r="AJ162" i="4"/>
  <c r="AI162" i="4"/>
  <c r="AK160" i="4"/>
  <c r="AJ160" i="4"/>
  <c r="AI160" i="4"/>
  <c r="AH160" i="4"/>
  <c r="AO129" i="4"/>
  <c r="AN129" i="4"/>
  <c r="AM129" i="4"/>
  <c r="AL129" i="4"/>
  <c r="AO128" i="4"/>
  <c r="AN128" i="4"/>
  <c r="AL128" i="4"/>
  <c r="AM128" i="4"/>
  <c r="AK153" i="4"/>
  <c r="AJ153" i="4"/>
  <c r="AH153" i="4"/>
  <c r="AI153" i="4"/>
  <c r="AK22" i="4"/>
  <c r="AJ22" i="4"/>
  <c r="AH22" i="4"/>
  <c r="AI22" i="4"/>
  <c r="AK158" i="4"/>
  <c r="AJ158" i="4"/>
  <c r="AH158" i="4"/>
  <c r="AI158" i="4"/>
  <c r="AO119" i="4"/>
  <c r="AM119" i="4"/>
  <c r="AN119" i="4"/>
  <c r="AL119" i="4"/>
  <c r="AK20" i="4"/>
  <c r="AJ20" i="4"/>
  <c r="AI20" i="4"/>
  <c r="AH20" i="4"/>
  <c r="AN96" i="4"/>
  <c r="AL96" i="4"/>
  <c r="AM96" i="4"/>
  <c r="AO96" i="4"/>
  <c r="AM76" i="4"/>
  <c r="AO76" i="4"/>
  <c r="AL76" i="4"/>
  <c r="AN76" i="4"/>
  <c r="AK12" i="4"/>
  <c r="AJ12" i="4"/>
  <c r="AI12" i="4"/>
  <c r="AH12" i="4"/>
  <c r="AI86" i="4"/>
  <c r="AH86" i="4"/>
  <c r="AK86" i="4"/>
  <c r="AJ86" i="4"/>
  <c r="AK64" i="4"/>
  <c r="AJ64" i="4"/>
  <c r="AI64" i="4"/>
  <c r="AH64" i="4"/>
  <c r="AJ62" i="4"/>
  <c r="AI62" i="4"/>
  <c r="AK62" i="4"/>
  <c r="AH62" i="4"/>
  <c r="AK43" i="4"/>
  <c r="AJ43" i="4"/>
  <c r="AI43" i="4"/>
  <c r="AH43" i="4"/>
  <c r="AK47" i="4"/>
  <c r="AJ47" i="4"/>
  <c r="AI47" i="4"/>
  <c r="AH47" i="4"/>
  <c r="AK111" i="4"/>
  <c r="AI111" i="4"/>
  <c r="AJ111" i="4"/>
  <c r="AH111" i="4"/>
  <c r="AI103" i="4"/>
  <c r="AH103" i="4"/>
  <c r="AK103" i="4"/>
  <c r="AJ103" i="4"/>
  <c r="AK84" i="4"/>
  <c r="AJ84" i="4"/>
  <c r="AI84" i="4"/>
  <c r="AH84" i="4"/>
  <c r="AJ58" i="4"/>
  <c r="AI58" i="4"/>
  <c r="AK58" i="4"/>
  <c r="AH58" i="4"/>
  <c r="AJ59" i="4"/>
  <c r="AI59" i="4"/>
  <c r="AK59" i="4"/>
  <c r="AH59" i="4"/>
  <c r="AK25" i="4"/>
  <c r="AJ25" i="4"/>
  <c r="AI25" i="4"/>
  <c r="AH25" i="4"/>
  <c r="AK80" i="4"/>
  <c r="AJ80" i="4"/>
  <c r="AI80" i="4"/>
  <c r="AH80" i="4"/>
  <c r="AK73" i="4"/>
  <c r="AJ73" i="4"/>
  <c r="AI73" i="4"/>
  <c r="AH73" i="4"/>
  <c r="AO27" i="4"/>
  <c r="AN27" i="4"/>
  <c r="AM27" i="4"/>
  <c r="AL27" i="4"/>
  <c r="AK120" i="4"/>
  <c r="AI120" i="4"/>
  <c r="AH120" i="4"/>
  <c r="AJ120" i="4"/>
  <c r="AJ124" i="4"/>
  <c r="AI124" i="4"/>
  <c r="AH124" i="4"/>
  <c r="AK124" i="4"/>
  <c r="AK11" i="4"/>
  <c r="AJ11" i="4"/>
  <c r="AI11" i="4"/>
  <c r="AH11" i="4"/>
  <c r="AK16" i="4"/>
  <c r="AJ16" i="4"/>
  <c r="AI16" i="4"/>
  <c r="AH16" i="4"/>
  <c r="AK72" i="4"/>
  <c r="AJ72" i="4"/>
  <c r="AI72" i="4"/>
  <c r="AH72" i="4"/>
  <c r="AK27" i="4"/>
  <c r="AJ27" i="4"/>
  <c r="AI27" i="4"/>
  <c r="AH27" i="4"/>
  <c r="AI119" i="4"/>
  <c r="AJ119" i="4"/>
  <c r="AK119" i="4"/>
  <c r="AH119" i="4"/>
  <c r="AM78" i="4"/>
  <c r="AN78" i="4"/>
  <c r="AL78" i="4"/>
  <c r="AO78" i="4"/>
  <c r="AO42" i="4"/>
  <c r="AN42" i="4"/>
  <c r="AM42" i="4"/>
  <c r="AL42" i="4"/>
  <c r="AO58" i="4"/>
  <c r="AN58" i="4"/>
  <c r="AL58" i="4"/>
  <c r="AM58" i="4"/>
  <c r="AN93" i="4"/>
  <c r="AL93" i="4"/>
  <c r="AO93" i="4"/>
  <c r="AM93" i="4"/>
  <c r="AK23" i="4"/>
  <c r="AJ23" i="4"/>
  <c r="AI23" i="4"/>
  <c r="AH23" i="4"/>
  <c r="AK142" i="4"/>
  <c r="AH142" i="4"/>
  <c r="AI142" i="4"/>
  <c r="AJ142" i="4"/>
  <c r="AK143" i="4"/>
  <c r="AH143" i="4"/>
  <c r="AJ143" i="4"/>
  <c r="AI143" i="4"/>
  <c r="AI104" i="4"/>
  <c r="AH104" i="4"/>
  <c r="AK104" i="4"/>
  <c r="AJ104" i="4"/>
  <c r="AI99" i="4"/>
  <c r="AH99" i="4"/>
  <c r="AJ99" i="4"/>
  <c r="AK99" i="4"/>
  <c r="AK35" i="4"/>
  <c r="AJ35" i="4"/>
  <c r="AI35" i="4"/>
  <c r="AH35" i="4"/>
  <c r="AI100" i="4"/>
  <c r="AH100" i="4"/>
  <c r="AK100" i="4"/>
  <c r="AJ100" i="4"/>
  <c r="AI98" i="4"/>
  <c r="AH98" i="4"/>
  <c r="AK98" i="4"/>
  <c r="AJ98" i="4"/>
  <c r="AJ68" i="4"/>
  <c r="AI68" i="4"/>
  <c r="AH68" i="4"/>
  <c r="AK68" i="4"/>
  <c r="AJ116" i="4"/>
  <c r="AI116" i="4"/>
  <c r="AH116" i="4"/>
  <c r="AK116" i="4"/>
  <c r="AK159" i="4"/>
  <c r="AJ159" i="4"/>
  <c r="AI159" i="4"/>
  <c r="AH159" i="4"/>
  <c r="AJ107" i="4"/>
  <c r="AI107" i="4"/>
  <c r="AH107" i="4"/>
  <c r="AK107" i="4"/>
  <c r="AS90" i="4" l="1"/>
  <c r="AR90" i="4"/>
  <c r="AP90" i="4"/>
  <c r="AQ90" i="4"/>
  <c r="AO126" i="4"/>
  <c r="AN126" i="4"/>
  <c r="AM126" i="4"/>
  <c r="AL126" i="4"/>
  <c r="AN162" i="4"/>
  <c r="AL162" i="4"/>
  <c r="AO162" i="4"/>
  <c r="AM162" i="4"/>
  <c r="AR98" i="4"/>
  <c r="AP98" i="4"/>
  <c r="AS98" i="4"/>
  <c r="AQ98" i="4"/>
  <c r="AQ62" i="4"/>
  <c r="AP62" i="4"/>
  <c r="AS62" i="4"/>
  <c r="AR62" i="4"/>
  <c r="AO31" i="4"/>
  <c r="AN31" i="4"/>
  <c r="AM31" i="4"/>
  <c r="AL31" i="4"/>
  <c r="AO111" i="4"/>
  <c r="AN111" i="4"/>
  <c r="AM111" i="4"/>
  <c r="AL111" i="4"/>
  <c r="AL107" i="4"/>
  <c r="AO107" i="4"/>
  <c r="AN107" i="4"/>
  <c r="AM107" i="4"/>
  <c r="AO36" i="4"/>
  <c r="AN36" i="4"/>
  <c r="AM36" i="4"/>
  <c r="AL36" i="4"/>
  <c r="AM73" i="4"/>
  <c r="AN73" i="4"/>
  <c r="AO73" i="4"/>
  <c r="AL73" i="4"/>
  <c r="AM74" i="4"/>
  <c r="AO74" i="4"/>
  <c r="AN74" i="4"/>
  <c r="AL74" i="4"/>
  <c r="AO60" i="4"/>
  <c r="AN60" i="4"/>
  <c r="AL60" i="4"/>
  <c r="AM60" i="4"/>
  <c r="AO44" i="4"/>
  <c r="AN44" i="4"/>
  <c r="AM44" i="4"/>
  <c r="AL44" i="4"/>
  <c r="AO51" i="4"/>
  <c r="AN51" i="4"/>
  <c r="AM51" i="4"/>
  <c r="AL51" i="4"/>
  <c r="AO46" i="4"/>
  <c r="AN46" i="4"/>
  <c r="AM46" i="4"/>
  <c r="AL46" i="4"/>
  <c r="AO32" i="4"/>
  <c r="AN32" i="4"/>
  <c r="AM32" i="4"/>
  <c r="AL32" i="4"/>
  <c r="AO29" i="4"/>
  <c r="AN29" i="4"/>
  <c r="AM29" i="4"/>
  <c r="AL29" i="4"/>
  <c r="AO113" i="4"/>
  <c r="AN113" i="4"/>
  <c r="AM113" i="4"/>
  <c r="AL113" i="4"/>
  <c r="AN83" i="4"/>
  <c r="AL83" i="4"/>
  <c r="AO83" i="4"/>
  <c r="AM83" i="4"/>
  <c r="AO39" i="4"/>
  <c r="AN39" i="4"/>
  <c r="AM39" i="4"/>
  <c r="AL39" i="4"/>
  <c r="AM14" i="4"/>
  <c r="AL14" i="4"/>
  <c r="AO14" i="4"/>
  <c r="AN14" i="4"/>
  <c r="AS132" i="4"/>
  <c r="AQ132" i="4"/>
  <c r="AR132" i="4"/>
  <c r="AP132" i="4"/>
  <c r="AS44" i="4"/>
  <c r="AR44" i="4"/>
  <c r="AQ44" i="4"/>
  <c r="AP44" i="4"/>
  <c r="AO18" i="4"/>
  <c r="AN18" i="4"/>
  <c r="AM18" i="4"/>
  <c r="AL18" i="4"/>
  <c r="AO37" i="4"/>
  <c r="AN37" i="4"/>
  <c r="AM37" i="4"/>
  <c r="AL37" i="4"/>
  <c r="AM80" i="4"/>
  <c r="AO80" i="4"/>
  <c r="AN80" i="4"/>
  <c r="AL80" i="4"/>
  <c r="O22" i="1"/>
  <c r="N23" i="1"/>
  <c r="AO139" i="4"/>
  <c r="AN139" i="4"/>
  <c r="AM139" i="4"/>
  <c r="AL139" i="4"/>
  <c r="AN90" i="4"/>
  <c r="AL90" i="4"/>
  <c r="AO90" i="4"/>
  <c r="AM90" i="4"/>
  <c r="AL105" i="4"/>
  <c r="AM105" i="4"/>
  <c r="AO105" i="4"/>
  <c r="AN105" i="4"/>
  <c r="AO108" i="4"/>
  <c r="AN108" i="4"/>
  <c r="AM108" i="4"/>
  <c r="AL108" i="4"/>
  <c r="AQ79" i="4"/>
  <c r="AS79" i="4"/>
  <c r="AR79" i="4"/>
  <c r="AP79" i="4"/>
  <c r="AL159" i="4"/>
  <c r="AN159" i="4"/>
  <c r="AM159" i="4"/>
  <c r="AO159" i="4"/>
  <c r="AS129" i="4"/>
  <c r="AQ129" i="4"/>
  <c r="AR129" i="4"/>
  <c r="AP129" i="4"/>
  <c r="AM70" i="4"/>
  <c r="AN70" i="4"/>
  <c r="AL70" i="4"/>
  <c r="AO70" i="4"/>
  <c r="AN147" i="4"/>
  <c r="AL147" i="4"/>
  <c r="AO147" i="4"/>
  <c r="AM147" i="4"/>
  <c r="AO115" i="4"/>
  <c r="AN115" i="4"/>
  <c r="AM115" i="4"/>
  <c r="AL115" i="4"/>
  <c r="AO168" i="4"/>
  <c r="AN168" i="4"/>
  <c r="AL168" i="4"/>
  <c r="AM168" i="4"/>
  <c r="AO138" i="4"/>
  <c r="AM138" i="4"/>
  <c r="AL138" i="4"/>
  <c r="AN138" i="4"/>
  <c r="AO127" i="4"/>
  <c r="AN127" i="4"/>
  <c r="AL127" i="4"/>
  <c r="AM127" i="4"/>
  <c r="AO134" i="4"/>
  <c r="AN134" i="4"/>
  <c r="AM134" i="4"/>
  <c r="AL134" i="4"/>
  <c r="AL104" i="4"/>
  <c r="AO104" i="4"/>
  <c r="AN104" i="4"/>
  <c r="AM104" i="4"/>
  <c r="AN87" i="4"/>
  <c r="AL87" i="4"/>
  <c r="AO87" i="4"/>
  <c r="AM87" i="4"/>
  <c r="AR97" i="4"/>
  <c r="AQ97" i="4"/>
  <c r="AS97" i="4"/>
  <c r="AP97" i="4"/>
  <c r="AO167" i="4"/>
  <c r="AN167" i="4"/>
  <c r="AM167" i="4"/>
  <c r="AL167" i="4"/>
  <c r="AO146" i="4"/>
  <c r="AN146" i="4"/>
  <c r="AM146" i="4"/>
  <c r="AL146" i="4"/>
  <c r="AO137" i="4"/>
  <c r="AL137" i="4"/>
  <c r="AN137" i="4"/>
  <c r="AM137" i="4"/>
  <c r="AO136" i="4"/>
  <c r="AM136" i="4"/>
  <c r="AL136" i="4"/>
  <c r="AN136" i="4"/>
  <c r="AL103" i="4"/>
  <c r="AO103" i="4"/>
  <c r="AN103" i="4"/>
  <c r="AM103" i="4"/>
  <c r="AO145" i="4"/>
  <c r="AN145" i="4"/>
  <c r="AM145" i="4"/>
  <c r="AL145" i="4"/>
  <c r="AO57" i="4"/>
  <c r="AN57" i="4"/>
  <c r="AL57" i="4"/>
  <c r="AM57" i="4"/>
  <c r="AO47" i="4"/>
  <c r="AN47" i="4"/>
  <c r="AM47" i="4"/>
  <c r="AL47" i="4"/>
  <c r="AS117" i="4"/>
  <c r="AR117" i="4"/>
  <c r="AQ117" i="4"/>
  <c r="AP117" i="4"/>
  <c r="AO30" i="4"/>
  <c r="AN30" i="4"/>
  <c r="AM30" i="4"/>
  <c r="AL30" i="4"/>
  <c r="AO109" i="4"/>
  <c r="AN109" i="4"/>
  <c r="AM109" i="4"/>
  <c r="AL109" i="4"/>
  <c r="AL101" i="4"/>
  <c r="AM101" i="4"/>
  <c r="AO101" i="4"/>
  <c r="AN101" i="4"/>
  <c r="AM69" i="4"/>
  <c r="AN69" i="4"/>
  <c r="AL69" i="4"/>
  <c r="AO69" i="4"/>
  <c r="AS94" i="4"/>
  <c r="AR94" i="4"/>
  <c r="AP94" i="4"/>
  <c r="AQ94" i="4"/>
  <c r="AN163" i="4"/>
  <c r="AM163" i="4"/>
  <c r="AL163" i="4"/>
  <c r="AO163" i="4"/>
  <c r="AP156" i="4"/>
  <c r="AR156" i="4"/>
  <c r="AQ156" i="4"/>
  <c r="AS156" i="4"/>
  <c r="AO33" i="4"/>
  <c r="AN33" i="4"/>
  <c r="AM33" i="4"/>
  <c r="AL33" i="4"/>
  <c r="AN84" i="4"/>
  <c r="AL84" i="4"/>
  <c r="AO84" i="4"/>
  <c r="AM84" i="4"/>
  <c r="AO166" i="4"/>
  <c r="AN166" i="4"/>
  <c r="AL166" i="4"/>
  <c r="AM166" i="4"/>
  <c r="AO120" i="4"/>
  <c r="AM120" i="4"/>
  <c r="AL120" i="4"/>
  <c r="AN120" i="4"/>
  <c r="AM81" i="4"/>
  <c r="AO81" i="4"/>
  <c r="AN81" i="4"/>
  <c r="AL81" i="4"/>
  <c r="AO63" i="4"/>
  <c r="AN63" i="4"/>
  <c r="AL63" i="4"/>
  <c r="AM63" i="4"/>
  <c r="AL157" i="4"/>
  <c r="AO157" i="4"/>
  <c r="AN157" i="4"/>
  <c r="AM157" i="4"/>
  <c r="AO56" i="4"/>
  <c r="AN56" i="4"/>
  <c r="AL56" i="4"/>
  <c r="AM56" i="4"/>
  <c r="AO22" i="4"/>
  <c r="AM22" i="4"/>
  <c r="AL22" i="4"/>
  <c r="AN22" i="4"/>
  <c r="AM20" i="4"/>
  <c r="AO20" i="4"/>
  <c r="AN20" i="4"/>
  <c r="AL20" i="4"/>
  <c r="AM67" i="4"/>
  <c r="AO67" i="4"/>
  <c r="AN67" i="4"/>
  <c r="AL67" i="4"/>
  <c r="AN95" i="4"/>
  <c r="AL95" i="4"/>
  <c r="AO95" i="4"/>
  <c r="AM95" i="4"/>
  <c r="AO62" i="4"/>
  <c r="AN62" i="4"/>
  <c r="AL62" i="4"/>
  <c r="AM62" i="4"/>
  <c r="AO40" i="4"/>
  <c r="AN40" i="4"/>
  <c r="AM40" i="4"/>
  <c r="AL40" i="4"/>
  <c r="AM72" i="4"/>
  <c r="AN72" i="4"/>
  <c r="AO72" i="4"/>
  <c r="AL72" i="4"/>
  <c r="AO50" i="4"/>
  <c r="AN50" i="4"/>
  <c r="AM50" i="4"/>
  <c r="AL50" i="4"/>
  <c r="AS53" i="4"/>
  <c r="AR53" i="4"/>
  <c r="AQ53" i="4"/>
  <c r="AP53" i="4"/>
  <c r="AO45" i="4"/>
  <c r="AN45" i="4"/>
  <c r="AM45" i="4"/>
  <c r="AL45" i="4"/>
  <c r="AO123" i="4"/>
  <c r="AM123" i="4"/>
  <c r="AN123" i="4"/>
  <c r="AL123" i="4"/>
  <c r="AO15" i="4"/>
  <c r="AN15" i="4"/>
  <c r="AM15" i="4"/>
  <c r="AL15" i="4"/>
  <c r="AO54" i="4"/>
  <c r="AN54" i="4"/>
  <c r="AM54" i="4"/>
  <c r="AL54" i="4"/>
  <c r="AM77" i="4"/>
  <c r="AO77" i="4"/>
  <c r="AN77" i="4"/>
  <c r="AL77" i="4"/>
  <c r="AL106" i="4"/>
  <c r="AO106" i="4"/>
  <c r="AN106" i="4"/>
  <c r="AM106" i="4"/>
  <c r="AN86" i="4"/>
  <c r="AL86" i="4"/>
  <c r="AO86" i="4"/>
  <c r="AM86" i="4"/>
  <c r="AO144" i="4"/>
  <c r="AN144" i="4"/>
  <c r="AL144" i="4"/>
  <c r="AM144" i="4"/>
  <c r="AM160" i="4"/>
  <c r="AL160" i="4"/>
  <c r="AO160" i="4"/>
  <c r="AN160" i="4"/>
  <c r="AO17" i="4"/>
  <c r="AN17" i="4"/>
  <c r="AM17" i="4"/>
  <c r="AL17" i="4"/>
  <c r="AO59" i="4"/>
  <c r="AN59" i="4"/>
  <c r="AL59" i="4"/>
  <c r="AM59" i="4"/>
  <c r="AO112" i="4"/>
  <c r="AN112" i="4"/>
  <c r="AM112" i="4"/>
  <c r="AL112" i="4"/>
  <c r="AO13" i="4"/>
  <c r="AN13" i="4"/>
  <c r="AM13" i="4"/>
  <c r="AL13" i="4"/>
  <c r="AM21" i="4"/>
  <c r="AO21" i="4"/>
  <c r="AN21" i="4"/>
  <c r="AL21" i="4"/>
  <c r="AS130" i="4"/>
  <c r="AP130" i="4"/>
  <c r="AR130" i="4"/>
  <c r="AQ130" i="4"/>
  <c r="AQ59" i="4"/>
  <c r="AS59" i="4"/>
  <c r="AR59" i="4"/>
  <c r="AP59" i="4"/>
  <c r="AO121" i="4"/>
  <c r="AM121" i="4"/>
  <c r="AN121" i="4"/>
  <c r="AL121" i="4"/>
  <c r="AO23" i="4"/>
  <c r="AM23" i="4"/>
  <c r="AN23" i="4"/>
  <c r="AL23" i="4"/>
  <c r="AL149" i="4"/>
  <c r="AN149" i="4"/>
  <c r="AM149" i="4"/>
  <c r="AO149" i="4"/>
  <c r="AO114" i="4"/>
  <c r="AN114" i="4"/>
  <c r="AM114" i="4"/>
  <c r="AL114" i="4"/>
  <c r="AO135" i="4"/>
  <c r="AM135" i="4"/>
  <c r="AL135" i="4"/>
  <c r="AN135" i="4"/>
  <c r="AO130" i="4"/>
  <c r="AN130" i="4"/>
  <c r="AL130" i="4"/>
  <c r="AM130" i="4"/>
  <c r="AO125" i="4"/>
  <c r="AN125" i="4"/>
  <c r="AL125" i="4"/>
  <c r="AM125" i="4"/>
  <c r="AL99" i="4"/>
  <c r="AO99" i="4"/>
  <c r="AM99" i="4"/>
  <c r="AN99" i="4"/>
  <c r="AL100" i="4"/>
  <c r="AN100" i="4"/>
  <c r="AO100" i="4"/>
  <c r="AM100" i="4"/>
  <c r="AO143" i="4"/>
  <c r="AN143" i="4"/>
  <c r="AM143" i="4"/>
  <c r="AL143" i="4"/>
  <c r="AO122" i="4"/>
  <c r="AM122" i="4"/>
  <c r="AN122" i="4"/>
  <c r="AL122" i="4"/>
  <c r="AO141" i="4"/>
  <c r="AN141" i="4"/>
  <c r="AM141" i="4"/>
  <c r="AL141" i="4"/>
  <c r="AO140" i="4"/>
  <c r="AN140" i="4"/>
  <c r="AM140" i="4"/>
  <c r="AL140" i="4"/>
  <c r="AN94" i="4"/>
  <c r="AL94" i="4"/>
  <c r="AO94" i="4"/>
  <c r="AM94" i="4"/>
  <c r="AM68" i="4"/>
  <c r="AL68" i="4"/>
  <c r="AO68" i="4"/>
  <c r="AN68" i="4"/>
  <c r="AM79" i="4"/>
  <c r="AN79" i="4"/>
  <c r="AO79" i="4"/>
  <c r="AL79" i="4"/>
  <c r="AN88" i="4"/>
  <c r="AL88" i="4"/>
  <c r="AM88" i="4"/>
  <c r="AO88" i="4"/>
  <c r="AO118" i="4"/>
  <c r="AM118" i="4"/>
  <c r="AN118" i="4"/>
  <c r="AL118" i="4"/>
  <c r="AS35" i="4"/>
  <c r="AQ35" i="4"/>
  <c r="AP35" i="4"/>
  <c r="AR35" i="4"/>
  <c r="AO164" i="4"/>
  <c r="AN164" i="4"/>
  <c r="AL164" i="4"/>
  <c r="AM164" i="4"/>
  <c r="AO133" i="4"/>
  <c r="AL133" i="4"/>
  <c r="AN133" i="4"/>
  <c r="AM133" i="4"/>
  <c r="AL98" i="4"/>
  <c r="AM98" i="4"/>
  <c r="AO98" i="4"/>
  <c r="AN98" i="4"/>
  <c r="AO132" i="4"/>
  <c r="AM132" i="4"/>
  <c r="AL132" i="4"/>
  <c r="AN132" i="4"/>
  <c r="AO165" i="4"/>
  <c r="AN165" i="4"/>
  <c r="AM165" i="4"/>
  <c r="AL165" i="4"/>
  <c r="AL153" i="4"/>
  <c r="AN153" i="4"/>
  <c r="AM153" i="4"/>
  <c r="AO153" i="4"/>
  <c r="AO124" i="4"/>
  <c r="AM124" i="4"/>
  <c r="AN124" i="4"/>
  <c r="AL124" i="4"/>
  <c r="AO24" i="4"/>
  <c r="AM24" i="4"/>
  <c r="AL24" i="4"/>
  <c r="AN24" i="4"/>
  <c r="AS43" i="4"/>
  <c r="AR43" i="4"/>
  <c r="AQ43" i="4"/>
  <c r="AP43" i="4"/>
  <c r="AO28" i="4"/>
  <c r="AN28" i="4"/>
  <c r="AM28" i="4"/>
  <c r="AL28" i="4"/>
  <c r="AO12" i="4"/>
  <c r="AN12" i="4"/>
  <c r="AM12" i="4"/>
  <c r="AL12" i="4"/>
  <c r="AQ28" i="4"/>
  <c r="AR28" i="4"/>
  <c r="AP28" i="4"/>
  <c r="AS28" i="4"/>
  <c r="AO26" i="4"/>
  <c r="AN26" i="4"/>
  <c r="AM26" i="4"/>
  <c r="AL26" i="4"/>
  <c r="AN85" i="4"/>
  <c r="AL85" i="4"/>
  <c r="AO85" i="4"/>
  <c r="AM85" i="4"/>
  <c r="AO48" i="4"/>
  <c r="AN48" i="4"/>
  <c r="AM48" i="4"/>
  <c r="AL48" i="4"/>
  <c r="AM65" i="4"/>
  <c r="AO65" i="4"/>
  <c r="AL65" i="4"/>
  <c r="AN65" i="4"/>
  <c r="AS120" i="4"/>
  <c r="AP120" i="4"/>
  <c r="AR120" i="4"/>
  <c r="AQ120" i="4"/>
  <c r="AO161" i="4"/>
  <c r="AN161" i="4"/>
  <c r="AL161" i="4"/>
  <c r="AM161" i="4"/>
  <c r="AO25" i="4"/>
  <c r="AM25" i="4"/>
  <c r="AN25" i="4"/>
  <c r="AL25" i="4"/>
  <c r="AM75" i="4"/>
  <c r="AO75" i="4"/>
  <c r="AN75" i="4"/>
  <c r="AL75" i="4"/>
  <c r="AN82" i="4"/>
  <c r="AL82" i="4"/>
  <c r="AO82" i="4"/>
  <c r="AM82" i="4"/>
  <c r="AO41" i="4"/>
  <c r="AN41" i="4"/>
  <c r="AM41" i="4"/>
  <c r="AL41" i="4"/>
  <c r="AM66" i="4"/>
  <c r="AN66" i="4"/>
  <c r="AL66" i="4"/>
  <c r="AO66" i="4"/>
  <c r="AO64" i="4"/>
  <c r="AN64" i="4"/>
  <c r="AL64" i="4"/>
  <c r="AM64" i="4"/>
  <c r="AS54" i="4"/>
  <c r="AR54" i="4"/>
  <c r="AQ54" i="4"/>
  <c r="AP54" i="4"/>
  <c r="AS50" i="4"/>
  <c r="AR50" i="4"/>
  <c r="AQ50" i="4"/>
  <c r="AP50" i="4"/>
  <c r="AN91" i="4"/>
  <c r="AL91" i="4"/>
  <c r="AO91" i="4"/>
  <c r="AM91" i="4"/>
  <c r="AL148" i="4"/>
  <c r="AO148" i="4"/>
  <c r="AN148" i="4"/>
  <c r="AM148" i="4"/>
  <c r="AQ17" i="4"/>
  <c r="AP17" i="4"/>
  <c r="AS17" i="4"/>
  <c r="AR17" i="4"/>
  <c r="AO19" i="4"/>
  <c r="AN19" i="4"/>
  <c r="AM19" i="4"/>
  <c r="AL19" i="4"/>
  <c r="AN92" i="4"/>
  <c r="AL92" i="4"/>
  <c r="AM92" i="4"/>
  <c r="AO92" i="4"/>
  <c r="AL152" i="4"/>
  <c r="AO152" i="4"/>
  <c r="AN152" i="4"/>
  <c r="AM152" i="4"/>
  <c r="AL102" i="4"/>
  <c r="AO102" i="4"/>
  <c r="AM102" i="4"/>
  <c r="AN102" i="4"/>
  <c r="AO142" i="4"/>
  <c r="AN142" i="4"/>
  <c r="AM142" i="4"/>
  <c r="AL142" i="4"/>
  <c r="AM117" i="4"/>
  <c r="AN117" i="4"/>
  <c r="AO117" i="4"/>
  <c r="AL117" i="4"/>
  <c r="AQ77" i="4"/>
  <c r="AS77" i="4"/>
  <c r="AP77" i="4"/>
  <c r="AR77" i="4"/>
  <c r="AL154" i="4"/>
  <c r="AN154" i="4"/>
  <c r="AM154" i="4"/>
  <c r="AO154" i="4"/>
  <c r="AL150" i="4"/>
  <c r="AN150" i="4"/>
  <c r="AM150" i="4"/>
  <c r="AO150" i="4"/>
  <c r="AQ72" i="4"/>
  <c r="AS72" i="4"/>
  <c r="AP72" i="4"/>
  <c r="AR72" i="4"/>
  <c r="AL151" i="4"/>
  <c r="AN151" i="4"/>
  <c r="AM151" i="4"/>
  <c r="AO151" i="4"/>
  <c r="AO38" i="4"/>
  <c r="AN38" i="4"/>
  <c r="AM38" i="4"/>
  <c r="AL38" i="4"/>
  <c r="AO110" i="4"/>
  <c r="AN110" i="4"/>
  <c r="AM110" i="4"/>
  <c r="AL110" i="4"/>
  <c r="AL158" i="4"/>
  <c r="AN158" i="4"/>
  <c r="AO158" i="4"/>
  <c r="AM158" i="4"/>
  <c r="AO35" i="4"/>
  <c r="AN35" i="4"/>
  <c r="AM35" i="4"/>
  <c r="AL35" i="4"/>
  <c r="AP157" i="4"/>
  <c r="AS157" i="4"/>
  <c r="AR157" i="4"/>
  <c r="AQ157" i="4"/>
  <c r="AQ56" i="4"/>
  <c r="AS56" i="4"/>
  <c r="AR56" i="4"/>
  <c r="AP56" i="4"/>
  <c r="AS111" i="4" l="1"/>
  <c r="AR111" i="4"/>
  <c r="AP111" i="4"/>
  <c r="AQ111" i="4"/>
  <c r="AS92" i="4"/>
  <c r="AR92" i="4"/>
  <c r="AP92" i="4"/>
  <c r="AQ92" i="4"/>
  <c r="AQ19" i="4"/>
  <c r="AP19" i="4"/>
  <c r="AS19" i="4"/>
  <c r="AR19" i="4"/>
  <c r="AP154" i="4"/>
  <c r="AR154" i="4"/>
  <c r="AQ154" i="4"/>
  <c r="AS154" i="4"/>
  <c r="AR99" i="4"/>
  <c r="AP99" i="4"/>
  <c r="AS99" i="4"/>
  <c r="AQ99" i="4"/>
  <c r="AP158" i="4"/>
  <c r="AS158" i="4"/>
  <c r="AR158" i="4"/>
  <c r="AQ158" i="4"/>
  <c r="AR104" i="4"/>
  <c r="AS104" i="4"/>
  <c r="AQ104" i="4"/>
  <c r="AP104" i="4"/>
  <c r="AQ61" i="4"/>
  <c r="AR61" i="4"/>
  <c r="AP61" i="4"/>
  <c r="AS61" i="4"/>
  <c r="AS36" i="4"/>
  <c r="AQ36" i="4"/>
  <c r="AP36" i="4"/>
  <c r="AR36" i="4"/>
  <c r="AS39" i="4"/>
  <c r="AR39" i="4"/>
  <c r="AQ39" i="4"/>
  <c r="AP39" i="4"/>
  <c r="AS118" i="4"/>
  <c r="AR118" i="4"/>
  <c r="AQ118" i="4"/>
  <c r="AP118" i="4"/>
  <c r="AW51" i="4"/>
  <c r="AV51" i="4"/>
  <c r="AU51" i="4"/>
  <c r="AT51" i="4"/>
  <c r="AQ76" i="4"/>
  <c r="AS76" i="4"/>
  <c r="AR76" i="4"/>
  <c r="AP76" i="4"/>
  <c r="AQ13" i="4"/>
  <c r="AP13" i="4"/>
  <c r="AS13" i="4"/>
  <c r="AR13" i="4"/>
  <c r="AR166" i="4"/>
  <c r="AP166" i="4"/>
  <c r="AS166" i="4"/>
  <c r="AQ166" i="4"/>
  <c r="AS119" i="4"/>
  <c r="AP119" i="4"/>
  <c r="AR119" i="4"/>
  <c r="AQ119" i="4"/>
  <c r="AQ142" i="4"/>
  <c r="AS142" i="4"/>
  <c r="AR142" i="4"/>
  <c r="AP142" i="4"/>
  <c r="AV60" i="4"/>
  <c r="AU60" i="4"/>
  <c r="AT60" i="4"/>
  <c r="AW60" i="4"/>
  <c r="AS14" i="4"/>
  <c r="AR14" i="4"/>
  <c r="AQ14" i="4"/>
  <c r="AP14" i="4"/>
  <c r="AQ18" i="4"/>
  <c r="AP18" i="4"/>
  <c r="AS18" i="4"/>
  <c r="AR18" i="4"/>
  <c r="AQ55" i="4"/>
  <c r="AS55" i="4"/>
  <c r="AR55" i="4"/>
  <c r="AP55" i="4"/>
  <c r="AS46" i="4"/>
  <c r="AR46" i="4"/>
  <c r="AQ46" i="4"/>
  <c r="AP46" i="4"/>
  <c r="AQ73" i="4"/>
  <c r="AS73" i="4"/>
  <c r="AR73" i="4"/>
  <c r="AP73" i="4"/>
  <c r="AQ31" i="4"/>
  <c r="AS31" i="4"/>
  <c r="AR31" i="4"/>
  <c r="AP31" i="4"/>
  <c r="AR168" i="4"/>
  <c r="AP168" i="4"/>
  <c r="AS168" i="4"/>
  <c r="AQ168" i="4"/>
  <c r="O23" i="1"/>
  <c r="N24" i="1"/>
  <c r="AQ15" i="4"/>
  <c r="AP15" i="4"/>
  <c r="AS15" i="4"/>
  <c r="AR15" i="4"/>
  <c r="AR163" i="4"/>
  <c r="AP163" i="4"/>
  <c r="AS163" i="4"/>
  <c r="AQ163" i="4"/>
  <c r="AQ32" i="4"/>
  <c r="AS32" i="4"/>
  <c r="AR32" i="4"/>
  <c r="AP32" i="4"/>
  <c r="AS131" i="4"/>
  <c r="AR131" i="4"/>
  <c r="AQ131" i="4"/>
  <c r="AP131" i="4"/>
  <c r="AS70" i="4"/>
  <c r="AQ70" i="4"/>
  <c r="AP70" i="4"/>
  <c r="AR70" i="4"/>
  <c r="AQ58" i="4"/>
  <c r="AS58" i="4"/>
  <c r="AR58" i="4"/>
  <c r="AP58" i="4"/>
  <c r="AS137" i="4"/>
  <c r="AQ137" i="4"/>
  <c r="AR137" i="4"/>
  <c r="AP137" i="4"/>
  <c r="AQ139" i="4"/>
  <c r="AS139" i="4"/>
  <c r="AR139" i="4"/>
  <c r="AP139" i="4"/>
  <c r="AS114" i="4"/>
  <c r="AR114" i="4"/>
  <c r="AQ114" i="4"/>
  <c r="AP114" i="4"/>
  <c r="AW18" i="4"/>
  <c r="AV18" i="4"/>
  <c r="AU18" i="4"/>
  <c r="AT18" i="4"/>
  <c r="AW121" i="4"/>
  <c r="AU121" i="4"/>
  <c r="AV121" i="4"/>
  <c r="AT121" i="4"/>
  <c r="AS86" i="4"/>
  <c r="AR86" i="4"/>
  <c r="AQ86" i="4"/>
  <c r="AP86" i="4"/>
  <c r="AS134" i="4"/>
  <c r="AR134" i="4"/>
  <c r="AQ134" i="4"/>
  <c r="AP134" i="4"/>
  <c r="AS69" i="4"/>
  <c r="AP69" i="4"/>
  <c r="AR69" i="4"/>
  <c r="AQ69" i="4"/>
  <c r="AS87" i="4"/>
  <c r="AR87" i="4"/>
  <c r="AP87" i="4"/>
  <c r="AQ87" i="4"/>
  <c r="AS96" i="4"/>
  <c r="AR96" i="4"/>
  <c r="AP96" i="4"/>
  <c r="AQ96" i="4"/>
  <c r="AP148" i="4"/>
  <c r="AR148" i="4"/>
  <c r="AQ148" i="4"/>
  <c r="AS148" i="4"/>
  <c r="AQ81" i="4"/>
  <c r="AS81" i="4"/>
  <c r="AR81" i="4"/>
  <c r="AP81" i="4"/>
  <c r="AW45" i="4"/>
  <c r="AV45" i="4"/>
  <c r="AU45" i="4"/>
  <c r="AT45" i="4"/>
  <c r="AS40" i="4"/>
  <c r="AR40" i="4"/>
  <c r="AQ40" i="4"/>
  <c r="AP40" i="4"/>
  <c r="AQ30" i="4"/>
  <c r="AS30" i="4"/>
  <c r="AR30" i="4"/>
  <c r="AP30" i="4"/>
  <c r="AS52" i="4"/>
  <c r="AR52" i="4"/>
  <c r="AQ52" i="4"/>
  <c r="AP52" i="4"/>
  <c r="AQ75" i="4"/>
  <c r="AS75" i="4"/>
  <c r="AR75" i="4"/>
  <c r="AP75" i="4"/>
  <c r="AS127" i="4"/>
  <c r="AP127" i="4"/>
  <c r="AR127" i="4"/>
  <c r="AQ127" i="4"/>
  <c r="AQ25" i="4"/>
  <c r="AS25" i="4"/>
  <c r="AR25" i="4"/>
  <c r="AP25" i="4"/>
  <c r="AQ23" i="4"/>
  <c r="AS23" i="4"/>
  <c r="AR23" i="4"/>
  <c r="AP23" i="4"/>
  <c r="AW157" i="4"/>
  <c r="AV157" i="4"/>
  <c r="AU157" i="4"/>
  <c r="AT157" i="4"/>
  <c r="AR105" i="4"/>
  <c r="AS105" i="4"/>
  <c r="AQ105" i="4"/>
  <c r="AP105" i="4"/>
  <c r="AP160" i="4"/>
  <c r="AR160" i="4"/>
  <c r="AS160" i="4"/>
  <c r="AQ160" i="4"/>
  <c r="AP106" i="4"/>
  <c r="AR106" i="4"/>
  <c r="AS106" i="4"/>
  <c r="AQ106" i="4"/>
  <c r="AQ64" i="4"/>
  <c r="AS64" i="4"/>
  <c r="AR64" i="4"/>
  <c r="AP64" i="4"/>
  <c r="AV57" i="4"/>
  <c r="AU57" i="4"/>
  <c r="AW57" i="4"/>
  <c r="AT57" i="4"/>
  <c r="AQ26" i="4"/>
  <c r="AR26" i="4"/>
  <c r="AP26" i="4"/>
  <c r="AS26" i="4"/>
  <c r="AQ27" i="4"/>
  <c r="AP27" i="4"/>
  <c r="AS27" i="4"/>
  <c r="AR27" i="4"/>
  <c r="AQ29" i="4"/>
  <c r="AS29" i="4"/>
  <c r="AP29" i="4"/>
  <c r="AR29" i="4"/>
  <c r="AQ125" i="4"/>
  <c r="AR125" i="4"/>
  <c r="AP125" i="4"/>
  <c r="AS125" i="4"/>
  <c r="AS123" i="4"/>
  <c r="AP123" i="4"/>
  <c r="AR123" i="4"/>
  <c r="AQ123" i="4"/>
  <c r="AQ24" i="4"/>
  <c r="AS24" i="4"/>
  <c r="AP24" i="4"/>
  <c r="AR24" i="4"/>
  <c r="AS113" i="4"/>
  <c r="AP113" i="4"/>
  <c r="AR113" i="4"/>
  <c r="AQ113" i="4"/>
  <c r="AQ16" i="4"/>
  <c r="AP16" i="4"/>
  <c r="AS16" i="4"/>
  <c r="AR16" i="4"/>
  <c r="AW54" i="4"/>
  <c r="AV54" i="4"/>
  <c r="AU54" i="4"/>
  <c r="AT54" i="4"/>
  <c r="AS41" i="4"/>
  <c r="AR41" i="4"/>
  <c r="AQ41" i="4"/>
  <c r="AP41" i="4"/>
  <c r="AS68" i="4"/>
  <c r="AR68" i="4"/>
  <c r="AQ68" i="4"/>
  <c r="AP68" i="4"/>
  <c r="AS82" i="4"/>
  <c r="AR82" i="4"/>
  <c r="AQ82" i="4"/>
  <c r="AP82" i="4"/>
  <c r="AW118" i="4"/>
  <c r="AT118" i="4"/>
  <c r="AV118" i="4"/>
  <c r="AU118" i="4"/>
  <c r="AQ146" i="4"/>
  <c r="AR146" i="4"/>
  <c r="AS146" i="4"/>
  <c r="AP146" i="4"/>
  <c r="AU98" i="4"/>
  <c r="AT98" i="4"/>
  <c r="AW98" i="4"/>
  <c r="AV98" i="4"/>
  <c r="AS135" i="4"/>
  <c r="AQ135" i="4"/>
  <c r="AR135" i="4"/>
  <c r="AP135" i="4"/>
  <c r="AW80" i="4"/>
  <c r="AV80" i="4"/>
  <c r="AU80" i="4"/>
  <c r="AT80" i="4"/>
  <c r="AW63" i="4"/>
  <c r="AV63" i="4"/>
  <c r="AU63" i="4"/>
  <c r="AT63" i="4"/>
  <c r="AS83" i="4"/>
  <c r="AR83" i="4"/>
  <c r="AQ83" i="4"/>
  <c r="AP83" i="4"/>
  <c r="AS47" i="4"/>
  <c r="AR47" i="4"/>
  <c r="AQ47" i="4"/>
  <c r="AP47" i="4"/>
  <c r="AR103" i="4"/>
  <c r="AS103" i="4"/>
  <c r="AQ103" i="4"/>
  <c r="AP103" i="4"/>
  <c r="AR167" i="4"/>
  <c r="AP167" i="4"/>
  <c r="AS167" i="4"/>
  <c r="AQ167" i="4"/>
  <c r="AP150" i="4"/>
  <c r="AR150" i="4"/>
  <c r="AQ150" i="4"/>
  <c r="AS150" i="4"/>
  <c r="AS42" i="4"/>
  <c r="AR42" i="4"/>
  <c r="AQ42" i="4"/>
  <c r="AP42" i="4"/>
  <c r="AS66" i="4"/>
  <c r="AQ66" i="4"/>
  <c r="AP66" i="4"/>
  <c r="AR66" i="4"/>
  <c r="AS133" i="4"/>
  <c r="AP133" i="4"/>
  <c r="AR133" i="4"/>
  <c r="AQ133" i="4"/>
  <c r="AQ57" i="4"/>
  <c r="AS57" i="4"/>
  <c r="AR57" i="4"/>
  <c r="AP57" i="4"/>
  <c r="AQ71" i="4"/>
  <c r="AS71" i="4"/>
  <c r="AP71" i="4"/>
  <c r="AR71" i="4"/>
  <c r="AS108" i="4"/>
  <c r="AR108" i="4"/>
  <c r="AQ108" i="4"/>
  <c r="AP108" i="4"/>
  <c r="AW158" i="4"/>
  <c r="AV158" i="4"/>
  <c r="AU158" i="4"/>
  <c r="AT158" i="4"/>
  <c r="AP153" i="4"/>
  <c r="AS153" i="4"/>
  <c r="AR153" i="4"/>
  <c r="AQ153" i="4"/>
  <c r="AR101" i="4"/>
  <c r="AS101" i="4"/>
  <c r="AQ101" i="4"/>
  <c r="AP101" i="4"/>
  <c r="AQ143" i="4"/>
  <c r="AR143" i="4"/>
  <c r="AS143" i="4"/>
  <c r="AP143" i="4"/>
  <c r="AV55" i="4"/>
  <c r="AU55" i="4"/>
  <c r="AW55" i="4"/>
  <c r="AT55" i="4"/>
  <c r="AR165" i="4"/>
  <c r="AP165" i="4"/>
  <c r="AS165" i="4"/>
  <c r="AQ165" i="4"/>
  <c r="AS136" i="4"/>
  <c r="AQ136" i="4"/>
  <c r="AP136" i="4"/>
  <c r="AR136" i="4"/>
  <c r="AR164" i="4"/>
  <c r="AP164" i="4"/>
  <c r="AS164" i="4"/>
  <c r="AQ164" i="4"/>
  <c r="AS93" i="4"/>
  <c r="AR93" i="4"/>
  <c r="AP93" i="4"/>
  <c r="AQ93" i="4"/>
  <c r="AS89" i="4"/>
  <c r="AR89" i="4"/>
  <c r="AP89" i="4"/>
  <c r="AQ89" i="4"/>
  <c r="AS95" i="4"/>
  <c r="AR95" i="4"/>
  <c r="AP95" i="4"/>
  <c r="AQ95" i="4"/>
  <c r="AT131" i="4"/>
  <c r="AU131" i="4"/>
  <c r="AV131" i="4"/>
  <c r="AW131" i="4"/>
  <c r="AP161" i="4"/>
  <c r="AQ161" i="4"/>
  <c r="AS161" i="4"/>
  <c r="AR161" i="4"/>
  <c r="AS85" i="4"/>
  <c r="AR85" i="4"/>
  <c r="AQ85" i="4"/>
  <c r="AP85" i="4"/>
  <c r="AQ138" i="4"/>
  <c r="AS138" i="4"/>
  <c r="AP138" i="4"/>
  <c r="AR138" i="4"/>
  <c r="AS91" i="4"/>
  <c r="AR91" i="4"/>
  <c r="AP91" i="4"/>
  <c r="AQ91" i="4"/>
  <c r="AS38" i="4"/>
  <c r="AR38" i="4"/>
  <c r="AQ38" i="4"/>
  <c r="AP38" i="4"/>
  <c r="AT133" i="4"/>
  <c r="AW133" i="4"/>
  <c r="AV133" i="4"/>
  <c r="AU133" i="4"/>
  <c r="AQ33" i="4"/>
  <c r="AS33" i="4"/>
  <c r="AR33" i="4"/>
  <c r="AP33" i="4"/>
  <c r="AS45" i="4"/>
  <c r="AR45" i="4"/>
  <c r="AQ45" i="4"/>
  <c r="AP45" i="4"/>
  <c r="AQ74" i="4"/>
  <c r="AS74" i="4"/>
  <c r="AR74" i="4"/>
  <c r="AP74" i="4"/>
  <c r="AS112" i="4"/>
  <c r="AR112" i="4"/>
  <c r="AQ112" i="4"/>
  <c r="AP112" i="4"/>
  <c r="AS88" i="4"/>
  <c r="AR88" i="4"/>
  <c r="AP88" i="4"/>
  <c r="AQ88" i="4"/>
  <c r="AS37" i="4"/>
  <c r="AQ37" i="4"/>
  <c r="AP37" i="4"/>
  <c r="AR37" i="4"/>
  <c r="AS67" i="4"/>
  <c r="AQ67" i="4"/>
  <c r="AP67" i="4"/>
  <c r="AR67" i="4"/>
  <c r="AP151" i="4"/>
  <c r="AR151" i="4"/>
  <c r="AS151" i="4"/>
  <c r="AQ151" i="4"/>
  <c r="AP159" i="4"/>
  <c r="AR159" i="4"/>
  <c r="AQ159" i="4"/>
  <c r="AS159" i="4"/>
  <c r="AP152" i="4"/>
  <c r="AR152" i="4"/>
  <c r="AQ152" i="4"/>
  <c r="AS152" i="4"/>
  <c r="AP155" i="4"/>
  <c r="AR155" i="4"/>
  <c r="AQ155" i="4"/>
  <c r="AS155" i="4"/>
  <c r="AP149" i="4"/>
  <c r="AS149" i="4"/>
  <c r="AR149" i="4"/>
  <c r="AQ149" i="4"/>
  <c r="AR100" i="4"/>
  <c r="AS100" i="4"/>
  <c r="AP100" i="4"/>
  <c r="AQ100" i="4"/>
  <c r="AP107" i="4"/>
  <c r="AR107" i="4"/>
  <c r="AS107" i="4"/>
  <c r="AQ107" i="4"/>
  <c r="AR102" i="4"/>
  <c r="AP102" i="4"/>
  <c r="AS102" i="4"/>
  <c r="AQ102" i="4"/>
  <c r="AV91" i="4"/>
  <c r="AT91" i="4"/>
  <c r="AW91" i="4"/>
  <c r="AU91" i="4"/>
  <c r="AQ80" i="4"/>
  <c r="AS80" i="4"/>
  <c r="AR80" i="4"/>
  <c r="AP80" i="4"/>
  <c r="AQ144" i="4"/>
  <c r="AR144" i="4"/>
  <c r="AP144" i="4"/>
  <c r="AS144" i="4"/>
  <c r="AS115" i="4"/>
  <c r="AR115" i="4"/>
  <c r="AP115" i="4"/>
  <c r="AQ115" i="4"/>
  <c r="AS122" i="4"/>
  <c r="AP122" i="4"/>
  <c r="AR122" i="4"/>
  <c r="AQ122" i="4"/>
  <c r="AQ22" i="4"/>
  <c r="AS22" i="4"/>
  <c r="AR22" i="4"/>
  <c r="AP22" i="4"/>
  <c r="AQ78" i="4"/>
  <c r="AS78" i="4"/>
  <c r="AP78" i="4"/>
  <c r="AR78" i="4"/>
  <c r="AS124" i="4"/>
  <c r="AP124" i="4"/>
  <c r="AR124" i="4"/>
  <c r="AQ124" i="4"/>
  <c r="AS51" i="4"/>
  <c r="AR51" i="4"/>
  <c r="AQ51" i="4"/>
  <c r="AP51" i="4"/>
  <c r="AS21" i="4"/>
  <c r="AR21" i="4"/>
  <c r="AQ21" i="4"/>
  <c r="AP21" i="4"/>
  <c r="AS34" i="4"/>
  <c r="AQ34" i="4"/>
  <c r="AP34" i="4"/>
  <c r="AR34" i="4"/>
  <c r="AS110" i="4"/>
  <c r="AR110" i="4"/>
  <c r="AQ110" i="4"/>
  <c r="AP110" i="4"/>
  <c r="AS48" i="4"/>
  <c r="AR48" i="4"/>
  <c r="AQ48" i="4"/>
  <c r="AP48" i="4"/>
  <c r="AP147" i="4"/>
  <c r="AR147" i="4"/>
  <c r="AS147" i="4"/>
  <c r="AQ147" i="4"/>
  <c r="AS116" i="4"/>
  <c r="AR116" i="4"/>
  <c r="AQ116" i="4"/>
  <c r="AP116" i="4"/>
  <c r="AT130" i="4"/>
  <c r="AU130" i="4"/>
  <c r="AV130" i="4"/>
  <c r="AW130" i="4"/>
  <c r="AS109" i="4"/>
  <c r="AP109" i="4"/>
  <c r="AR109" i="4"/>
  <c r="AQ109" i="4"/>
  <c r="AQ140" i="4"/>
  <c r="AP140" i="4"/>
  <c r="AS140" i="4"/>
  <c r="AR140" i="4"/>
  <c r="AS84" i="4"/>
  <c r="AR84" i="4"/>
  <c r="AQ84" i="4"/>
  <c r="AP84" i="4"/>
  <c r="AU99" i="4"/>
  <c r="AT99" i="4"/>
  <c r="AV99" i="4"/>
  <c r="AW99" i="4"/>
  <c r="AS20" i="4"/>
  <c r="AR20" i="4"/>
  <c r="AQ20" i="4"/>
  <c r="AP20" i="4"/>
  <c r="AS49" i="4"/>
  <c r="AR49" i="4"/>
  <c r="AQ49" i="4"/>
  <c r="AP49" i="4"/>
  <c r="AW44" i="4"/>
  <c r="AV44" i="4"/>
  <c r="AU44" i="4"/>
  <c r="AT44" i="4"/>
  <c r="AQ141" i="4"/>
  <c r="AR141" i="4"/>
  <c r="AP141" i="4"/>
  <c r="AS141" i="4"/>
  <c r="AW73" i="4"/>
  <c r="AV73" i="4"/>
  <c r="AU73" i="4"/>
  <c r="AT73" i="4"/>
  <c r="AW78" i="4"/>
  <c r="AV78" i="4"/>
  <c r="AU78" i="4"/>
  <c r="AT78" i="4"/>
  <c r="AS65" i="4"/>
  <c r="AR65" i="4"/>
  <c r="AP65" i="4"/>
  <c r="AQ65" i="4"/>
  <c r="AR162" i="4"/>
  <c r="AP162" i="4"/>
  <c r="AS162" i="4"/>
  <c r="AQ162" i="4"/>
  <c r="AW29" i="4"/>
  <c r="AV29" i="4"/>
  <c r="AU29" i="4"/>
  <c r="AT29" i="4"/>
  <c r="AW36" i="4"/>
  <c r="AV36" i="4"/>
  <c r="AT36" i="4"/>
  <c r="AU36" i="4"/>
  <c r="AS126" i="4"/>
  <c r="AQ126" i="4"/>
  <c r="AR126" i="4"/>
  <c r="AP126" i="4"/>
  <c r="AQ60" i="4"/>
  <c r="AS60" i="4"/>
  <c r="AR60" i="4"/>
  <c r="AP60" i="4"/>
  <c r="AQ145" i="4"/>
  <c r="AR145" i="4"/>
  <c r="AS145" i="4"/>
  <c r="AP145" i="4"/>
  <c r="AQ63" i="4"/>
  <c r="AP63" i="4"/>
  <c r="AS63" i="4"/>
  <c r="AR63" i="4"/>
  <c r="AS121" i="4"/>
  <c r="AP121" i="4"/>
  <c r="AR121" i="4"/>
  <c r="AQ121" i="4"/>
  <c r="AV95" i="4"/>
  <c r="AT95" i="4"/>
  <c r="AW95" i="4"/>
  <c r="AU95" i="4"/>
  <c r="AQ128" i="4"/>
  <c r="AR128" i="4"/>
  <c r="AP128" i="4"/>
  <c r="AS128" i="4"/>
  <c r="AW163" i="4" l="1"/>
  <c r="AV163" i="4"/>
  <c r="AT163" i="4"/>
  <c r="AU163" i="4"/>
  <c r="AW32" i="4"/>
  <c r="AV32" i="4"/>
  <c r="AU32" i="4"/>
  <c r="AT32" i="4"/>
  <c r="AW153" i="4"/>
  <c r="AV153" i="4"/>
  <c r="AU153" i="4"/>
  <c r="AT153" i="4"/>
  <c r="AW161" i="4"/>
  <c r="AU161" i="4"/>
  <c r="AV161" i="4"/>
  <c r="AT161" i="4"/>
  <c r="AW149" i="4"/>
  <c r="AV149" i="4"/>
  <c r="AU149" i="4"/>
  <c r="AT149" i="4"/>
  <c r="BA61" i="4"/>
  <c r="AZ61" i="4"/>
  <c r="AX61" i="4"/>
  <c r="AY61" i="4"/>
  <c r="AW37" i="4"/>
  <c r="AV37" i="4"/>
  <c r="AU37" i="4"/>
  <c r="AT37" i="4"/>
  <c r="AW146" i="4"/>
  <c r="AV146" i="4"/>
  <c r="AT146" i="4"/>
  <c r="AU146" i="4"/>
  <c r="AW21" i="4"/>
  <c r="AV21" i="4"/>
  <c r="AU21" i="4"/>
  <c r="AT21" i="4"/>
  <c r="AU117" i="4"/>
  <c r="AT117" i="4"/>
  <c r="AV117" i="4"/>
  <c r="AW117" i="4"/>
  <c r="AW111" i="4"/>
  <c r="AV111" i="4"/>
  <c r="AU111" i="4"/>
  <c r="AT111" i="4"/>
  <c r="AW52" i="4"/>
  <c r="AV52" i="4"/>
  <c r="AU52" i="4"/>
  <c r="AT52" i="4"/>
  <c r="AW23" i="4"/>
  <c r="AV23" i="4"/>
  <c r="AT23" i="4"/>
  <c r="AU23" i="4"/>
  <c r="AW75" i="4"/>
  <c r="AV75" i="4"/>
  <c r="AU75" i="4"/>
  <c r="AT75" i="4"/>
  <c r="AU102" i="4"/>
  <c r="AT102" i="4"/>
  <c r="AW102" i="4"/>
  <c r="AV102" i="4"/>
  <c r="AW109" i="4"/>
  <c r="AV109" i="4"/>
  <c r="AU109" i="4"/>
  <c r="AT109" i="4"/>
  <c r="AW48" i="4"/>
  <c r="AV48" i="4"/>
  <c r="AU48" i="4"/>
  <c r="AT48" i="4"/>
  <c r="AY81" i="4"/>
  <c r="AZ81" i="4"/>
  <c r="AX81" i="4"/>
  <c r="BA81" i="4"/>
  <c r="AW147" i="4"/>
  <c r="AV147" i="4"/>
  <c r="AU147" i="4"/>
  <c r="AT147" i="4"/>
  <c r="AV69" i="4"/>
  <c r="AU69" i="4"/>
  <c r="AW69" i="4"/>
  <c r="AT69" i="4"/>
  <c r="AW65" i="4"/>
  <c r="AV65" i="4"/>
  <c r="AU65" i="4"/>
  <c r="AT65" i="4"/>
  <c r="AV106" i="4"/>
  <c r="AU106" i="4"/>
  <c r="AT106" i="4"/>
  <c r="AW106" i="4"/>
  <c r="AW26" i="4"/>
  <c r="AV26" i="4"/>
  <c r="AT26" i="4"/>
  <c r="AU26" i="4"/>
  <c r="AW53" i="4"/>
  <c r="AV53" i="4"/>
  <c r="AU53" i="4"/>
  <c r="AT53" i="4"/>
  <c r="BA46" i="4"/>
  <c r="AZ46" i="4"/>
  <c r="AY46" i="4"/>
  <c r="AX46" i="4"/>
  <c r="AW135" i="4"/>
  <c r="AT135" i="4"/>
  <c r="AV135" i="4"/>
  <c r="AU135" i="4"/>
  <c r="BA19" i="4"/>
  <c r="AZ19" i="4"/>
  <c r="AY19" i="4"/>
  <c r="AX19" i="4"/>
  <c r="AW138" i="4"/>
  <c r="AT138" i="4"/>
  <c r="AV138" i="4"/>
  <c r="AU138" i="4"/>
  <c r="AT132" i="4"/>
  <c r="AU132" i="4"/>
  <c r="AW132" i="4"/>
  <c r="AV132" i="4"/>
  <c r="AW167" i="4"/>
  <c r="AV167" i="4"/>
  <c r="AT167" i="4"/>
  <c r="AU167" i="4"/>
  <c r="AW20" i="4"/>
  <c r="AV20" i="4"/>
  <c r="AU20" i="4"/>
  <c r="AT20" i="4"/>
  <c r="AW164" i="4"/>
  <c r="AV164" i="4"/>
  <c r="AU164" i="4"/>
  <c r="AT164" i="4"/>
  <c r="AV56" i="4"/>
  <c r="AU56" i="4"/>
  <c r="AW56" i="4"/>
  <c r="AT56" i="4"/>
  <c r="BA131" i="4"/>
  <c r="AZ131" i="4"/>
  <c r="AX131" i="4"/>
  <c r="AY131" i="4"/>
  <c r="AV162" i="4"/>
  <c r="AU162" i="4"/>
  <c r="AT162" i="4"/>
  <c r="AW162" i="4"/>
  <c r="BA37" i="4"/>
  <c r="AZ37" i="4"/>
  <c r="AY37" i="4"/>
  <c r="AX37" i="4"/>
  <c r="AV66" i="4"/>
  <c r="AU66" i="4"/>
  <c r="AT66" i="4"/>
  <c r="AW66" i="4"/>
  <c r="AW142" i="4"/>
  <c r="AT142" i="4"/>
  <c r="AV142" i="4"/>
  <c r="AU142" i="4"/>
  <c r="AW145" i="4"/>
  <c r="AT145" i="4"/>
  <c r="AU145" i="4"/>
  <c r="AV145" i="4"/>
  <c r="AW38" i="4"/>
  <c r="AV38" i="4"/>
  <c r="AU38" i="4"/>
  <c r="AT38" i="4"/>
  <c r="AW139" i="4"/>
  <c r="AT139" i="4"/>
  <c r="AU139" i="4"/>
  <c r="AV139" i="4"/>
  <c r="AV94" i="4"/>
  <c r="AW94" i="4"/>
  <c r="AU94" i="4"/>
  <c r="AT94" i="4"/>
  <c r="AU97" i="4"/>
  <c r="AT97" i="4"/>
  <c r="AV97" i="4"/>
  <c r="AW97" i="4"/>
  <c r="AW159" i="4"/>
  <c r="AV159" i="4"/>
  <c r="AU159" i="4"/>
  <c r="AT159" i="4"/>
  <c r="BA52" i="4"/>
  <c r="AZ52" i="4"/>
  <c r="AY52" i="4"/>
  <c r="AX52" i="4"/>
  <c r="AW141" i="4"/>
  <c r="AT141" i="4"/>
  <c r="AV141" i="4"/>
  <c r="AU141" i="4"/>
  <c r="AU103" i="4"/>
  <c r="AT103" i="4"/>
  <c r="AV103" i="4"/>
  <c r="AW103" i="4"/>
  <c r="AW166" i="4"/>
  <c r="AV166" i="4"/>
  <c r="AU166" i="4"/>
  <c r="AT166" i="4"/>
  <c r="AW134" i="4"/>
  <c r="AT134" i="4"/>
  <c r="AU134" i="4"/>
  <c r="AV134" i="4"/>
  <c r="AW17" i="4"/>
  <c r="AV17" i="4"/>
  <c r="AU17" i="4"/>
  <c r="AT17" i="4"/>
  <c r="AT124" i="4"/>
  <c r="AU124" i="4"/>
  <c r="AW124" i="4"/>
  <c r="AV124" i="4"/>
  <c r="AW28" i="4"/>
  <c r="AV28" i="4"/>
  <c r="AU28" i="4"/>
  <c r="AT28" i="4"/>
  <c r="AW16" i="4"/>
  <c r="AV16" i="4"/>
  <c r="AU16" i="4"/>
  <c r="AT16" i="4"/>
  <c r="AW74" i="4"/>
  <c r="AV74" i="4"/>
  <c r="AU74" i="4"/>
  <c r="AT74" i="4"/>
  <c r="AW143" i="4"/>
  <c r="AT143" i="4"/>
  <c r="AU143" i="4"/>
  <c r="AV143" i="4"/>
  <c r="AU119" i="4"/>
  <c r="AT119" i="4"/>
  <c r="AW119" i="4"/>
  <c r="AV119" i="4"/>
  <c r="AW70" i="4"/>
  <c r="AV70" i="4"/>
  <c r="AU70" i="4"/>
  <c r="AT70" i="4"/>
  <c r="AZ96" i="4"/>
  <c r="AX96" i="4"/>
  <c r="BA96" i="4"/>
  <c r="AY96" i="4"/>
  <c r="AW150" i="4"/>
  <c r="AV150" i="4"/>
  <c r="AU150" i="4"/>
  <c r="AT150" i="4"/>
  <c r="AT160" i="4"/>
  <c r="AW160" i="4"/>
  <c r="AV160" i="4"/>
  <c r="AU160" i="4"/>
  <c r="BA134" i="4"/>
  <c r="AZ134" i="4"/>
  <c r="AX134" i="4"/>
  <c r="AY134" i="4"/>
  <c r="BA132" i="4"/>
  <c r="AY132" i="4"/>
  <c r="AZ132" i="4"/>
  <c r="AX132" i="4"/>
  <c r="AW151" i="4"/>
  <c r="AV151" i="4"/>
  <c r="AU151" i="4"/>
  <c r="AT151" i="4"/>
  <c r="AV62" i="4"/>
  <c r="AU62" i="4"/>
  <c r="AW62" i="4"/>
  <c r="AT62" i="4"/>
  <c r="AV93" i="4"/>
  <c r="AW93" i="4"/>
  <c r="AU93" i="4"/>
  <c r="AT93" i="4"/>
  <c r="AW64" i="4"/>
  <c r="AV64" i="4"/>
  <c r="AU64" i="4"/>
  <c r="AT64" i="4"/>
  <c r="AV61" i="4"/>
  <c r="AU61" i="4"/>
  <c r="AW61" i="4"/>
  <c r="AT61" i="4"/>
  <c r="BA30" i="4"/>
  <c r="AZ30" i="4"/>
  <c r="AY30" i="4"/>
  <c r="AX30" i="4"/>
  <c r="AY79" i="4"/>
  <c r="BA79" i="4"/>
  <c r="AZ79" i="4"/>
  <c r="AX79" i="4"/>
  <c r="BA45" i="4"/>
  <c r="AZ45" i="4"/>
  <c r="AY45" i="4"/>
  <c r="AX45" i="4"/>
  <c r="AW81" i="4"/>
  <c r="AV81" i="4"/>
  <c r="AU81" i="4"/>
  <c r="AT81" i="4"/>
  <c r="AW46" i="4"/>
  <c r="AV46" i="4"/>
  <c r="AU46" i="4"/>
  <c r="AT46" i="4"/>
  <c r="AW39" i="4"/>
  <c r="AV39" i="4"/>
  <c r="AU39" i="4"/>
  <c r="AT39" i="4"/>
  <c r="AW86" i="4"/>
  <c r="AV86" i="4"/>
  <c r="AU86" i="4"/>
  <c r="AT86" i="4"/>
  <c r="BA56" i="4"/>
  <c r="AZ56" i="4"/>
  <c r="AX56" i="4"/>
  <c r="AY56" i="4"/>
  <c r="AU84" i="4"/>
  <c r="AT84" i="4"/>
  <c r="AW84" i="4"/>
  <c r="AV84" i="4"/>
  <c r="AW136" i="4"/>
  <c r="AT136" i="4"/>
  <c r="AU136" i="4"/>
  <c r="AV136" i="4"/>
  <c r="AW42" i="4"/>
  <c r="AV42" i="4"/>
  <c r="AU42" i="4"/>
  <c r="AT42" i="4"/>
  <c r="AX158" i="4"/>
  <c r="BA158" i="4"/>
  <c r="AZ158" i="4"/>
  <c r="AY158" i="4"/>
  <c r="AW31" i="4"/>
  <c r="AV31" i="4"/>
  <c r="AU31" i="4"/>
  <c r="AT31" i="4"/>
  <c r="AW82" i="4"/>
  <c r="AV82" i="4"/>
  <c r="AU82" i="4"/>
  <c r="AT82" i="4"/>
  <c r="AV87" i="4"/>
  <c r="AT87" i="4"/>
  <c r="AW87" i="4"/>
  <c r="AU87" i="4"/>
  <c r="AW115" i="4"/>
  <c r="AV115" i="4"/>
  <c r="AU115" i="4"/>
  <c r="AT115" i="4"/>
  <c r="AV59" i="4"/>
  <c r="AU59" i="4"/>
  <c r="AT59" i="4"/>
  <c r="AW59" i="4"/>
  <c r="AW33" i="4"/>
  <c r="AV33" i="4"/>
  <c r="AU33" i="4"/>
  <c r="AT33" i="4"/>
  <c r="O24" i="1"/>
  <c r="N25" i="1"/>
  <c r="O25" i="1" s="1"/>
  <c r="AW19" i="4"/>
  <c r="AV19" i="4"/>
  <c r="AU19" i="4"/>
  <c r="AT19" i="4"/>
  <c r="AW14" i="4"/>
  <c r="AV14" i="4"/>
  <c r="AU14" i="4"/>
  <c r="AT14" i="4"/>
  <c r="AU100" i="4"/>
  <c r="AT100" i="4"/>
  <c r="AV100" i="4"/>
  <c r="AW100" i="4"/>
  <c r="AW35" i="4"/>
  <c r="AV35" i="4"/>
  <c r="AU35" i="4"/>
  <c r="AT35" i="4"/>
  <c r="AV89" i="4"/>
  <c r="AW89" i="4"/>
  <c r="AU89" i="4"/>
  <c r="AT89" i="4"/>
  <c r="AV96" i="4"/>
  <c r="AW96" i="4"/>
  <c r="AU96" i="4"/>
  <c r="AT96" i="4"/>
  <c r="AW72" i="4"/>
  <c r="AV72" i="4"/>
  <c r="AU72" i="4"/>
  <c r="AT72" i="4"/>
  <c r="AV67" i="4"/>
  <c r="AU67" i="4"/>
  <c r="AW67" i="4"/>
  <c r="AT67" i="4"/>
  <c r="AT126" i="4"/>
  <c r="AU126" i="4"/>
  <c r="AW126" i="4"/>
  <c r="AV126" i="4"/>
  <c r="AW27" i="4"/>
  <c r="AV27" i="4"/>
  <c r="AU27" i="4"/>
  <c r="AT27" i="4"/>
  <c r="AV88" i="4"/>
  <c r="AW88" i="4"/>
  <c r="AU88" i="4"/>
  <c r="AT88" i="4"/>
  <c r="AX100" i="4"/>
  <c r="AZ100" i="4"/>
  <c r="BA100" i="4"/>
  <c r="AY100" i="4"/>
  <c r="AT110" i="4"/>
  <c r="AV110" i="4"/>
  <c r="AW110" i="4"/>
  <c r="AU110" i="4"/>
  <c r="AT125" i="4"/>
  <c r="AV125" i="4"/>
  <c r="AU125" i="4"/>
  <c r="AW125" i="4"/>
  <c r="AU123" i="4"/>
  <c r="AV123" i="4"/>
  <c r="AW123" i="4"/>
  <c r="AT123" i="4"/>
  <c r="AW165" i="4"/>
  <c r="AV165" i="4"/>
  <c r="AT165" i="4"/>
  <c r="AU165" i="4"/>
  <c r="AW168" i="4"/>
  <c r="AV168" i="4"/>
  <c r="AU168" i="4"/>
  <c r="AT168" i="4"/>
  <c r="BA119" i="4"/>
  <c r="AY119" i="4"/>
  <c r="AZ119" i="4"/>
  <c r="AX119" i="4"/>
  <c r="AT114" i="4"/>
  <c r="AV114" i="4"/>
  <c r="AW114" i="4"/>
  <c r="AU114" i="4"/>
  <c r="AT128" i="4"/>
  <c r="AV128" i="4"/>
  <c r="AU128" i="4"/>
  <c r="AW128" i="4"/>
  <c r="AW47" i="4"/>
  <c r="AV47" i="4"/>
  <c r="AU47" i="4"/>
  <c r="AT47" i="4"/>
  <c r="AW15" i="4"/>
  <c r="AV15" i="4"/>
  <c r="AU15" i="4"/>
  <c r="AT15" i="4"/>
  <c r="AW77" i="4"/>
  <c r="AV77" i="4"/>
  <c r="AU77" i="4"/>
  <c r="AT77" i="4"/>
  <c r="AW40" i="4"/>
  <c r="AV40" i="4"/>
  <c r="AU40" i="4"/>
  <c r="AT40" i="4"/>
  <c r="AU105" i="4"/>
  <c r="AT105" i="4"/>
  <c r="AW105" i="4"/>
  <c r="AV105" i="4"/>
  <c r="AV122" i="4"/>
  <c r="AU122" i="4"/>
  <c r="AT122" i="4"/>
  <c r="AW122" i="4"/>
  <c r="AV108" i="4"/>
  <c r="AT108" i="4"/>
  <c r="AW108" i="4"/>
  <c r="AU108" i="4"/>
  <c r="AW156" i="4"/>
  <c r="AV156" i="4"/>
  <c r="AU156" i="4"/>
  <c r="AT156" i="4"/>
  <c r="AW152" i="4"/>
  <c r="AV152" i="4"/>
  <c r="AU152" i="4"/>
  <c r="AT152" i="4"/>
  <c r="AW154" i="4"/>
  <c r="AV154" i="4"/>
  <c r="AU154" i="4"/>
  <c r="AT154" i="4"/>
  <c r="AV107" i="4"/>
  <c r="AU107" i="4"/>
  <c r="AT107" i="4"/>
  <c r="AW107" i="4"/>
  <c r="AV112" i="4"/>
  <c r="AT112" i="4"/>
  <c r="AU112" i="4"/>
  <c r="AW112" i="4"/>
  <c r="AZ92" i="4"/>
  <c r="AX92" i="4"/>
  <c r="BA92" i="4"/>
  <c r="AY92" i="4"/>
  <c r="AW50" i="4"/>
  <c r="AV50" i="4"/>
  <c r="AU50" i="4"/>
  <c r="AT50" i="4"/>
  <c r="AW113" i="4"/>
  <c r="AV113" i="4"/>
  <c r="AU113" i="4"/>
  <c r="AT113" i="4"/>
  <c r="AW34" i="4"/>
  <c r="AV34" i="4"/>
  <c r="AU34" i="4"/>
  <c r="AT34" i="4"/>
  <c r="AW144" i="4"/>
  <c r="AT144" i="4"/>
  <c r="AV144" i="4"/>
  <c r="AU144" i="4"/>
  <c r="AX159" i="4"/>
  <c r="BA159" i="4"/>
  <c r="AZ159" i="4"/>
  <c r="AY159" i="4"/>
  <c r="AV58" i="4"/>
  <c r="AU58" i="4"/>
  <c r="AW58" i="4"/>
  <c r="AT58" i="4"/>
  <c r="AW43" i="4"/>
  <c r="AV43" i="4"/>
  <c r="AU43" i="4"/>
  <c r="AT43" i="4"/>
  <c r="AU104" i="4"/>
  <c r="AT104" i="4"/>
  <c r="AW104" i="4"/>
  <c r="AV104" i="4"/>
  <c r="BA64" i="4"/>
  <c r="AZ64" i="4"/>
  <c r="AX64" i="4"/>
  <c r="AY64" i="4"/>
  <c r="AW83" i="4"/>
  <c r="AU83" i="4"/>
  <c r="AT83" i="4"/>
  <c r="AV83" i="4"/>
  <c r="BA55" i="4"/>
  <c r="AZ55" i="4"/>
  <c r="AY55" i="4"/>
  <c r="AX55" i="4"/>
  <c r="BA58" i="4"/>
  <c r="AZ58" i="4"/>
  <c r="AX58" i="4"/>
  <c r="AY58" i="4"/>
  <c r="AW24" i="4"/>
  <c r="AV24" i="4"/>
  <c r="AU24" i="4"/>
  <c r="AT24" i="4"/>
  <c r="AW76" i="4"/>
  <c r="AV76" i="4"/>
  <c r="AU76" i="4"/>
  <c r="AT76" i="4"/>
  <c r="AW41" i="4"/>
  <c r="AV41" i="4"/>
  <c r="AU41" i="4"/>
  <c r="AT41" i="4"/>
  <c r="BA122" i="4"/>
  <c r="AY122" i="4"/>
  <c r="AZ122" i="4"/>
  <c r="AX122" i="4"/>
  <c r="AW140" i="4"/>
  <c r="AT140" i="4"/>
  <c r="AV140" i="4"/>
  <c r="AU140" i="4"/>
  <c r="AW120" i="4"/>
  <c r="AV120" i="4"/>
  <c r="AU120" i="4"/>
  <c r="AT120" i="4"/>
  <c r="AX99" i="4"/>
  <c r="BA99" i="4"/>
  <c r="AY99" i="4"/>
  <c r="AZ99" i="4"/>
  <c r="AW148" i="4"/>
  <c r="AV148" i="4"/>
  <c r="AU148" i="4"/>
  <c r="AT148" i="4"/>
  <c r="AT127" i="4"/>
  <c r="AU127" i="4"/>
  <c r="AW127" i="4"/>
  <c r="AV127" i="4"/>
  <c r="AY74" i="4"/>
  <c r="AZ74" i="4"/>
  <c r="AX74" i="4"/>
  <c r="BA74" i="4"/>
  <c r="AW85" i="4"/>
  <c r="AV85" i="4"/>
  <c r="AU85" i="4"/>
  <c r="AT85" i="4"/>
  <c r="AW49" i="4"/>
  <c r="AV49" i="4"/>
  <c r="AU49" i="4"/>
  <c r="AT49" i="4"/>
  <c r="AW22" i="4"/>
  <c r="AV22" i="4"/>
  <c r="AU22" i="4"/>
  <c r="AT22" i="4"/>
  <c r="AT129" i="4"/>
  <c r="AU129" i="4"/>
  <c r="AW129" i="4"/>
  <c r="AV129" i="4"/>
  <c r="AW79" i="4"/>
  <c r="AV79" i="4"/>
  <c r="AU79" i="4"/>
  <c r="AT79" i="4"/>
  <c r="AV116" i="4"/>
  <c r="AT116" i="4"/>
  <c r="AW116" i="4"/>
  <c r="AU116" i="4"/>
  <c r="AU101" i="4"/>
  <c r="AT101" i="4"/>
  <c r="AV101" i="4"/>
  <c r="AW101" i="4"/>
  <c r="AV68" i="4"/>
  <c r="AU68" i="4"/>
  <c r="AW68" i="4"/>
  <c r="AT68" i="4"/>
  <c r="AV92" i="4"/>
  <c r="AW92" i="4"/>
  <c r="AU92" i="4"/>
  <c r="AT92" i="4"/>
  <c r="AV90" i="4"/>
  <c r="AW90" i="4"/>
  <c r="AU90" i="4"/>
  <c r="AT90" i="4"/>
  <c r="AT137" i="4"/>
  <c r="AW137" i="4"/>
  <c r="AV137" i="4"/>
  <c r="AU137" i="4"/>
  <c r="AW25" i="4"/>
  <c r="AV25" i="4"/>
  <c r="AU25" i="4"/>
  <c r="AT25" i="4"/>
  <c r="AW30" i="4"/>
  <c r="AV30" i="4"/>
  <c r="AU30" i="4"/>
  <c r="AT30" i="4"/>
  <c r="AW71" i="4"/>
  <c r="AV71" i="4"/>
  <c r="AU71" i="4"/>
  <c r="AT71" i="4"/>
  <c r="AW155" i="4"/>
  <c r="AV155" i="4"/>
  <c r="AU155" i="4"/>
  <c r="AT155" i="4"/>
  <c r="AZ168" i="4" l="1"/>
  <c r="BA168" i="4"/>
  <c r="AY168" i="4"/>
  <c r="AX168" i="4"/>
  <c r="AX156" i="4"/>
  <c r="BA156" i="4"/>
  <c r="AZ156" i="4"/>
  <c r="AY156" i="4"/>
  <c r="BA26" i="4"/>
  <c r="AZ26" i="4"/>
  <c r="AY26" i="4"/>
  <c r="AX26" i="4"/>
  <c r="AZ93" i="4"/>
  <c r="AX93" i="4"/>
  <c r="BA93" i="4"/>
  <c r="AY93" i="4"/>
  <c r="BA23" i="4"/>
  <c r="AY23" i="4"/>
  <c r="AX23" i="4"/>
  <c r="AZ23" i="4"/>
  <c r="BA25" i="4"/>
  <c r="AY25" i="4"/>
  <c r="AX25" i="4"/>
  <c r="AZ25" i="4"/>
  <c r="BA44" i="4"/>
  <c r="AZ44" i="4"/>
  <c r="AY44" i="4"/>
  <c r="AX44" i="4"/>
  <c r="BA51" i="4"/>
  <c r="AZ51" i="4"/>
  <c r="AY51" i="4"/>
  <c r="AX51" i="4"/>
  <c r="AX157" i="4"/>
  <c r="BA157" i="4"/>
  <c r="AY157" i="4"/>
  <c r="AZ157" i="4"/>
  <c r="BA16" i="4"/>
  <c r="AZ16" i="4"/>
  <c r="AY16" i="4"/>
  <c r="AX16" i="4"/>
  <c r="BA28" i="4"/>
  <c r="AZ28" i="4"/>
  <c r="AY28" i="4"/>
  <c r="AX28" i="4"/>
  <c r="AY73" i="4"/>
  <c r="BA73" i="4"/>
  <c r="AX73" i="4"/>
  <c r="AZ73" i="4"/>
  <c r="BA36" i="4"/>
  <c r="AZ36" i="4"/>
  <c r="AY36" i="4"/>
  <c r="AX36" i="4"/>
  <c r="AY20" i="4"/>
  <c r="BA20" i="4"/>
  <c r="AZ20" i="4"/>
  <c r="AX20" i="4"/>
  <c r="BA146" i="4"/>
  <c r="AX146" i="4"/>
  <c r="AY146" i="4"/>
  <c r="AZ146" i="4"/>
  <c r="AX103" i="4"/>
  <c r="BA103" i="4"/>
  <c r="AY103" i="4"/>
  <c r="AZ103" i="4"/>
  <c r="BA130" i="4"/>
  <c r="AY130" i="4"/>
  <c r="AZ130" i="4"/>
  <c r="AX130" i="4"/>
  <c r="BA129" i="4"/>
  <c r="AX129" i="4"/>
  <c r="AZ129" i="4"/>
  <c r="AY129" i="4"/>
  <c r="BA126" i="4"/>
  <c r="AX126" i="4"/>
  <c r="AZ126" i="4"/>
  <c r="AY126" i="4"/>
  <c r="AZ84" i="4"/>
  <c r="AX84" i="4"/>
  <c r="BA84" i="4"/>
  <c r="AY84" i="4"/>
  <c r="BA108" i="4"/>
  <c r="AZ108" i="4"/>
  <c r="AY108" i="4"/>
  <c r="AX108" i="4"/>
  <c r="AZ166" i="4"/>
  <c r="BA166" i="4"/>
  <c r="AY166" i="4"/>
  <c r="AX166" i="4"/>
  <c r="BA161" i="4"/>
  <c r="AZ161" i="4"/>
  <c r="AY161" i="4"/>
  <c r="AX161" i="4"/>
  <c r="BA125" i="4"/>
  <c r="AY125" i="4"/>
  <c r="AX125" i="4"/>
  <c r="AZ125" i="4"/>
  <c r="AZ83" i="4"/>
  <c r="AX83" i="4"/>
  <c r="BA83" i="4"/>
  <c r="AY83" i="4"/>
  <c r="BA54" i="4"/>
  <c r="AZ54" i="4"/>
  <c r="AY54" i="4"/>
  <c r="AX54" i="4"/>
  <c r="BA60" i="4"/>
  <c r="AZ60" i="4"/>
  <c r="AX60" i="4"/>
  <c r="AY60" i="4"/>
  <c r="BA116" i="4"/>
  <c r="AZ116" i="4"/>
  <c r="AY116" i="4"/>
  <c r="AX116" i="4"/>
  <c r="BA32" i="4"/>
  <c r="AZ32" i="4"/>
  <c r="AY32" i="4"/>
  <c r="AX32" i="4"/>
  <c r="AZ87" i="4"/>
  <c r="AX87" i="4"/>
  <c r="BA87" i="4"/>
  <c r="AY87" i="4"/>
  <c r="AZ82" i="4"/>
  <c r="AX82" i="4"/>
  <c r="BA82" i="4"/>
  <c r="AY82" i="4"/>
  <c r="AZ94" i="4"/>
  <c r="AX94" i="4"/>
  <c r="AY94" i="4"/>
  <c r="BA94" i="4"/>
  <c r="AX151" i="4"/>
  <c r="BA151" i="4"/>
  <c r="AZ151" i="4"/>
  <c r="AY151" i="4"/>
  <c r="BA17" i="4"/>
  <c r="AZ17" i="4"/>
  <c r="AY17" i="4"/>
  <c r="AX17" i="4"/>
  <c r="BA18" i="4"/>
  <c r="AZ18" i="4"/>
  <c r="AY18" i="4"/>
  <c r="AX18" i="4"/>
  <c r="AZ160" i="4"/>
  <c r="AY160" i="4"/>
  <c r="AX160" i="4"/>
  <c r="BA160" i="4"/>
  <c r="BA165" i="4"/>
  <c r="AZ165" i="4"/>
  <c r="AY165" i="4"/>
  <c r="AX165" i="4"/>
  <c r="AY70" i="4"/>
  <c r="AZ70" i="4"/>
  <c r="BA70" i="4"/>
  <c r="AX70" i="4"/>
  <c r="BA49" i="4"/>
  <c r="AZ49" i="4"/>
  <c r="AY49" i="4"/>
  <c r="AX49" i="4"/>
  <c r="AY76" i="4"/>
  <c r="AZ76" i="4"/>
  <c r="BA76" i="4"/>
  <c r="AX76" i="4"/>
  <c r="BA112" i="4"/>
  <c r="AZ112" i="4"/>
  <c r="AY112" i="4"/>
  <c r="AX112" i="4"/>
  <c r="AX150" i="4"/>
  <c r="BA150" i="4"/>
  <c r="AY150" i="4"/>
  <c r="AZ150" i="4"/>
  <c r="BA33" i="4"/>
  <c r="AZ33" i="4"/>
  <c r="AY33" i="4"/>
  <c r="AX33" i="4"/>
  <c r="BA141" i="4"/>
  <c r="AZ141" i="4"/>
  <c r="AX141" i="4"/>
  <c r="AY141" i="4"/>
  <c r="BA113" i="4"/>
  <c r="AZ113" i="4"/>
  <c r="AY113" i="4"/>
  <c r="AX113" i="4"/>
  <c r="BA47" i="4"/>
  <c r="AZ47" i="4"/>
  <c r="AY47" i="4"/>
  <c r="AX47" i="4"/>
  <c r="AY71" i="4"/>
  <c r="BA71" i="4"/>
  <c r="AZ71" i="4"/>
  <c r="AX71" i="4"/>
  <c r="AY117" i="4"/>
  <c r="AZ117" i="4"/>
  <c r="AX117" i="4"/>
  <c r="BA117" i="4"/>
  <c r="BA145" i="4"/>
  <c r="AZ145" i="4"/>
  <c r="AX145" i="4"/>
  <c r="AY145" i="4"/>
  <c r="AX106" i="4"/>
  <c r="AY106" i="4"/>
  <c r="BA106" i="4"/>
  <c r="AZ106" i="4"/>
  <c r="BA115" i="4"/>
  <c r="AZ115" i="4"/>
  <c r="AY115" i="4"/>
  <c r="AX115" i="4"/>
  <c r="BA111" i="4"/>
  <c r="AZ111" i="4"/>
  <c r="AY111" i="4"/>
  <c r="AX111" i="4"/>
  <c r="BA163" i="4"/>
  <c r="AZ163" i="4"/>
  <c r="AY163" i="4"/>
  <c r="AX163" i="4"/>
  <c r="BA27" i="4"/>
  <c r="AZ27" i="4"/>
  <c r="AY27" i="4"/>
  <c r="AX27" i="4"/>
  <c r="AX147" i="4"/>
  <c r="BA147" i="4"/>
  <c r="AZ147" i="4"/>
  <c r="AY147" i="4"/>
  <c r="AY69" i="4"/>
  <c r="BA69" i="4"/>
  <c r="AZ69" i="4"/>
  <c r="AX69" i="4"/>
  <c r="AY80" i="4"/>
  <c r="BA80" i="4"/>
  <c r="AZ80" i="4"/>
  <c r="AX80" i="4"/>
  <c r="BA50" i="4"/>
  <c r="AZ50" i="4"/>
  <c r="AY50" i="4"/>
  <c r="AX50" i="4"/>
  <c r="BA121" i="4"/>
  <c r="AY121" i="4"/>
  <c r="AZ121" i="4"/>
  <c r="AX121" i="4"/>
  <c r="BA42" i="4"/>
  <c r="AZ42" i="4"/>
  <c r="AY42" i="4"/>
  <c r="AX42" i="4"/>
  <c r="BA59" i="4"/>
  <c r="AZ59" i="4"/>
  <c r="AX59" i="4"/>
  <c r="AY59" i="4"/>
  <c r="BA35" i="4"/>
  <c r="AZ35" i="4"/>
  <c r="AY35" i="4"/>
  <c r="AX35" i="4"/>
  <c r="AX155" i="4"/>
  <c r="BA155" i="4"/>
  <c r="AZ155" i="4"/>
  <c r="AY155" i="4"/>
  <c r="BA41" i="4"/>
  <c r="AZ41" i="4"/>
  <c r="AY41" i="4"/>
  <c r="AX41" i="4"/>
  <c r="BA48" i="4"/>
  <c r="AZ48" i="4"/>
  <c r="AY48" i="4"/>
  <c r="AX48" i="4"/>
  <c r="BA124" i="4"/>
  <c r="AZ124" i="4"/>
  <c r="AX124" i="4"/>
  <c r="AY124" i="4"/>
  <c r="AX97" i="4"/>
  <c r="AZ97" i="4"/>
  <c r="AY97" i="4"/>
  <c r="BA97" i="4"/>
  <c r="BA137" i="4"/>
  <c r="AZ137" i="4"/>
  <c r="AY137" i="4"/>
  <c r="AX137" i="4"/>
  <c r="BA120" i="4"/>
  <c r="AY120" i="4"/>
  <c r="AZ120" i="4"/>
  <c r="AX120" i="4"/>
  <c r="AX104" i="4"/>
  <c r="AZ104" i="4"/>
  <c r="AY104" i="4"/>
  <c r="BA104" i="4"/>
  <c r="BA140" i="4"/>
  <c r="AZ140" i="4"/>
  <c r="AY140" i="4"/>
  <c r="AX140" i="4"/>
  <c r="BA143" i="4"/>
  <c r="AZ143" i="4"/>
  <c r="AY143" i="4"/>
  <c r="AX143" i="4"/>
  <c r="BA136" i="4"/>
  <c r="AZ136" i="4"/>
  <c r="AX136" i="4"/>
  <c r="AY136" i="4"/>
  <c r="AX102" i="4"/>
  <c r="BA102" i="4"/>
  <c r="AZ102" i="4"/>
  <c r="AY102" i="4"/>
  <c r="AX154" i="4"/>
  <c r="BA154" i="4"/>
  <c r="AZ154" i="4"/>
  <c r="AY154" i="4"/>
  <c r="AY72" i="4"/>
  <c r="BA72" i="4"/>
  <c r="AZ72" i="4"/>
  <c r="AX72" i="4"/>
  <c r="BA133" i="4"/>
  <c r="AZ133" i="4"/>
  <c r="AX133" i="4"/>
  <c r="AY133" i="4"/>
  <c r="AX152" i="4"/>
  <c r="BA152" i="4"/>
  <c r="AZ152" i="4"/>
  <c r="AY152" i="4"/>
  <c r="BA22" i="4"/>
  <c r="AY22" i="4"/>
  <c r="AZ22" i="4"/>
  <c r="AX22" i="4"/>
  <c r="BA109" i="4"/>
  <c r="AZ109" i="4"/>
  <c r="AY109" i="4"/>
  <c r="AX109" i="4"/>
  <c r="AX101" i="4"/>
  <c r="AZ101" i="4"/>
  <c r="AY101" i="4"/>
  <c r="BA101" i="4"/>
  <c r="BA34" i="4"/>
  <c r="AZ34" i="4"/>
  <c r="AY34" i="4"/>
  <c r="AX34" i="4"/>
  <c r="BA40" i="4"/>
  <c r="AZ40" i="4"/>
  <c r="AY40" i="4"/>
  <c r="AX40" i="4"/>
  <c r="BA62" i="4"/>
  <c r="AZ62" i="4"/>
  <c r="AX62" i="4"/>
  <c r="AY62" i="4"/>
  <c r="BA63" i="4"/>
  <c r="AZ63" i="4"/>
  <c r="AX63" i="4"/>
  <c r="AY63" i="4"/>
  <c r="BA29" i="4"/>
  <c r="AZ29" i="4"/>
  <c r="AY29" i="4"/>
  <c r="AX29" i="4"/>
  <c r="BA39" i="4"/>
  <c r="AZ39" i="4"/>
  <c r="AY39" i="4"/>
  <c r="AX39" i="4"/>
  <c r="AY21" i="4"/>
  <c r="BA21" i="4"/>
  <c r="AZ21" i="4"/>
  <c r="AX21" i="4"/>
  <c r="AX148" i="4"/>
  <c r="BA148" i="4"/>
  <c r="AZ148" i="4"/>
  <c r="AY148" i="4"/>
  <c r="BA110" i="4"/>
  <c r="AZ110" i="4"/>
  <c r="AY110" i="4"/>
  <c r="AX110" i="4"/>
  <c r="BA38" i="4"/>
  <c r="AZ38" i="4"/>
  <c r="AY38" i="4"/>
  <c r="AX38" i="4"/>
  <c r="AZ162" i="4"/>
  <c r="AX162" i="4"/>
  <c r="BA162" i="4"/>
  <c r="AY162" i="4"/>
  <c r="AX105" i="4"/>
  <c r="BA105" i="4"/>
  <c r="AZ105" i="4"/>
  <c r="AY105" i="4"/>
  <c r="AY75" i="4"/>
  <c r="AZ75" i="4"/>
  <c r="BA75" i="4"/>
  <c r="AX75" i="4"/>
  <c r="AY66" i="4"/>
  <c r="BA66" i="4"/>
  <c r="AZ66" i="4"/>
  <c r="AX66" i="4"/>
  <c r="AY67" i="4"/>
  <c r="AZ67" i="4"/>
  <c r="BA67" i="4"/>
  <c r="AX67" i="4"/>
  <c r="AX107" i="4"/>
  <c r="BA107" i="4"/>
  <c r="AY107" i="4"/>
  <c r="AZ107" i="4"/>
  <c r="BA24" i="4"/>
  <c r="AY24" i="4"/>
  <c r="AZ24" i="4"/>
  <c r="AX24" i="4"/>
  <c r="AZ164" i="4"/>
  <c r="BA164" i="4"/>
  <c r="AY164" i="4"/>
  <c r="AX164" i="4"/>
  <c r="AY65" i="4"/>
  <c r="BA65" i="4"/>
  <c r="AZ65" i="4"/>
  <c r="AX65" i="4"/>
  <c r="BA167" i="4"/>
  <c r="AZ167" i="4"/>
  <c r="AY167" i="4"/>
  <c r="AX167" i="4"/>
  <c r="BA138" i="4"/>
  <c r="AZ138" i="4"/>
  <c r="AY138" i="4"/>
  <c r="AX138" i="4"/>
  <c r="BA128" i="4"/>
  <c r="AY128" i="4"/>
  <c r="AX128" i="4"/>
  <c r="AZ128" i="4"/>
  <c r="BA127" i="4"/>
  <c r="AZ127" i="4"/>
  <c r="AX127" i="4"/>
  <c r="AY127" i="4"/>
  <c r="BA31" i="4"/>
  <c r="AZ31" i="4"/>
  <c r="AY31" i="4"/>
  <c r="AX31" i="4"/>
  <c r="AZ86" i="4"/>
  <c r="AX86" i="4"/>
  <c r="BA86" i="4"/>
  <c r="AY86" i="4"/>
  <c r="AY77" i="4"/>
  <c r="BA77" i="4"/>
  <c r="AZ77" i="4"/>
  <c r="AX77" i="4"/>
  <c r="BA114" i="4"/>
  <c r="AZ114" i="4"/>
  <c r="AY114" i="4"/>
  <c r="AX114" i="4"/>
  <c r="AX153" i="4"/>
  <c r="BA153" i="4"/>
  <c r="AZ153" i="4"/>
  <c r="AY153" i="4"/>
  <c r="AY68" i="4"/>
  <c r="BA68" i="4"/>
  <c r="AZ68" i="4"/>
  <c r="AX68" i="4"/>
  <c r="BA15" i="4"/>
  <c r="AZ15" i="4"/>
  <c r="AY15" i="4"/>
  <c r="AX15" i="4"/>
  <c r="BA144" i="4"/>
  <c r="AZ144" i="4"/>
  <c r="AY144" i="4"/>
  <c r="AX144" i="4"/>
  <c r="BA142" i="4"/>
  <c r="AZ142" i="4"/>
  <c r="AY142" i="4"/>
  <c r="AX142" i="4"/>
  <c r="AX98" i="4"/>
  <c r="AZ98" i="4"/>
  <c r="AY98" i="4"/>
  <c r="BA98" i="4"/>
  <c r="BA139" i="4"/>
  <c r="AZ139" i="4"/>
  <c r="AX139" i="4"/>
  <c r="AY139" i="4"/>
  <c r="BA118" i="4"/>
  <c r="AY118" i="4"/>
  <c r="AZ118" i="4"/>
  <c r="AX118" i="4"/>
  <c r="BA43" i="4"/>
  <c r="AZ43" i="4"/>
  <c r="AY43" i="4"/>
  <c r="AX43" i="4"/>
  <c r="AZ95" i="4"/>
  <c r="AX95" i="4"/>
  <c r="BA95" i="4"/>
  <c r="AY95" i="4"/>
  <c r="BA57" i="4"/>
  <c r="AZ57" i="4"/>
  <c r="AX57" i="4"/>
  <c r="AY57" i="4"/>
  <c r="BA53" i="4"/>
  <c r="AZ53" i="4"/>
  <c r="AY53" i="4"/>
  <c r="AX53" i="4"/>
  <c r="AZ91" i="4"/>
  <c r="AX91" i="4"/>
  <c r="BA91" i="4"/>
  <c r="AY91" i="4"/>
  <c r="AX149" i="4"/>
  <c r="BA149" i="4"/>
  <c r="AY149" i="4"/>
  <c r="AZ149" i="4"/>
  <c r="AY78" i="4"/>
  <c r="BA78" i="4"/>
  <c r="AZ78" i="4"/>
  <c r="AX78" i="4"/>
  <c r="AZ89" i="4"/>
  <c r="AX89" i="4"/>
  <c r="BA89" i="4"/>
  <c r="AY89" i="4"/>
  <c r="AZ90" i="4"/>
  <c r="AX90" i="4"/>
  <c r="AY90" i="4"/>
  <c r="BA90" i="4"/>
  <c r="AZ88" i="4"/>
  <c r="AX88" i="4"/>
  <c r="BA88" i="4"/>
  <c r="AY88" i="4"/>
  <c r="AZ85" i="4"/>
  <c r="AX85" i="4"/>
  <c r="BA85" i="4"/>
  <c r="AY85" i="4"/>
  <c r="BA135" i="4"/>
  <c r="AZ135" i="4"/>
  <c r="AX135" i="4"/>
  <c r="AY135" i="4"/>
  <c r="BA123" i="4"/>
  <c r="AY123" i="4"/>
  <c r="AX123" i="4"/>
  <c r="AZ123" i="4"/>
</calcChain>
</file>

<file path=xl/sharedStrings.xml><?xml version="1.0" encoding="utf-8"?>
<sst xmlns="http://schemas.openxmlformats.org/spreadsheetml/2006/main" count="194" uniqueCount="63">
  <si>
    <t>Date</t>
  </si>
  <si>
    <t>Param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</si>
  <si>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</si>
  <si>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</si>
  <si>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</si>
  <si>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</si>
  <si>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</si>
  <si>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</si>
  <si>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</si>
  <si>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</si>
  <si>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</si>
  <si>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</si>
  <si>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</si>
  <si>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</si>
  <si>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B1</t>
  </si>
  <si>
    <t>B2</t>
  </si>
  <si>
    <t>B3</t>
  </si>
  <si>
    <t>B4</t>
  </si>
  <si>
    <t>Forecast</t>
  </si>
  <si>
    <t>Months</t>
  </si>
  <si>
    <t>Realized</t>
  </si>
  <si>
    <t>Actual_Yld</t>
  </si>
  <si>
    <t>1Y</t>
  </si>
  <si>
    <t>2Y</t>
  </si>
  <si>
    <t>3Y</t>
  </si>
  <si>
    <t>5Y</t>
  </si>
  <si>
    <t>7Y</t>
  </si>
  <si>
    <t>10Y</t>
  </si>
  <si>
    <t>15Y</t>
  </si>
  <si>
    <t>20Y</t>
  </si>
  <si>
    <t>25Y</t>
  </si>
  <si>
    <t>30Y</t>
  </si>
  <si>
    <t>1 Month</t>
  </si>
  <si>
    <t>2 month</t>
  </si>
  <si>
    <t>3 Month</t>
  </si>
  <si>
    <t>4 month</t>
  </si>
  <si>
    <t>5 month</t>
  </si>
  <si>
    <t>6 month</t>
  </si>
  <si>
    <t>7 month</t>
  </si>
  <si>
    <t>8 month</t>
  </si>
  <si>
    <t>9 month</t>
  </si>
  <si>
    <t>10 month</t>
  </si>
  <si>
    <t>11 month</t>
  </si>
  <si>
    <t>12 month</t>
  </si>
  <si>
    <t>const</t>
  </si>
  <si>
    <t>L1.B1</t>
  </si>
  <si>
    <t>L1.B2</t>
  </si>
  <si>
    <t>L1.B3</t>
  </si>
  <si>
    <t>L1.B4</t>
  </si>
  <si>
    <t>Actual Yields</t>
  </si>
  <si>
    <t>Forecasted Betas(1M)</t>
  </si>
  <si>
    <t>Forecasted Yields(1M)</t>
  </si>
  <si>
    <t>Forecasted Betas(2M)</t>
  </si>
  <si>
    <t>Forecasted Betas(3M)</t>
  </si>
  <si>
    <t>Forecasted Betas(4M)</t>
  </si>
  <si>
    <t>Forecasted Betas(5M)</t>
  </si>
  <si>
    <t>Forecasted Betas(6M)</t>
  </si>
  <si>
    <t>Forecasted Betas(7M)</t>
  </si>
  <si>
    <t>Forecasted Betas(8M)</t>
  </si>
  <si>
    <t>Forecasted Betas(9M)</t>
  </si>
  <si>
    <t>Forecasted Betas(10M)</t>
  </si>
  <si>
    <t>Forecasted Betas(11M)</t>
  </si>
  <si>
    <t>Forecasted Betas(12M)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</si>
</sst>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2" xfId="0" applyBorder="1"/>
    <xf numFmtId="164" fontId="0" fillId="0" borderId="3" xfId="0" applyNumberFormat="1" applyBorder="1"/>
    <xf numFmtId="11" fontId="0" fillId="0" borderId="0" xfId="0" applyNumberFormat="1"/>
    <xf numFmtId="164" fontId="0" fillId="0" borderId="4" xfId="0" applyNumberFormat="1" applyBorder="1"/>
    <xf numFmtId="0" fontId="0" fillId="0" borderId="5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1 Month  Yield Forecasts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Forecast_vs_Actual!$B$13:$B$13</c:f>
              <c:strCache>
                <c:ptCount val="1"/>
                <c:pt idx="0">
                  <c:v>1M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Forecast_vs_Actual!$A$14:$A$24</c:f>
              <c:numCache>
                <c:formatCode>General</c:formatCode>
                <c:ptCount val="11"/>
                <c:pt idx="0">
                  <c:v>3</c:v>
                </c:pt>
                <c:pt idx="1">
                  <c:v>6</c:v>
                </c:pt>
                <c:pt idx="2">
                  <c:v>12</c:v>
                </c:pt>
                <c:pt idx="3">
                  <c:v>24</c:v>
                </c:pt>
                <c:pt idx="4">
                  <c:v>36</c:v>
                </c:pt>
                <c:pt idx="5">
                  <c:v>60</c:v>
                </c:pt>
                <c:pt idx="6">
                  <c:v>84</c:v>
                </c:pt>
                <c:pt idx="7">
                  <c:v>120</c:v>
                </c:pt>
                <c:pt idx="8">
                  <c:v>180</c:v>
                </c:pt>
                <c:pt idx="9">
                  <c:v>240</c:v>
                </c:pt>
                <c:pt idx="10">
                  <c:v>300</c:v>
                </c:pt>
              </c:numCache>
            </c:numRef>
          </c:cat>
          <c:val>
            <c:numRef>
              <c:f>Forecast_vs_Actual!$B$14:$B$25</c:f>
              <c:numCache>
                <c:formatCode>General</c:formatCode>
                <c:ptCount val="12"/>
                <c:pt idx="0">
                  <c:v>1.9986658292926885E-2</c:v>
                </c:pt>
                <c:pt idx="1">
                  <c:v>2.0460810013918872E-2</c:v>
                </c:pt>
                <c:pt idx="2">
                  <c:v>2.141701955221113E-2</c:v>
                </c:pt>
                <c:pt idx="3">
                  <c:v>2.3213699346917232E-2</c:v>
                </c:pt>
                <c:pt idx="4">
                  <c:v>2.4737166389141866E-2</c:v>
                </c:pt>
                <c:pt idx="5">
                  <c:v>2.6948316867536445E-2</c:v>
                </c:pt>
                <c:pt idx="6">
                  <c:v>2.8334961594153569E-2</c:v>
                </c:pt>
                <c:pt idx="7">
                  <c:v>2.9535724402548823E-2</c:v>
                </c:pt>
                <c:pt idx="8">
                  <c:v>3.0453645913357284E-2</c:v>
                </c:pt>
                <c:pt idx="9">
                  <c:v>3.0816384131197715E-2</c:v>
                </c:pt>
                <c:pt idx="10">
                  <c:v>3.0954649308263252E-2</c:v>
                </c:pt>
                <c:pt idx="11">
                  <c:v>3.0994047348628886E-2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Forecast_vs_Actual!$O$13:$O$13</c:f>
              <c:strCache>
                <c:ptCount val="1"/>
                <c:pt idx="0">
                  <c:v>Actual_Yld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Forecast_vs_Actual!$A$14:$A$24</c:f>
              <c:numCache>
                <c:formatCode>General</c:formatCode>
                <c:ptCount val="11"/>
                <c:pt idx="0">
                  <c:v>3</c:v>
                </c:pt>
                <c:pt idx="1">
                  <c:v>6</c:v>
                </c:pt>
                <c:pt idx="2">
                  <c:v>12</c:v>
                </c:pt>
                <c:pt idx="3">
                  <c:v>24</c:v>
                </c:pt>
                <c:pt idx="4">
                  <c:v>36</c:v>
                </c:pt>
                <c:pt idx="5">
                  <c:v>60</c:v>
                </c:pt>
                <c:pt idx="6">
                  <c:v>84</c:v>
                </c:pt>
                <c:pt idx="7">
                  <c:v>120</c:v>
                </c:pt>
                <c:pt idx="8">
                  <c:v>180</c:v>
                </c:pt>
                <c:pt idx="9">
                  <c:v>240</c:v>
                </c:pt>
                <c:pt idx="10">
                  <c:v>300</c:v>
                </c:pt>
              </c:numCache>
            </c:numRef>
          </c:cat>
          <c:val>
            <c:numRef>
              <c:f>Forecast_vs_Actual!$O$14:$O$25</c:f>
              <c:numCache>
                <c:formatCode>General</c:formatCode>
                <c:ptCount val="12"/>
                <c:pt idx="0">
                  <c:v>2.1649000000000002E-2</c:v>
                </c:pt>
                <c:pt idx="1">
                  <c:v>2.2186999999999998E-2</c:v>
                </c:pt>
                <c:pt idx="2">
                  <c:v>2.3522000000000001E-2</c:v>
                </c:pt>
                <c:pt idx="3">
                  <c:v>2.5819000000000002E-2</c:v>
                </c:pt>
                <c:pt idx="4">
                  <c:v>2.6520999999999999E-2</c:v>
                </c:pt>
                <c:pt idx="5">
                  <c:v>2.7089999999999999E-2</c:v>
                </c:pt>
                <c:pt idx="6">
                  <c:v>2.8413999999999998E-2</c:v>
                </c:pt>
                <c:pt idx="7">
                  <c:v>2.9239999999999999E-2</c:v>
                </c:pt>
                <c:pt idx="8">
                  <c:v>2.988E-2</c:v>
                </c:pt>
                <c:pt idx="9">
                  <c:v>2.9974000000000001E-2</c:v>
                </c:pt>
                <c:pt idx="10">
                  <c:v>3.024E-2</c:v>
                </c:pt>
                <c:pt idx="11">
                  <c:v>2.9812000000000002E-2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Forecast_vs_Actual!$S$13:$S$13</c:f>
              <c:strCache>
                <c:ptCount val="1"/>
                <c:pt idx="0">
                  <c:v>PREV 1M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Forecast_vs_Actual!$A$14:$A$24</c:f>
              <c:numCache>
                <c:formatCode>General</c:formatCode>
                <c:ptCount val="11"/>
                <c:pt idx="0">
                  <c:v>3</c:v>
                </c:pt>
                <c:pt idx="1">
                  <c:v>6</c:v>
                </c:pt>
                <c:pt idx="2">
                  <c:v>12</c:v>
                </c:pt>
                <c:pt idx="3">
                  <c:v>24</c:v>
                </c:pt>
                <c:pt idx="4">
                  <c:v>36</c:v>
                </c:pt>
                <c:pt idx="5">
                  <c:v>60</c:v>
                </c:pt>
                <c:pt idx="6">
                  <c:v>84</c:v>
                </c:pt>
                <c:pt idx="7">
                  <c:v>120</c:v>
                </c:pt>
                <c:pt idx="8">
                  <c:v>180</c:v>
                </c:pt>
                <c:pt idx="9">
                  <c:v>240</c:v>
                </c:pt>
                <c:pt idx="10">
                  <c:v>300</c:v>
                </c:pt>
              </c:numCache>
            </c:numRef>
          </c:cat>
          <c:val>
            <c:numRef>
              <c:f>Forecast_vs_Actual!$S$14:$S$25</c:f>
              <c:numCache>
                <c:formatCode>General</c:formatCode>
                <c:ptCount val="12"/>
                <c:pt idx="0">
                  <c:v>2.0750000000000001E-2</c:v>
                </c:pt>
                <c:pt idx="1">
                  <c:v>2.1225000000000001E-2</c:v>
                </c:pt>
                <c:pt idx="2">
                  <c:v>2.2404E-2</c:v>
                </c:pt>
                <c:pt idx="3">
                  <c:v>2.4475E-2</c:v>
                </c:pt>
                <c:pt idx="4">
                  <c:v>2.5623E-2</c:v>
                </c:pt>
                <c:pt idx="5">
                  <c:v>2.6703000000000001E-2</c:v>
                </c:pt>
                <c:pt idx="6">
                  <c:v>2.853E-2</c:v>
                </c:pt>
                <c:pt idx="7">
                  <c:v>2.9479999999999999E-2</c:v>
                </c:pt>
                <c:pt idx="8">
                  <c:v>3.0106999999999998E-2</c:v>
                </c:pt>
                <c:pt idx="9">
                  <c:v>3.0366000000000001E-2</c:v>
                </c:pt>
                <c:pt idx="10">
                  <c:v>3.0613000000000001E-2</c:v>
                </c:pt>
                <c:pt idx="11">
                  <c:v>3.0218999999999999E-2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9394303"/>
        <c:axId val="2038349807"/>
      </c:lineChart>
      <c:valAx>
        <c:axId val="2038349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YIELD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9394303"/>
        <c:crosses val="autoZero"/>
        <c:crossBetween val="between"/>
      </c:valAx>
      <c:catAx>
        <c:axId val="17093943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ahead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834980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2 Month Yield Forecasts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Forecast_vs_Actual!$C$13:$C$13</c:f>
              <c:strCache>
                <c:ptCount val="1"/>
                <c:pt idx="0">
                  <c:v>2M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Forecast_vs_Actual!$A$14:$A$25</c:f>
              <c:numCache>
                <c:formatCode>General</c:formatCode>
                <c:ptCount val="12"/>
                <c:pt idx="0">
                  <c:v>3</c:v>
                </c:pt>
                <c:pt idx="1">
                  <c:v>6</c:v>
                </c:pt>
                <c:pt idx="2">
                  <c:v>12</c:v>
                </c:pt>
                <c:pt idx="3">
                  <c:v>24</c:v>
                </c:pt>
                <c:pt idx="4">
                  <c:v>36</c:v>
                </c:pt>
                <c:pt idx="5">
                  <c:v>60</c:v>
                </c:pt>
                <c:pt idx="6">
                  <c:v>84</c:v>
                </c:pt>
                <c:pt idx="7">
                  <c:v>120</c:v>
                </c:pt>
                <c:pt idx="8">
                  <c:v>180</c:v>
                </c:pt>
                <c:pt idx="9">
                  <c:v>240</c:v>
                </c:pt>
                <c:pt idx="10">
                  <c:v>300</c:v>
                </c:pt>
                <c:pt idx="11">
                  <c:v>360</c:v>
                </c:pt>
              </c:numCache>
            </c:numRef>
          </c:cat>
          <c:val>
            <c:numRef>
              <c:f>Forecast_vs_Actual!$C$14:$C$25</c:f>
              <c:numCache>
                <c:formatCode>General</c:formatCode>
                <c:ptCount val="12"/>
                <c:pt idx="0">
                  <c:v>1.8931448641970685E-2</c:v>
                </c:pt>
                <c:pt idx="1">
                  <c:v>1.9519933595426215E-2</c:v>
                </c:pt>
                <c:pt idx="2">
                  <c:v>2.0719988377807034E-2</c:v>
                </c:pt>
                <c:pt idx="3">
                  <c:v>2.3007118333009502E-2</c:v>
                </c:pt>
                <c:pt idx="4">
                  <c:v>2.4970345735507975E-2</c:v>
                </c:pt>
                <c:pt idx="5">
                  <c:v>2.785212380061669E-2</c:v>
                </c:pt>
                <c:pt idx="6">
                  <c:v>2.9676949044707603E-2</c:v>
                </c:pt>
                <c:pt idx="7">
                  <c:v>3.1261383284522291E-2</c:v>
                </c:pt>
                <c:pt idx="8">
                  <c:v>3.2448662029309489E-2</c:v>
                </c:pt>
                <c:pt idx="9">
                  <c:v>3.287679571806372E-2</c:v>
                </c:pt>
                <c:pt idx="10">
                  <c:v>3.2998280704097632E-2</c:v>
                </c:pt>
                <c:pt idx="11">
                  <c:v>3.2989273110013026E-2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Forecast_vs_Actual!$O$13:$O$13</c:f>
              <c:strCache>
                <c:ptCount val="1"/>
                <c:pt idx="0">
                  <c:v>Actual_Yld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Forecast_vs_Actual!$A$14:$A$25</c:f>
              <c:numCache>
                <c:formatCode>General</c:formatCode>
                <c:ptCount val="12"/>
                <c:pt idx="0">
                  <c:v>3</c:v>
                </c:pt>
                <c:pt idx="1">
                  <c:v>6</c:v>
                </c:pt>
                <c:pt idx="2">
                  <c:v>12</c:v>
                </c:pt>
                <c:pt idx="3">
                  <c:v>24</c:v>
                </c:pt>
                <c:pt idx="4">
                  <c:v>36</c:v>
                </c:pt>
                <c:pt idx="5">
                  <c:v>60</c:v>
                </c:pt>
                <c:pt idx="6">
                  <c:v>84</c:v>
                </c:pt>
                <c:pt idx="7">
                  <c:v>120</c:v>
                </c:pt>
                <c:pt idx="8">
                  <c:v>180</c:v>
                </c:pt>
                <c:pt idx="9">
                  <c:v>240</c:v>
                </c:pt>
                <c:pt idx="10">
                  <c:v>300</c:v>
                </c:pt>
                <c:pt idx="11">
                  <c:v>360</c:v>
                </c:pt>
              </c:numCache>
            </c:numRef>
          </c:cat>
          <c:val>
            <c:numRef>
              <c:f>Forecast_vs_Actual!$O$14:$O$25</c:f>
              <c:numCache>
                <c:formatCode>General</c:formatCode>
                <c:ptCount val="12"/>
                <c:pt idx="0">
                  <c:v>2.1649000000000002E-2</c:v>
                </c:pt>
                <c:pt idx="1">
                  <c:v>2.2186999999999998E-2</c:v>
                </c:pt>
                <c:pt idx="2">
                  <c:v>2.3522000000000001E-2</c:v>
                </c:pt>
                <c:pt idx="3">
                  <c:v>2.5819000000000002E-2</c:v>
                </c:pt>
                <c:pt idx="4">
                  <c:v>2.6520999999999999E-2</c:v>
                </c:pt>
                <c:pt idx="5">
                  <c:v>2.7089999999999999E-2</c:v>
                </c:pt>
                <c:pt idx="6">
                  <c:v>2.8413999999999998E-2</c:v>
                </c:pt>
                <c:pt idx="7">
                  <c:v>2.9239999999999999E-2</c:v>
                </c:pt>
                <c:pt idx="8">
                  <c:v>2.988E-2</c:v>
                </c:pt>
                <c:pt idx="9">
                  <c:v>2.9974000000000001E-2</c:v>
                </c:pt>
                <c:pt idx="10">
                  <c:v>3.024E-2</c:v>
                </c:pt>
                <c:pt idx="11">
                  <c:v>2.9812000000000002E-2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Forecast_vs_Actual!$T$13:$T$13</c:f>
              <c:strCache>
                <c:ptCount val="1"/>
                <c:pt idx="0">
                  <c:v>PREV 2M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Forecast_vs_Actual!$A$14:$A$25</c:f>
              <c:numCache>
                <c:formatCode>General</c:formatCode>
                <c:ptCount val="12"/>
                <c:pt idx="0">
                  <c:v>3</c:v>
                </c:pt>
                <c:pt idx="1">
                  <c:v>6</c:v>
                </c:pt>
                <c:pt idx="2">
                  <c:v>12</c:v>
                </c:pt>
                <c:pt idx="3">
                  <c:v>24</c:v>
                </c:pt>
                <c:pt idx="4">
                  <c:v>36</c:v>
                </c:pt>
                <c:pt idx="5">
                  <c:v>60</c:v>
                </c:pt>
                <c:pt idx="6">
                  <c:v>84</c:v>
                </c:pt>
                <c:pt idx="7">
                  <c:v>120</c:v>
                </c:pt>
                <c:pt idx="8">
                  <c:v>180</c:v>
                </c:pt>
                <c:pt idx="9">
                  <c:v>240</c:v>
                </c:pt>
                <c:pt idx="10">
                  <c:v>300</c:v>
                </c:pt>
                <c:pt idx="11">
                  <c:v>360</c:v>
                </c:pt>
              </c:numCache>
            </c:numRef>
          </c:cat>
          <c:val>
            <c:numRef>
              <c:f>Forecast_vs_Actual!$T$14:$T$25</c:f>
              <c:numCache>
                <c:formatCode>General</c:formatCode>
                <c:ptCount val="12"/>
                <c:pt idx="0">
                  <c:v>2.0374E-2</c:v>
                </c:pt>
                <c:pt idx="1">
                  <c:v>2.0891E-2</c:v>
                </c:pt>
                <c:pt idx="2">
                  <c:v>2.2471999999999999E-2</c:v>
                </c:pt>
                <c:pt idx="3">
                  <c:v>2.4919E-2</c:v>
                </c:pt>
                <c:pt idx="4">
                  <c:v>2.6793000000000001E-2</c:v>
                </c:pt>
                <c:pt idx="5">
                  <c:v>2.9128999999999999E-2</c:v>
                </c:pt>
                <c:pt idx="6">
                  <c:v>3.0353000000000002E-2</c:v>
                </c:pt>
                <c:pt idx="7">
                  <c:v>3.1335000000000002E-2</c:v>
                </c:pt>
                <c:pt idx="8">
                  <c:v>3.2152E-2</c:v>
                </c:pt>
                <c:pt idx="9">
                  <c:v>3.2289999999999999E-2</c:v>
                </c:pt>
                <c:pt idx="10">
                  <c:v>3.2626000000000002E-2</c:v>
                </c:pt>
                <c:pt idx="11">
                  <c:v>3.2356000000000003E-2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9394703"/>
        <c:axId val="2038355215"/>
      </c:lineChart>
      <c:valAx>
        <c:axId val="2038355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Yield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9394703"/>
        <c:crosses val="autoZero"/>
        <c:crossBetween val="between"/>
      </c:valAx>
      <c:catAx>
        <c:axId val="17093947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Ahead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835521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3 Month Forecasts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Forecast_vs_Actual!$D$13:$D$13</c:f>
              <c:strCache>
                <c:ptCount val="1"/>
                <c:pt idx="0">
                  <c:v>3M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Forecast_vs_Actual!$A$14:$A$25</c:f>
              <c:numCache>
                <c:formatCode>General</c:formatCode>
                <c:ptCount val="12"/>
                <c:pt idx="0">
                  <c:v>3</c:v>
                </c:pt>
                <c:pt idx="1">
                  <c:v>6</c:v>
                </c:pt>
                <c:pt idx="2">
                  <c:v>12</c:v>
                </c:pt>
                <c:pt idx="3">
                  <c:v>24</c:v>
                </c:pt>
                <c:pt idx="4">
                  <c:v>36</c:v>
                </c:pt>
                <c:pt idx="5">
                  <c:v>60</c:v>
                </c:pt>
                <c:pt idx="6">
                  <c:v>84</c:v>
                </c:pt>
                <c:pt idx="7">
                  <c:v>120</c:v>
                </c:pt>
                <c:pt idx="8">
                  <c:v>180</c:v>
                </c:pt>
                <c:pt idx="9">
                  <c:v>240</c:v>
                </c:pt>
                <c:pt idx="10">
                  <c:v>300</c:v>
                </c:pt>
                <c:pt idx="11">
                  <c:v>360</c:v>
                </c:pt>
              </c:numCache>
            </c:numRef>
          </c:cat>
          <c:val>
            <c:numRef>
              <c:f>Forecast_vs_Actual!$D$14:$D$25</c:f>
              <c:numCache>
                <c:formatCode>General</c:formatCode>
                <c:ptCount val="12"/>
                <c:pt idx="0">
                  <c:v>1.6816753915500388E-2</c:v>
                </c:pt>
                <c:pt idx="1">
                  <c:v>1.718595903586333E-2</c:v>
                </c:pt>
                <c:pt idx="2">
                  <c:v>1.8108491984182098E-2</c:v>
                </c:pt>
                <c:pt idx="3">
                  <c:v>2.0224598849999359E-2</c:v>
                </c:pt>
                <c:pt idx="4">
                  <c:v>2.2242774222702391E-2</c:v>
                </c:pt>
                <c:pt idx="5">
                  <c:v>2.5364855982924175E-2</c:v>
                </c:pt>
                <c:pt idx="6">
                  <c:v>2.7382505592325444E-2</c:v>
                </c:pt>
                <c:pt idx="7">
                  <c:v>2.9157814002909427E-2</c:v>
                </c:pt>
                <c:pt idx="8">
                  <c:v>3.0600724371147463E-2</c:v>
                </c:pt>
                <c:pt idx="9">
                  <c:v>3.129787409294215E-2</c:v>
                </c:pt>
                <c:pt idx="10">
                  <c:v>3.1691700977241277E-2</c:v>
                </c:pt>
                <c:pt idx="11">
                  <c:v>3.1937877419291924E-2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Forecast_vs_Actual!$O$13:$O$13</c:f>
              <c:strCache>
                <c:ptCount val="1"/>
                <c:pt idx="0">
                  <c:v>Actual_Yld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Forecast_vs_Actual!$A$14:$A$25</c:f>
              <c:numCache>
                <c:formatCode>General</c:formatCode>
                <c:ptCount val="12"/>
                <c:pt idx="0">
                  <c:v>3</c:v>
                </c:pt>
                <c:pt idx="1">
                  <c:v>6</c:v>
                </c:pt>
                <c:pt idx="2">
                  <c:v>12</c:v>
                </c:pt>
                <c:pt idx="3">
                  <c:v>24</c:v>
                </c:pt>
                <c:pt idx="4">
                  <c:v>36</c:v>
                </c:pt>
                <c:pt idx="5">
                  <c:v>60</c:v>
                </c:pt>
                <c:pt idx="6">
                  <c:v>84</c:v>
                </c:pt>
                <c:pt idx="7">
                  <c:v>120</c:v>
                </c:pt>
                <c:pt idx="8">
                  <c:v>180</c:v>
                </c:pt>
                <c:pt idx="9">
                  <c:v>240</c:v>
                </c:pt>
                <c:pt idx="10">
                  <c:v>300</c:v>
                </c:pt>
                <c:pt idx="11">
                  <c:v>360</c:v>
                </c:pt>
              </c:numCache>
            </c:numRef>
          </c:cat>
          <c:val>
            <c:numRef>
              <c:f>Forecast_vs_Actual!$O$14:$O$25</c:f>
              <c:numCache>
                <c:formatCode>General</c:formatCode>
                <c:ptCount val="12"/>
                <c:pt idx="0">
                  <c:v>2.1649000000000002E-2</c:v>
                </c:pt>
                <c:pt idx="1">
                  <c:v>2.2186999999999998E-2</c:v>
                </c:pt>
                <c:pt idx="2">
                  <c:v>2.3522000000000001E-2</c:v>
                </c:pt>
                <c:pt idx="3">
                  <c:v>2.5819000000000002E-2</c:v>
                </c:pt>
                <c:pt idx="4">
                  <c:v>2.6520999999999999E-2</c:v>
                </c:pt>
                <c:pt idx="5">
                  <c:v>2.7089999999999999E-2</c:v>
                </c:pt>
                <c:pt idx="6">
                  <c:v>2.8413999999999998E-2</c:v>
                </c:pt>
                <c:pt idx="7">
                  <c:v>2.9239999999999999E-2</c:v>
                </c:pt>
                <c:pt idx="8">
                  <c:v>2.988E-2</c:v>
                </c:pt>
                <c:pt idx="9">
                  <c:v>2.9974000000000001E-2</c:v>
                </c:pt>
                <c:pt idx="10">
                  <c:v>3.024E-2</c:v>
                </c:pt>
                <c:pt idx="11">
                  <c:v>2.9812000000000002E-2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Forecast_vs_Actual!$U$13:$U$13</c:f>
              <c:strCache>
                <c:ptCount val="1"/>
                <c:pt idx="0">
                  <c:v>PREV 3M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Forecast_vs_Actual!$A$14:$A$25</c:f>
              <c:numCache>
                <c:formatCode>General</c:formatCode>
                <c:ptCount val="12"/>
                <c:pt idx="0">
                  <c:v>3</c:v>
                </c:pt>
                <c:pt idx="1">
                  <c:v>6</c:v>
                </c:pt>
                <c:pt idx="2">
                  <c:v>12</c:v>
                </c:pt>
                <c:pt idx="3">
                  <c:v>24</c:v>
                </c:pt>
                <c:pt idx="4">
                  <c:v>36</c:v>
                </c:pt>
                <c:pt idx="5">
                  <c:v>60</c:v>
                </c:pt>
                <c:pt idx="6">
                  <c:v>84</c:v>
                </c:pt>
                <c:pt idx="7">
                  <c:v>120</c:v>
                </c:pt>
                <c:pt idx="8">
                  <c:v>180</c:v>
                </c:pt>
                <c:pt idx="9">
                  <c:v>240</c:v>
                </c:pt>
                <c:pt idx="10">
                  <c:v>300</c:v>
                </c:pt>
                <c:pt idx="11">
                  <c:v>360</c:v>
                </c:pt>
              </c:numCache>
            </c:numRef>
          </c:cat>
          <c:val>
            <c:numRef>
              <c:f>Forecast_vs_Actual!$U$14:$U$25</c:f>
              <c:numCache>
                <c:formatCode>General</c:formatCode>
                <c:ptCount val="12"/>
                <c:pt idx="0">
                  <c:v>1.8367000000000001E-2</c:v>
                </c:pt>
                <c:pt idx="1">
                  <c:v>1.8921E-2</c:v>
                </c:pt>
                <c:pt idx="2">
                  <c:v>2.0667999999999999E-2</c:v>
                </c:pt>
                <c:pt idx="3">
                  <c:v>2.2495000000000001E-2</c:v>
                </c:pt>
                <c:pt idx="4">
                  <c:v>2.4261000000000001E-2</c:v>
                </c:pt>
                <c:pt idx="5">
                  <c:v>2.6568000000000001E-2</c:v>
                </c:pt>
                <c:pt idx="6">
                  <c:v>2.7768999999999999E-2</c:v>
                </c:pt>
                <c:pt idx="7">
                  <c:v>2.8901E-2</c:v>
                </c:pt>
                <c:pt idx="8">
                  <c:v>2.9857999999999999E-2</c:v>
                </c:pt>
                <c:pt idx="9">
                  <c:v>3.0127000000000001E-2</c:v>
                </c:pt>
                <c:pt idx="10">
                  <c:v>3.0866000000000001E-2</c:v>
                </c:pt>
                <c:pt idx="11">
                  <c:v>3.0613999999999999E-2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9395503"/>
        <c:axId val="2038335663"/>
      </c:lineChart>
      <c:valAx>
        <c:axId val="2038335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bg1"/>
                    </a:solidFill>
                  </a:rPr>
                  <a:t>Yield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9395503"/>
        <c:crosses val="autoZero"/>
        <c:crossBetween val="between"/>
      </c:valAx>
      <c:catAx>
        <c:axId val="17093955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bg1"/>
                    </a:solidFill>
                  </a:rPr>
                  <a:t>Days Ahead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833566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bg1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bg1"/>
                </a:solidFill>
              </a:rPr>
              <a:t>4 Month Yield Forecasts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bg1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Forecast_vs_Actual!$E$13:$E$13</c:f>
              <c:strCache>
                <c:ptCount val="1"/>
                <c:pt idx="0">
                  <c:v>4M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Forecast_vs_Actual!$A$14:$A$25</c:f>
              <c:numCache>
                <c:formatCode>General</c:formatCode>
                <c:ptCount val="12"/>
                <c:pt idx="0">
                  <c:v>3</c:v>
                </c:pt>
                <c:pt idx="1">
                  <c:v>6</c:v>
                </c:pt>
                <c:pt idx="2">
                  <c:v>12</c:v>
                </c:pt>
                <c:pt idx="3">
                  <c:v>24</c:v>
                </c:pt>
                <c:pt idx="4">
                  <c:v>36</c:v>
                </c:pt>
                <c:pt idx="5">
                  <c:v>60</c:v>
                </c:pt>
                <c:pt idx="6">
                  <c:v>84</c:v>
                </c:pt>
                <c:pt idx="7">
                  <c:v>120</c:v>
                </c:pt>
                <c:pt idx="8">
                  <c:v>180</c:v>
                </c:pt>
                <c:pt idx="9">
                  <c:v>240</c:v>
                </c:pt>
                <c:pt idx="10">
                  <c:v>300</c:v>
                </c:pt>
                <c:pt idx="11">
                  <c:v>360</c:v>
                </c:pt>
              </c:numCache>
            </c:numRef>
          </c:cat>
          <c:val>
            <c:numRef>
              <c:f>Forecast_vs_Actual!$E$14:$E$25</c:f>
              <c:numCache>
                <c:formatCode>General</c:formatCode>
                <c:ptCount val="12"/>
                <c:pt idx="0">
                  <c:v>1.5708267824658725E-2</c:v>
                </c:pt>
                <c:pt idx="1">
                  <c:v>1.6051855707336901E-2</c:v>
                </c:pt>
                <c:pt idx="2">
                  <c:v>1.7003273378204002E-2</c:v>
                </c:pt>
                <c:pt idx="3">
                  <c:v>1.9354305337661831E-2</c:v>
                </c:pt>
                <c:pt idx="4">
                  <c:v>2.1687342941301691E-2</c:v>
                </c:pt>
                <c:pt idx="5">
                  <c:v>2.5389560288803202E-2</c:v>
                </c:pt>
                <c:pt idx="6">
                  <c:v>2.7824306641988376E-2</c:v>
                </c:pt>
                <c:pt idx="7">
                  <c:v>2.9977780108285515E-2</c:v>
                </c:pt>
                <c:pt idx="8">
                  <c:v>3.1688121315464612E-2</c:v>
                </c:pt>
                <c:pt idx="9">
                  <c:v>3.2447703082237461E-2</c:v>
                </c:pt>
                <c:pt idx="10">
                  <c:v>3.2821110279033068E-2</c:v>
                </c:pt>
                <c:pt idx="11">
                  <c:v>3.3015211206046967E-2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Forecast_vs_Actual!$O$13:$O$13</c:f>
              <c:strCache>
                <c:ptCount val="1"/>
                <c:pt idx="0">
                  <c:v>Actual_Yld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Forecast_vs_Actual!$A$14:$A$25</c:f>
              <c:numCache>
                <c:formatCode>General</c:formatCode>
                <c:ptCount val="12"/>
                <c:pt idx="0">
                  <c:v>3</c:v>
                </c:pt>
                <c:pt idx="1">
                  <c:v>6</c:v>
                </c:pt>
                <c:pt idx="2">
                  <c:v>12</c:v>
                </c:pt>
                <c:pt idx="3">
                  <c:v>24</c:v>
                </c:pt>
                <c:pt idx="4">
                  <c:v>36</c:v>
                </c:pt>
                <c:pt idx="5">
                  <c:v>60</c:v>
                </c:pt>
                <c:pt idx="6">
                  <c:v>84</c:v>
                </c:pt>
                <c:pt idx="7">
                  <c:v>120</c:v>
                </c:pt>
                <c:pt idx="8">
                  <c:v>180</c:v>
                </c:pt>
                <c:pt idx="9">
                  <c:v>240</c:v>
                </c:pt>
                <c:pt idx="10">
                  <c:v>300</c:v>
                </c:pt>
                <c:pt idx="11">
                  <c:v>360</c:v>
                </c:pt>
              </c:numCache>
            </c:numRef>
          </c:cat>
          <c:val>
            <c:numRef>
              <c:f>Forecast_vs_Actual!$O$14:$O$25</c:f>
              <c:numCache>
                <c:formatCode>General</c:formatCode>
                <c:ptCount val="12"/>
                <c:pt idx="0">
                  <c:v>2.1649000000000002E-2</c:v>
                </c:pt>
                <c:pt idx="1">
                  <c:v>2.2186999999999998E-2</c:v>
                </c:pt>
                <c:pt idx="2">
                  <c:v>2.3522000000000001E-2</c:v>
                </c:pt>
                <c:pt idx="3">
                  <c:v>2.5819000000000002E-2</c:v>
                </c:pt>
                <c:pt idx="4">
                  <c:v>2.6520999999999999E-2</c:v>
                </c:pt>
                <c:pt idx="5">
                  <c:v>2.7089999999999999E-2</c:v>
                </c:pt>
                <c:pt idx="6">
                  <c:v>2.8413999999999998E-2</c:v>
                </c:pt>
                <c:pt idx="7">
                  <c:v>2.9239999999999999E-2</c:v>
                </c:pt>
                <c:pt idx="8">
                  <c:v>2.988E-2</c:v>
                </c:pt>
                <c:pt idx="9">
                  <c:v>2.9974000000000001E-2</c:v>
                </c:pt>
                <c:pt idx="10">
                  <c:v>3.024E-2</c:v>
                </c:pt>
                <c:pt idx="11">
                  <c:v>2.9812000000000002E-2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Forecast_vs_Actual!$V$13:$V$13</c:f>
              <c:strCache>
                <c:ptCount val="1"/>
                <c:pt idx="0">
                  <c:v>PREV 4M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Forecast_vs_Actual!$A$14:$A$25</c:f>
              <c:numCache>
                <c:formatCode>General</c:formatCode>
                <c:ptCount val="12"/>
                <c:pt idx="0">
                  <c:v>3</c:v>
                </c:pt>
                <c:pt idx="1">
                  <c:v>6</c:v>
                </c:pt>
                <c:pt idx="2">
                  <c:v>12</c:v>
                </c:pt>
                <c:pt idx="3">
                  <c:v>24</c:v>
                </c:pt>
                <c:pt idx="4">
                  <c:v>36</c:v>
                </c:pt>
                <c:pt idx="5">
                  <c:v>60</c:v>
                </c:pt>
                <c:pt idx="6">
                  <c:v>84</c:v>
                </c:pt>
                <c:pt idx="7">
                  <c:v>120</c:v>
                </c:pt>
                <c:pt idx="8">
                  <c:v>180</c:v>
                </c:pt>
                <c:pt idx="9">
                  <c:v>240</c:v>
                </c:pt>
                <c:pt idx="10">
                  <c:v>300</c:v>
                </c:pt>
                <c:pt idx="11">
                  <c:v>360</c:v>
                </c:pt>
              </c:numCache>
            </c:numRef>
          </c:cat>
          <c:val>
            <c:numRef>
              <c:f>Forecast_vs_Actual!$V$14:$V$25</c:f>
              <c:numCache>
                <c:formatCode>General</c:formatCode>
                <c:ptCount val="12"/>
                <c:pt idx="0">
                  <c:v>1.7756000000000001E-2</c:v>
                </c:pt>
                <c:pt idx="1">
                  <c:v>1.8367000000000001E-2</c:v>
                </c:pt>
                <c:pt idx="2">
                  <c:v>2.0237999999999999E-2</c:v>
                </c:pt>
                <c:pt idx="3">
                  <c:v>2.2608E-2</c:v>
                </c:pt>
                <c:pt idx="4">
                  <c:v>2.4445999999999999E-2</c:v>
                </c:pt>
                <c:pt idx="5">
                  <c:v>2.7258000000000001E-2</c:v>
                </c:pt>
                <c:pt idx="6">
                  <c:v>2.8732000000000001E-2</c:v>
                </c:pt>
                <c:pt idx="7">
                  <c:v>3.0023999999999999E-2</c:v>
                </c:pt>
                <c:pt idx="8">
                  <c:v>3.1144999999999999E-2</c:v>
                </c:pt>
                <c:pt idx="9">
                  <c:v>3.1419000000000002E-2</c:v>
                </c:pt>
                <c:pt idx="10">
                  <c:v>3.1995999999999997E-2</c:v>
                </c:pt>
                <c:pt idx="11">
                  <c:v>3.1816999999999998E-2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9396703"/>
        <c:axId val="2038341071"/>
      </c:lineChart>
      <c:valAx>
        <c:axId val="2038341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bg1"/>
                    </a:solidFill>
                  </a:rPr>
                  <a:t>yield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9396703"/>
        <c:crosses val="autoZero"/>
        <c:crossBetween val="between"/>
      </c:valAx>
      <c:catAx>
        <c:axId val="17093967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bg1"/>
                    </a:solidFill>
                  </a:rPr>
                  <a:t>days ahead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834107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5</a:t>
            </a:r>
            <a:r>
              <a:rPr lang="en-US" baseline="0"/>
              <a:t> </a:t>
            </a:r>
            <a:r>
              <a:rPr lang="en-US"/>
              <a:t>Month Yield Forecasts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Forecast_vs_Actual!$F$13:$F$13</c:f>
              <c:strCache>
                <c:ptCount val="1"/>
                <c:pt idx="0">
                  <c:v>5M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Forecast_vs_Actual!$A$14:$A$25</c:f>
              <c:numCache>
                <c:formatCode>General</c:formatCode>
                <c:ptCount val="12"/>
                <c:pt idx="0">
                  <c:v>3</c:v>
                </c:pt>
                <c:pt idx="1">
                  <c:v>6</c:v>
                </c:pt>
                <c:pt idx="2">
                  <c:v>12</c:v>
                </c:pt>
                <c:pt idx="3">
                  <c:v>24</c:v>
                </c:pt>
                <c:pt idx="4">
                  <c:v>36</c:v>
                </c:pt>
                <c:pt idx="5">
                  <c:v>60</c:v>
                </c:pt>
                <c:pt idx="6">
                  <c:v>84</c:v>
                </c:pt>
                <c:pt idx="7">
                  <c:v>120</c:v>
                </c:pt>
                <c:pt idx="8">
                  <c:v>180</c:v>
                </c:pt>
                <c:pt idx="9">
                  <c:v>240</c:v>
                </c:pt>
                <c:pt idx="10">
                  <c:v>300</c:v>
                </c:pt>
                <c:pt idx="11">
                  <c:v>360</c:v>
                </c:pt>
              </c:numCache>
            </c:numRef>
          </c:cat>
          <c:val>
            <c:numRef>
              <c:f>Forecast_vs_Actual!$F$14:$F$25</c:f>
              <c:numCache>
                <c:formatCode>General</c:formatCode>
                <c:ptCount val="12"/>
                <c:pt idx="0">
                  <c:v>1.4665304466889252E-2</c:v>
                </c:pt>
                <c:pt idx="1">
                  <c:v>1.4896970813691089E-2</c:v>
                </c:pt>
                <c:pt idx="2">
                  <c:v>1.5701762987227422E-2</c:v>
                </c:pt>
                <c:pt idx="3">
                  <c:v>1.7947313436703499E-2</c:v>
                </c:pt>
                <c:pt idx="4">
                  <c:v>2.0290304268960085E-2</c:v>
                </c:pt>
                <c:pt idx="5">
                  <c:v>2.4092492179094673E-2</c:v>
                </c:pt>
                <c:pt idx="6">
                  <c:v>2.6616333543741332E-2</c:v>
                </c:pt>
                <c:pt idx="7">
                  <c:v>2.8859434081335011E-2</c:v>
                </c:pt>
                <c:pt idx="8">
                  <c:v>3.0676748949894347E-2</c:v>
                </c:pt>
                <c:pt idx="9">
                  <c:v>3.1535584453640748E-2</c:v>
                </c:pt>
                <c:pt idx="10">
                  <c:v>3.2004321582990929E-2</c:v>
                </c:pt>
                <c:pt idx="11">
                  <c:v>3.2285715649556741E-2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Forecast_vs_Actual!$O$13:$O$13</c:f>
              <c:strCache>
                <c:ptCount val="1"/>
                <c:pt idx="0">
                  <c:v>Actual_Yld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Forecast_vs_Actual!$A$14:$A$25</c:f>
              <c:numCache>
                <c:formatCode>General</c:formatCode>
                <c:ptCount val="12"/>
                <c:pt idx="0">
                  <c:v>3</c:v>
                </c:pt>
                <c:pt idx="1">
                  <c:v>6</c:v>
                </c:pt>
                <c:pt idx="2">
                  <c:v>12</c:v>
                </c:pt>
                <c:pt idx="3">
                  <c:v>24</c:v>
                </c:pt>
                <c:pt idx="4">
                  <c:v>36</c:v>
                </c:pt>
                <c:pt idx="5">
                  <c:v>60</c:v>
                </c:pt>
                <c:pt idx="6">
                  <c:v>84</c:v>
                </c:pt>
                <c:pt idx="7">
                  <c:v>120</c:v>
                </c:pt>
                <c:pt idx="8">
                  <c:v>180</c:v>
                </c:pt>
                <c:pt idx="9">
                  <c:v>240</c:v>
                </c:pt>
                <c:pt idx="10">
                  <c:v>300</c:v>
                </c:pt>
                <c:pt idx="11">
                  <c:v>360</c:v>
                </c:pt>
              </c:numCache>
            </c:numRef>
          </c:cat>
          <c:val>
            <c:numRef>
              <c:f>Forecast_vs_Actual!$O$14:$O$25</c:f>
              <c:numCache>
                <c:formatCode>General</c:formatCode>
                <c:ptCount val="12"/>
                <c:pt idx="0">
                  <c:v>2.1649000000000002E-2</c:v>
                </c:pt>
                <c:pt idx="1">
                  <c:v>2.2186999999999998E-2</c:v>
                </c:pt>
                <c:pt idx="2">
                  <c:v>2.3522000000000001E-2</c:v>
                </c:pt>
                <c:pt idx="3">
                  <c:v>2.5819000000000002E-2</c:v>
                </c:pt>
                <c:pt idx="4">
                  <c:v>2.6520999999999999E-2</c:v>
                </c:pt>
                <c:pt idx="5">
                  <c:v>2.7089999999999999E-2</c:v>
                </c:pt>
                <c:pt idx="6">
                  <c:v>2.8413999999999998E-2</c:v>
                </c:pt>
                <c:pt idx="7">
                  <c:v>2.9239999999999999E-2</c:v>
                </c:pt>
                <c:pt idx="8">
                  <c:v>2.988E-2</c:v>
                </c:pt>
                <c:pt idx="9">
                  <c:v>2.9974000000000001E-2</c:v>
                </c:pt>
                <c:pt idx="10">
                  <c:v>3.024E-2</c:v>
                </c:pt>
                <c:pt idx="11">
                  <c:v>2.9812000000000002E-2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Forecast_vs_Actual!$W$13:$W$13</c:f>
              <c:strCache>
                <c:ptCount val="1"/>
                <c:pt idx="0">
                  <c:v>PREV 5M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Forecast_vs_Actual!$A$14:$A$25</c:f>
              <c:numCache>
                <c:formatCode>General</c:formatCode>
                <c:ptCount val="12"/>
                <c:pt idx="0">
                  <c:v>3</c:v>
                </c:pt>
                <c:pt idx="1">
                  <c:v>6</c:v>
                </c:pt>
                <c:pt idx="2">
                  <c:v>12</c:v>
                </c:pt>
                <c:pt idx="3">
                  <c:v>24</c:v>
                </c:pt>
                <c:pt idx="4">
                  <c:v>36</c:v>
                </c:pt>
                <c:pt idx="5">
                  <c:v>60</c:v>
                </c:pt>
                <c:pt idx="6">
                  <c:v>84</c:v>
                </c:pt>
                <c:pt idx="7">
                  <c:v>120</c:v>
                </c:pt>
                <c:pt idx="8">
                  <c:v>180</c:v>
                </c:pt>
                <c:pt idx="9">
                  <c:v>240</c:v>
                </c:pt>
                <c:pt idx="10">
                  <c:v>300</c:v>
                </c:pt>
                <c:pt idx="11">
                  <c:v>360</c:v>
                </c:pt>
              </c:numCache>
            </c:numRef>
          </c:cat>
          <c:val>
            <c:numRef>
              <c:f>Forecast_vs_Actual!$W$14:$W$25</c:f>
              <c:numCache>
                <c:formatCode>General</c:formatCode>
                <c:ptCount val="12"/>
                <c:pt idx="0">
                  <c:v>1.7430000000000001E-2</c:v>
                </c:pt>
                <c:pt idx="1">
                  <c:v>1.796E-2</c:v>
                </c:pt>
                <c:pt idx="2">
                  <c:v>1.9906E-2</c:v>
                </c:pt>
                <c:pt idx="3">
                  <c:v>2.1439E-2</c:v>
                </c:pt>
                <c:pt idx="4">
                  <c:v>2.3102000000000001E-2</c:v>
                </c:pt>
                <c:pt idx="5">
                  <c:v>2.5921E-2</c:v>
                </c:pt>
                <c:pt idx="6">
                  <c:v>2.7309E-2</c:v>
                </c:pt>
                <c:pt idx="7">
                  <c:v>2.8334999999999999E-2</c:v>
                </c:pt>
                <c:pt idx="8">
                  <c:v>2.9246000000000001E-2</c:v>
                </c:pt>
                <c:pt idx="9">
                  <c:v>2.9618999999999999E-2</c:v>
                </c:pt>
                <c:pt idx="10">
                  <c:v>2.9981000000000001E-2</c:v>
                </c:pt>
                <c:pt idx="11">
                  <c:v>2.9714999999999998E-2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9397503"/>
        <c:axId val="2038341487"/>
      </c:lineChart>
      <c:valAx>
        <c:axId val="2038341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bg1"/>
                    </a:solidFill>
                  </a:rPr>
                  <a:t>yield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9397503"/>
        <c:crosses val="autoZero"/>
        <c:crossBetween val="between"/>
      </c:valAx>
      <c:catAx>
        <c:axId val="17093975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bg1"/>
                    </a:solidFill>
                  </a:rPr>
                  <a:t>days</a:t>
                </a:r>
                <a:r>
                  <a:rPr lang="en-US" baseline="0">
                    <a:solidFill>
                      <a:schemeClr val="bg1"/>
                    </a:solidFill>
                  </a:rPr>
                  <a:t> ahead</a:t>
                </a:r>
                <a:endParaRPr lang="en-US">
                  <a:solidFill>
                    <a:schemeClr val="bg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834148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6 Month Yield Forecasts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Forecast_vs_Actual!$G$13:$G$13</c:f>
              <c:strCache>
                <c:ptCount val="1"/>
                <c:pt idx="0">
                  <c:v>6M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Forecast_vs_Actual!$A$14:$A$25</c:f>
              <c:numCache>
                <c:formatCode>General</c:formatCode>
                <c:ptCount val="12"/>
                <c:pt idx="0">
                  <c:v>3</c:v>
                </c:pt>
                <c:pt idx="1">
                  <c:v>6</c:v>
                </c:pt>
                <c:pt idx="2">
                  <c:v>12</c:v>
                </c:pt>
                <c:pt idx="3">
                  <c:v>24</c:v>
                </c:pt>
                <c:pt idx="4">
                  <c:v>36</c:v>
                </c:pt>
                <c:pt idx="5">
                  <c:v>60</c:v>
                </c:pt>
                <c:pt idx="6">
                  <c:v>84</c:v>
                </c:pt>
                <c:pt idx="7">
                  <c:v>120</c:v>
                </c:pt>
                <c:pt idx="8">
                  <c:v>180</c:v>
                </c:pt>
                <c:pt idx="9">
                  <c:v>240</c:v>
                </c:pt>
                <c:pt idx="10">
                  <c:v>300</c:v>
                </c:pt>
                <c:pt idx="11">
                  <c:v>360</c:v>
                </c:pt>
              </c:numCache>
            </c:numRef>
          </c:cat>
          <c:val>
            <c:numRef>
              <c:f>Forecast_vs_Actual!$G$14:$G$25</c:f>
              <c:numCache>
                <c:formatCode>General</c:formatCode>
                <c:ptCount val="12"/>
                <c:pt idx="0">
                  <c:v>1.3294512234435688E-2</c:v>
                </c:pt>
                <c:pt idx="1">
                  <c:v>1.3287857240476398E-2</c:v>
                </c:pt>
                <c:pt idx="2">
                  <c:v>1.3776580668193834E-2</c:v>
                </c:pt>
                <c:pt idx="3">
                  <c:v>1.5775506357018527E-2</c:v>
                </c:pt>
                <c:pt idx="4">
                  <c:v>1.8103645525946798E-2</c:v>
                </c:pt>
                <c:pt idx="5">
                  <c:v>2.2030907725388234E-2</c:v>
                </c:pt>
                <c:pt idx="6">
                  <c:v>2.4665181911132809E-2</c:v>
                </c:pt>
                <c:pt idx="7">
                  <c:v>2.7026154132994282E-2</c:v>
                </c:pt>
                <c:pt idx="8">
                  <c:v>2.9066453342094352E-2</c:v>
                </c:pt>
                <c:pt idx="9">
                  <c:v>3.0219979890099159E-2</c:v>
                </c:pt>
                <c:pt idx="10">
                  <c:v>3.1009991346558085E-2</c:v>
                </c:pt>
                <c:pt idx="11">
                  <c:v>3.1601456435343116E-2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Forecast_vs_Actual!$O$13:$O$13</c:f>
              <c:strCache>
                <c:ptCount val="1"/>
                <c:pt idx="0">
                  <c:v>Actual_Yld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Forecast_vs_Actual!$A$14:$A$25</c:f>
              <c:numCache>
                <c:formatCode>General</c:formatCode>
                <c:ptCount val="12"/>
                <c:pt idx="0">
                  <c:v>3</c:v>
                </c:pt>
                <c:pt idx="1">
                  <c:v>6</c:v>
                </c:pt>
                <c:pt idx="2">
                  <c:v>12</c:v>
                </c:pt>
                <c:pt idx="3">
                  <c:v>24</c:v>
                </c:pt>
                <c:pt idx="4">
                  <c:v>36</c:v>
                </c:pt>
                <c:pt idx="5">
                  <c:v>60</c:v>
                </c:pt>
                <c:pt idx="6">
                  <c:v>84</c:v>
                </c:pt>
                <c:pt idx="7">
                  <c:v>120</c:v>
                </c:pt>
                <c:pt idx="8">
                  <c:v>180</c:v>
                </c:pt>
                <c:pt idx="9">
                  <c:v>240</c:v>
                </c:pt>
                <c:pt idx="10">
                  <c:v>300</c:v>
                </c:pt>
                <c:pt idx="11">
                  <c:v>360</c:v>
                </c:pt>
              </c:numCache>
            </c:numRef>
          </c:cat>
          <c:val>
            <c:numRef>
              <c:f>Forecast_vs_Actual!$O$14:$O$25</c:f>
              <c:numCache>
                <c:formatCode>General</c:formatCode>
                <c:ptCount val="12"/>
                <c:pt idx="0">
                  <c:v>2.1649000000000002E-2</c:v>
                </c:pt>
                <c:pt idx="1">
                  <c:v>2.2186999999999998E-2</c:v>
                </c:pt>
                <c:pt idx="2">
                  <c:v>2.3522000000000001E-2</c:v>
                </c:pt>
                <c:pt idx="3">
                  <c:v>2.5819000000000002E-2</c:v>
                </c:pt>
                <c:pt idx="4">
                  <c:v>2.6520999999999999E-2</c:v>
                </c:pt>
                <c:pt idx="5">
                  <c:v>2.7089999999999999E-2</c:v>
                </c:pt>
                <c:pt idx="6">
                  <c:v>2.8413999999999998E-2</c:v>
                </c:pt>
                <c:pt idx="7">
                  <c:v>2.9239999999999999E-2</c:v>
                </c:pt>
                <c:pt idx="8">
                  <c:v>2.988E-2</c:v>
                </c:pt>
                <c:pt idx="9">
                  <c:v>2.9974000000000001E-2</c:v>
                </c:pt>
                <c:pt idx="10">
                  <c:v>3.024E-2</c:v>
                </c:pt>
                <c:pt idx="11">
                  <c:v>2.9812000000000002E-2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Forecast_vs_Actual!$X$13:$X$13</c:f>
              <c:strCache>
                <c:ptCount val="1"/>
                <c:pt idx="0">
                  <c:v>PREV 6M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Forecast_vs_Actual!$A$14:$A$25</c:f>
              <c:numCache>
                <c:formatCode>General</c:formatCode>
                <c:ptCount val="12"/>
                <c:pt idx="0">
                  <c:v>3</c:v>
                </c:pt>
                <c:pt idx="1">
                  <c:v>6</c:v>
                </c:pt>
                <c:pt idx="2">
                  <c:v>12</c:v>
                </c:pt>
                <c:pt idx="3">
                  <c:v>24</c:v>
                </c:pt>
                <c:pt idx="4">
                  <c:v>36</c:v>
                </c:pt>
                <c:pt idx="5">
                  <c:v>60</c:v>
                </c:pt>
                <c:pt idx="6">
                  <c:v>84</c:v>
                </c:pt>
                <c:pt idx="7">
                  <c:v>120</c:v>
                </c:pt>
                <c:pt idx="8">
                  <c:v>180</c:v>
                </c:pt>
                <c:pt idx="9">
                  <c:v>240</c:v>
                </c:pt>
                <c:pt idx="10">
                  <c:v>300</c:v>
                </c:pt>
                <c:pt idx="11">
                  <c:v>360</c:v>
                </c:pt>
              </c:numCache>
            </c:numRef>
          </c:cat>
          <c:val>
            <c:numRef>
              <c:f>Forecast_vs_Actual!$X$14:$X$25</c:f>
              <c:numCache>
                <c:formatCode>General</c:formatCode>
                <c:ptCount val="12"/>
                <c:pt idx="0">
                  <c:v>1.5717999999999999E-2</c:v>
                </c:pt>
                <c:pt idx="1">
                  <c:v>1.6174999999999998E-2</c:v>
                </c:pt>
                <c:pt idx="2">
                  <c:v>1.7933000000000001E-2</c:v>
                </c:pt>
                <c:pt idx="3">
                  <c:v>1.8874999999999999E-2</c:v>
                </c:pt>
                <c:pt idx="4">
                  <c:v>2.0185000000000002E-2</c:v>
                </c:pt>
                <c:pt idx="5">
                  <c:v>2.2728999999999999E-2</c:v>
                </c:pt>
                <c:pt idx="6">
                  <c:v>2.4313000000000001E-2</c:v>
                </c:pt>
                <c:pt idx="7">
                  <c:v>2.5415E-2</c:v>
                </c:pt>
                <c:pt idx="8">
                  <c:v>2.6575000000000001E-2</c:v>
                </c:pt>
                <c:pt idx="9">
                  <c:v>2.7532999999999998E-2</c:v>
                </c:pt>
                <c:pt idx="10">
                  <c:v>2.8337000000000001E-2</c:v>
                </c:pt>
                <c:pt idx="11">
                  <c:v>2.7917999999999998E-2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2597551"/>
        <c:axId val="2038344399"/>
      </c:lineChart>
      <c:valAx>
        <c:axId val="2038344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bg1"/>
                    </a:solidFill>
                  </a:rPr>
                  <a:t>yield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2597551"/>
        <c:crosses val="autoZero"/>
        <c:crossBetween val="between"/>
      </c:valAx>
      <c:catAx>
        <c:axId val="16725975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bg1"/>
                    </a:solidFill>
                  </a:rPr>
                  <a:t>days</a:t>
                </a:r>
                <a:r>
                  <a:rPr lang="en-US" baseline="0">
                    <a:solidFill>
                      <a:schemeClr val="bg1"/>
                    </a:solidFill>
                  </a:rPr>
                  <a:t> ahead</a:t>
                </a:r>
                <a:endParaRPr lang="en-US">
                  <a:solidFill>
                    <a:schemeClr val="bg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834439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7 Month Yield Forecasts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Forecast_vs_Actual!$H$13:$H$13</c:f>
              <c:strCache>
                <c:ptCount val="1"/>
                <c:pt idx="0">
                  <c:v>7M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Forecast_vs_Actual!$A$14:$A$25</c:f>
              <c:numCache>
                <c:formatCode>General</c:formatCode>
                <c:ptCount val="12"/>
                <c:pt idx="0">
                  <c:v>3</c:v>
                </c:pt>
                <c:pt idx="1">
                  <c:v>6</c:v>
                </c:pt>
                <c:pt idx="2">
                  <c:v>12</c:v>
                </c:pt>
                <c:pt idx="3">
                  <c:v>24</c:v>
                </c:pt>
                <c:pt idx="4">
                  <c:v>36</c:v>
                </c:pt>
                <c:pt idx="5">
                  <c:v>60</c:v>
                </c:pt>
                <c:pt idx="6">
                  <c:v>84</c:v>
                </c:pt>
                <c:pt idx="7">
                  <c:v>120</c:v>
                </c:pt>
                <c:pt idx="8">
                  <c:v>180</c:v>
                </c:pt>
                <c:pt idx="9">
                  <c:v>240</c:v>
                </c:pt>
                <c:pt idx="10">
                  <c:v>300</c:v>
                </c:pt>
                <c:pt idx="11">
                  <c:v>360</c:v>
                </c:pt>
              </c:numCache>
            </c:numRef>
          </c:cat>
          <c:val>
            <c:numRef>
              <c:f>Forecast_vs_Actual!$H$14:$H$25</c:f>
              <c:numCache>
                <c:formatCode>General</c:formatCode>
                <c:ptCount val="12"/>
                <c:pt idx="0">
                  <c:v>1.2188365882439366E-2</c:v>
                </c:pt>
                <c:pt idx="1">
                  <c:v>1.2027100884975436E-2</c:v>
                </c:pt>
                <c:pt idx="2">
                  <c:v>1.2353276658052834E-2</c:v>
                </c:pt>
                <c:pt idx="3">
                  <c:v>1.4369837816282257E-2</c:v>
                </c:pt>
                <c:pt idx="4">
                  <c:v>1.6904720679770634E-2</c:v>
                </c:pt>
                <c:pt idx="5">
                  <c:v>2.1303966227885388E-2</c:v>
                </c:pt>
                <c:pt idx="6">
                  <c:v>2.4291753256148314E-2</c:v>
                </c:pt>
                <c:pt idx="7">
                  <c:v>2.6983640183389633E-2</c:v>
                </c:pt>
                <c:pt idx="8">
                  <c:v>2.9331746762302265E-2</c:v>
                </c:pt>
                <c:pt idx="9">
                  <c:v>3.0684907111246031E-2</c:v>
                </c:pt>
                <c:pt idx="10">
                  <c:v>3.1629549171531011E-2</c:v>
                </c:pt>
                <c:pt idx="11">
                  <c:v>3.2347201992308533E-2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Forecast_vs_Actual!$O$13:$O$13</c:f>
              <c:strCache>
                <c:ptCount val="1"/>
                <c:pt idx="0">
                  <c:v>Actual_Yld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Forecast_vs_Actual!$A$14:$A$25</c:f>
              <c:numCache>
                <c:formatCode>General</c:formatCode>
                <c:ptCount val="12"/>
                <c:pt idx="0">
                  <c:v>3</c:v>
                </c:pt>
                <c:pt idx="1">
                  <c:v>6</c:v>
                </c:pt>
                <c:pt idx="2">
                  <c:v>12</c:v>
                </c:pt>
                <c:pt idx="3">
                  <c:v>24</c:v>
                </c:pt>
                <c:pt idx="4">
                  <c:v>36</c:v>
                </c:pt>
                <c:pt idx="5">
                  <c:v>60</c:v>
                </c:pt>
                <c:pt idx="6">
                  <c:v>84</c:v>
                </c:pt>
                <c:pt idx="7">
                  <c:v>120</c:v>
                </c:pt>
                <c:pt idx="8">
                  <c:v>180</c:v>
                </c:pt>
                <c:pt idx="9">
                  <c:v>240</c:v>
                </c:pt>
                <c:pt idx="10">
                  <c:v>300</c:v>
                </c:pt>
                <c:pt idx="11">
                  <c:v>360</c:v>
                </c:pt>
              </c:numCache>
            </c:numRef>
          </c:cat>
          <c:val>
            <c:numRef>
              <c:f>Forecast_vs_Actual!$O$14:$O$25</c:f>
              <c:numCache>
                <c:formatCode>General</c:formatCode>
                <c:ptCount val="12"/>
                <c:pt idx="0">
                  <c:v>2.1649000000000002E-2</c:v>
                </c:pt>
                <c:pt idx="1">
                  <c:v>2.2186999999999998E-2</c:v>
                </c:pt>
                <c:pt idx="2">
                  <c:v>2.3522000000000001E-2</c:v>
                </c:pt>
                <c:pt idx="3">
                  <c:v>2.5819000000000002E-2</c:v>
                </c:pt>
                <c:pt idx="4">
                  <c:v>2.6520999999999999E-2</c:v>
                </c:pt>
                <c:pt idx="5">
                  <c:v>2.7089999999999999E-2</c:v>
                </c:pt>
                <c:pt idx="6">
                  <c:v>2.8413999999999998E-2</c:v>
                </c:pt>
                <c:pt idx="7">
                  <c:v>2.9239999999999999E-2</c:v>
                </c:pt>
                <c:pt idx="8">
                  <c:v>2.988E-2</c:v>
                </c:pt>
                <c:pt idx="9">
                  <c:v>2.9974000000000001E-2</c:v>
                </c:pt>
                <c:pt idx="10">
                  <c:v>3.024E-2</c:v>
                </c:pt>
                <c:pt idx="11">
                  <c:v>2.9812000000000002E-2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Forecast_vs_Actual!$Y$13:$Y$13</c:f>
              <c:strCache>
                <c:ptCount val="1"/>
                <c:pt idx="0">
                  <c:v>PREV 7M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Forecast_vs_Actual!$A$14:$A$25</c:f>
              <c:numCache>
                <c:formatCode>General</c:formatCode>
                <c:ptCount val="12"/>
                <c:pt idx="0">
                  <c:v>3</c:v>
                </c:pt>
                <c:pt idx="1">
                  <c:v>6</c:v>
                </c:pt>
                <c:pt idx="2">
                  <c:v>12</c:v>
                </c:pt>
                <c:pt idx="3">
                  <c:v>24</c:v>
                </c:pt>
                <c:pt idx="4">
                  <c:v>36</c:v>
                </c:pt>
                <c:pt idx="5">
                  <c:v>60</c:v>
                </c:pt>
                <c:pt idx="6">
                  <c:v>84</c:v>
                </c:pt>
                <c:pt idx="7">
                  <c:v>120</c:v>
                </c:pt>
                <c:pt idx="8">
                  <c:v>180</c:v>
                </c:pt>
                <c:pt idx="9">
                  <c:v>240</c:v>
                </c:pt>
                <c:pt idx="10">
                  <c:v>300</c:v>
                </c:pt>
                <c:pt idx="11">
                  <c:v>360</c:v>
                </c:pt>
              </c:numCache>
            </c:numRef>
          </c:cat>
          <c:val>
            <c:numRef>
              <c:f>Forecast_vs_Actual!$Y$14:$Y$25</c:f>
              <c:numCache>
                <c:formatCode>General</c:formatCode>
                <c:ptCount val="12"/>
                <c:pt idx="0">
                  <c:v>1.455E-2</c:v>
                </c:pt>
                <c:pt idx="1">
                  <c:v>1.4968E-2</c:v>
                </c:pt>
                <c:pt idx="2">
                  <c:v>1.6412E-2</c:v>
                </c:pt>
                <c:pt idx="3">
                  <c:v>1.7634E-2</c:v>
                </c:pt>
                <c:pt idx="4">
                  <c:v>1.8754E-2</c:v>
                </c:pt>
                <c:pt idx="5">
                  <c:v>2.1777999999999999E-2</c:v>
                </c:pt>
                <c:pt idx="6">
                  <c:v>2.3522000000000001E-2</c:v>
                </c:pt>
                <c:pt idx="7">
                  <c:v>2.5170999999999999E-2</c:v>
                </c:pt>
                <c:pt idx="8">
                  <c:v>2.6991999999999999E-2</c:v>
                </c:pt>
                <c:pt idx="9">
                  <c:v>2.8083E-2</c:v>
                </c:pt>
                <c:pt idx="10">
                  <c:v>2.9165E-2</c:v>
                </c:pt>
                <c:pt idx="11">
                  <c:v>2.8851000000000002E-2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2595151"/>
        <c:axId val="2038341903"/>
      </c:lineChart>
      <c:valAx>
        <c:axId val="2038341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bg1"/>
                    </a:solidFill>
                  </a:rPr>
                  <a:t>Yield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2595151"/>
        <c:crosses val="autoZero"/>
        <c:crossBetween val="between"/>
      </c:valAx>
      <c:catAx>
        <c:axId val="16725951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bg1"/>
                    </a:solidFill>
                  </a:rPr>
                  <a:t>days</a:t>
                </a:r>
                <a:r>
                  <a:rPr lang="en-US" baseline="0">
                    <a:solidFill>
                      <a:schemeClr val="bg1"/>
                    </a:solidFill>
                  </a:rPr>
                  <a:t> ahead</a:t>
                </a:r>
                <a:endParaRPr lang="en-US">
                  <a:solidFill>
                    <a:schemeClr val="bg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834190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8 Month Yield Forecasts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Forecast_vs_Actual!$I$13:$I$13</c:f>
              <c:strCache>
                <c:ptCount val="1"/>
                <c:pt idx="0">
                  <c:v>8M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Forecast_vs_Actual!$A$14:$A$25</c:f>
              <c:numCache>
                <c:formatCode>General</c:formatCode>
                <c:ptCount val="12"/>
                <c:pt idx="0">
                  <c:v>3</c:v>
                </c:pt>
                <c:pt idx="1">
                  <c:v>6</c:v>
                </c:pt>
                <c:pt idx="2">
                  <c:v>12</c:v>
                </c:pt>
                <c:pt idx="3">
                  <c:v>24</c:v>
                </c:pt>
                <c:pt idx="4">
                  <c:v>36</c:v>
                </c:pt>
                <c:pt idx="5">
                  <c:v>60</c:v>
                </c:pt>
                <c:pt idx="6">
                  <c:v>84</c:v>
                </c:pt>
                <c:pt idx="7">
                  <c:v>120</c:v>
                </c:pt>
                <c:pt idx="8">
                  <c:v>180</c:v>
                </c:pt>
                <c:pt idx="9">
                  <c:v>240</c:v>
                </c:pt>
                <c:pt idx="10">
                  <c:v>300</c:v>
                </c:pt>
                <c:pt idx="11">
                  <c:v>360</c:v>
                </c:pt>
              </c:numCache>
            </c:numRef>
          </c:cat>
          <c:val>
            <c:numRef>
              <c:f>Forecast_vs_Actual!$I$14:$I$25</c:f>
              <c:numCache>
                <c:formatCode>General</c:formatCode>
                <c:ptCount val="12"/>
                <c:pt idx="0">
                  <c:v>1.0704785621823608E-2</c:v>
                </c:pt>
                <c:pt idx="1">
                  <c:v>1.0478777933485197E-2</c:v>
                </c:pt>
                <c:pt idx="2">
                  <c:v>1.0778309523611787E-2</c:v>
                </c:pt>
                <c:pt idx="3">
                  <c:v>1.2972223343394053E-2</c:v>
                </c:pt>
                <c:pt idx="4">
                  <c:v>1.579580456961829E-2</c:v>
                </c:pt>
                <c:pt idx="5">
                  <c:v>2.074569434871483E-2</c:v>
                </c:pt>
                <c:pt idx="6">
                  <c:v>2.4127586729307721E-2</c:v>
                </c:pt>
                <c:pt idx="7">
                  <c:v>2.7179424573959058E-2</c:v>
                </c:pt>
                <c:pt idx="8">
                  <c:v>2.9820751220356996E-2</c:v>
                </c:pt>
                <c:pt idx="9">
                  <c:v>3.1310576075378065E-2</c:v>
                </c:pt>
                <c:pt idx="10">
                  <c:v>3.2327983750843267E-2</c:v>
                </c:pt>
                <c:pt idx="11">
                  <c:v>3.3087981704239142E-2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Forecast_vs_Actual!$O$13:$O$13</c:f>
              <c:strCache>
                <c:ptCount val="1"/>
                <c:pt idx="0">
                  <c:v>Actual_Yld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Forecast_vs_Actual!$A$14:$A$25</c:f>
              <c:numCache>
                <c:formatCode>General</c:formatCode>
                <c:ptCount val="12"/>
                <c:pt idx="0">
                  <c:v>3</c:v>
                </c:pt>
                <c:pt idx="1">
                  <c:v>6</c:v>
                </c:pt>
                <c:pt idx="2">
                  <c:v>12</c:v>
                </c:pt>
                <c:pt idx="3">
                  <c:v>24</c:v>
                </c:pt>
                <c:pt idx="4">
                  <c:v>36</c:v>
                </c:pt>
                <c:pt idx="5">
                  <c:v>60</c:v>
                </c:pt>
                <c:pt idx="6">
                  <c:v>84</c:v>
                </c:pt>
                <c:pt idx="7">
                  <c:v>120</c:v>
                </c:pt>
                <c:pt idx="8">
                  <c:v>180</c:v>
                </c:pt>
                <c:pt idx="9">
                  <c:v>240</c:v>
                </c:pt>
                <c:pt idx="10">
                  <c:v>300</c:v>
                </c:pt>
                <c:pt idx="11">
                  <c:v>360</c:v>
                </c:pt>
              </c:numCache>
            </c:numRef>
          </c:cat>
          <c:val>
            <c:numRef>
              <c:f>Forecast_vs_Actual!$O$14:$O$25</c:f>
              <c:numCache>
                <c:formatCode>General</c:formatCode>
                <c:ptCount val="12"/>
                <c:pt idx="0">
                  <c:v>2.1649000000000002E-2</c:v>
                </c:pt>
                <c:pt idx="1">
                  <c:v>2.2186999999999998E-2</c:v>
                </c:pt>
                <c:pt idx="2">
                  <c:v>2.3522000000000001E-2</c:v>
                </c:pt>
                <c:pt idx="3">
                  <c:v>2.5819000000000002E-2</c:v>
                </c:pt>
                <c:pt idx="4">
                  <c:v>2.6520999999999999E-2</c:v>
                </c:pt>
                <c:pt idx="5">
                  <c:v>2.7089999999999999E-2</c:v>
                </c:pt>
                <c:pt idx="6">
                  <c:v>2.8413999999999998E-2</c:v>
                </c:pt>
                <c:pt idx="7">
                  <c:v>2.9239999999999999E-2</c:v>
                </c:pt>
                <c:pt idx="8">
                  <c:v>2.988E-2</c:v>
                </c:pt>
                <c:pt idx="9">
                  <c:v>2.9974000000000001E-2</c:v>
                </c:pt>
                <c:pt idx="10">
                  <c:v>3.024E-2</c:v>
                </c:pt>
                <c:pt idx="11">
                  <c:v>2.9812000000000002E-2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Forecast_vs_Actual!$Z$13:$Z$13</c:f>
              <c:strCache>
                <c:ptCount val="1"/>
                <c:pt idx="0">
                  <c:v>PREV 8M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Forecast_vs_Actual!$A$14:$A$25</c:f>
              <c:numCache>
                <c:formatCode>General</c:formatCode>
                <c:ptCount val="12"/>
                <c:pt idx="0">
                  <c:v>3</c:v>
                </c:pt>
                <c:pt idx="1">
                  <c:v>6</c:v>
                </c:pt>
                <c:pt idx="2">
                  <c:v>12</c:v>
                </c:pt>
                <c:pt idx="3">
                  <c:v>24</c:v>
                </c:pt>
                <c:pt idx="4">
                  <c:v>36</c:v>
                </c:pt>
                <c:pt idx="5">
                  <c:v>60</c:v>
                </c:pt>
                <c:pt idx="6">
                  <c:v>84</c:v>
                </c:pt>
                <c:pt idx="7">
                  <c:v>120</c:v>
                </c:pt>
                <c:pt idx="8">
                  <c:v>180</c:v>
                </c:pt>
                <c:pt idx="9">
                  <c:v>240</c:v>
                </c:pt>
                <c:pt idx="10">
                  <c:v>300</c:v>
                </c:pt>
                <c:pt idx="11">
                  <c:v>360</c:v>
                </c:pt>
              </c:numCache>
            </c:numRef>
          </c:cat>
          <c:val>
            <c:numRef>
              <c:f>Forecast_vs_Actual!$Z$14:$Z$25</c:f>
              <c:numCache>
                <c:formatCode>General</c:formatCode>
                <c:ptCount val="12"/>
                <c:pt idx="0">
                  <c:v>1.2707E-2</c:v>
                </c:pt>
                <c:pt idx="1">
                  <c:v>1.3174999999999999E-2</c:v>
                </c:pt>
                <c:pt idx="2">
                  <c:v>1.4678999999999999E-2</c:v>
                </c:pt>
                <c:pt idx="3">
                  <c:v>1.6302000000000001E-2</c:v>
                </c:pt>
                <c:pt idx="4">
                  <c:v>1.7528999999999999E-2</c:v>
                </c:pt>
                <c:pt idx="5">
                  <c:v>2.1378000000000001E-2</c:v>
                </c:pt>
                <c:pt idx="6">
                  <c:v>2.3716000000000001E-2</c:v>
                </c:pt>
                <c:pt idx="7">
                  <c:v>2.5495E-2</c:v>
                </c:pt>
                <c:pt idx="8">
                  <c:v>2.7931000000000001E-2</c:v>
                </c:pt>
                <c:pt idx="9">
                  <c:v>2.9420999999999999E-2</c:v>
                </c:pt>
                <c:pt idx="10">
                  <c:v>3.0522000000000001E-2</c:v>
                </c:pt>
                <c:pt idx="11">
                  <c:v>3.0346000000000001E-2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2596351"/>
        <c:axId val="2038350639"/>
      </c:lineChart>
      <c:valAx>
        <c:axId val="2038350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yield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2596351"/>
        <c:crosses val="autoZero"/>
        <c:crossBetween val="between"/>
      </c:valAx>
      <c:catAx>
        <c:axId val="16725963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ahead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835063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9 Month Yield Forecasts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Forecast_vs_Actual!$J$13:$J$13</c:f>
              <c:strCache>
                <c:ptCount val="1"/>
                <c:pt idx="0">
                  <c:v>9M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Forecast_vs_Actual!$A$14:$A$25</c:f>
              <c:numCache>
                <c:formatCode>General</c:formatCode>
                <c:ptCount val="12"/>
                <c:pt idx="0">
                  <c:v>3</c:v>
                </c:pt>
                <c:pt idx="1">
                  <c:v>6</c:v>
                </c:pt>
                <c:pt idx="2">
                  <c:v>12</c:v>
                </c:pt>
                <c:pt idx="3">
                  <c:v>24</c:v>
                </c:pt>
                <c:pt idx="4">
                  <c:v>36</c:v>
                </c:pt>
                <c:pt idx="5">
                  <c:v>60</c:v>
                </c:pt>
                <c:pt idx="6">
                  <c:v>84</c:v>
                </c:pt>
                <c:pt idx="7">
                  <c:v>120</c:v>
                </c:pt>
                <c:pt idx="8">
                  <c:v>180</c:v>
                </c:pt>
                <c:pt idx="9">
                  <c:v>240</c:v>
                </c:pt>
                <c:pt idx="10">
                  <c:v>300</c:v>
                </c:pt>
                <c:pt idx="11">
                  <c:v>360</c:v>
                </c:pt>
              </c:numCache>
            </c:numRef>
          </c:cat>
          <c:val>
            <c:numRef>
              <c:f>Forecast_vs_Actual!$J$14:$J$25</c:f>
              <c:numCache>
                <c:formatCode>General</c:formatCode>
                <c:ptCount val="12"/>
                <c:pt idx="0">
                  <c:v>9.9176144904306318E-3</c:v>
                </c:pt>
                <c:pt idx="1">
                  <c:v>9.6550019648433544E-3</c:v>
                </c:pt>
                <c:pt idx="2">
                  <c:v>9.9138379535582324E-3</c:v>
                </c:pt>
                <c:pt idx="3">
                  <c:v>1.2100442970494688E-2</c:v>
                </c:pt>
                <c:pt idx="4">
                  <c:v>1.4955492679697008E-2</c:v>
                </c:pt>
                <c:pt idx="5">
                  <c:v>1.9976971541640572E-2</c:v>
                </c:pt>
                <c:pt idx="6">
                  <c:v>2.34075619793939E-2</c:v>
                </c:pt>
                <c:pt idx="7">
                  <c:v>2.650562021497279E-2</c:v>
                </c:pt>
                <c:pt idx="8">
                  <c:v>2.9215107435272347E-2</c:v>
                </c:pt>
                <c:pt idx="9">
                  <c:v>3.0783573380888423E-2</c:v>
                </c:pt>
                <c:pt idx="10">
                  <c:v>3.1883289580717712E-2</c:v>
                </c:pt>
                <c:pt idx="11">
                  <c:v>3.272147379933419E-2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Forecast_vs_Actual!$O$13:$O$13</c:f>
              <c:strCache>
                <c:ptCount val="1"/>
                <c:pt idx="0">
                  <c:v>Actual_Yld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Forecast_vs_Actual!$A$14:$A$25</c:f>
              <c:numCache>
                <c:formatCode>General</c:formatCode>
                <c:ptCount val="12"/>
                <c:pt idx="0">
                  <c:v>3</c:v>
                </c:pt>
                <c:pt idx="1">
                  <c:v>6</c:v>
                </c:pt>
                <c:pt idx="2">
                  <c:v>12</c:v>
                </c:pt>
                <c:pt idx="3">
                  <c:v>24</c:v>
                </c:pt>
                <c:pt idx="4">
                  <c:v>36</c:v>
                </c:pt>
                <c:pt idx="5">
                  <c:v>60</c:v>
                </c:pt>
                <c:pt idx="6">
                  <c:v>84</c:v>
                </c:pt>
                <c:pt idx="7">
                  <c:v>120</c:v>
                </c:pt>
                <c:pt idx="8">
                  <c:v>180</c:v>
                </c:pt>
                <c:pt idx="9">
                  <c:v>240</c:v>
                </c:pt>
                <c:pt idx="10">
                  <c:v>300</c:v>
                </c:pt>
                <c:pt idx="11">
                  <c:v>360</c:v>
                </c:pt>
              </c:numCache>
            </c:numRef>
          </c:cat>
          <c:val>
            <c:numRef>
              <c:f>Forecast_vs_Actual!$O$14:$O$25</c:f>
              <c:numCache>
                <c:formatCode>General</c:formatCode>
                <c:ptCount val="12"/>
                <c:pt idx="0">
                  <c:v>2.1649000000000002E-2</c:v>
                </c:pt>
                <c:pt idx="1">
                  <c:v>2.2186999999999998E-2</c:v>
                </c:pt>
                <c:pt idx="2">
                  <c:v>2.3522000000000001E-2</c:v>
                </c:pt>
                <c:pt idx="3">
                  <c:v>2.5819000000000002E-2</c:v>
                </c:pt>
                <c:pt idx="4">
                  <c:v>2.6520999999999999E-2</c:v>
                </c:pt>
                <c:pt idx="5">
                  <c:v>2.7089999999999999E-2</c:v>
                </c:pt>
                <c:pt idx="6">
                  <c:v>2.8413999999999998E-2</c:v>
                </c:pt>
                <c:pt idx="7">
                  <c:v>2.9239999999999999E-2</c:v>
                </c:pt>
                <c:pt idx="8">
                  <c:v>2.988E-2</c:v>
                </c:pt>
                <c:pt idx="9">
                  <c:v>2.9974000000000001E-2</c:v>
                </c:pt>
                <c:pt idx="10">
                  <c:v>3.024E-2</c:v>
                </c:pt>
                <c:pt idx="11">
                  <c:v>2.9812000000000002E-2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Forecast_vs_Actual!$AA$13:$AA$13</c:f>
              <c:strCache>
                <c:ptCount val="1"/>
                <c:pt idx="0">
                  <c:v>PREV 9M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Forecast_vs_Actual!$A$14:$A$25</c:f>
              <c:numCache>
                <c:formatCode>General</c:formatCode>
                <c:ptCount val="12"/>
                <c:pt idx="0">
                  <c:v>3</c:v>
                </c:pt>
                <c:pt idx="1">
                  <c:v>6</c:v>
                </c:pt>
                <c:pt idx="2">
                  <c:v>12</c:v>
                </c:pt>
                <c:pt idx="3">
                  <c:v>24</c:v>
                </c:pt>
                <c:pt idx="4">
                  <c:v>36</c:v>
                </c:pt>
                <c:pt idx="5">
                  <c:v>60</c:v>
                </c:pt>
                <c:pt idx="6">
                  <c:v>84</c:v>
                </c:pt>
                <c:pt idx="7">
                  <c:v>120</c:v>
                </c:pt>
                <c:pt idx="8">
                  <c:v>180</c:v>
                </c:pt>
                <c:pt idx="9">
                  <c:v>240</c:v>
                </c:pt>
                <c:pt idx="10">
                  <c:v>300</c:v>
                </c:pt>
                <c:pt idx="11">
                  <c:v>360</c:v>
                </c:pt>
              </c:numCache>
            </c:numRef>
          </c:cat>
          <c:val>
            <c:numRef>
              <c:f>Forecast_vs_Actual!$AA$14:$AA$25</c:f>
              <c:numCache>
                <c:formatCode>General</c:formatCode>
                <c:ptCount val="12"/>
                <c:pt idx="0">
                  <c:v>1.1454000000000001E-2</c:v>
                </c:pt>
                <c:pt idx="1">
                  <c:v>1.1938000000000001E-2</c:v>
                </c:pt>
                <c:pt idx="2">
                  <c:v>1.3526E-2</c:v>
                </c:pt>
                <c:pt idx="3">
                  <c:v>1.5121000000000001E-2</c:v>
                </c:pt>
                <c:pt idx="4">
                  <c:v>1.6424000000000001E-2</c:v>
                </c:pt>
                <c:pt idx="5">
                  <c:v>1.9983000000000001E-2</c:v>
                </c:pt>
                <c:pt idx="6">
                  <c:v>2.2275E-2</c:v>
                </c:pt>
                <c:pt idx="7">
                  <c:v>2.4309999999999998E-2</c:v>
                </c:pt>
                <c:pt idx="8">
                  <c:v>2.6745999999999999E-2</c:v>
                </c:pt>
                <c:pt idx="9">
                  <c:v>2.8324999999999999E-2</c:v>
                </c:pt>
                <c:pt idx="10">
                  <c:v>2.9617999999999998E-2</c:v>
                </c:pt>
                <c:pt idx="11">
                  <c:v>2.9496000000000001E-2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2597151"/>
        <c:axId val="2038342319"/>
      </c:lineChart>
      <c:valAx>
        <c:axId val="2038342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bg1"/>
                    </a:solidFill>
                  </a:rPr>
                  <a:t>yield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2597151"/>
        <c:crosses val="autoZero"/>
        <c:crossBetween val="between"/>
      </c:valAx>
      <c:catAx>
        <c:axId val="16725971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bg1"/>
                    </a:solidFill>
                  </a:rPr>
                  <a:t>days</a:t>
                </a:r>
                <a:r>
                  <a:rPr lang="en-US" baseline="0">
                    <a:solidFill>
                      <a:schemeClr val="bg1"/>
                    </a:solidFill>
                  </a:rPr>
                  <a:t> ahead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834231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10 Month Yield Forecasts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Forecast_vs_Actual!$K$13:$K$13</c:f>
              <c:strCache>
                <c:ptCount val="1"/>
                <c:pt idx="0">
                  <c:v>10M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Forecast_vs_Actual!$A$14:$A$25</c:f>
              <c:numCache>
                <c:formatCode>General</c:formatCode>
                <c:ptCount val="12"/>
                <c:pt idx="0">
                  <c:v>3</c:v>
                </c:pt>
                <c:pt idx="1">
                  <c:v>6</c:v>
                </c:pt>
                <c:pt idx="2">
                  <c:v>12</c:v>
                </c:pt>
                <c:pt idx="3">
                  <c:v>24</c:v>
                </c:pt>
                <c:pt idx="4">
                  <c:v>36</c:v>
                </c:pt>
                <c:pt idx="5">
                  <c:v>60</c:v>
                </c:pt>
                <c:pt idx="6">
                  <c:v>84</c:v>
                </c:pt>
                <c:pt idx="7">
                  <c:v>120</c:v>
                </c:pt>
                <c:pt idx="8">
                  <c:v>180</c:v>
                </c:pt>
                <c:pt idx="9">
                  <c:v>240</c:v>
                </c:pt>
                <c:pt idx="10">
                  <c:v>300</c:v>
                </c:pt>
                <c:pt idx="11">
                  <c:v>360</c:v>
                </c:pt>
              </c:numCache>
            </c:numRef>
          </c:cat>
          <c:val>
            <c:numRef>
              <c:f>Forecast_vs_Actual!$K$14:$K$25</c:f>
              <c:numCache>
                <c:formatCode>General</c:formatCode>
                <c:ptCount val="12"/>
                <c:pt idx="0">
                  <c:v>9.498362725005597E-3</c:v>
                </c:pt>
                <c:pt idx="1">
                  <c:v>9.1303337958792748E-3</c:v>
                </c:pt>
                <c:pt idx="2">
                  <c:v>9.2493370685854497E-3</c:v>
                </c:pt>
                <c:pt idx="3">
                  <c:v>1.1327748817325876E-2</c:v>
                </c:pt>
                <c:pt idx="4">
                  <c:v>1.4178887714471459E-2</c:v>
                </c:pt>
                <c:pt idx="5">
                  <c:v>1.9264346352687339E-2</c:v>
                </c:pt>
                <c:pt idx="6">
                  <c:v>2.2752738080222937E-2</c:v>
                </c:pt>
                <c:pt idx="7">
                  <c:v>2.5911255994189867E-2</c:v>
                </c:pt>
                <c:pt idx="8">
                  <c:v>2.8717579553559611E-2</c:v>
                </c:pt>
                <c:pt idx="9">
                  <c:v>3.0402105128340483E-2</c:v>
                </c:pt>
                <c:pt idx="10">
                  <c:v>3.1624701882787223E-2</c:v>
                </c:pt>
                <c:pt idx="11">
                  <c:v>3.2580146298536325E-2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Forecast_vs_Actual!$O$13:$O$13</c:f>
              <c:strCache>
                <c:ptCount val="1"/>
                <c:pt idx="0">
                  <c:v>Actual_Yld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Forecast_vs_Actual!$A$14:$A$25</c:f>
              <c:numCache>
                <c:formatCode>General</c:formatCode>
                <c:ptCount val="12"/>
                <c:pt idx="0">
                  <c:v>3</c:v>
                </c:pt>
                <c:pt idx="1">
                  <c:v>6</c:v>
                </c:pt>
                <c:pt idx="2">
                  <c:v>12</c:v>
                </c:pt>
                <c:pt idx="3">
                  <c:v>24</c:v>
                </c:pt>
                <c:pt idx="4">
                  <c:v>36</c:v>
                </c:pt>
                <c:pt idx="5">
                  <c:v>60</c:v>
                </c:pt>
                <c:pt idx="6">
                  <c:v>84</c:v>
                </c:pt>
                <c:pt idx="7">
                  <c:v>120</c:v>
                </c:pt>
                <c:pt idx="8">
                  <c:v>180</c:v>
                </c:pt>
                <c:pt idx="9">
                  <c:v>240</c:v>
                </c:pt>
                <c:pt idx="10">
                  <c:v>300</c:v>
                </c:pt>
                <c:pt idx="11">
                  <c:v>360</c:v>
                </c:pt>
              </c:numCache>
            </c:numRef>
          </c:cat>
          <c:val>
            <c:numRef>
              <c:f>Forecast_vs_Actual!$O$14:$O$25</c:f>
              <c:numCache>
                <c:formatCode>General</c:formatCode>
                <c:ptCount val="12"/>
                <c:pt idx="0">
                  <c:v>2.1649000000000002E-2</c:v>
                </c:pt>
                <c:pt idx="1">
                  <c:v>2.2186999999999998E-2</c:v>
                </c:pt>
                <c:pt idx="2">
                  <c:v>2.3522000000000001E-2</c:v>
                </c:pt>
                <c:pt idx="3">
                  <c:v>2.5819000000000002E-2</c:v>
                </c:pt>
                <c:pt idx="4">
                  <c:v>2.6520999999999999E-2</c:v>
                </c:pt>
                <c:pt idx="5">
                  <c:v>2.7089999999999999E-2</c:v>
                </c:pt>
                <c:pt idx="6">
                  <c:v>2.8413999999999998E-2</c:v>
                </c:pt>
                <c:pt idx="7">
                  <c:v>2.9239999999999999E-2</c:v>
                </c:pt>
                <c:pt idx="8">
                  <c:v>2.988E-2</c:v>
                </c:pt>
                <c:pt idx="9">
                  <c:v>2.9974000000000001E-2</c:v>
                </c:pt>
                <c:pt idx="10">
                  <c:v>3.024E-2</c:v>
                </c:pt>
                <c:pt idx="11">
                  <c:v>2.9812000000000002E-2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Forecast_vs_Actual!$AB$13:$AB$13</c:f>
              <c:strCache>
                <c:ptCount val="1"/>
                <c:pt idx="0">
                  <c:v>PREV 10M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Forecast_vs_Actual!$A$14:$A$25</c:f>
              <c:numCache>
                <c:formatCode>General</c:formatCode>
                <c:ptCount val="12"/>
                <c:pt idx="0">
                  <c:v>3</c:v>
                </c:pt>
                <c:pt idx="1">
                  <c:v>6</c:v>
                </c:pt>
                <c:pt idx="2">
                  <c:v>12</c:v>
                </c:pt>
                <c:pt idx="3">
                  <c:v>24</c:v>
                </c:pt>
                <c:pt idx="4">
                  <c:v>36</c:v>
                </c:pt>
                <c:pt idx="5">
                  <c:v>60</c:v>
                </c:pt>
                <c:pt idx="6">
                  <c:v>84</c:v>
                </c:pt>
                <c:pt idx="7">
                  <c:v>120</c:v>
                </c:pt>
                <c:pt idx="8">
                  <c:v>180</c:v>
                </c:pt>
                <c:pt idx="9">
                  <c:v>240</c:v>
                </c:pt>
                <c:pt idx="10">
                  <c:v>300</c:v>
                </c:pt>
                <c:pt idx="11">
                  <c:v>360</c:v>
                </c:pt>
              </c:numCache>
            </c:numRef>
          </c:cat>
          <c:val>
            <c:numRef>
              <c:f>Forecast_vs_Actual!$AB$14:$AB$25</c:f>
              <c:numCache>
                <c:formatCode>General</c:formatCode>
                <c:ptCount val="12"/>
                <c:pt idx="0">
                  <c:v>1.1072E-2</c:v>
                </c:pt>
                <c:pt idx="1">
                  <c:v>1.1436E-2</c:v>
                </c:pt>
                <c:pt idx="2">
                  <c:v>1.2605999999999999E-2</c:v>
                </c:pt>
                <c:pt idx="3">
                  <c:v>1.3735000000000001E-2</c:v>
                </c:pt>
                <c:pt idx="4">
                  <c:v>1.4884E-2</c:v>
                </c:pt>
                <c:pt idx="5">
                  <c:v>1.8234E-2</c:v>
                </c:pt>
                <c:pt idx="6">
                  <c:v>2.0452000000000001E-2</c:v>
                </c:pt>
                <c:pt idx="7">
                  <c:v>2.2811000000000001E-2</c:v>
                </c:pt>
                <c:pt idx="8">
                  <c:v>2.5343999999999998E-2</c:v>
                </c:pt>
                <c:pt idx="9">
                  <c:v>2.6894000000000001E-2</c:v>
                </c:pt>
                <c:pt idx="10">
                  <c:v>2.8542000000000001E-2</c:v>
                </c:pt>
                <c:pt idx="11">
                  <c:v>2.8452999999999999E-2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2598351"/>
        <c:axId val="2038343983"/>
      </c:lineChart>
      <c:valAx>
        <c:axId val="2038343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bg1"/>
                    </a:solidFill>
                  </a:rPr>
                  <a:t>yield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2598351"/>
        <c:crosses val="autoZero"/>
        <c:crossBetween val="between"/>
      </c:valAx>
      <c:catAx>
        <c:axId val="16725983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bg1"/>
                    </a:solidFill>
                  </a:rPr>
                  <a:t>days</a:t>
                </a:r>
                <a:r>
                  <a:rPr lang="en-US" baseline="0">
                    <a:solidFill>
                      <a:schemeClr val="bg1"/>
                    </a:solidFill>
                  </a:rPr>
                  <a:t> ahead</a:t>
                </a:r>
                <a:endParaRPr lang="en-US">
                  <a:solidFill>
                    <a:schemeClr val="bg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834398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11 Month Yield Forecasts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Forecast_vs_Actual!$L$13:$L$13</c:f>
              <c:strCache>
                <c:ptCount val="1"/>
                <c:pt idx="0">
                  <c:v>11M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Forecast_vs_Actual!$A$14:$A$25</c:f>
              <c:numCache>
                <c:formatCode>General</c:formatCode>
                <c:ptCount val="12"/>
                <c:pt idx="0">
                  <c:v>3</c:v>
                </c:pt>
                <c:pt idx="1">
                  <c:v>6</c:v>
                </c:pt>
                <c:pt idx="2">
                  <c:v>12</c:v>
                </c:pt>
                <c:pt idx="3">
                  <c:v>24</c:v>
                </c:pt>
                <c:pt idx="4">
                  <c:v>36</c:v>
                </c:pt>
                <c:pt idx="5">
                  <c:v>60</c:v>
                </c:pt>
                <c:pt idx="6">
                  <c:v>84</c:v>
                </c:pt>
                <c:pt idx="7">
                  <c:v>120</c:v>
                </c:pt>
                <c:pt idx="8">
                  <c:v>180</c:v>
                </c:pt>
                <c:pt idx="9">
                  <c:v>240</c:v>
                </c:pt>
                <c:pt idx="10">
                  <c:v>300</c:v>
                </c:pt>
                <c:pt idx="11">
                  <c:v>360</c:v>
                </c:pt>
              </c:numCache>
            </c:numRef>
          </c:cat>
          <c:val>
            <c:numRef>
              <c:f>Forecast_vs_Actual!$L$14:$L$25</c:f>
              <c:numCache>
                <c:formatCode>General</c:formatCode>
                <c:ptCount val="12"/>
                <c:pt idx="0">
                  <c:v>9.0357768308812446E-3</c:v>
                </c:pt>
                <c:pt idx="1">
                  <c:v>8.6714279791398428E-3</c:v>
                </c:pt>
                <c:pt idx="2">
                  <c:v>8.8350639170149854E-3</c:v>
                </c:pt>
                <c:pt idx="3">
                  <c:v>1.1082900940287533E-2</c:v>
                </c:pt>
                <c:pt idx="4">
                  <c:v>1.4135190365106019E-2</c:v>
                </c:pt>
                <c:pt idx="5">
                  <c:v>1.9579619238867921E-2</c:v>
                </c:pt>
                <c:pt idx="6">
                  <c:v>2.3325162225365275E-2</c:v>
                </c:pt>
                <c:pt idx="7">
                  <c:v>2.6715406210111134E-2</c:v>
                </c:pt>
                <c:pt idx="8">
                  <c:v>2.9671770766678762E-2</c:v>
                </c:pt>
                <c:pt idx="9">
                  <c:v>3.1367140078878829E-2</c:v>
                </c:pt>
                <c:pt idx="10">
                  <c:v>3.2544554889772558E-2</c:v>
                </c:pt>
                <c:pt idx="11">
                  <c:v>3.3435540322844362E-2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Forecast_vs_Actual!$O$13:$O$13</c:f>
              <c:strCache>
                <c:ptCount val="1"/>
                <c:pt idx="0">
                  <c:v>Actual_Yld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Forecast_vs_Actual!$A$14:$A$25</c:f>
              <c:numCache>
                <c:formatCode>General</c:formatCode>
                <c:ptCount val="12"/>
                <c:pt idx="0">
                  <c:v>3</c:v>
                </c:pt>
                <c:pt idx="1">
                  <c:v>6</c:v>
                </c:pt>
                <c:pt idx="2">
                  <c:v>12</c:v>
                </c:pt>
                <c:pt idx="3">
                  <c:v>24</c:v>
                </c:pt>
                <c:pt idx="4">
                  <c:v>36</c:v>
                </c:pt>
                <c:pt idx="5">
                  <c:v>60</c:v>
                </c:pt>
                <c:pt idx="6">
                  <c:v>84</c:v>
                </c:pt>
                <c:pt idx="7">
                  <c:v>120</c:v>
                </c:pt>
                <c:pt idx="8">
                  <c:v>180</c:v>
                </c:pt>
                <c:pt idx="9">
                  <c:v>240</c:v>
                </c:pt>
                <c:pt idx="10">
                  <c:v>300</c:v>
                </c:pt>
                <c:pt idx="11">
                  <c:v>360</c:v>
                </c:pt>
              </c:numCache>
            </c:numRef>
          </c:cat>
          <c:val>
            <c:numRef>
              <c:f>Forecast_vs_Actual!$O$14:$O$25</c:f>
              <c:numCache>
                <c:formatCode>General</c:formatCode>
                <c:ptCount val="12"/>
                <c:pt idx="0">
                  <c:v>2.1649000000000002E-2</c:v>
                </c:pt>
                <c:pt idx="1">
                  <c:v>2.2186999999999998E-2</c:v>
                </c:pt>
                <c:pt idx="2">
                  <c:v>2.3522000000000001E-2</c:v>
                </c:pt>
                <c:pt idx="3">
                  <c:v>2.5819000000000002E-2</c:v>
                </c:pt>
                <c:pt idx="4">
                  <c:v>2.6520999999999999E-2</c:v>
                </c:pt>
                <c:pt idx="5">
                  <c:v>2.7089999999999999E-2</c:v>
                </c:pt>
                <c:pt idx="6">
                  <c:v>2.8413999999999998E-2</c:v>
                </c:pt>
                <c:pt idx="7">
                  <c:v>2.9239999999999999E-2</c:v>
                </c:pt>
                <c:pt idx="8">
                  <c:v>2.988E-2</c:v>
                </c:pt>
                <c:pt idx="9">
                  <c:v>2.9974000000000001E-2</c:v>
                </c:pt>
                <c:pt idx="10">
                  <c:v>3.024E-2</c:v>
                </c:pt>
                <c:pt idx="11">
                  <c:v>2.9812000000000002E-2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Forecast_vs_Actual!$AC$13:$AC$13</c:f>
              <c:strCache>
                <c:ptCount val="1"/>
                <c:pt idx="0">
                  <c:v>PREV 11M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Forecast_vs_Actual!$A$14:$A$25</c:f>
              <c:numCache>
                <c:formatCode>General</c:formatCode>
                <c:ptCount val="12"/>
                <c:pt idx="0">
                  <c:v>3</c:v>
                </c:pt>
                <c:pt idx="1">
                  <c:v>6</c:v>
                </c:pt>
                <c:pt idx="2">
                  <c:v>12</c:v>
                </c:pt>
                <c:pt idx="3">
                  <c:v>24</c:v>
                </c:pt>
                <c:pt idx="4">
                  <c:v>36</c:v>
                </c:pt>
                <c:pt idx="5">
                  <c:v>60</c:v>
                </c:pt>
                <c:pt idx="6">
                  <c:v>84</c:v>
                </c:pt>
                <c:pt idx="7">
                  <c:v>120</c:v>
                </c:pt>
                <c:pt idx="8">
                  <c:v>180</c:v>
                </c:pt>
                <c:pt idx="9">
                  <c:v>240</c:v>
                </c:pt>
                <c:pt idx="10">
                  <c:v>300</c:v>
                </c:pt>
                <c:pt idx="11">
                  <c:v>360</c:v>
                </c:pt>
              </c:numCache>
            </c:numRef>
          </c:cat>
          <c:val>
            <c:numRef>
              <c:f>Forecast_vs_Actual!$AC$14:$AC$25</c:f>
              <c:numCache>
                <c:formatCode>General</c:formatCode>
                <c:ptCount val="12"/>
                <c:pt idx="0">
                  <c:v>1.1122999999999999E-2</c:v>
                </c:pt>
                <c:pt idx="1">
                  <c:v>1.1531E-2</c:v>
                </c:pt>
                <c:pt idx="2">
                  <c:v>1.2799E-2</c:v>
                </c:pt>
                <c:pt idx="3">
                  <c:v>1.4086E-2</c:v>
                </c:pt>
                <c:pt idx="4">
                  <c:v>1.554E-2</c:v>
                </c:pt>
                <c:pt idx="5">
                  <c:v>1.9347E-2</c:v>
                </c:pt>
                <c:pt idx="6">
                  <c:v>2.1805999999999999E-2</c:v>
                </c:pt>
                <c:pt idx="7">
                  <c:v>2.4441000000000001E-2</c:v>
                </c:pt>
                <c:pt idx="8">
                  <c:v>2.6976E-2</c:v>
                </c:pt>
                <c:pt idx="9">
                  <c:v>2.8749E-2</c:v>
                </c:pt>
                <c:pt idx="10">
                  <c:v>3.0204999999999999E-2</c:v>
                </c:pt>
                <c:pt idx="11">
                  <c:v>3.0138000000000002E-2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2599551"/>
        <c:axId val="2038334831"/>
      </c:lineChart>
      <c:valAx>
        <c:axId val="2038334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2599551"/>
        <c:crosses val="autoZero"/>
        <c:crossBetween val="between"/>
      </c:valAx>
      <c:catAx>
        <c:axId val="1672599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833483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12 Month Yield Forecasts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Forecast_vs_Actual!$M$13:$M$13</c:f>
              <c:strCache>
                <c:ptCount val="1"/>
                <c:pt idx="0">
                  <c:v>12M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Forecast_vs_Actual!$A$14:$A$25</c:f>
              <c:numCache>
                <c:formatCode>General</c:formatCode>
                <c:ptCount val="12"/>
                <c:pt idx="0">
                  <c:v>3</c:v>
                </c:pt>
                <c:pt idx="1">
                  <c:v>6</c:v>
                </c:pt>
                <c:pt idx="2">
                  <c:v>12</c:v>
                </c:pt>
                <c:pt idx="3">
                  <c:v>24</c:v>
                </c:pt>
                <c:pt idx="4">
                  <c:v>36</c:v>
                </c:pt>
                <c:pt idx="5">
                  <c:v>60</c:v>
                </c:pt>
                <c:pt idx="6">
                  <c:v>84</c:v>
                </c:pt>
                <c:pt idx="7">
                  <c:v>120</c:v>
                </c:pt>
                <c:pt idx="8">
                  <c:v>180</c:v>
                </c:pt>
                <c:pt idx="9">
                  <c:v>240</c:v>
                </c:pt>
                <c:pt idx="10">
                  <c:v>300</c:v>
                </c:pt>
                <c:pt idx="11">
                  <c:v>360</c:v>
                </c:pt>
              </c:numCache>
            </c:numRef>
          </c:cat>
          <c:val>
            <c:numRef>
              <c:f>Forecast_vs_Actual!$M$14:$M$25</c:f>
              <c:numCache>
                <c:formatCode>General</c:formatCode>
                <c:ptCount val="12"/>
                <c:pt idx="0">
                  <c:v>8.7182311314681314E-3</c:v>
                </c:pt>
                <c:pt idx="1">
                  <c:v>8.3777035689431862E-3</c:v>
                </c:pt>
                <c:pt idx="2">
                  <c:v>8.5766910632581149E-3</c:v>
                </c:pt>
                <c:pt idx="3">
                  <c:v>1.0863263042937145E-2</c:v>
                </c:pt>
                <c:pt idx="4">
                  <c:v>1.3931658376764258E-2</c:v>
                </c:pt>
                <c:pt idx="5">
                  <c:v>1.9383763611138787E-2</c:v>
                </c:pt>
                <c:pt idx="6">
                  <c:v>2.3128435918063139E-2</c:v>
                </c:pt>
                <c:pt idx="7">
                  <c:v>2.651568976807115E-2</c:v>
                </c:pt>
                <c:pt idx="8">
                  <c:v>2.9466936722004448E-2</c:v>
                </c:pt>
                <c:pt idx="9">
                  <c:v>3.115670069335455E-2</c:v>
                </c:pt>
                <c:pt idx="10">
                  <c:v>3.2328394990745996E-2</c:v>
                </c:pt>
                <c:pt idx="11">
                  <c:v>3.3214003288357032E-2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Forecast_vs_Actual!$O$13:$O$13</c:f>
              <c:strCache>
                <c:ptCount val="1"/>
                <c:pt idx="0">
                  <c:v>Actual_Yld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Forecast_vs_Actual!$A$14:$A$25</c:f>
              <c:numCache>
                <c:formatCode>General</c:formatCode>
                <c:ptCount val="12"/>
                <c:pt idx="0">
                  <c:v>3</c:v>
                </c:pt>
                <c:pt idx="1">
                  <c:v>6</c:v>
                </c:pt>
                <c:pt idx="2">
                  <c:v>12</c:v>
                </c:pt>
                <c:pt idx="3">
                  <c:v>24</c:v>
                </c:pt>
                <c:pt idx="4">
                  <c:v>36</c:v>
                </c:pt>
                <c:pt idx="5">
                  <c:v>60</c:v>
                </c:pt>
                <c:pt idx="6">
                  <c:v>84</c:v>
                </c:pt>
                <c:pt idx="7">
                  <c:v>120</c:v>
                </c:pt>
                <c:pt idx="8">
                  <c:v>180</c:v>
                </c:pt>
                <c:pt idx="9">
                  <c:v>240</c:v>
                </c:pt>
                <c:pt idx="10">
                  <c:v>300</c:v>
                </c:pt>
                <c:pt idx="11">
                  <c:v>360</c:v>
                </c:pt>
              </c:numCache>
            </c:numRef>
          </c:cat>
          <c:val>
            <c:numRef>
              <c:f>Forecast_vs_Actual!$O$14:$O$25</c:f>
              <c:numCache>
                <c:formatCode>General</c:formatCode>
                <c:ptCount val="12"/>
                <c:pt idx="0">
                  <c:v>2.1649000000000002E-2</c:v>
                </c:pt>
                <c:pt idx="1">
                  <c:v>2.2186999999999998E-2</c:v>
                </c:pt>
                <c:pt idx="2">
                  <c:v>2.3522000000000001E-2</c:v>
                </c:pt>
                <c:pt idx="3">
                  <c:v>2.5819000000000002E-2</c:v>
                </c:pt>
                <c:pt idx="4">
                  <c:v>2.6520999999999999E-2</c:v>
                </c:pt>
                <c:pt idx="5">
                  <c:v>2.7089999999999999E-2</c:v>
                </c:pt>
                <c:pt idx="6">
                  <c:v>2.8413999999999998E-2</c:v>
                </c:pt>
                <c:pt idx="7">
                  <c:v>2.9239999999999999E-2</c:v>
                </c:pt>
                <c:pt idx="8">
                  <c:v>2.988E-2</c:v>
                </c:pt>
                <c:pt idx="9">
                  <c:v>2.9974000000000001E-2</c:v>
                </c:pt>
                <c:pt idx="10">
                  <c:v>3.024E-2</c:v>
                </c:pt>
                <c:pt idx="11">
                  <c:v>2.9812000000000002E-2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Forecast_vs_Actual!$AD$13:$AD$13</c:f>
              <c:strCache>
                <c:ptCount val="1"/>
                <c:pt idx="0">
                  <c:v>PREV 12M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Forecast_vs_Actual!$A$14:$A$25</c:f>
              <c:numCache>
                <c:formatCode>General</c:formatCode>
                <c:ptCount val="12"/>
                <c:pt idx="0">
                  <c:v>3</c:v>
                </c:pt>
                <c:pt idx="1">
                  <c:v>6</c:v>
                </c:pt>
                <c:pt idx="2">
                  <c:v>12</c:v>
                </c:pt>
                <c:pt idx="3">
                  <c:v>24</c:v>
                </c:pt>
                <c:pt idx="4">
                  <c:v>36</c:v>
                </c:pt>
                <c:pt idx="5">
                  <c:v>60</c:v>
                </c:pt>
                <c:pt idx="6">
                  <c:v>84</c:v>
                </c:pt>
                <c:pt idx="7">
                  <c:v>120</c:v>
                </c:pt>
                <c:pt idx="8">
                  <c:v>180</c:v>
                </c:pt>
                <c:pt idx="9">
                  <c:v>240</c:v>
                </c:pt>
                <c:pt idx="10">
                  <c:v>300</c:v>
                </c:pt>
                <c:pt idx="11">
                  <c:v>360</c:v>
                </c:pt>
              </c:numCache>
            </c:numRef>
          </c:cat>
          <c:val>
            <c:numRef>
              <c:f>Forecast_vs_Actual!$AD$14:$AD$25</c:f>
              <c:numCache>
                <c:formatCode>General</c:formatCode>
                <c:ptCount val="12"/>
                <c:pt idx="0">
                  <c:v>1.1223E-2</c:v>
                </c:pt>
                <c:pt idx="1">
                  <c:v>1.1547999999999999E-2</c:v>
                </c:pt>
                <c:pt idx="2">
                  <c:v>1.2701E-2</c:v>
                </c:pt>
                <c:pt idx="3">
                  <c:v>1.3932E-2</c:v>
                </c:pt>
                <c:pt idx="4">
                  <c:v>1.5433000000000001E-2</c:v>
                </c:pt>
                <c:pt idx="5">
                  <c:v>1.9136E-2</c:v>
                </c:pt>
                <c:pt idx="6">
                  <c:v>2.1314E-2</c:v>
                </c:pt>
                <c:pt idx="7">
                  <c:v>2.3734999999999999E-2</c:v>
                </c:pt>
                <c:pt idx="8">
                  <c:v>2.5996999999999999E-2</c:v>
                </c:pt>
                <c:pt idx="9">
                  <c:v>2.7643000000000001E-2</c:v>
                </c:pt>
                <c:pt idx="10">
                  <c:v>2.8926E-2</c:v>
                </c:pt>
                <c:pt idx="11">
                  <c:v>2.8795999999999999E-2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2599151"/>
        <c:axId val="2038350223"/>
      </c:lineChart>
      <c:valAx>
        <c:axId val="2038350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bg1"/>
                    </a:solidFill>
                  </a:rPr>
                  <a:t>yield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2599151"/>
        <c:crosses val="autoZero"/>
        <c:crossBetween val="between"/>
      </c:valAx>
      <c:catAx>
        <c:axId val="16725991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bg1"/>
                    </a:solidFill>
                  </a:rPr>
                  <a:t>days</a:t>
                </a:r>
                <a:r>
                  <a:rPr lang="en-US" baseline="0">
                    <a:solidFill>
                      <a:schemeClr val="bg1"/>
                    </a:solidFill>
                  </a:rPr>
                  <a:t> ahead</a:t>
                </a:r>
                <a:endParaRPr lang="en-US">
                  <a:solidFill>
                    <a:schemeClr val="bg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835022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Beta 1 - Actual</a:t>
            </a:r>
            <a:r>
              <a:rPr lang="en-US" baseline="0"/>
              <a:t> Vs 1 Month Forecast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B1 - Actual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Forecast_1m!$A$4:$A$168</c:f>
              <c:numCache>
                <c:formatCode>dd/mm/yyyy</c:formatCode>
                <c:ptCount val="165"/>
                <c:pt idx="0">
                  <c:v>39141</c:v>
                </c:pt>
                <c:pt idx="1">
                  <c:v>39169</c:v>
                </c:pt>
                <c:pt idx="2">
                  <c:v>39197</c:v>
                </c:pt>
                <c:pt idx="3">
                  <c:v>39232</c:v>
                </c:pt>
                <c:pt idx="4">
                  <c:v>39260</c:v>
                </c:pt>
                <c:pt idx="5">
                  <c:v>39288</c:v>
                </c:pt>
                <c:pt idx="6">
                  <c:v>39323</c:v>
                </c:pt>
                <c:pt idx="7">
                  <c:v>39351</c:v>
                </c:pt>
                <c:pt idx="8">
                  <c:v>39386</c:v>
                </c:pt>
                <c:pt idx="9">
                  <c:v>39414</c:v>
                </c:pt>
                <c:pt idx="10">
                  <c:v>39442</c:v>
                </c:pt>
                <c:pt idx="11">
                  <c:v>39477</c:v>
                </c:pt>
                <c:pt idx="12">
                  <c:v>39505</c:v>
                </c:pt>
                <c:pt idx="13">
                  <c:v>39533</c:v>
                </c:pt>
                <c:pt idx="14">
                  <c:v>39568</c:v>
                </c:pt>
                <c:pt idx="15">
                  <c:v>39596</c:v>
                </c:pt>
                <c:pt idx="16">
                  <c:v>39624</c:v>
                </c:pt>
                <c:pt idx="17">
                  <c:v>39659</c:v>
                </c:pt>
                <c:pt idx="18">
                  <c:v>39687</c:v>
                </c:pt>
                <c:pt idx="19">
                  <c:v>39715</c:v>
                </c:pt>
                <c:pt idx="20">
                  <c:v>39750</c:v>
                </c:pt>
                <c:pt idx="21">
                  <c:v>39778</c:v>
                </c:pt>
                <c:pt idx="22">
                  <c:v>39813</c:v>
                </c:pt>
                <c:pt idx="23">
                  <c:v>39841</c:v>
                </c:pt>
                <c:pt idx="24">
                  <c:v>39869</c:v>
                </c:pt>
                <c:pt idx="25">
                  <c:v>39897</c:v>
                </c:pt>
                <c:pt idx="26">
                  <c:v>39932</c:v>
                </c:pt>
                <c:pt idx="27">
                  <c:v>39960</c:v>
                </c:pt>
                <c:pt idx="28">
                  <c:v>39988</c:v>
                </c:pt>
                <c:pt idx="29">
                  <c:v>40023</c:v>
                </c:pt>
                <c:pt idx="30">
                  <c:v>40051</c:v>
                </c:pt>
                <c:pt idx="31">
                  <c:v>40086</c:v>
                </c:pt>
                <c:pt idx="32">
                  <c:v>40114</c:v>
                </c:pt>
                <c:pt idx="33">
                  <c:v>40142</c:v>
                </c:pt>
                <c:pt idx="34">
                  <c:v>40177</c:v>
                </c:pt>
                <c:pt idx="35">
                  <c:v>40205</c:v>
                </c:pt>
                <c:pt idx="36">
                  <c:v>40233</c:v>
                </c:pt>
                <c:pt idx="37">
                  <c:v>40268</c:v>
                </c:pt>
                <c:pt idx="38">
                  <c:v>40296</c:v>
                </c:pt>
                <c:pt idx="39">
                  <c:v>40324</c:v>
                </c:pt>
                <c:pt idx="40">
                  <c:v>40359</c:v>
                </c:pt>
                <c:pt idx="41">
                  <c:v>40387</c:v>
                </c:pt>
                <c:pt idx="42">
                  <c:v>40415</c:v>
                </c:pt>
                <c:pt idx="43">
                  <c:v>40450</c:v>
                </c:pt>
                <c:pt idx="44">
                  <c:v>40478</c:v>
                </c:pt>
                <c:pt idx="45">
                  <c:v>40506</c:v>
                </c:pt>
                <c:pt idx="46">
                  <c:v>40541</c:v>
                </c:pt>
                <c:pt idx="47">
                  <c:v>40569</c:v>
                </c:pt>
                <c:pt idx="48">
                  <c:v>40597</c:v>
                </c:pt>
                <c:pt idx="49">
                  <c:v>40632</c:v>
                </c:pt>
                <c:pt idx="50">
                  <c:v>40660</c:v>
                </c:pt>
                <c:pt idx="51">
                  <c:v>40688</c:v>
                </c:pt>
                <c:pt idx="52">
                  <c:v>40723</c:v>
                </c:pt>
                <c:pt idx="53">
                  <c:v>40751</c:v>
                </c:pt>
                <c:pt idx="54">
                  <c:v>40786</c:v>
                </c:pt>
                <c:pt idx="55">
                  <c:v>40814</c:v>
                </c:pt>
                <c:pt idx="56">
                  <c:v>40842</c:v>
                </c:pt>
                <c:pt idx="57">
                  <c:v>40877</c:v>
                </c:pt>
                <c:pt idx="58">
                  <c:v>40905</c:v>
                </c:pt>
                <c:pt idx="59">
                  <c:v>40933</c:v>
                </c:pt>
                <c:pt idx="60">
                  <c:v>40968</c:v>
                </c:pt>
                <c:pt idx="61">
                  <c:v>40996</c:v>
                </c:pt>
                <c:pt idx="62">
                  <c:v>41024</c:v>
                </c:pt>
                <c:pt idx="63">
                  <c:v>41059</c:v>
                </c:pt>
                <c:pt idx="64">
                  <c:v>41087</c:v>
                </c:pt>
                <c:pt idx="65">
                  <c:v>41115</c:v>
                </c:pt>
                <c:pt idx="66">
                  <c:v>41150</c:v>
                </c:pt>
                <c:pt idx="67">
                  <c:v>41178</c:v>
                </c:pt>
                <c:pt idx="68">
                  <c:v>41213</c:v>
                </c:pt>
                <c:pt idx="69">
                  <c:v>41241</c:v>
                </c:pt>
                <c:pt idx="70">
                  <c:v>41269</c:v>
                </c:pt>
                <c:pt idx="71">
                  <c:v>41304</c:v>
                </c:pt>
                <c:pt idx="72">
                  <c:v>41332</c:v>
                </c:pt>
                <c:pt idx="73">
                  <c:v>41360</c:v>
                </c:pt>
                <c:pt idx="74">
                  <c:v>41388</c:v>
                </c:pt>
                <c:pt idx="75">
                  <c:v>41423</c:v>
                </c:pt>
                <c:pt idx="76">
                  <c:v>41451</c:v>
                </c:pt>
                <c:pt idx="77">
                  <c:v>41486</c:v>
                </c:pt>
                <c:pt idx="78">
                  <c:v>41514</c:v>
                </c:pt>
                <c:pt idx="79">
                  <c:v>41542</c:v>
                </c:pt>
                <c:pt idx="80">
                  <c:v>41577</c:v>
                </c:pt>
                <c:pt idx="81">
                  <c:v>41605</c:v>
                </c:pt>
                <c:pt idx="82">
                  <c:v>41633</c:v>
                </c:pt>
                <c:pt idx="83">
                  <c:v>41668</c:v>
                </c:pt>
                <c:pt idx="84">
                  <c:v>41696</c:v>
                </c:pt>
                <c:pt idx="85">
                  <c:v>41724</c:v>
                </c:pt>
                <c:pt idx="86">
                  <c:v>41759</c:v>
                </c:pt>
                <c:pt idx="87">
                  <c:v>41787</c:v>
                </c:pt>
                <c:pt idx="88">
                  <c:v>41815</c:v>
                </c:pt>
                <c:pt idx="89">
                  <c:v>41850</c:v>
                </c:pt>
                <c:pt idx="90">
                  <c:v>41878</c:v>
                </c:pt>
                <c:pt idx="91">
                  <c:v>41906</c:v>
                </c:pt>
                <c:pt idx="92">
                  <c:v>41941</c:v>
                </c:pt>
                <c:pt idx="93">
                  <c:v>41969</c:v>
                </c:pt>
                <c:pt idx="94">
                  <c:v>42004</c:v>
                </c:pt>
                <c:pt idx="95">
                  <c:v>42032</c:v>
                </c:pt>
                <c:pt idx="96">
                  <c:v>42060</c:v>
                </c:pt>
                <c:pt idx="97">
                  <c:v>42088</c:v>
                </c:pt>
                <c:pt idx="98">
                  <c:v>42123</c:v>
                </c:pt>
                <c:pt idx="99">
                  <c:v>42151</c:v>
                </c:pt>
                <c:pt idx="100">
                  <c:v>42179</c:v>
                </c:pt>
                <c:pt idx="101">
                  <c:v>42214</c:v>
                </c:pt>
                <c:pt idx="102">
                  <c:v>42242</c:v>
                </c:pt>
                <c:pt idx="103">
                  <c:v>42277</c:v>
                </c:pt>
                <c:pt idx="104">
                  <c:v>42305</c:v>
                </c:pt>
                <c:pt idx="105">
                  <c:v>42333</c:v>
                </c:pt>
                <c:pt idx="106">
                  <c:v>42368</c:v>
                </c:pt>
                <c:pt idx="107">
                  <c:v>42396</c:v>
                </c:pt>
                <c:pt idx="108">
                  <c:v>42424</c:v>
                </c:pt>
                <c:pt idx="109">
                  <c:v>42459</c:v>
                </c:pt>
                <c:pt idx="110">
                  <c:v>42487</c:v>
                </c:pt>
                <c:pt idx="111">
                  <c:v>42515</c:v>
                </c:pt>
                <c:pt idx="112">
                  <c:v>42550</c:v>
                </c:pt>
                <c:pt idx="113">
                  <c:v>42578</c:v>
                </c:pt>
                <c:pt idx="114">
                  <c:v>42613</c:v>
                </c:pt>
                <c:pt idx="115">
                  <c:v>42641</c:v>
                </c:pt>
                <c:pt idx="116">
                  <c:v>42669</c:v>
                </c:pt>
                <c:pt idx="117">
                  <c:v>42704</c:v>
                </c:pt>
                <c:pt idx="118">
                  <c:v>42732</c:v>
                </c:pt>
                <c:pt idx="119">
                  <c:v>42760</c:v>
                </c:pt>
                <c:pt idx="120">
                  <c:v>42788</c:v>
                </c:pt>
                <c:pt idx="121">
                  <c:v>42823</c:v>
                </c:pt>
                <c:pt idx="122">
                  <c:v>42851</c:v>
                </c:pt>
                <c:pt idx="123">
                  <c:v>42886</c:v>
                </c:pt>
                <c:pt idx="124">
                  <c:v>42914</c:v>
                </c:pt>
                <c:pt idx="125">
                  <c:v>42942</c:v>
                </c:pt>
                <c:pt idx="126">
                  <c:v>42977</c:v>
                </c:pt>
                <c:pt idx="127">
                  <c:v>43005</c:v>
                </c:pt>
                <c:pt idx="128">
                  <c:v>43033</c:v>
                </c:pt>
                <c:pt idx="129">
                  <c:v>43068</c:v>
                </c:pt>
                <c:pt idx="130">
                  <c:v>43096</c:v>
                </c:pt>
                <c:pt idx="131">
                  <c:v>43131</c:v>
                </c:pt>
                <c:pt idx="132">
                  <c:v>43159</c:v>
                </c:pt>
                <c:pt idx="133">
                  <c:v>43187</c:v>
                </c:pt>
                <c:pt idx="134">
                  <c:v>43215</c:v>
                </c:pt>
                <c:pt idx="135">
                  <c:v>43250</c:v>
                </c:pt>
                <c:pt idx="136">
                  <c:v>43278</c:v>
                </c:pt>
                <c:pt idx="137">
                  <c:v>43306</c:v>
                </c:pt>
                <c:pt idx="138">
                  <c:v>43341</c:v>
                </c:pt>
                <c:pt idx="139">
                  <c:v>43369</c:v>
                </c:pt>
                <c:pt idx="140">
                  <c:v>43404</c:v>
                </c:pt>
                <c:pt idx="141">
                  <c:v>43432</c:v>
                </c:pt>
                <c:pt idx="142">
                  <c:v>43460</c:v>
                </c:pt>
                <c:pt idx="143">
                  <c:v>43495</c:v>
                </c:pt>
                <c:pt idx="144">
                  <c:v>43523</c:v>
                </c:pt>
                <c:pt idx="145">
                  <c:v>43551</c:v>
                </c:pt>
                <c:pt idx="146">
                  <c:v>43579</c:v>
                </c:pt>
                <c:pt idx="147">
                  <c:v>43614</c:v>
                </c:pt>
                <c:pt idx="148">
                  <c:v>43642</c:v>
                </c:pt>
                <c:pt idx="149">
                  <c:v>43677</c:v>
                </c:pt>
                <c:pt idx="150">
                  <c:v>43705</c:v>
                </c:pt>
                <c:pt idx="151">
                  <c:v>43733</c:v>
                </c:pt>
                <c:pt idx="152">
                  <c:v>43768</c:v>
                </c:pt>
                <c:pt idx="153">
                  <c:v>43796</c:v>
                </c:pt>
                <c:pt idx="154">
                  <c:v>43824</c:v>
                </c:pt>
                <c:pt idx="155">
                  <c:v>43859</c:v>
                </c:pt>
                <c:pt idx="156">
                  <c:v>43887</c:v>
                </c:pt>
                <c:pt idx="157">
                  <c:v>43915</c:v>
                </c:pt>
                <c:pt idx="158">
                  <c:v>43950</c:v>
                </c:pt>
                <c:pt idx="159">
                  <c:v>43978</c:v>
                </c:pt>
                <c:pt idx="160">
                  <c:v>44006</c:v>
                </c:pt>
                <c:pt idx="161">
                  <c:v>44041</c:v>
                </c:pt>
                <c:pt idx="162">
                  <c:v>44069</c:v>
                </c:pt>
                <c:pt idx="163">
                  <c:v>44104</c:v>
                </c:pt>
                <c:pt idx="164">
                  <c:v>44118</c:v>
                </c:pt>
              </c:numCache>
            </c:numRef>
          </c:cat>
          <c:val>
            <c:numRef>
              <c:f>Forecast_1m!$B$4:$B$168</c:f>
              <c:numCache>
                <c:formatCode>General</c:formatCode>
                <c:ptCount val="165"/>
                <c:pt idx="0">
                  <c:v>4.4341555260902901E-2</c:v>
                </c:pt>
                <c:pt idx="1">
                  <c:v>4.6989696469333E-2</c:v>
                </c:pt>
                <c:pt idx="2">
                  <c:v>4.6443703465717502E-2</c:v>
                </c:pt>
                <c:pt idx="3">
                  <c:v>4.8993971799909497E-2</c:v>
                </c:pt>
                <c:pt idx="4">
                  <c:v>4.8817925739681099E-2</c:v>
                </c:pt>
                <c:pt idx="5">
                  <c:v>4.5848982995809903E-2</c:v>
                </c:pt>
                <c:pt idx="6">
                  <c:v>4.9179216255039702E-2</c:v>
                </c:pt>
                <c:pt idx="7">
                  <c:v>4.5695913080373199E-2</c:v>
                </c:pt>
                <c:pt idx="8">
                  <c:v>4.2952257148200203E-2</c:v>
                </c:pt>
                <c:pt idx="9">
                  <c:v>3.8672471746448299E-2</c:v>
                </c:pt>
                <c:pt idx="10">
                  <c:v>4.09383078154546E-2</c:v>
                </c:pt>
                <c:pt idx="11">
                  <c:v>3.9689403599015599E-2</c:v>
                </c:pt>
                <c:pt idx="12">
                  <c:v>4.1341475339874201E-2</c:v>
                </c:pt>
                <c:pt idx="13">
                  <c:v>3.9530216963914698E-2</c:v>
                </c:pt>
                <c:pt idx="14">
                  <c:v>4.1878762295920802E-2</c:v>
                </c:pt>
                <c:pt idx="15">
                  <c:v>4.4280066815469997E-2</c:v>
                </c:pt>
                <c:pt idx="16">
                  <c:v>4.1788452722102597E-2</c:v>
                </c:pt>
                <c:pt idx="17">
                  <c:v>4.3150243278122599E-2</c:v>
                </c:pt>
                <c:pt idx="18">
                  <c:v>3.9981330613593401E-2</c:v>
                </c:pt>
                <c:pt idx="19">
                  <c:v>3.8781915116644999E-2</c:v>
                </c:pt>
                <c:pt idx="20">
                  <c:v>1.40501290438537E-2</c:v>
                </c:pt>
                <c:pt idx="21">
                  <c:v>2.22112242878242E-2</c:v>
                </c:pt>
                <c:pt idx="22">
                  <c:v>4.4060667294397301E-3</c:v>
                </c:pt>
                <c:pt idx="23">
                  <c:v>2.03551052276136E-2</c:v>
                </c:pt>
                <c:pt idx="24">
                  <c:v>2.03531575230965E-2</c:v>
                </c:pt>
                <c:pt idx="25">
                  <c:v>3.221352439018E-2</c:v>
                </c:pt>
                <c:pt idx="26">
                  <c:v>3.3736187155651201E-2</c:v>
                </c:pt>
                <c:pt idx="27">
                  <c:v>3.6040168353621997E-2</c:v>
                </c:pt>
                <c:pt idx="28">
                  <c:v>2.9185793094048E-2</c:v>
                </c:pt>
                <c:pt idx="29">
                  <c:v>3.4499487513854801E-2</c:v>
                </c:pt>
                <c:pt idx="30">
                  <c:v>3.2244927826725299E-2</c:v>
                </c:pt>
                <c:pt idx="31">
                  <c:v>3.1771186792781597E-2</c:v>
                </c:pt>
                <c:pt idx="32">
                  <c:v>3.6373818216909402E-2</c:v>
                </c:pt>
                <c:pt idx="33">
                  <c:v>4.3425666487292E-2</c:v>
                </c:pt>
                <c:pt idx="34">
                  <c:v>3.7644174816354202E-2</c:v>
                </c:pt>
                <c:pt idx="35">
                  <c:v>4.0986728736682097E-2</c:v>
                </c:pt>
                <c:pt idx="36">
                  <c:v>4.2589937871957903E-2</c:v>
                </c:pt>
                <c:pt idx="37">
                  <c:v>4.6822177910674598E-2</c:v>
                </c:pt>
                <c:pt idx="38">
                  <c:v>4.59545973881995E-2</c:v>
                </c:pt>
                <c:pt idx="39">
                  <c:v>4.1820191859789302E-2</c:v>
                </c:pt>
                <c:pt idx="40">
                  <c:v>4.06642424824947E-2</c:v>
                </c:pt>
                <c:pt idx="41">
                  <c:v>4.5734801182266999E-2</c:v>
                </c:pt>
                <c:pt idx="42">
                  <c:v>4.4350926911289598E-2</c:v>
                </c:pt>
                <c:pt idx="43">
                  <c:v>5.00221740089839E-2</c:v>
                </c:pt>
                <c:pt idx="44">
                  <c:v>5.5856119411691198E-2</c:v>
                </c:pt>
                <c:pt idx="45">
                  <c:v>5.5929245997377301E-2</c:v>
                </c:pt>
                <c:pt idx="46">
                  <c:v>4.6454892602118901E-2</c:v>
                </c:pt>
                <c:pt idx="47">
                  <c:v>4.9446725453297001E-2</c:v>
                </c:pt>
                <c:pt idx="48">
                  <c:v>4.93551795122859E-2</c:v>
                </c:pt>
                <c:pt idx="49">
                  <c:v>4.8110508506348001E-2</c:v>
                </c:pt>
                <c:pt idx="50">
                  <c:v>5.0074239467275503E-2</c:v>
                </c:pt>
                <c:pt idx="51">
                  <c:v>4.9773937682204603E-2</c:v>
                </c:pt>
                <c:pt idx="52">
                  <c:v>5.2925176073054997E-2</c:v>
                </c:pt>
                <c:pt idx="53">
                  <c:v>5.41326440503987E-2</c:v>
                </c:pt>
                <c:pt idx="54">
                  <c:v>5.5489776289907401E-2</c:v>
                </c:pt>
                <c:pt idx="55">
                  <c:v>4.3831457754978903E-2</c:v>
                </c:pt>
                <c:pt idx="56">
                  <c:v>4.0609363537629402E-2</c:v>
                </c:pt>
                <c:pt idx="57">
                  <c:v>3.83209443055458E-2</c:v>
                </c:pt>
                <c:pt idx="58">
                  <c:v>3.9261876218780002E-2</c:v>
                </c:pt>
                <c:pt idx="59">
                  <c:v>4.3471817302335299E-2</c:v>
                </c:pt>
                <c:pt idx="60">
                  <c:v>4.4159148187836103E-2</c:v>
                </c:pt>
                <c:pt idx="61">
                  <c:v>4.4479698241005998E-2</c:v>
                </c:pt>
                <c:pt idx="62">
                  <c:v>4.5349596496671397E-2</c:v>
                </c:pt>
                <c:pt idx="63">
                  <c:v>4.4375641994631197E-2</c:v>
                </c:pt>
                <c:pt idx="64">
                  <c:v>4.3219135559511797E-2</c:v>
                </c:pt>
                <c:pt idx="65">
                  <c:v>4.0732249827322098E-2</c:v>
                </c:pt>
                <c:pt idx="66">
                  <c:v>4.30939096473682E-2</c:v>
                </c:pt>
                <c:pt idx="67">
                  <c:v>4.5060159313057201E-2</c:v>
                </c:pt>
                <c:pt idx="68">
                  <c:v>4.4979237230264098E-2</c:v>
                </c:pt>
                <c:pt idx="69">
                  <c:v>4.5710371175887499E-2</c:v>
                </c:pt>
                <c:pt idx="70">
                  <c:v>4.6027086479041197E-2</c:v>
                </c:pt>
                <c:pt idx="71">
                  <c:v>4.6821785730132202E-2</c:v>
                </c:pt>
                <c:pt idx="72">
                  <c:v>4.9083167005529602E-2</c:v>
                </c:pt>
                <c:pt idx="73">
                  <c:v>4.8977405484421303E-2</c:v>
                </c:pt>
                <c:pt idx="74">
                  <c:v>4.6562656926903798E-2</c:v>
                </c:pt>
                <c:pt idx="75">
                  <c:v>4.6934038095962999E-2</c:v>
                </c:pt>
                <c:pt idx="76">
                  <c:v>4.3326476838325398E-2</c:v>
                </c:pt>
                <c:pt idx="77">
                  <c:v>4.1743338263211999E-2</c:v>
                </c:pt>
                <c:pt idx="78">
                  <c:v>4.0720936084763397E-2</c:v>
                </c:pt>
                <c:pt idx="79">
                  <c:v>4.2424435893381601E-2</c:v>
                </c:pt>
                <c:pt idx="80">
                  <c:v>4.41505766312583E-2</c:v>
                </c:pt>
                <c:pt idx="81">
                  <c:v>4.2362312863177001E-2</c:v>
                </c:pt>
                <c:pt idx="82">
                  <c:v>3.7201669754595899E-2</c:v>
                </c:pt>
                <c:pt idx="83">
                  <c:v>3.8290429114705801E-2</c:v>
                </c:pt>
                <c:pt idx="84">
                  <c:v>3.95438791314437E-2</c:v>
                </c:pt>
                <c:pt idx="85">
                  <c:v>3.7137031859021202E-2</c:v>
                </c:pt>
                <c:pt idx="86">
                  <c:v>3.7440025154425002E-2</c:v>
                </c:pt>
                <c:pt idx="87">
                  <c:v>4.0485835811610901E-2</c:v>
                </c:pt>
                <c:pt idx="88">
                  <c:v>3.9779301534441598E-2</c:v>
                </c:pt>
                <c:pt idx="89">
                  <c:v>3.74402132838806E-2</c:v>
                </c:pt>
                <c:pt idx="90">
                  <c:v>3.7407641856578903E-2</c:v>
                </c:pt>
                <c:pt idx="91">
                  <c:v>3.6384387192401703E-2</c:v>
                </c:pt>
                <c:pt idx="92">
                  <c:v>3.5589885833708E-2</c:v>
                </c:pt>
                <c:pt idx="93">
                  <c:v>3.51319096879266E-2</c:v>
                </c:pt>
                <c:pt idx="94">
                  <c:v>3.0935128644875E-2</c:v>
                </c:pt>
                <c:pt idx="95">
                  <c:v>2.7136956591740001E-2</c:v>
                </c:pt>
                <c:pt idx="96">
                  <c:v>2.9136960643729899E-2</c:v>
                </c:pt>
                <c:pt idx="97">
                  <c:v>2.95157237140658E-2</c:v>
                </c:pt>
                <c:pt idx="98">
                  <c:v>3.4890065237090401E-2</c:v>
                </c:pt>
                <c:pt idx="99">
                  <c:v>3.7607141428789202E-2</c:v>
                </c:pt>
                <c:pt idx="100">
                  <c:v>4.1707266620288203E-2</c:v>
                </c:pt>
                <c:pt idx="101">
                  <c:v>3.9351550978430301E-2</c:v>
                </c:pt>
                <c:pt idx="102">
                  <c:v>3.8090255021907098E-2</c:v>
                </c:pt>
                <c:pt idx="103">
                  <c:v>4.2331403798457699E-2</c:v>
                </c:pt>
                <c:pt idx="104">
                  <c:v>4.0515695674873099E-2</c:v>
                </c:pt>
                <c:pt idx="105">
                  <c:v>4.1994439409345802E-2</c:v>
                </c:pt>
                <c:pt idx="106">
                  <c:v>4.1165722500309698E-2</c:v>
                </c:pt>
                <c:pt idx="107">
                  <c:v>4.1322568845402301E-2</c:v>
                </c:pt>
                <c:pt idx="108">
                  <c:v>4.2274528072045799E-2</c:v>
                </c:pt>
                <c:pt idx="109">
                  <c:v>4.1917158876804597E-2</c:v>
                </c:pt>
                <c:pt idx="110">
                  <c:v>4.4270245598214499E-2</c:v>
                </c:pt>
                <c:pt idx="111">
                  <c:v>4.3176047384200798E-2</c:v>
                </c:pt>
                <c:pt idx="112">
                  <c:v>4.12235414630861E-2</c:v>
                </c:pt>
                <c:pt idx="113">
                  <c:v>3.7228147156907698E-2</c:v>
                </c:pt>
                <c:pt idx="114">
                  <c:v>3.45250500158579E-2</c:v>
                </c:pt>
                <c:pt idx="115">
                  <c:v>3.6978139172955303E-2</c:v>
                </c:pt>
                <c:pt idx="116">
                  <c:v>3.9936634128740302E-2</c:v>
                </c:pt>
                <c:pt idx="117">
                  <c:v>3.8281222395338398E-2</c:v>
                </c:pt>
                <c:pt idx="118">
                  <c:v>3.6972173047363402E-2</c:v>
                </c:pt>
                <c:pt idx="119">
                  <c:v>3.6788029974677103E-2</c:v>
                </c:pt>
                <c:pt idx="120">
                  <c:v>3.8197342344677102E-2</c:v>
                </c:pt>
                <c:pt idx="121">
                  <c:v>3.8293980188769498E-2</c:v>
                </c:pt>
                <c:pt idx="122">
                  <c:v>4.2078362721222798E-2</c:v>
                </c:pt>
                <c:pt idx="123">
                  <c:v>4.1006227734247697E-2</c:v>
                </c:pt>
                <c:pt idx="124">
                  <c:v>3.6208980288204198E-2</c:v>
                </c:pt>
                <c:pt idx="125">
                  <c:v>3.8927345022142602E-2</c:v>
                </c:pt>
                <c:pt idx="126">
                  <c:v>3.7990595108383797E-2</c:v>
                </c:pt>
                <c:pt idx="127">
                  <c:v>3.7513411821951399E-2</c:v>
                </c:pt>
                <c:pt idx="128">
                  <c:v>3.6878518855383902E-2</c:v>
                </c:pt>
                <c:pt idx="129">
                  <c:v>3.40899829954227E-2</c:v>
                </c:pt>
                <c:pt idx="130">
                  <c:v>3.1061909427072001E-2</c:v>
                </c:pt>
                <c:pt idx="131">
                  <c:v>2.9102550570945102E-2</c:v>
                </c:pt>
                <c:pt idx="132">
                  <c:v>3.2157952993671302E-2</c:v>
                </c:pt>
                <c:pt idx="133">
                  <c:v>3.18166733235343E-2</c:v>
                </c:pt>
                <c:pt idx="134">
                  <c:v>3.1254906161661197E-2</c:v>
                </c:pt>
                <c:pt idx="135">
                  <c:v>2.9507211670019701E-2</c:v>
                </c:pt>
                <c:pt idx="136">
                  <c:v>3.0002494129235401E-2</c:v>
                </c:pt>
                <c:pt idx="137">
                  <c:v>2.9994851301705899E-2</c:v>
                </c:pt>
                <c:pt idx="138">
                  <c:v>3.2161107975715801E-2</c:v>
                </c:pt>
                <c:pt idx="139">
                  <c:v>3.2771672074705799E-2</c:v>
                </c:pt>
                <c:pt idx="140">
                  <c:v>3.7979702061328703E-2</c:v>
                </c:pt>
                <c:pt idx="141">
                  <c:v>3.9576578808668897E-2</c:v>
                </c:pt>
                <c:pt idx="142">
                  <c:v>3.5716231832911297E-2</c:v>
                </c:pt>
                <c:pt idx="143">
                  <c:v>3.9161405419912303E-2</c:v>
                </c:pt>
                <c:pt idx="144">
                  <c:v>3.9798370983463803E-2</c:v>
                </c:pt>
                <c:pt idx="145">
                  <c:v>3.93607217796643E-2</c:v>
                </c:pt>
                <c:pt idx="146">
                  <c:v>3.94586717946242E-2</c:v>
                </c:pt>
                <c:pt idx="147">
                  <c:v>3.6431022519423602E-2</c:v>
                </c:pt>
                <c:pt idx="148">
                  <c:v>3.7284407872310202E-2</c:v>
                </c:pt>
                <c:pt idx="149">
                  <c:v>3.8638200715777601E-2</c:v>
                </c:pt>
                <c:pt idx="150">
                  <c:v>3.1625379377212499E-2</c:v>
                </c:pt>
                <c:pt idx="151">
                  <c:v>3.2618368546892602E-2</c:v>
                </c:pt>
                <c:pt idx="152">
                  <c:v>3.30035346416271E-2</c:v>
                </c:pt>
                <c:pt idx="153">
                  <c:v>2.978143619704E-2</c:v>
                </c:pt>
                <c:pt idx="154">
                  <c:v>2.9471351475377501E-2</c:v>
                </c:pt>
                <c:pt idx="155">
                  <c:v>3.0347396272640499E-2</c:v>
                </c:pt>
                <c:pt idx="156">
                  <c:v>2.8721160012569399E-2</c:v>
                </c:pt>
                <c:pt idx="157">
                  <c:v>2.5467700385861099E-2</c:v>
                </c:pt>
                <c:pt idx="158">
                  <c:v>2.6028885658681101E-2</c:v>
                </c:pt>
                <c:pt idx="159">
                  <c:v>3.1424149785147397E-2</c:v>
                </c:pt>
                <c:pt idx="160">
                  <c:v>3.1324372873389197E-2</c:v>
                </c:pt>
                <c:pt idx="161">
                  <c:v>2.6526449838418301E-2</c:v>
                </c:pt>
                <c:pt idx="162">
                  <c:v>2.7857293003651001E-2</c:v>
                </c:pt>
                <c:pt idx="163">
                  <c:v>3.0295230280463499E-2</c:v>
                </c:pt>
                <c:pt idx="164">
                  <c:v>3.0384496259996101E-2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5B-4E24-BB24-13654BDDD52A}"/>
            </c:ext>
          </c:extLst>
        </c:ser>
        <c:ser>
          <c:idx val="1"/>
          <c:order val="1"/>
          <c:tx>
            <c:v>B1 - 1 Month Forecast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Forecast_1m!$A$4:$A$168</c:f>
              <c:numCache>
                <c:formatCode>dd/mm/yyyy</c:formatCode>
                <c:ptCount val="165"/>
                <c:pt idx="0">
                  <c:v>39141</c:v>
                </c:pt>
                <c:pt idx="1">
                  <c:v>39169</c:v>
                </c:pt>
                <c:pt idx="2">
                  <c:v>39197</c:v>
                </c:pt>
                <c:pt idx="3">
                  <c:v>39232</c:v>
                </c:pt>
                <c:pt idx="4">
                  <c:v>39260</c:v>
                </c:pt>
                <c:pt idx="5">
                  <c:v>39288</c:v>
                </c:pt>
                <c:pt idx="6">
                  <c:v>39323</c:v>
                </c:pt>
                <c:pt idx="7">
                  <c:v>39351</c:v>
                </c:pt>
                <c:pt idx="8">
                  <c:v>39386</c:v>
                </c:pt>
                <c:pt idx="9">
                  <c:v>39414</c:v>
                </c:pt>
                <c:pt idx="10">
                  <c:v>39442</c:v>
                </c:pt>
                <c:pt idx="11">
                  <c:v>39477</c:v>
                </c:pt>
                <c:pt idx="12">
                  <c:v>39505</c:v>
                </c:pt>
                <c:pt idx="13">
                  <c:v>39533</c:v>
                </c:pt>
                <c:pt idx="14">
                  <c:v>39568</c:v>
                </c:pt>
                <c:pt idx="15">
                  <c:v>39596</c:v>
                </c:pt>
                <c:pt idx="16">
                  <c:v>39624</c:v>
                </c:pt>
                <c:pt idx="17">
                  <c:v>39659</c:v>
                </c:pt>
                <c:pt idx="18">
                  <c:v>39687</c:v>
                </c:pt>
                <c:pt idx="19">
                  <c:v>39715</c:v>
                </c:pt>
                <c:pt idx="20">
                  <c:v>39750</c:v>
                </c:pt>
                <c:pt idx="21">
                  <c:v>39778</c:v>
                </c:pt>
                <c:pt idx="22">
                  <c:v>39813</c:v>
                </c:pt>
                <c:pt idx="23">
                  <c:v>39841</c:v>
                </c:pt>
                <c:pt idx="24">
                  <c:v>39869</c:v>
                </c:pt>
                <c:pt idx="25">
                  <c:v>39897</c:v>
                </c:pt>
                <c:pt idx="26">
                  <c:v>39932</c:v>
                </c:pt>
                <c:pt idx="27">
                  <c:v>39960</c:v>
                </c:pt>
                <c:pt idx="28">
                  <c:v>39988</c:v>
                </c:pt>
                <c:pt idx="29">
                  <c:v>40023</c:v>
                </c:pt>
                <c:pt idx="30">
                  <c:v>40051</c:v>
                </c:pt>
                <c:pt idx="31">
                  <c:v>40086</c:v>
                </c:pt>
                <c:pt idx="32">
                  <c:v>40114</c:v>
                </c:pt>
                <c:pt idx="33">
                  <c:v>40142</c:v>
                </c:pt>
                <c:pt idx="34">
                  <c:v>40177</c:v>
                </c:pt>
                <c:pt idx="35">
                  <c:v>40205</c:v>
                </c:pt>
                <c:pt idx="36">
                  <c:v>40233</c:v>
                </c:pt>
                <c:pt idx="37">
                  <c:v>40268</c:v>
                </c:pt>
                <c:pt idx="38">
                  <c:v>40296</c:v>
                </c:pt>
                <c:pt idx="39">
                  <c:v>40324</c:v>
                </c:pt>
                <c:pt idx="40">
                  <c:v>40359</c:v>
                </c:pt>
                <c:pt idx="41">
                  <c:v>40387</c:v>
                </c:pt>
                <c:pt idx="42">
                  <c:v>40415</c:v>
                </c:pt>
                <c:pt idx="43">
                  <c:v>40450</c:v>
                </c:pt>
                <c:pt idx="44">
                  <c:v>40478</c:v>
                </c:pt>
                <c:pt idx="45">
                  <c:v>40506</c:v>
                </c:pt>
                <c:pt idx="46">
                  <c:v>40541</c:v>
                </c:pt>
                <c:pt idx="47">
                  <c:v>40569</c:v>
                </c:pt>
                <c:pt idx="48">
                  <c:v>40597</c:v>
                </c:pt>
                <c:pt idx="49">
                  <c:v>40632</c:v>
                </c:pt>
                <c:pt idx="50">
                  <c:v>40660</c:v>
                </c:pt>
                <c:pt idx="51">
                  <c:v>40688</c:v>
                </c:pt>
                <c:pt idx="52">
                  <c:v>40723</c:v>
                </c:pt>
                <c:pt idx="53">
                  <c:v>40751</c:v>
                </c:pt>
                <c:pt idx="54">
                  <c:v>40786</c:v>
                </c:pt>
                <c:pt idx="55">
                  <c:v>40814</c:v>
                </c:pt>
                <c:pt idx="56">
                  <c:v>40842</c:v>
                </c:pt>
                <c:pt idx="57">
                  <c:v>40877</c:v>
                </c:pt>
                <c:pt idx="58">
                  <c:v>40905</c:v>
                </c:pt>
                <c:pt idx="59">
                  <c:v>40933</c:v>
                </c:pt>
                <c:pt idx="60">
                  <c:v>40968</c:v>
                </c:pt>
                <c:pt idx="61">
                  <c:v>40996</c:v>
                </c:pt>
                <c:pt idx="62">
                  <c:v>41024</c:v>
                </c:pt>
                <c:pt idx="63">
                  <c:v>41059</c:v>
                </c:pt>
                <c:pt idx="64">
                  <c:v>41087</c:v>
                </c:pt>
                <c:pt idx="65">
                  <c:v>41115</c:v>
                </c:pt>
                <c:pt idx="66">
                  <c:v>41150</c:v>
                </c:pt>
                <c:pt idx="67">
                  <c:v>41178</c:v>
                </c:pt>
                <c:pt idx="68">
                  <c:v>41213</c:v>
                </c:pt>
                <c:pt idx="69">
                  <c:v>41241</c:v>
                </c:pt>
                <c:pt idx="70">
                  <c:v>41269</c:v>
                </c:pt>
                <c:pt idx="71">
                  <c:v>41304</c:v>
                </c:pt>
                <c:pt idx="72">
                  <c:v>41332</c:v>
                </c:pt>
                <c:pt idx="73">
                  <c:v>41360</c:v>
                </c:pt>
                <c:pt idx="74">
                  <c:v>41388</c:v>
                </c:pt>
                <c:pt idx="75">
                  <c:v>41423</c:v>
                </c:pt>
                <c:pt idx="76">
                  <c:v>41451</c:v>
                </c:pt>
                <c:pt idx="77">
                  <c:v>41486</c:v>
                </c:pt>
                <c:pt idx="78">
                  <c:v>41514</c:v>
                </c:pt>
                <c:pt idx="79">
                  <c:v>41542</c:v>
                </c:pt>
                <c:pt idx="80">
                  <c:v>41577</c:v>
                </c:pt>
                <c:pt idx="81">
                  <c:v>41605</c:v>
                </c:pt>
                <c:pt idx="82">
                  <c:v>41633</c:v>
                </c:pt>
                <c:pt idx="83">
                  <c:v>41668</c:v>
                </c:pt>
                <c:pt idx="84">
                  <c:v>41696</c:v>
                </c:pt>
                <c:pt idx="85">
                  <c:v>41724</c:v>
                </c:pt>
                <c:pt idx="86">
                  <c:v>41759</c:v>
                </c:pt>
                <c:pt idx="87">
                  <c:v>41787</c:v>
                </c:pt>
                <c:pt idx="88">
                  <c:v>41815</c:v>
                </c:pt>
                <c:pt idx="89">
                  <c:v>41850</c:v>
                </c:pt>
                <c:pt idx="90">
                  <c:v>41878</c:v>
                </c:pt>
                <c:pt idx="91">
                  <c:v>41906</c:v>
                </c:pt>
                <c:pt idx="92">
                  <c:v>41941</c:v>
                </c:pt>
                <c:pt idx="93">
                  <c:v>41969</c:v>
                </c:pt>
                <c:pt idx="94">
                  <c:v>42004</c:v>
                </c:pt>
                <c:pt idx="95">
                  <c:v>42032</c:v>
                </c:pt>
                <c:pt idx="96">
                  <c:v>42060</c:v>
                </c:pt>
                <c:pt idx="97">
                  <c:v>42088</c:v>
                </c:pt>
                <c:pt idx="98">
                  <c:v>42123</c:v>
                </c:pt>
                <c:pt idx="99">
                  <c:v>42151</c:v>
                </c:pt>
                <c:pt idx="100">
                  <c:v>42179</c:v>
                </c:pt>
                <c:pt idx="101">
                  <c:v>42214</c:v>
                </c:pt>
                <c:pt idx="102">
                  <c:v>42242</c:v>
                </c:pt>
                <c:pt idx="103">
                  <c:v>42277</c:v>
                </c:pt>
                <c:pt idx="104">
                  <c:v>42305</c:v>
                </c:pt>
                <c:pt idx="105">
                  <c:v>42333</c:v>
                </c:pt>
                <c:pt idx="106">
                  <c:v>42368</c:v>
                </c:pt>
                <c:pt idx="107">
                  <c:v>42396</c:v>
                </c:pt>
                <c:pt idx="108">
                  <c:v>42424</c:v>
                </c:pt>
                <c:pt idx="109">
                  <c:v>42459</c:v>
                </c:pt>
                <c:pt idx="110">
                  <c:v>42487</c:v>
                </c:pt>
                <c:pt idx="111">
                  <c:v>42515</c:v>
                </c:pt>
                <c:pt idx="112">
                  <c:v>42550</c:v>
                </c:pt>
                <c:pt idx="113">
                  <c:v>42578</c:v>
                </c:pt>
                <c:pt idx="114">
                  <c:v>42613</c:v>
                </c:pt>
                <c:pt idx="115">
                  <c:v>42641</c:v>
                </c:pt>
                <c:pt idx="116">
                  <c:v>42669</c:v>
                </c:pt>
                <c:pt idx="117">
                  <c:v>42704</c:v>
                </c:pt>
                <c:pt idx="118">
                  <c:v>42732</c:v>
                </c:pt>
                <c:pt idx="119">
                  <c:v>42760</c:v>
                </c:pt>
                <c:pt idx="120">
                  <c:v>42788</c:v>
                </c:pt>
                <c:pt idx="121">
                  <c:v>42823</c:v>
                </c:pt>
                <c:pt idx="122">
                  <c:v>42851</c:v>
                </c:pt>
                <c:pt idx="123">
                  <c:v>42886</c:v>
                </c:pt>
                <c:pt idx="124">
                  <c:v>42914</c:v>
                </c:pt>
                <c:pt idx="125">
                  <c:v>42942</c:v>
                </c:pt>
                <c:pt idx="126">
                  <c:v>42977</c:v>
                </c:pt>
                <c:pt idx="127">
                  <c:v>43005</c:v>
                </c:pt>
                <c:pt idx="128">
                  <c:v>43033</c:v>
                </c:pt>
                <c:pt idx="129">
                  <c:v>43068</c:v>
                </c:pt>
                <c:pt idx="130">
                  <c:v>43096</c:v>
                </c:pt>
                <c:pt idx="131">
                  <c:v>43131</c:v>
                </c:pt>
                <c:pt idx="132">
                  <c:v>43159</c:v>
                </c:pt>
                <c:pt idx="133">
                  <c:v>43187</c:v>
                </c:pt>
                <c:pt idx="134">
                  <c:v>43215</c:v>
                </c:pt>
                <c:pt idx="135">
                  <c:v>43250</c:v>
                </c:pt>
                <c:pt idx="136">
                  <c:v>43278</c:v>
                </c:pt>
                <c:pt idx="137">
                  <c:v>43306</c:v>
                </c:pt>
                <c:pt idx="138">
                  <c:v>43341</c:v>
                </c:pt>
                <c:pt idx="139">
                  <c:v>43369</c:v>
                </c:pt>
                <c:pt idx="140">
                  <c:v>43404</c:v>
                </c:pt>
                <c:pt idx="141">
                  <c:v>43432</c:v>
                </c:pt>
                <c:pt idx="142">
                  <c:v>43460</c:v>
                </c:pt>
                <c:pt idx="143">
                  <c:v>43495</c:v>
                </c:pt>
                <c:pt idx="144">
                  <c:v>43523</c:v>
                </c:pt>
                <c:pt idx="145">
                  <c:v>43551</c:v>
                </c:pt>
                <c:pt idx="146">
                  <c:v>43579</c:v>
                </c:pt>
                <c:pt idx="147">
                  <c:v>43614</c:v>
                </c:pt>
                <c:pt idx="148">
                  <c:v>43642</c:v>
                </c:pt>
                <c:pt idx="149">
                  <c:v>43677</c:v>
                </c:pt>
                <c:pt idx="150">
                  <c:v>43705</c:v>
                </c:pt>
                <c:pt idx="151">
                  <c:v>43733</c:v>
                </c:pt>
                <c:pt idx="152">
                  <c:v>43768</c:v>
                </c:pt>
                <c:pt idx="153">
                  <c:v>43796</c:v>
                </c:pt>
                <c:pt idx="154">
                  <c:v>43824</c:v>
                </c:pt>
                <c:pt idx="155">
                  <c:v>43859</c:v>
                </c:pt>
                <c:pt idx="156">
                  <c:v>43887</c:v>
                </c:pt>
                <c:pt idx="157">
                  <c:v>43915</c:v>
                </c:pt>
                <c:pt idx="158">
                  <c:v>43950</c:v>
                </c:pt>
                <c:pt idx="159">
                  <c:v>43978</c:v>
                </c:pt>
                <c:pt idx="160">
                  <c:v>44006</c:v>
                </c:pt>
                <c:pt idx="161">
                  <c:v>44041</c:v>
                </c:pt>
                <c:pt idx="162">
                  <c:v>44069</c:v>
                </c:pt>
                <c:pt idx="163">
                  <c:v>44104</c:v>
                </c:pt>
                <c:pt idx="164">
                  <c:v>44118</c:v>
                </c:pt>
              </c:numCache>
            </c:numRef>
          </c:cat>
          <c:val>
            <c:numRef>
              <c:f>Forecast_1m!$F$4:$F$168</c:f>
              <c:numCache>
                <c:formatCode>General</c:formatCode>
                <c:ptCount val="165"/>
                <c:pt idx="0">
                  <c:v>4.6106299557608831E-2</c:v>
                </c:pt>
                <c:pt idx="1">
                  <c:v>4.4594433109322047E-2</c:v>
                </c:pt>
                <c:pt idx="2">
                  <c:v>4.6796926997900189E-2</c:v>
                </c:pt>
                <c:pt idx="3">
                  <c:v>4.6179608084571715E-2</c:v>
                </c:pt>
                <c:pt idx="4">
                  <c:v>4.6741942126349294E-2</c:v>
                </c:pt>
                <c:pt idx="5">
                  <c:v>4.6468045015998286E-2</c:v>
                </c:pt>
                <c:pt idx="6">
                  <c:v>4.5175462474250083E-2</c:v>
                </c:pt>
                <c:pt idx="7">
                  <c:v>4.6538565078655135E-2</c:v>
                </c:pt>
                <c:pt idx="8">
                  <c:v>4.4351251050246981E-2</c:v>
                </c:pt>
                <c:pt idx="9">
                  <c:v>4.285913342268155E-2</c:v>
                </c:pt>
                <c:pt idx="10">
                  <c:v>3.9401420490465196E-2</c:v>
                </c:pt>
                <c:pt idx="11">
                  <c:v>4.1457750428985418E-2</c:v>
                </c:pt>
                <c:pt idx="12">
                  <c:v>4.1357361364827303E-2</c:v>
                </c:pt>
                <c:pt idx="13">
                  <c:v>4.2544252723376308E-2</c:v>
                </c:pt>
                <c:pt idx="14">
                  <c:v>4.0867012811937331E-2</c:v>
                </c:pt>
                <c:pt idx="15">
                  <c:v>4.0895336735266602E-2</c:v>
                </c:pt>
                <c:pt idx="16">
                  <c:v>4.2146368164613292E-2</c:v>
                </c:pt>
                <c:pt idx="17">
                  <c:v>3.9812483177238518E-2</c:v>
                </c:pt>
                <c:pt idx="18">
                  <c:v>4.1029717479828913E-2</c:v>
                </c:pt>
                <c:pt idx="19">
                  <c:v>3.948813496486784E-2</c:v>
                </c:pt>
                <c:pt idx="20">
                  <c:v>3.7262844733456903E-2</c:v>
                </c:pt>
                <c:pt idx="21">
                  <c:v>2.0428036738849669E-2</c:v>
                </c:pt>
                <c:pt idx="22">
                  <c:v>2.5522767933547345E-2</c:v>
                </c:pt>
                <c:pt idx="23">
                  <c:v>1.2796254446659043E-2</c:v>
                </c:pt>
                <c:pt idx="24">
                  <c:v>2.5145673674986057E-2</c:v>
                </c:pt>
                <c:pt idx="25">
                  <c:v>2.4558445050244872E-2</c:v>
                </c:pt>
                <c:pt idx="26">
                  <c:v>3.4160682617348365E-2</c:v>
                </c:pt>
                <c:pt idx="27">
                  <c:v>3.4717154247047063E-2</c:v>
                </c:pt>
                <c:pt idx="28">
                  <c:v>3.6584014271691188E-2</c:v>
                </c:pt>
                <c:pt idx="29">
                  <c:v>3.0114708669222119E-2</c:v>
                </c:pt>
                <c:pt idx="30">
                  <c:v>3.4516320836732658E-2</c:v>
                </c:pt>
                <c:pt idx="31">
                  <c:v>3.286062538715144E-2</c:v>
                </c:pt>
                <c:pt idx="32">
                  <c:v>3.2710338102484922E-2</c:v>
                </c:pt>
                <c:pt idx="33">
                  <c:v>3.6218765468846316E-2</c:v>
                </c:pt>
                <c:pt idx="34">
                  <c:v>4.2487346401135918E-2</c:v>
                </c:pt>
                <c:pt idx="35">
                  <c:v>3.688105095172875E-2</c:v>
                </c:pt>
                <c:pt idx="36">
                  <c:v>3.9854344336106601E-2</c:v>
                </c:pt>
                <c:pt idx="37">
                  <c:v>4.1679400149720068E-2</c:v>
                </c:pt>
                <c:pt idx="38">
                  <c:v>4.4777988582292316E-2</c:v>
                </c:pt>
                <c:pt idx="39">
                  <c:v>4.379099844508353E-2</c:v>
                </c:pt>
                <c:pt idx="40">
                  <c:v>4.1046735822453211E-2</c:v>
                </c:pt>
                <c:pt idx="41">
                  <c:v>4.1016705033037733E-2</c:v>
                </c:pt>
                <c:pt idx="42">
                  <c:v>4.5096602269679799E-2</c:v>
                </c:pt>
                <c:pt idx="43">
                  <c:v>4.4123132607634813E-2</c:v>
                </c:pt>
                <c:pt idx="44">
                  <c:v>4.8946757360597698E-2</c:v>
                </c:pt>
                <c:pt idx="45">
                  <c:v>5.3744325180775043E-2</c:v>
                </c:pt>
                <c:pt idx="46">
                  <c:v>5.3541262685076974E-2</c:v>
                </c:pt>
                <c:pt idx="47">
                  <c:v>4.5532445933136087E-2</c:v>
                </c:pt>
                <c:pt idx="48">
                  <c:v>4.8022012264693159E-2</c:v>
                </c:pt>
                <c:pt idx="49">
                  <c:v>4.7058152622738762E-2</c:v>
                </c:pt>
                <c:pt idx="50">
                  <c:v>4.5857718164654948E-2</c:v>
                </c:pt>
                <c:pt idx="51">
                  <c:v>4.7904991337183019E-2</c:v>
                </c:pt>
                <c:pt idx="52">
                  <c:v>4.815551633726723E-2</c:v>
                </c:pt>
                <c:pt idx="53">
                  <c:v>5.1047521389480176E-2</c:v>
                </c:pt>
                <c:pt idx="54">
                  <c:v>5.2241664135308383E-2</c:v>
                </c:pt>
                <c:pt idx="55">
                  <c:v>5.3734037218900618E-2</c:v>
                </c:pt>
                <c:pt idx="56">
                  <c:v>4.4271678060238129E-2</c:v>
                </c:pt>
                <c:pt idx="57">
                  <c:v>4.1651612584116759E-2</c:v>
                </c:pt>
                <c:pt idx="58">
                  <c:v>3.9963365021204053E-2</c:v>
                </c:pt>
                <c:pt idx="59">
                  <c:v>4.0418333628768677E-2</c:v>
                </c:pt>
                <c:pt idx="60">
                  <c:v>4.4383474099757014E-2</c:v>
                </c:pt>
                <c:pt idx="61">
                  <c:v>4.4651171307582518E-2</c:v>
                </c:pt>
                <c:pt idx="62">
                  <c:v>4.47688189408025E-2</c:v>
                </c:pt>
                <c:pt idx="63">
                  <c:v>4.5721010820825025E-2</c:v>
                </c:pt>
                <c:pt idx="64">
                  <c:v>4.4494366512328291E-2</c:v>
                </c:pt>
                <c:pt idx="65">
                  <c:v>4.3458846186107729E-2</c:v>
                </c:pt>
                <c:pt idx="66">
                  <c:v>4.1926075085161461E-2</c:v>
                </c:pt>
                <c:pt idx="67">
                  <c:v>4.386986340085252E-2</c:v>
                </c:pt>
                <c:pt idx="68">
                  <c:v>4.5430218236866139E-2</c:v>
                </c:pt>
                <c:pt idx="69">
                  <c:v>4.5178637456167764E-2</c:v>
                </c:pt>
                <c:pt idx="70">
                  <c:v>4.5721050252458116E-2</c:v>
                </c:pt>
                <c:pt idx="71">
                  <c:v>4.58214562990912E-2</c:v>
                </c:pt>
                <c:pt idx="72">
                  <c:v>4.6581413349348511E-2</c:v>
                </c:pt>
                <c:pt idx="73">
                  <c:v>4.8474270934316492E-2</c:v>
                </c:pt>
                <c:pt idx="74">
                  <c:v>4.8406026721201749E-2</c:v>
                </c:pt>
                <c:pt idx="75">
                  <c:v>4.6501030699390669E-2</c:v>
                </c:pt>
                <c:pt idx="76">
                  <c:v>4.6614572633604967E-2</c:v>
                </c:pt>
                <c:pt idx="77">
                  <c:v>4.3451872510275498E-2</c:v>
                </c:pt>
                <c:pt idx="78">
                  <c:v>4.2502931499328676E-2</c:v>
                </c:pt>
                <c:pt idx="79">
                  <c:v>4.1159153767684808E-2</c:v>
                </c:pt>
                <c:pt idx="80">
                  <c:v>4.276406570895392E-2</c:v>
                </c:pt>
                <c:pt idx="81">
                  <c:v>4.4503668553808995E-2</c:v>
                </c:pt>
                <c:pt idx="82">
                  <c:v>4.3429488790572263E-2</c:v>
                </c:pt>
                <c:pt idx="83">
                  <c:v>3.8640335524398925E-2</c:v>
                </c:pt>
                <c:pt idx="84">
                  <c:v>3.9447042771275198E-2</c:v>
                </c:pt>
                <c:pt idx="85">
                  <c:v>4.0571397174204195E-2</c:v>
                </c:pt>
                <c:pt idx="86">
                  <c:v>3.7779674551853132E-2</c:v>
                </c:pt>
                <c:pt idx="87">
                  <c:v>3.8120183049344079E-2</c:v>
                </c:pt>
                <c:pt idx="88">
                  <c:v>4.0549499571034084E-2</c:v>
                </c:pt>
                <c:pt idx="89">
                  <c:v>3.9561815010008619E-2</c:v>
                </c:pt>
                <c:pt idx="90">
                  <c:v>3.7136153216059613E-2</c:v>
                </c:pt>
                <c:pt idx="91">
                  <c:v>3.7030249480493944E-2</c:v>
                </c:pt>
                <c:pt idx="92">
                  <c:v>3.5965171352527178E-2</c:v>
                </c:pt>
                <c:pt idx="93">
                  <c:v>3.5713851844496838E-2</c:v>
                </c:pt>
                <c:pt idx="94">
                  <c:v>3.5304957626241001E-2</c:v>
                </c:pt>
                <c:pt idx="95">
                  <c:v>3.1296084406494971E-2</c:v>
                </c:pt>
                <c:pt idx="96">
                  <c:v>2.9033461100035598E-2</c:v>
                </c:pt>
                <c:pt idx="97">
                  <c:v>3.0271568898388689E-2</c:v>
                </c:pt>
                <c:pt idx="98">
                  <c:v>3.0730056077522869E-2</c:v>
                </c:pt>
                <c:pt idx="99">
                  <c:v>3.5127117180159019E-2</c:v>
                </c:pt>
                <c:pt idx="100">
                  <c:v>3.6975004210095537E-2</c:v>
                </c:pt>
                <c:pt idx="101">
                  <c:v>4.0085457596518825E-2</c:v>
                </c:pt>
                <c:pt idx="102">
                  <c:v>3.820506975977047E-2</c:v>
                </c:pt>
                <c:pt idx="103">
                  <c:v>3.7658480879278249E-2</c:v>
                </c:pt>
                <c:pt idx="104">
                  <c:v>4.0941123885480962E-2</c:v>
                </c:pt>
                <c:pt idx="105">
                  <c:v>3.9419778345142459E-2</c:v>
                </c:pt>
                <c:pt idx="106">
                  <c:v>4.025233580108805E-2</c:v>
                </c:pt>
                <c:pt idx="107">
                  <c:v>3.9343339471628151E-2</c:v>
                </c:pt>
                <c:pt idx="108">
                  <c:v>4.0436326339888515E-2</c:v>
                </c:pt>
                <c:pt idx="109">
                  <c:v>4.1442599144183176E-2</c:v>
                </c:pt>
                <c:pt idx="110">
                  <c:v>4.091746271283158E-2</c:v>
                </c:pt>
                <c:pt idx="111">
                  <c:v>4.2548023018552469E-2</c:v>
                </c:pt>
                <c:pt idx="112">
                  <c:v>4.1662739007592896E-2</c:v>
                </c:pt>
                <c:pt idx="113">
                  <c:v>4.0731995137580662E-2</c:v>
                </c:pt>
                <c:pt idx="114">
                  <c:v>3.7397736021259828E-2</c:v>
                </c:pt>
                <c:pt idx="115">
                  <c:v>3.5148657734947429E-2</c:v>
                </c:pt>
                <c:pt idx="116">
                  <c:v>3.7173803584251507E-2</c:v>
                </c:pt>
                <c:pt idx="117">
                  <c:v>3.9349533140912323E-2</c:v>
                </c:pt>
                <c:pt idx="118">
                  <c:v>3.7370104751269131E-2</c:v>
                </c:pt>
                <c:pt idx="119">
                  <c:v>3.5954136842839803E-2</c:v>
                </c:pt>
                <c:pt idx="120">
                  <c:v>3.5957035499734495E-2</c:v>
                </c:pt>
                <c:pt idx="121">
                  <c:v>3.718093151296134E-2</c:v>
                </c:pt>
                <c:pt idx="122">
                  <c:v>3.7428282559385476E-2</c:v>
                </c:pt>
                <c:pt idx="123">
                  <c:v>4.0684587231894297E-2</c:v>
                </c:pt>
                <c:pt idx="124">
                  <c:v>4.0217989413693998E-2</c:v>
                </c:pt>
                <c:pt idx="125">
                  <c:v>3.6580314244085109E-2</c:v>
                </c:pt>
                <c:pt idx="126">
                  <c:v>3.8703723013516898E-2</c:v>
                </c:pt>
                <c:pt idx="127">
                  <c:v>3.8028567550284872E-2</c:v>
                </c:pt>
                <c:pt idx="128">
                  <c:v>3.7273879938393394E-2</c:v>
                </c:pt>
                <c:pt idx="129">
                  <c:v>3.6782833034893464E-2</c:v>
                </c:pt>
                <c:pt idx="130">
                  <c:v>3.4602255813210352E-2</c:v>
                </c:pt>
                <c:pt idx="131">
                  <c:v>3.20126742009266E-2</c:v>
                </c:pt>
                <c:pt idx="132">
                  <c:v>3.0087115584354153E-2</c:v>
                </c:pt>
                <c:pt idx="133">
                  <c:v>3.2208421395794655E-2</c:v>
                </c:pt>
                <c:pt idx="134">
                  <c:v>3.2085175076024E-2</c:v>
                </c:pt>
                <c:pt idx="135">
                  <c:v>3.1453651398086868E-2</c:v>
                </c:pt>
                <c:pt idx="136">
                  <c:v>3.0537376207438745E-2</c:v>
                </c:pt>
                <c:pt idx="137">
                  <c:v>3.0738798445284189E-2</c:v>
                </c:pt>
                <c:pt idx="138">
                  <c:v>3.074224899848069E-2</c:v>
                </c:pt>
                <c:pt idx="139">
                  <c:v>3.2221203028600605E-2</c:v>
                </c:pt>
                <c:pt idx="140">
                  <c:v>3.2444997897034755E-2</c:v>
                </c:pt>
                <c:pt idx="141">
                  <c:v>3.6837559062382681E-2</c:v>
                </c:pt>
                <c:pt idx="142">
                  <c:v>3.8364498878822692E-2</c:v>
                </c:pt>
                <c:pt idx="143">
                  <c:v>3.6098449708150002E-2</c:v>
                </c:pt>
                <c:pt idx="144">
                  <c:v>3.8963811540534826E-2</c:v>
                </c:pt>
                <c:pt idx="145">
                  <c:v>3.9567751158617083E-2</c:v>
                </c:pt>
                <c:pt idx="146">
                  <c:v>3.9980151938573891E-2</c:v>
                </c:pt>
                <c:pt idx="147">
                  <c:v>3.9659201018435668E-2</c:v>
                </c:pt>
                <c:pt idx="148">
                  <c:v>3.806483721187473E-2</c:v>
                </c:pt>
                <c:pt idx="149">
                  <c:v>3.8923016102106543E-2</c:v>
                </c:pt>
                <c:pt idx="150">
                  <c:v>3.9806654678491461E-2</c:v>
                </c:pt>
                <c:pt idx="151">
                  <c:v>3.4580699441359088E-2</c:v>
                </c:pt>
                <c:pt idx="152">
                  <c:v>3.5204794947940987E-2</c:v>
                </c:pt>
                <c:pt idx="153">
                  <c:v>3.5056721558906448E-2</c:v>
                </c:pt>
                <c:pt idx="154">
                  <c:v>3.2548090933533919E-2</c:v>
                </c:pt>
                <c:pt idx="155">
                  <c:v>3.2124914479733833E-2</c:v>
                </c:pt>
                <c:pt idx="156">
                  <c:v>3.3221782841815137E-2</c:v>
                </c:pt>
                <c:pt idx="157">
                  <c:v>3.2251052785110784E-2</c:v>
                </c:pt>
                <c:pt idx="158">
                  <c:v>2.8562671345575524E-2</c:v>
                </c:pt>
                <c:pt idx="159">
                  <c:v>2.9279344006356418E-2</c:v>
                </c:pt>
                <c:pt idx="160">
                  <c:v>3.3671670785181976E-2</c:v>
                </c:pt>
                <c:pt idx="161">
                  <c:v>3.3803789787105E-2</c:v>
                </c:pt>
                <c:pt idx="162">
                  <c:v>2.9968831609391667E-2</c:v>
                </c:pt>
                <c:pt idx="163">
                  <c:v>3.1100092668600476E-2</c:v>
                </c:pt>
                <c:pt idx="164">
                  <c:v>3.3009351918708164E-2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5B-4E24-BB24-13654BDDD5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4985967"/>
        <c:axId val="194774511"/>
      </c:lineChart>
      <c:dateAx>
        <c:axId val="4649859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m/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774511"/>
        <c:crosses val="autoZero"/>
        <c:auto val="1"/>
        <c:lblOffset val="100"/>
        <c:baseTimeUnit val="days"/>
      </c:dateAx>
      <c:valAx>
        <c:axId val="194774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Beta</a:t>
                </a:r>
                <a:r>
                  <a:rPr lang="en-US" baseline="0"/>
                  <a:t> 1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985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Beta 2 - Actual Vs 1 Month Forecast</a:t>
            </a:r>
            <a:endParaRPr lang="en-US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1" i="0" u="none" strike="noStrike" kern="1200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B2 - Actual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Forecast_1m!$A$4:$A$168</c:f>
              <c:numCache>
                <c:formatCode>dd/mm/yyyy</c:formatCode>
                <c:ptCount val="165"/>
                <c:pt idx="0">
                  <c:v>39141</c:v>
                </c:pt>
                <c:pt idx="1">
                  <c:v>39169</c:v>
                </c:pt>
                <c:pt idx="2">
                  <c:v>39197</c:v>
                </c:pt>
                <c:pt idx="3">
                  <c:v>39232</c:v>
                </c:pt>
                <c:pt idx="4">
                  <c:v>39260</c:v>
                </c:pt>
                <c:pt idx="5">
                  <c:v>39288</c:v>
                </c:pt>
                <c:pt idx="6">
                  <c:v>39323</c:v>
                </c:pt>
                <c:pt idx="7">
                  <c:v>39351</c:v>
                </c:pt>
                <c:pt idx="8">
                  <c:v>39386</c:v>
                </c:pt>
                <c:pt idx="9">
                  <c:v>39414</c:v>
                </c:pt>
                <c:pt idx="10">
                  <c:v>39442</c:v>
                </c:pt>
                <c:pt idx="11">
                  <c:v>39477</c:v>
                </c:pt>
                <c:pt idx="12">
                  <c:v>39505</c:v>
                </c:pt>
                <c:pt idx="13">
                  <c:v>39533</c:v>
                </c:pt>
                <c:pt idx="14">
                  <c:v>39568</c:v>
                </c:pt>
                <c:pt idx="15">
                  <c:v>39596</c:v>
                </c:pt>
                <c:pt idx="16">
                  <c:v>39624</c:v>
                </c:pt>
                <c:pt idx="17">
                  <c:v>39659</c:v>
                </c:pt>
                <c:pt idx="18">
                  <c:v>39687</c:v>
                </c:pt>
                <c:pt idx="19">
                  <c:v>39715</c:v>
                </c:pt>
                <c:pt idx="20">
                  <c:v>39750</c:v>
                </c:pt>
                <c:pt idx="21">
                  <c:v>39778</c:v>
                </c:pt>
                <c:pt idx="22">
                  <c:v>39813</c:v>
                </c:pt>
                <c:pt idx="23">
                  <c:v>39841</c:v>
                </c:pt>
                <c:pt idx="24">
                  <c:v>39869</c:v>
                </c:pt>
                <c:pt idx="25">
                  <c:v>39897</c:v>
                </c:pt>
                <c:pt idx="26">
                  <c:v>39932</c:v>
                </c:pt>
                <c:pt idx="27">
                  <c:v>39960</c:v>
                </c:pt>
                <c:pt idx="28">
                  <c:v>39988</c:v>
                </c:pt>
                <c:pt idx="29">
                  <c:v>40023</c:v>
                </c:pt>
                <c:pt idx="30">
                  <c:v>40051</c:v>
                </c:pt>
                <c:pt idx="31">
                  <c:v>40086</c:v>
                </c:pt>
                <c:pt idx="32">
                  <c:v>40114</c:v>
                </c:pt>
                <c:pt idx="33">
                  <c:v>40142</c:v>
                </c:pt>
                <c:pt idx="34">
                  <c:v>40177</c:v>
                </c:pt>
                <c:pt idx="35">
                  <c:v>40205</c:v>
                </c:pt>
                <c:pt idx="36">
                  <c:v>40233</c:v>
                </c:pt>
                <c:pt idx="37">
                  <c:v>40268</c:v>
                </c:pt>
                <c:pt idx="38">
                  <c:v>40296</c:v>
                </c:pt>
                <c:pt idx="39">
                  <c:v>40324</c:v>
                </c:pt>
                <c:pt idx="40">
                  <c:v>40359</c:v>
                </c:pt>
                <c:pt idx="41">
                  <c:v>40387</c:v>
                </c:pt>
                <c:pt idx="42">
                  <c:v>40415</c:v>
                </c:pt>
                <c:pt idx="43">
                  <c:v>40450</c:v>
                </c:pt>
                <c:pt idx="44">
                  <c:v>40478</c:v>
                </c:pt>
                <c:pt idx="45">
                  <c:v>40506</c:v>
                </c:pt>
                <c:pt idx="46">
                  <c:v>40541</c:v>
                </c:pt>
                <c:pt idx="47">
                  <c:v>40569</c:v>
                </c:pt>
                <c:pt idx="48">
                  <c:v>40597</c:v>
                </c:pt>
                <c:pt idx="49">
                  <c:v>40632</c:v>
                </c:pt>
                <c:pt idx="50">
                  <c:v>40660</c:v>
                </c:pt>
                <c:pt idx="51">
                  <c:v>40688</c:v>
                </c:pt>
                <c:pt idx="52">
                  <c:v>40723</c:v>
                </c:pt>
                <c:pt idx="53">
                  <c:v>40751</c:v>
                </c:pt>
                <c:pt idx="54">
                  <c:v>40786</c:v>
                </c:pt>
                <c:pt idx="55">
                  <c:v>40814</c:v>
                </c:pt>
                <c:pt idx="56">
                  <c:v>40842</c:v>
                </c:pt>
                <c:pt idx="57">
                  <c:v>40877</c:v>
                </c:pt>
                <c:pt idx="58">
                  <c:v>40905</c:v>
                </c:pt>
                <c:pt idx="59">
                  <c:v>40933</c:v>
                </c:pt>
                <c:pt idx="60">
                  <c:v>40968</c:v>
                </c:pt>
                <c:pt idx="61">
                  <c:v>40996</c:v>
                </c:pt>
                <c:pt idx="62">
                  <c:v>41024</c:v>
                </c:pt>
                <c:pt idx="63">
                  <c:v>41059</c:v>
                </c:pt>
                <c:pt idx="64">
                  <c:v>41087</c:v>
                </c:pt>
                <c:pt idx="65">
                  <c:v>41115</c:v>
                </c:pt>
                <c:pt idx="66">
                  <c:v>41150</c:v>
                </c:pt>
                <c:pt idx="67">
                  <c:v>41178</c:v>
                </c:pt>
                <c:pt idx="68">
                  <c:v>41213</c:v>
                </c:pt>
                <c:pt idx="69">
                  <c:v>41241</c:v>
                </c:pt>
                <c:pt idx="70">
                  <c:v>41269</c:v>
                </c:pt>
                <c:pt idx="71">
                  <c:v>41304</c:v>
                </c:pt>
                <c:pt idx="72">
                  <c:v>41332</c:v>
                </c:pt>
                <c:pt idx="73">
                  <c:v>41360</c:v>
                </c:pt>
                <c:pt idx="74">
                  <c:v>41388</c:v>
                </c:pt>
                <c:pt idx="75">
                  <c:v>41423</c:v>
                </c:pt>
                <c:pt idx="76">
                  <c:v>41451</c:v>
                </c:pt>
                <c:pt idx="77">
                  <c:v>41486</c:v>
                </c:pt>
                <c:pt idx="78">
                  <c:v>41514</c:v>
                </c:pt>
                <c:pt idx="79">
                  <c:v>41542</c:v>
                </c:pt>
                <c:pt idx="80">
                  <c:v>41577</c:v>
                </c:pt>
                <c:pt idx="81">
                  <c:v>41605</c:v>
                </c:pt>
                <c:pt idx="82">
                  <c:v>41633</c:v>
                </c:pt>
                <c:pt idx="83">
                  <c:v>41668</c:v>
                </c:pt>
                <c:pt idx="84">
                  <c:v>41696</c:v>
                </c:pt>
                <c:pt idx="85">
                  <c:v>41724</c:v>
                </c:pt>
                <c:pt idx="86">
                  <c:v>41759</c:v>
                </c:pt>
                <c:pt idx="87">
                  <c:v>41787</c:v>
                </c:pt>
                <c:pt idx="88">
                  <c:v>41815</c:v>
                </c:pt>
                <c:pt idx="89">
                  <c:v>41850</c:v>
                </c:pt>
                <c:pt idx="90">
                  <c:v>41878</c:v>
                </c:pt>
                <c:pt idx="91">
                  <c:v>41906</c:v>
                </c:pt>
                <c:pt idx="92">
                  <c:v>41941</c:v>
                </c:pt>
                <c:pt idx="93">
                  <c:v>41969</c:v>
                </c:pt>
                <c:pt idx="94">
                  <c:v>42004</c:v>
                </c:pt>
                <c:pt idx="95">
                  <c:v>42032</c:v>
                </c:pt>
                <c:pt idx="96">
                  <c:v>42060</c:v>
                </c:pt>
                <c:pt idx="97">
                  <c:v>42088</c:v>
                </c:pt>
                <c:pt idx="98">
                  <c:v>42123</c:v>
                </c:pt>
                <c:pt idx="99">
                  <c:v>42151</c:v>
                </c:pt>
                <c:pt idx="100">
                  <c:v>42179</c:v>
                </c:pt>
                <c:pt idx="101">
                  <c:v>42214</c:v>
                </c:pt>
                <c:pt idx="102">
                  <c:v>42242</c:v>
                </c:pt>
                <c:pt idx="103">
                  <c:v>42277</c:v>
                </c:pt>
                <c:pt idx="104">
                  <c:v>42305</c:v>
                </c:pt>
                <c:pt idx="105">
                  <c:v>42333</c:v>
                </c:pt>
                <c:pt idx="106">
                  <c:v>42368</c:v>
                </c:pt>
                <c:pt idx="107">
                  <c:v>42396</c:v>
                </c:pt>
                <c:pt idx="108">
                  <c:v>42424</c:v>
                </c:pt>
                <c:pt idx="109">
                  <c:v>42459</c:v>
                </c:pt>
                <c:pt idx="110">
                  <c:v>42487</c:v>
                </c:pt>
                <c:pt idx="111">
                  <c:v>42515</c:v>
                </c:pt>
                <c:pt idx="112">
                  <c:v>42550</c:v>
                </c:pt>
                <c:pt idx="113">
                  <c:v>42578</c:v>
                </c:pt>
                <c:pt idx="114">
                  <c:v>42613</c:v>
                </c:pt>
                <c:pt idx="115">
                  <c:v>42641</c:v>
                </c:pt>
                <c:pt idx="116">
                  <c:v>42669</c:v>
                </c:pt>
                <c:pt idx="117">
                  <c:v>42704</c:v>
                </c:pt>
                <c:pt idx="118">
                  <c:v>42732</c:v>
                </c:pt>
                <c:pt idx="119">
                  <c:v>42760</c:v>
                </c:pt>
                <c:pt idx="120">
                  <c:v>42788</c:v>
                </c:pt>
                <c:pt idx="121">
                  <c:v>42823</c:v>
                </c:pt>
                <c:pt idx="122">
                  <c:v>42851</c:v>
                </c:pt>
                <c:pt idx="123">
                  <c:v>42886</c:v>
                </c:pt>
                <c:pt idx="124">
                  <c:v>42914</c:v>
                </c:pt>
                <c:pt idx="125">
                  <c:v>42942</c:v>
                </c:pt>
                <c:pt idx="126">
                  <c:v>42977</c:v>
                </c:pt>
                <c:pt idx="127">
                  <c:v>43005</c:v>
                </c:pt>
                <c:pt idx="128">
                  <c:v>43033</c:v>
                </c:pt>
                <c:pt idx="129">
                  <c:v>43068</c:v>
                </c:pt>
                <c:pt idx="130">
                  <c:v>43096</c:v>
                </c:pt>
                <c:pt idx="131">
                  <c:v>43131</c:v>
                </c:pt>
                <c:pt idx="132">
                  <c:v>43159</c:v>
                </c:pt>
                <c:pt idx="133">
                  <c:v>43187</c:v>
                </c:pt>
                <c:pt idx="134">
                  <c:v>43215</c:v>
                </c:pt>
                <c:pt idx="135">
                  <c:v>43250</c:v>
                </c:pt>
                <c:pt idx="136">
                  <c:v>43278</c:v>
                </c:pt>
                <c:pt idx="137">
                  <c:v>43306</c:v>
                </c:pt>
                <c:pt idx="138">
                  <c:v>43341</c:v>
                </c:pt>
                <c:pt idx="139">
                  <c:v>43369</c:v>
                </c:pt>
                <c:pt idx="140">
                  <c:v>43404</c:v>
                </c:pt>
                <c:pt idx="141">
                  <c:v>43432</c:v>
                </c:pt>
                <c:pt idx="142">
                  <c:v>43460</c:v>
                </c:pt>
                <c:pt idx="143">
                  <c:v>43495</c:v>
                </c:pt>
                <c:pt idx="144">
                  <c:v>43523</c:v>
                </c:pt>
                <c:pt idx="145">
                  <c:v>43551</c:v>
                </c:pt>
                <c:pt idx="146">
                  <c:v>43579</c:v>
                </c:pt>
                <c:pt idx="147">
                  <c:v>43614</c:v>
                </c:pt>
                <c:pt idx="148">
                  <c:v>43642</c:v>
                </c:pt>
                <c:pt idx="149">
                  <c:v>43677</c:v>
                </c:pt>
                <c:pt idx="150">
                  <c:v>43705</c:v>
                </c:pt>
                <c:pt idx="151">
                  <c:v>43733</c:v>
                </c:pt>
                <c:pt idx="152">
                  <c:v>43768</c:v>
                </c:pt>
                <c:pt idx="153">
                  <c:v>43796</c:v>
                </c:pt>
                <c:pt idx="154">
                  <c:v>43824</c:v>
                </c:pt>
                <c:pt idx="155">
                  <c:v>43859</c:v>
                </c:pt>
                <c:pt idx="156">
                  <c:v>43887</c:v>
                </c:pt>
                <c:pt idx="157">
                  <c:v>43915</c:v>
                </c:pt>
                <c:pt idx="158">
                  <c:v>43950</c:v>
                </c:pt>
                <c:pt idx="159">
                  <c:v>43978</c:v>
                </c:pt>
                <c:pt idx="160">
                  <c:v>44006</c:v>
                </c:pt>
                <c:pt idx="161">
                  <c:v>44041</c:v>
                </c:pt>
                <c:pt idx="162">
                  <c:v>44069</c:v>
                </c:pt>
                <c:pt idx="163">
                  <c:v>44104</c:v>
                </c:pt>
                <c:pt idx="164">
                  <c:v>44118</c:v>
                </c:pt>
              </c:numCache>
            </c:numRef>
          </c:cat>
          <c:val>
            <c:numRef>
              <c:f>Forecast_1m!$C$4:$C$168</c:f>
              <c:numCache>
                <c:formatCode>General</c:formatCode>
                <c:ptCount val="165"/>
                <c:pt idx="0">
                  <c:v>9.3182806625371692E-3</c:v>
                </c:pt>
                <c:pt idx="1">
                  <c:v>6.46284971765406E-3</c:v>
                </c:pt>
                <c:pt idx="2">
                  <c:v>6.68130483055093E-3</c:v>
                </c:pt>
                <c:pt idx="3">
                  <c:v>1.7343002477431999E-3</c:v>
                </c:pt>
                <c:pt idx="4">
                  <c:v>1.5835218377349899E-3</c:v>
                </c:pt>
                <c:pt idx="5">
                  <c:v>6.5507908549831103E-3</c:v>
                </c:pt>
                <c:pt idx="6">
                  <c:v>-7.26666156361377E-3</c:v>
                </c:pt>
                <c:pt idx="7">
                  <c:v>-4.3609726438250101E-3</c:v>
                </c:pt>
                <c:pt idx="8" formatCode="0.00E+00">
                  <c:v>-2.7429905603865099E-5</c:v>
                </c:pt>
                <c:pt idx="9">
                  <c:v>-5.5512746444606699E-3</c:v>
                </c:pt>
                <c:pt idx="10">
                  <c:v>-5.3075191909146002E-3</c:v>
                </c:pt>
                <c:pt idx="11">
                  <c:v>-1.44104121964551E-2</c:v>
                </c:pt>
                <c:pt idx="12">
                  <c:v>-1.7930625925524999E-2</c:v>
                </c:pt>
                <c:pt idx="13">
                  <c:v>-2.23144866726562E-2</c:v>
                </c:pt>
                <c:pt idx="14">
                  <c:v>-2.3718313071229801E-2</c:v>
                </c:pt>
                <c:pt idx="15">
                  <c:v>-2.3878897894552501E-2</c:v>
                </c:pt>
                <c:pt idx="16">
                  <c:v>-2.09380211726354E-2</c:v>
                </c:pt>
                <c:pt idx="17">
                  <c:v>-2.4290197176285999E-2</c:v>
                </c:pt>
                <c:pt idx="18">
                  <c:v>-2.0863104386706698E-2</c:v>
                </c:pt>
                <c:pt idx="19">
                  <c:v>-2.81343719069653E-2</c:v>
                </c:pt>
                <c:pt idx="20">
                  <c:v>-3.2970771761288899E-3</c:v>
                </c:pt>
                <c:pt idx="21">
                  <c:v>-1.8633568848950999E-2</c:v>
                </c:pt>
                <c:pt idx="22">
                  <c:v>-7.5042343254731704E-4</c:v>
                </c:pt>
                <c:pt idx="23">
                  <c:v>-1.5029967186275099E-2</c:v>
                </c:pt>
                <c:pt idx="24">
                  <c:v>-1.43631873330051E-2</c:v>
                </c:pt>
                <c:pt idx="25">
                  <c:v>-2.7069743616807401E-2</c:v>
                </c:pt>
                <c:pt idx="26">
                  <c:v>-3.05139048530443E-2</c:v>
                </c:pt>
                <c:pt idx="27">
                  <c:v>-3.2312534875560697E-2</c:v>
                </c:pt>
                <c:pt idx="28">
                  <c:v>-2.7088393126406901E-2</c:v>
                </c:pt>
                <c:pt idx="29">
                  <c:v>-3.1739510541654602E-2</c:v>
                </c:pt>
                <c:pt idx="30">
                  <c:v>-2.96416271974684E-2</c:v>
                </c:pt>
                <c:pt idx="31">
                  <c:v>-2.94292782306762E-2</c:v>
                </c:pt>
                <c:pt idx="32">
                  <c:v>-3.4508725011523599E-2</c:v>
                </c:pt>
                <c:pt idx="33">
                  <c:v>-4.0806860939135402E-2</c:v>
                </c:pt>
                <c:pt idx="34">
                  <c:v>-3.61338109250217E-2</c:v>
                </c:pt>
                <c:pt idx="35">
                  <c:v>-3.9430769439591E-2</c:v>
                </c:pt>
                <c:pt idx="36">
                  <c:v>-4.0162809930465698E-2</c:v>
                </c:pt>
                <c:pt idx="37">
                  <c:v>-4.3472004990641702E-2</c:v>
                </c:pt>
                <c:pt idx="38">
                  <c:v>-4.2567102426525699E-2</c:v>
                </c:pt>
                <c:pt idx="39">
                  <c:v>-3.8505886388101797E-2</c:v>
                </c:pt>
                <c:pt idx="40">
                  <c:v>-3.5871311384425203E-2</c:v>
                </c:pt>
                <c:pt idx="41">
                  <c:v>-4.0817410780658703E-2</c:v>
                </c:pt>
                <c:pt idx="42">
                  <c:v>-3.9320386573308497E-2</c:v>
                </c:pt>
                <c:pt idx="43">
                  <c:v>-4.4341869057348701E-2</c:v>
                </c:pt>
                <c:pt idx="44">
                  <c:v>-4.9758748637224799E-2</c:v>
                </c:pt>
                <c:pt idx="45">
                  <c:v>-4.9961218293307699E-2</c:v>
                </c:pt>
                <c:pt idx="46">
                  <c:v>-4.19559721856693E-2</c:v>
                </c:pt>
                <c:pt idx="47">
                  <c:v>-4.4641413697599601E-2</c:v>
                </c:pt>
                <c:pt idx="48">
                  <c:v>-4.6295759450750401E-2</c:v>
                </c:pt>
                <c:pt idx="49">
                  <c:v>-4.5412896679900297E-2</c:v>
                </c:pt>
                <c:pt idx="50">
                  <c:v>-4.6989996332896203E-2</c:v>
                </c:pt>
                <c:pt idx="51">
                  <c:v>-4.5970448499810301E-2</c:v>
                </c:pt>
                <c:pt idx="52">
                  <c:v>-4.8339880066312402E-2</c:v>
                </c:pt>
                <c:pt idx="53">
                  <c:v>-4.8838668505349403E-2</c:v>
                </c:pt>
                <c:pt idx="54">
                  <c:v>-5.00130146781902E-2</c:v>
                </c:pt>
                <c:pt idx="55">
                  <c:v>-3.90154046717852E-2</c:v>
                </c:pt>
                <c:pt idx="56">
                  <c:v>-3.6452346382402301E-2</c:v>
                </c:pt>
                <c:pt idx="57">
                  <c:v>-3.42689244779215E-2</c:v>
                </c:pt>
                <c:pt idx="58">
                  <c:v>-3.5499756916020399E-2</c:v>
                </c:pt>
                <c:pt idx="59">
                  <c:v>-3.8506273455052101E-2</c:v>
                </c:pt>
                <c:pt idx="60">
                  <c:v>-3.9046001164700701E-2</c:v>
                </c:pt>
                <c:pt idx="61">
                  <c:v>-3.9389584387400402E-2</c:v>
                </c:pt>
                <c:pt idx="62">
                  <c:v>-3.9857874125557399E-2</c:v>
                </c:pt>
                <c:pt idx="63">
                  <c:v>-3.9520306264356903E-2</c:v>
                </c:pt>
                <c:pt idx="64">
                  <c:v>-3.8469242329777498E-2</c:v>
                </c:pt>
                <c:pt idx="65">
                  <c:v>-3.5506050292203099E-2</c:v>
                </c:pt>
                <c:pt idx="66">
                  <c:v>-3.7384950547947902E-2</c:v>
                </c:pt>
                <c:pt idx="67">
                  <c:v>-3.9443594280387899E-2</c:v>
                </c:pt>
                <c:pt idx="68">
                  <c:v>-3.9591915745621702E-2</c:v>
                </c:pt>
                <c:pt idx="69">
                  <c:v>-4.05320853672071E-2</c:v>
                </c:pt>
                <c:pt idx="70">
                  <c:v>-4.1434841698409698E-2</c:v>
                </c:pt>
                <c:pt idx="71">
                  <c:v>-4.2214037475649703E-2</c:v>
                </c:pt>
                <c:pt idx="72">
                  <c:v>-4.3818165313850403E-2</c:v>
                </c:pt>
                <c:pt idx="73">
                  <c:v>-4.3986740839109299E-2</c:v>
                </c:pt>
                <c:pt idx="74">
                  <c:v>-4.1729841409396999E-2</c:v>
                </c:pt>
                <c:pt idx="75">
                  <c:v>-4.24010527920652E-2</c:v>
                </c:pt>
                <c:pt idx="76">
                  <c:v>-3.9445243873507702E-2</c:v>
                </c:pt>
                <c:pt idx="77">
                  <c:v>-3.7896464541078798E-2</c:v>
                </c:pt>
                <c:pt idx="78">
                  <c:v>-3.7714778060441698E-2</c:v>
                </c:pt>
                <c:pt idx="79">
                  <c:v>-3.9293356106089E-2</c:v>
                </c:pt>
                <c:pt idx="80">
                  <c:v>-3.9821905032466201E-2</c:v>
                </c:pt>
                <c:pt idx="81">
                  <c:v>-3.7614995673290103E-2</c:v>
                </c:pt>
                <c:pt idx="82">
                  <c:v>-3.3965002586401401E-2</c:v>
                </c:pt>
                <c:pt idx="83">
                  <c:v>-3.5346801717434297E-2</c:v>
                </c:pt>
                <c:pt idx="84">
                  <c:v>-3.6194612415368997E-2</c:v>
                </c:pt>
                <c:pt idx="85">
                  <c:v>-3.5469347040321501E-2</c:v>
                </c:pt>
                <c:pt idx="86">
                  <c:v>-3.58116534158473E-2</c:v>
                </c:pt>
                <c:pt idx="87">
                  <c:v>-3.8584310489764899E-2</c:v>
                </c:pt>
                <c:pt idx="88">
                  <c:v>-3.834644341231E-2</c:v>
                </c:pt>
                <c:pt idx="89">
                  <c:v>-3.7019521918617002E-2</c:v>
                </c:pt>
                <c:pt idx="90">
                  <c:v>-3.7068301500434497E-2</c:v>
                </c:pt>
                <c:pt idx="91">
                  <c:v>-3.6662239809581297E-2</c:v>
                </c:pt>
                <c:pt idx="92">
                  <c:v>-3.5190952025915302E-2</c:v>
                </c:pt>
                <c:pt idx="93">
                  <c:v>-3.4652877943407601E-2</c:v>
                </c:pt>
                <c:pt idx="94">
                  <c:v>-3.1150011475161801E-2</c:v>
                </c:pt>
                <c:pt idx="95">
                  <c:v>-2.69342406687503E-2</c:v>
                </c:pt>
                <c:pt idx="96">
                  <c:v>-2.9218957462828699E-2</c:v>
                </c:pt>
                <c:pt idx="97">
                  <c:v>-2.8843834985035701E-2</c:v>
                </c:pt>
                <c:pt idx="98">
                  <c:v>-3.3897593127872203E-2</c:v>
                </c:pt>
                <c:pt idx="99">
                  <c:v>-3.68260021720202E-2</c:v>
                </c:pt>
                <c:pt idx="100">
                  <c:v>-4.0689616030669701E-2</c:v>
                </c:pt>
                <c:pt idx="101">
                  <c:v>-3.8103315805559097E-2</c:v>
                </c:pt>
                <c:pt idx="102">
                  <c:v>-3.5728104321810103E-2</c:v>
                </c:pt>
                <c:pt idx="103">
                  <c:v>-4.0271944452216497E-2</c:v>
                </c:pt>
                <c:pt idx="104">
                  <c:v>-3.78409962038301E-2</c:v>
                </c:pt>
                <c:pt idx="105">
                  <c:v>-3.7997148673300403E-2</c:v>
                </c:pt>
                <c:pt idx="106">
                  <c:v>-3.6537015521682599E-2</c:v>
                </c:pt>
                <c:pt idx="107">
                  <c:v>-3.5448487374218803E-2</c:v>
                </c:pt>
                <c:pt idx="108">
                  <c:v>-3.6223972187793198E-2</c:v>
                </c:pt>
                <c:pt idx="109">
                  <c:v>-3.6885699021302898E-2</c:v>
                </c:pt>
                <c:pt idx="110">
                  <c:v>-3.9477546823605103E-2</c:v>
                </c:pt>
                <c:pt idx="111">
                  <c:v>-3.7138395885979399E-2</c:v>
                </c:pt>
                <c:pt idx="112">
                  <c:v>-3.5667459707940101E-2</c:v>
                </c:pt>
                <c:pt idx="113">
                  <c:v>-3.166069106924E-2</c:v>
                </c:pt>
                <c:pt idx="114">
                  <c:v>-2.8755960735606399E-2</c:v>
                </c:pt>
                <c:pt idx="115">
                  <c:v>-3.1312438227212198E-2</c:v>
                </c:pt>
                <c:pt idx="116">
                  <c:v>-3.3532763629017998E-2</c:v>
                </c:pt>
                <c:pt idx="117">
                  <c:v>-3.1942557823032597E-2</c:v>
                </c:pt>
                <c:pt idx="118">
                  <c:v>-3.0961514666616199E-2</c:v>
                </c:pt>
                <c:pt idx="119">
                  <c:v>-3.0626389551929499E-2</c:v>
                </c:pt>
                <c:pt idx="120">
                  <c:v>-3.14981047171254E-2</c:v>
                </c:pt>
                <c:pt idx="121">
                  <c:v>-2.9811931130246001E-2</c:v>
                </c:pt>
                <c:pt idx="122">
                  <c:v>-3.2133028190651801E-2</c:v>
                </c:pt>
                <c:pt idx="123">
                  <c:v>-2.9546092684003399E-2</c:v>
                </c:pt>
                <c:pt idx="124">
                  <c:v>-2.4183871878813601E-2</c:v>
                </c:pt>
                <c:pt idx="125">
                  <c:v>-2.6810023673683701E-2</c:v>
                </c:pt>
                <c:pt idx="126">
                  <c:v>-2.59034656251101E-2</c:v>
                </c:pt>
                <c:pt idx="127">
                  <c:v>-2.5498940699152699E-2</c:v>
                </c:pt>
                <c:pt idx="128">
                  <c:v>-2.3673291626641901E-2</c:v>
                </c:pt>
                <c:pt idx="129">
                  <c:v>-1.9196711979483E-2</c:v>
                </c:pt>
                <c:pt idx="130">
                  <c:v>-1.53964009392859E-2</c:v>
                </c:pt>
                <c:pt idx="131">
                  <c:v>-1.2355285708798701E-2</c:v>
                </c:pt>
                <c:pt idx="132">
                  <c:v>-1.5321978416049599E-2</c:v>
                </c:pt>
                <c:pt idx="133">
                  <c:v>-1.4220633080133599E-2</c:v>
                </c:pt>
                <c:pt idx="134">
                  <c:v>-1.2034848543085201E-2</c:v>
                </c:pt>
                <c:pt idx="135">
                  <c:v>-9.3520555415721792E-3</c:v>
                </c:pt>
                <c:pt idx="136">
                  <c:v>-9.1055586915143993E-3</c:v>
                </c:pt>
                <c:pt idx="137">
                  <c:v>-8.1119485344443298E-3</c:v>
                </c:pt>
                <c:pt idx="138">
                  <c:v>-1.0491134725706199E-2</c:v>
                </c:pt>
                <c:pt idx="139">
                  <c:v>-1.06840064512098E-2</c:v>
                </c:pt>
                <c:pt idx="140">
                  <c:v>-1.39570573225135E-2</c:v>
                </c:pt>
                <c:pt idx="141">
                  <c:v>-1.49484397275791E-2</c:v>
                </c:pt>
                <c:pt idx="142">
                  <c:v>-1.0071152479175E-2</c:v>
                </c:pt>
                <c:pt idx="143">
                  <c:v>-1.3666906596897401E-2</c:v>
                </c:pt>
                <c:pt idx="144">
                  <c:v>-1.4064586534152801E-2</c:v>
                </c:pt>
                <c:pt idx="145">
                  <c:v>-1.35846271061606E-2</c:v>
                </c:pt>
                <c:pt idx="146">
                  <c:v>-1.42266172390295E-2</c:v>
                </c:pt>
                <c:pt idx="147">
                  <c:v>-1.0767377195917201E-2</c:v>
                </c:pt>
                <c:pt idx="148">
                  <c:v>-1.4248949337298899E-2</c:v>
                </c:pt>
                <c:pt idx="149">
                  <c:v>-1.5244242009962701E-2</c:v>
                </c:pt>
                <c:pt idx="150">
                  <c:v>-1.12017785740543E-2</c:v>
                </c:pt>
                <c:pt idx="151">
                  <c:v>-1.1194154132890899E-2</c:v>
                </c:pt>
                <c:pt idx="152">
                  <c:v>-1.40607992517596E-2</c:v>
                </c:pt>
                <c:pt idx="153">
                  <c:v>-1.08425897450488E-2</c:v>
                </c:pt>
                <c:pt idx="154">
                  <c:v>-1.1196901981507299E-2</c:v>
                </c:pt>
                <c:pt idx="155">
                  <c:v>-1.2517931525808001E-2</c:v>
                </c:pt>
                <c:pt idx="156">
                  <c:v>-1.24434154277108E-2</c:v>
                </c:pt>
                <c:pt idx="157">
                  <c:v>-2.2473714453093901E-2</c:v>
                </c:pt>
                <c:pt idx="158">
                  <c:v>-2.37958858440711E-2</c:v>
                </c:pt>
                <c:pt idx="159">
                  <c:v>-2.8649139735687501E-2</c:v>
                </c:pt>
                <c:pt idx="160">
                  <c:v>-2.7805280445508399E-2</c:v>
                </c:pt>
                <c:pt idx="161">
                  <c:v>-2.39793132589716E-2</c:v>
                </c:pt>
                <c:pt idx="162">
                  <c:v>-2.4991751975240999E-2</c:v>
                </c:pt>
                <c:pt idx="163">
                  <c:v>-2.7616011314390398E-2</c:v>
                </c:pt>
                <c:pt idx="164">
                  <c:v>-2.76490366922264E-2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BB-459E-8A8E-D5F60F31C713}"/>
            </c:ext>
          </c:extLst>
        </c:ser>
        <c:ser>
          <c:idx val="1"/>
          <c:order val="1"/>
          <c:tx>
            <c:v>B2 - 1 Month Forecast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Forecast_1m!$A$4:$A$168</c:f>
              <c:numCache>
                <c:formatCode>dd/mm/yyyy</c:formatCode>
                <c:ptCount val="165"/>
                <c:pt idx="0">
                  <c:v>39141</c:v>
                </c:pt>
                <c:pt idx="1">
                  <c:v>39169</c:v>
                </c:pt>
                <c:pt idx="2">
                  <c:v>39197</c:v>
                </c:pt>
                <c:pt idx="3">
                  <c:v>39232</c:v>
                </c:pt>
                <c:pt idx="4">
                  <c:v>39260</c:v>
                </c:pt>
                <c:pt idx="5">
                  <c:v>39288</c:v>
                </c:pt>
                <c:pt idx="6">
                  <c:v>39323</c:v>
                </c:pt>
                <c:pt idx="7">
                  <c:v>39351</c:v>
                </c:pt>
                <c:pt idx="8">
                  <c:v>39386</c:v>
                </c:pt>
                <c:pt idx="9">
                  <c:v>39414</c:v>
                </c:pt>
                <c:pt idx="10">
                  <c:v>39442</c:v>
                </c:pt>
                <c:pt idx="11">
                  <c:v>39477</c:v>
                </c:pt>
                <c:pt idx="12">
                  <c:v>39505</c:v>
                </c:pt>
                <c:pt idx="13">
                  <c:v>39533</c:v>
                </c:pt>
                <c:pt idx="14">
                  <c:v>39568</c:v>
                </c:pt>
                <c:pt idx="15">
                  <c:v>39596</c:v>
                </c:pt>
                <c:pt idx="16">
                  <c:v>39624</c:v>
                </c:pt>
                <c:pt idx="17">
                  <c:v>39659</c:v>
                </c:pt>
                <c:pt idx="18">
                  <c:v>39687</c:v>
                </c:pt>
                <c:pt idx="19">
                  <c:v>39715</c:v>
                </c:pt>
                <c:pt idx="20">
                  <c:v>39750</c:v>
                </c:pt>
                <c:pt idx="21">
                  <c:v>39778</c:v>
                </c:pt>
                <c:pt idx="22">
                  <c:v>39813</c:v>
                </c:pt>
                <c:pt idx="23">
                  <c:v>39841</c:v>
                </c:pt>
                <c:pt idx="24">
                  <c:v>39869</c:v>
                </c:pt>
                <c:pt idx="25">
                  <c:v>39897</c:v>
                </c:pt>
                <c:pt idx="26">
                  <c:v>39932</c:v>
                </c:pt>
                <c:pt idx="27">
                  <c:v>39960</c:v>
                </c:pt>
                <c:pt idx="28">
                  <c:v>39988</c:v>
                </c:pt>
                <c:pt idx="29">
                  <c:v>40023</c:v>
                </c:pt>
                <c:pt idx="30">
                  <c:v>40051</c:v>
                </c:pt>
                <c:pt idx="31">
                  <c:v>40086</c:v>
                </c:pt>
                <c:pt idx="32">
                  <c:v>40114</c:v>
                </c:pt>
                <c:pt idx="33">
                  <c:v>40142</c:v>
                </c:pt>
                <c:pt idx="34">
                  <c:v>40177</c:v>
                </c:pt>
                <c:pt idx="35">
                  <c:v>40205</c:v>
                </c:pt>
                <c:pt idx="36">
                  <c:v>40233</c:v>
                </c:pt>
                <c:pt idx="37">
                  <c:v>40268</c:v>
                </c:pt>
                <c:pt idx="38">
                  <c:v>40296</c:v>
                </c:pt>
                <c:pt idx="39">
                  <c:v>40324</c:v>
                </c:pt>
                <c:pt idx="40">
                  <c:v>40359</c:v>
                </c:pt>
                <c:pt idx="41">
                  <c:v>40387</c:v>
                </c:pt>
                <c:pt idx="42">
                  <c:v>40415</c:v>
                </c:pt>
                <c:pt idx="43">
                  <c:v>40450</c:v>
                </c:pt>
                <c:pt idx="44">
                  <c:v>40478</c:v>
                </c:pt>
                <c:pt idx="45">
                  <c:v>40506</c:v>
                </c:pt>
                <c:pt idx="46">
                  <c:v>40541</c:v>
                </c:pt>
                <c:pt idx="47">
                  <c:v>40569</c:v>
                </c:pt>
                <c:pt idx="48">
                  <c:v>40597</c:v>
                </c:pt>
                <c:pt idx="49">
                  <c:v>40632</c:v>
                </c:pt>
                <c:pt idx="50">
                  <c:v>40660</c:v>
                </c:pt>
                <c:pt idx="51">
                  <c:v>40688</c:v>
                </c:pt>
                <c:pt idx="52">
                  <c:v>40723</c:v>
                </c:pt>
                <c:pt idx="53">
                  <c:v>40751</c:v>
                </c:pt>
                <c:pt idx="54">
                  <c:v>40786</c:v>
                </c:pt>
                <c:pt idx="55">
                  <c:v>40814</c:v>
                </c:pt>
                <c:pt idx="56">
                  <c:v>40842</c:v>
                </c:pt>
                <c:pt idx="57">
                  <c:v>40877</c:v>
                </c:pt>
                <c:pt idx="58">
                  <c:v>40905</c:v>
                </c:pt>
                <c:pt idx="59">
                  <c:v>40933</c:v>
                </c:pt>
                <c:pt idx="60">
                  <c:v>40968</c:v>
                </c:pt>
                <c:pt idx="61">
                  <c:v>40996</c:v>
                </c:pt>
                <c:pt idx="62">
                  <c:v>41024</c:v>
                </c:pt>
                <c:pt idx="63">
                  <c:v>41059</c:v>
                </c:pt>
                <c:pt idx="64">
                  <c:v>41087</c:v>
                </c:pt>
                <c:pt idx="65">
                  <c:v>41115</c:v>
                </c:pt>
                <c:pt idx="66">
                  <c:v>41150</c:v>
                </c:pt>
                <c:pt idx="67">
                  <c:v>41178</c:v>
                </c:pt>
                <c:pt idx="68">
                  <c:v>41213</c:v>
                </c:pt>
                <c:pt idx="69">
                  <c:v>41241</c:v>
                </c:pt>
                <c:pt idx="70">
                  <c:v>41269</c:v>
                </c:pt>
                <c:pt idx="71">
                  <c:v>41304</c:v>
                </c:pt>
                <c:pt idx="72">
                  <c:v>41332</c:v>
                </c:pt>
                <c:pt idx="73">
                  <c:v>41360</c:v>
                </c:pt>
                <c:pt idx="74">
                  <c:v>41388</c:v>
                </c:pt>
                <c:pt idx="75">
                  <c:v>41423</c:v>
                </c:pt>
                <c:pt idx="76">
                  <c:v>41451</c:v>
                </c:pt>
                <c:pt idx="77">
                  <c:v>41486</c:v>
                </c:pt>
                <c:pt idx="78">
                  <c:v>41514</c:v>
                </c:pt>
                <c:pt idx="79">
                  <c:v>41542</c:v>
                </c:pt>
                <c:pt idx="80">
                  <c:v>41577</c:v>
                </c:pt>
                <c:pt idx="81">
                  <c:v>41605</c:v>
                </c:pt>
                <c:pt idx="82">
                  <c:v>41633</c:v>
                </c:pt>
                <c:pt idx="83">
                  <c:v>41668</c:v>
                </c:pt>
                <c:pt idx="84">
                  <c:v>41696</c:v>
                </c:pt>
                <c:pt idx="85">
                  <c:v>41724</c:v>
                </c:pt>
                <c:pt idx="86">
                  <c:v>41759</c:v>
                </c:pt>
                <c:pt idx="87">
                  <c:v>41787</c:v>
                </c:pt>
                <c:pt idx="88">
                  <c:v>41815</c:v>
                </c:pt>
                <c:pt idx="89">
                  <c:v>41850</c:v>
                </c:pt>
                <c:pt idx="90">
                  <c:v>41878</c:v>
                </c:pt>
                <c:pt idx="91">
                  <c:v>41906</c:v>
                </c:pt>
                <c:pt idx="92">
                  <c:v>41941</c:v>
                </c:pt>
                <c:pt idx="93">
                  <c:v>41969</c:v>
                </c:pt>
                <c:pt idx="94">
                  <c:v>42004</c:v>
                </c:pt>
                <c:pt idx="95">
                  <c:v>42032</c:v>
                </c:pt>
                <c:pt idx="96">
                  <c:v>42060</c:v>
                </c:pt>
                <c:pt idx="97">
                  <c:v>42088</c:v>
                </c:pt>
                <c:pt idx="98">
                  <c:v>42123</c:v>
                </c:pt>
                <c:pt idx="99">
                  <c:v>42151</c:v>
                </c:pt>
                <c:pt idx="100">
                  <c:v>42179</c:v>
                </c:pt>
                <c:pt idx="101">
                  <c:v>42214</c:v>
                </c:pt>
                <c:pt idx="102">
                  <c:v>42242</c:v>
                </c:pt>
                <c:pt idx="103">
                  <c:v>42277</c:v>
                </c:pt>
                <c:pt idx="104">
                  <c:v>42305</c:v>
                </c:pt>
                <c:pt idx="105">
                  <c:v>42333</c:v>
                </c:pt>
                <c:pt idx="106">
                  <c:v>42368</c:v>
                </c:pt>
                <c:pt idx="107">
                  <c:v>42396</c:v>
                </c:pt>
                <c:pt idx="108">
                  <c:v>42424</c:v>
                </c:pt>
                <c:pt idx="109">
                  <c:v>42459</c:v>
                </c:pt>
                <c:pt idx="110">
                  <c:v>42487</c:v>
                </c:pt>
                <c:pt idx="111">
                  <c:v>42515</c:v>
                </c:pt>
                <c:pt idx="112">
                  <c:v>42550</c:v>
                </c:pt>
                <c:pt idx="113">
                  <c:v>42578</c:v>
                </c:pt>
                <c:pt idx="114">
                  <c:v>42613</c:v>
                </c:pt>
                <c:pt idx="115">
                  <c:v>42641</c:v>
                </c:pt>
                <c:pt idx="116">
                  <c:v>42669</c:v>
                </c:pt>
                <c:pt idx="117">
                  <c:v>42704</c:v>
                </c:pt>
                <c:pt idx="118">
                  <c:v>42732</c:v>
                </c:pt>
                <c:pt idx="119">
                  <c:v>42760</c:v>
                </c:pt>
                <c:pt idx="120">
                  <c:v>42788</c:v>
                </c:pt>
                <c:pt idx="121">
                  <c:v>42823</c:v>
                </c:pt>
                <c:pt idx="122">
                  <c:v>42851</c:v>
                </c:pt>
                <c:pt idx="123">
                  <c:v>42886</c:v>
                </c:pt>
                <c:pt idx="124">
                  <c:v>42914</c:v>
                </c:pt>
                <c:pt idx="125">
                  <c:v>42942</c:v>
                </c:pt>
                <c:pt idx="126">
                  <c:v>42977</c:v>
                </c:pt>
                <c:pt idx="127">
                  <c:v>43005</c:v>
                </c:pt>
                <c:pt idx="128">
                  <c:v>43033</c:v>
                </c:pt>
                <c:pt idx="129">
                  <c:v>43068</c:v>
                </c:pt>
                <c:pt idx="130">
                  <c:v>43096</c:v>
                </c:pt>
                <c:pt idx="131">
                  <c:v>43131</c:v>
                </c:pt>
                <c:pt idx="132">
                  <c:v>43159</c:v>
                </c:pt>
                <c:pt idx="133">
                  <c:v>43187</c:v>
                </c:pt>
                <c:pt idx="134">
                  <c:v>43215</c:v>
                </c:pt>
                <c:pt idx="135">
                  <c:v>43250</c:v>
                </c:pt>
                <c:pt idx="136">
                  <c:v>43278</c:v>
                </c:pt>
                <c:pt idx="137">
                  <c:v>43306</c:v>
                </c:pt>
                <c:pt idx="138">
                  <c:v>43341</c:v>
                </c:pt>
                <c:pt idx="139">
                  <c:v>43369</c:v>
                </c:pt>
                <c:pt idx="140">
                  <c:v>43404</c:v>
                </c:pt>
                <c:pt idx="141">
                  <c:v>43432</c:v>
                </c:pt>
                <c:pt idx="142">
                  <c:v>43460</c:v>
                </c:pt>
                <c:pt idx="143">
                  <c:v>43495</c:v>
                </c:pt>
                <c:pt idx="144">
                  <c:v>43523</c:v>
                </c:pt>
                <c:pt idx="145">
                  <c:v>43551</c:v>
                </c:pt>
                <c:pt idx="146">
                  <c:v>43579</c:v>
                </c:pt>
                <c:pt idx="147">
                  <c:v>43614</c:v>
                </c:pt>
                <c:pt idx="148">
                  <c:v>43642</c:v>
                </c:pt>
                <c:pt idx="149">
                  <c:v>43677</c:v>
                </c:pt>
                <c:pt idx="150">
                  <c:v>43705</c:v>
                </c:pt>
                <c:pt idx="151">
                  <c:v>43733</c:v>
                </c:pt>
                <c:pt idx="152">
                  <c:v>43768</c:v>
                </c:pt>
                <c:pt idx="153">
                  <c:v>43796</c:v>
                </c:pt>
                <c:pt idx="154">
                  <c:v>43824</c:v>
                </c:pt>
                <c:pt idx="155">
                  <c:v>43859</c:v>
                </c:pt>
                <c:pt idx="156">
                  <c:v>43887</c:v>
                </c:pt>
                <c:pt idx="157">
                  <c:v>43915</c:v>
                </c:pt>
                <c:pt idx="158">
                  <c:v>43950</c:v>
                </c:pt>
                <c:pt idx="159">
                  <c:v>43978</c:v>
                </c:pt>
                <c:pt idx="160">
                  <c:v>44006</c:v>
                </c:pt>
                <c:pt idx="161">
                  <c:v>44041</c:v>
                </c:pt>
                <c:pt idx="162">
                  <c:v>44069</c:v>
                </c:pt>
                <c:pt idx="163">
                  <c:v>44104</c:v>
                </c:pt>
                <c:pt idx="164">
                  <c:v>44118</c:v>
                </c:pt>
              </c:numCache>
            </c:numRef>
          </c:cat>
          <c:val>
            <c:numRef>
              <c:f>Forecast_1m!$G$4:$G$168</c:f>
              <c:numCache>
                <c:formatCode>General</c:formatCode>
                <c:ptCount val="165"/>
                <c:pt idx="0">
                  <c:v>5.0204472738583188E-3</c:v>
                </c:pt>
                <c:pt idx="1">
                  <c:v>5.8999957293603186E-3</c:v>
                </c:pt>
                <c:pt idx="2">
                  <c:v>3.5220989331674292E-3</c:v>
                </c:pt>
                <c:pt idx="3">
                  <c:v>3.8809796895394729E-3</c:v>
                </c:pt>
                <c:pt idx="4">
                  <c:v>1.7194332830017861E-3</c:v>
                </c:pt>
                <c:pt idx="5">
                  <c:v>1.6408606382661826E-3</c:v>
                </c:pt>
                <c:pt idx="6">
                  <c:v>4.308078352635053E-3</c:v>
                </c:pt>
                <c:pt idx="7">
                  <c:v>-6.2723971650317139E-3</c:v>
                </c:pt>
                <c:pt idx="8">
                  <c:v>-5.0593949718439578E-3</c:v>
                </c:pt>
                <c:pt idx="9">
                  <c:v>-2.4224765910559297E-3</c:v>
                </c:pt>
                <c:pt idx="10">
                  <c:v>-8.358617228253002E-3</c:v>
                </c:pt>
                <c:pt idx="11">
                  <c:v>-8.1357139861278314E-3</c:v>
                </c:pt>
                <c:pt idx="12">
                  <c:v>-1.8237368431533202E-2</c:v>
                </c:pt>
                <c:pt idx="13">
                  <c:v>-2.1187878423318807E-2</c:v>
                </c:pt>
                <c:pt idx="14">
                  <c:v>-2.5292132820838715E-2</c:v>
                </c:pt>
                <c:pt idx="15">
                  <c:v>-2.3542191508712427E-2</c:v>
                </c:pt>
                <c:pt idx="16">
                  <c:v>-2.2347257404393694E-2</c:v>
                </c:pt>
                <c:pt idx="17">
                  <c:v>-1.9542387704218532E-2</c:v>
                </c:pt>
                <c:pt idx="18">
                  <c:v>-2.2654351485284694E-2</c:v>
                </c:pt>
                <c:pt idx="19">
                  <c:v>-2.1322040735362119E-2</c:v>
                </c:pt>
                <c:pt idx="20">
                  <c:v>-2.6724284557915666E-2</c:v>
                </c:pt>
                <c:pt idx="21">
                  <c:v>-1.2168560699771335E-2</c:v>
                </c:pt>
                <c:pt idx="22">
                  <c:v>-2.2783885979208589E-2</c:v>
                </c:pt>
                <c:pt idx="23">
                  <c:v>-1.1120798371923786E-2</c:v>
                </c:pt>
                <c:pt idx="24">
                  <c:v>-2.1304674408055019E-2</c:v>
                </c:pt>
                <c:pt idx="25">
                  <c:v>-1.989726155057852E-2</c:v>
                </c:pt>
                <c:pt idx="26">
                  <c:v>-2.9903494996946899E-2</c:v>
                </c:pt>
                <c:pt idx="27">
                  <c:v>-3.2017145443566902E-2</c:v>
                </c:pt>
                <c:pt idx="28">
                  <c:v>-3.352737080794977E-2</c:v>
                </c:pt>
                <c:pt idx="29">
                  <c:v>-2.8415490506953207E-2</c:v>
                </c:pt>
                <c:pt idx="30">
                  <c:v>-3.2037603833754022E-2</c:v>
                </c:pt>
                <c:pt idx="31">
                  <c:v>-3.055405252592824E-2</c:v>
                </c:pt>
                <c:pt idx="32">
                  <c:v>-3.0723381042343824E-2</c:v>
                </c:pt>
                <c:pt idx="33">
                  <c:v>-3.4485429342126117E-2</c:v>
                </c:pt>
                <c:pt idx="34">
                  <c:v>-4.0004273490622362E-2</c:v>
                </c:pt>
                <c:pt idx="35">
                  <c:v>-3.5417529762300955E-2</c:v>
                </c:pt>
                <c:pt idx="36">
                  <c:v>-3.8289795160453832E-2</c:v>
                </c:pt>
                <c:pt idx="37">
                  <c:v>-3.9535109185434139E-2</c:v>
                </c:pt>
                <c:pt idx="38">
                  <c:v>-4.1523996937491606E-2</c:v>
                </c:pt>
                <c:pt idx="39">
                  <c:v>-4.0372744790409192E-2</c:v>
                </c:pt>
                <c:pt idx="40">
                  <c:v>-3.7782346211704898E-2</c:v>
                </c:pt>
                <c:pt idx="41">
                  <c:v>-3.6701475212887129E-2</c:v>
                </c:pt>
                <c:pt idx="42">
                  <c:v>-4.0502866836118881E-2</c:v>
                </c:pt>
                <c:pt idx="43">
                  <c:v>-3.932121421393641E-2</c:v>
                </c:pt>
                <c:pt idx="44">
                  <c:v>-4.3436047386207044E-2</c:v>
                </c:pt>
                <c:pt idx="45">
                  <c:v>-4.7783708945876503E-2</c:v>
                </c:pt>
                <c:pt idx="46">
                  <c:v>-4.7672127930942367E-2</c:v>
                </c:pt>
                <c:pt idx="47">
                  <c:v>-4.1409247293216329E-2</c:v>
                </c:pt>
                <c:pt idx="48">
                  <c:v>-4.3561874217894217E-2</c:v>
                </c:pt>
                <c:pt idx="49">
                  <c:v>-4.3880350792296914E-2</c:v>
                </c:pt>
                <c:pt idx="50">
                  <c:v>-4.2961163050219318E-2</c:v>
                </c:pt>
                <c:pt idx="51">
                  <c:v>-4.4750100353088823E-2</c:v>
                </c:pt>
                <c:pt idx="52">
                  <c:v>-4.4451990257367235E-2</c:v>
                </c:pt>
                <c:pt idx="53">
                  <c:v>-4.6658693183918139E-2</c:v>
                </c:pt>
                <c:pt idx="54">
                  <c:v>-4.7179250231692421E-2</c:v>
                </c:pt>
                <c:pt idx="55">
                  <c:v>-4.8312534000059637E-2</c:v>
                </c:pt>
                <c:pt idx="56">
                  <c:v>-3.9745049125503633E-2</c:v>
                </c:pt>
                <c:pt idx="57">
                  <c:v>-3.7939431858856787E-2</c:v>
                </c:pt>
                <c:pt idx="58">
                  <c:v>-3.6438030069000003E-2</c:v>
                </c:pt>
                <c:pt idx="59">
                  <c:v>-3.6930026370057781E-2</c:v>
                </c:pt>
                <c:pt idx="60">
                  <c:v>-3.9905577603096369E-2</c:v>
                </c:pt>
                <c:pt idx="61">
                  <c:v>-3.9850214665092434E-2</c:v>
                </c:pt>
                <c:pt idx="62">
                  <c:v>-4.001669851547323E-2</c:v>
                </c:pt>
                <c:pt idx="63">
                  <c:v>-4.0579584244887168E-2</c:v>
                </c:pt>
                <c:pt idx="64">
                  <c:v>-3.9615384088450861E-2</c:v>
                </c:pt>
                <c:pt idx="65">
                  <c:v>-3.8681358696187329E-2</c:v>
                </c:pt>
                <c:pt idx="66">
                  <c:v>-3.6909197873182371E-2</c:v>
                </c:pt>
                <c:pt idx="67">
                  <c:v>-3.8426487308868634E-2</c:v>
                </c:pt>
                <c:pt idx="68">
                  <c:v>-3.9985293651023934E-2</c:v>
                </c:pt>
                <c:pt idx="69">
                  <c:v>-3.9905316135285585E-2</c:v>
                </c:pt>
                <c:pt idx="70">
                  <c:v>-4.0559272561587381E-2</c:v>
                </c:pt>
                <c:pt idx="71">
                  <c:v>-4.1197343847519219E-2</c:v>
                </c:pt>
                <c:pt idx="72">
                  <c:v>-4.2073842818821795E-2</c:v>
                </c:pt>
                <c:pt idx="73">
                  <c:v>-4.3241951691966388E-2</c:v>
                </c:pt>
                <c:pt idx="74">
                  <c:v>-4.3442797689950928E-2</c:v>
                </c:pt>
                <c:pt idx="75">
                  <c:v>-4.1725563749044722E-2</c:v>
                </c:pt>
                <c:pt idx="76">
                  <c:v>-4.2195792456462253E-2</c:v>
                </c:pt>
                <c:pt idx="77">
                  <c:v>-3.9840120290154303E-2</c:v>
                </c:pt>
                <c:pt idx="78">
                  <c:v>-3.9158093881093883E-2</c:v>
                </c:pt>
                <c:pt idx="79">
                  <c:v>-3.8491995036959818E-2</c:v>
                </c:pt>
                <c:pt idx="80">
                  <c:v>-3.9968054915593597E-2</c:v>
                </c:pt>
                <c:pt idx="81">
                  <c:v>-4.0630015226320225E-2</c:v>
                </c:pt>
                <c:pt idx="82">
                  <c:v>-3.9469381859487541E-2</c:v>
                </c:pt>
                <c:pt idx="83">
                  <c:v>-3.6112305688560276E-2</c:v>
                </c:pt>
                <c:pt idx="84">
                  <c:v>-3.7000672998518738E-2</c:v>
                </c:pt>
                <c:pt idx="85">
                  <c:v>-3.7735347705585814E-2</c:v>
                </c:pt>
                <c:pt idx="86">
                  <c:v>-3.6249383461648889E-2</c:v>
                </c:pt>
                <c:pt idx="87">
                  <c:v>-3.6695849560042265E-2</c:v>
                </c:pt>
                <c:pt idx="88">
                  <c:v>-3.8665583936953525E-2</c:v>
                </c:pt>
                <c:pt idx="89">
                  <c:v>-3.8016702578287494E-2</c:v>
                </c:pt>
                <c:pt idx="90">
                  <c:v>-3.6382927849475992E-2</c:v>
                </c:pt>
                <c:pt idx="91">
                  <c:v>-3.6227035298129144E-2</c:v>
                </c:pt>
                <c:pt idx="92">
                  <c:v>-3.5767061016305737E-2</c:v>
                </c:pt>
                <c:pt idx="93">
                  <c:v>-3.4971709049634966E-2</c:v>
                </c:pt>
                <c:pt idx="94">
                  <c:v>-3.4441783861375377E-2</c:v>
                </c:pt>
                <c:pt idx="95">
                  <c:v>-3.0896948058883215E-2</c:v>
                </c:pt>
                <c:pt idx="96">
                  <c:v>-2.8552929237533848E-2</c:v>
                </c:pt>
                <c:pt idx="97">
                  <c:v>-2.993262471904129E-2</c:v>
                </c:pt>
                <c:pt idx="98">
                  <c:v>-2.9695156767281072E-2</c:v>
                </c:pt>
                <c:pt idx="99">
                  <c:v>-3.3702669300788357E-2</c:v>
                </c:pt>
                <c:pt idx="100">
                  <c:v>-3.5547851650534465E-2</c:v>
                </c:pt>
                <c:pt idx="101">
                  <c:v>-3.8301040910598411E-2</c:v>
                </c:pt>
                <c:pt idx="102">
                  <c:v>-3.6227807737164865E-2</c:v>
                </c:pt>
                <c:pt idx="103">
                  <c:v>-3.4850701933979635E-2</c:v>
                </c:pt>
                <c:pt idx="104">
                  <c:v>-3.8151615187389805E-2</c:v>
                </c:pt>
                <c:pt idx="105">
                  <c:v>-3.6089218588244966E-2</c:v>
                </c:pt>
                <c:pt idx="106">
                  <c:v>-3.5497368643545302E-2</c:v>
                </c:pt>
                <c:pt idx="107">
                  <c:v>-3.3935854899502328E-2</c:v>
                </c:pt>
                <c:pt idx="108">
                  <c:v>-3.4138192080254086E-2</c:v>
                </c:pt>
                <c:pt idx="109">
                  <c:v>-3.4943027767560184E-2</c:v>
                </c:pt>
                <c:pt idx="110">
                  <c:v>-3.5330686006162564E-2</c:v>
                </c:pt>
                <c:pt idx="111">
                  <c:v>-3.6997064054174994E-2</c:v>
                </c:pt>
                <c:pt idx="112">
                  <c:v>-3.494679769640692E-2</c:v>
                </c:pt>
                <c:pt idx="113">
                  <c:v>-3.4676105497694655E-2</c:v>
                </c:pt>
                <c:pt idx="114">
                  <c:v>-3.1411600059160071E-2</c:v>
                </c:pt>
                <c:pt idx="115">
                  <c:v>-2.906674848261975E-2</c:v>
                </c:pt>
                <c:pt idx="116">
                  <c:v>-3.1130098854299394E-2</c:v>
                </c:pt>
                <c:pt idx="117">
                  <c:v>-3.2493214395255057E-2</c:v>
                </c:pt>
                <c:pt idx="118">
                  <c:v>-3.0603737214083312E-2</c:v>
                </c:pt>
                <c:pt idx="119">
                  <c:v>-2.9425889686730461E-2</c:v>
                </c:pt>
                <c:pt idx="120">
                  <c:v>-2.935956191459228E-2</c:v>
                </c:pt>
                <c:pt idx="121">
                  <c:v>-3.001700800052649E-2</c:v>
                </c:pt>
                <c:pt idx="122">
                  <c:v>-2.8610037618041855E-2</c:v>
                </c:pt>
                <c:pt idx="123">
                  <c:v>-3.0382679400870038E-2</c:v>
                </c:pt>
                <c:pt idx="124">
                  <c:v>-2.8642901290987729E-2</c:v>
                </c:pt>
                <c:pt idx="125">
                  <c:v>-2.4723377794459815E-2</c:v>
                </c:pt>
                <c:pt idx="126">
                  <c:v>-2.6667006028534983E-2</c:v>
                </c:pt>
                <c:pt idx="127">
                  <c:v>-2.6020699468702148E-2</c:v>
                </c:pt>
                <c:pt idx="128">
                  <c:v>-2.5244812432595413E-2</c:v>
                </c:pt>
                <c:pt idx="129">
                  <c:v>-2.3694502431517106E-2</c:v>
                </c:pt>
                <c:pt idx="130">
                  <c:v>-1.9990444592924362E-2</c:v>
                </c:pt>
                <c:pt idx="131">
                  <c:v>-1.6694008806782613E-2</c:v>
                </c:pt>
                <c:pt idx="132">
                  <c:v>-1.3751063196702391E-2</c:v>
                </c:pt>
                <c:pt idx="133">
                  <c:v>-1.559527664193649E-2</c:v>
                </c:pt>
                <c:pt idx="134">
                  <c:v>-1.4774339743051691E-2</c:v>
                </c:pt>
                <c:pt idx="135">
                  <c:v>-1.2620489323918753E-2</c:v>
                </c:pt>
                <c:pt idx="136">
                  <c:v>-1.1010314551035502E-2</c:v>
                </c:pt>
                <c:pt idx="137">
                  <c:v>-1.0378299862342765E-2</c:v>
                </c:pt>
                <c:pt idx="138">
                  <c:v>-9.4989912690111294E-3</c:v>
                </c:pt>
                <c:pt idx="139">
                  <c:v>-1.0940733138800778E-2</c:v>
                </c:pt>
                <c:pt idx="140">
                  <c:v>-1.0694796302008112E-2</c:v>
                </c:pt>
                <c:pt idx="141">
                  <c:v>-1.3196411979789413E-2</c:v>
                </c:pt>
                <c:pt idx="142">
                  <c:v>-1.4166825040658717E-2</c:v>
                </c:pt>
                <c:pt idx="143">
                  <c:v>-1.133918834379505E-2</c:v>
                </c:pt>
                <c:pt idx="144">
                  <c:v>-1.4231704906192081E-2</c:v>
                </c:pt>
                <c:pt idx="145">
                  <c:v>-1.4633865367967791E-2</c:v>
                </c:pt>
                <c:pt idx="146">
                  <c:v>-1.5253762864273972E-2</c:v>
                </c:pt>
                <c:pt idx="147">
                  <c:v>-1.5323258971499528E-2</c:v>
                </c:pt>
                <c:pt idx="148">
                  <c:v>-1.3702944839674562E-2</c:v>
                </c:pt>
                <c:pt idx="149">
                  <c:v>-1.7057835883081345E-2</c:v>
                </c:pt>
                <c:pt idx="150">
                  <c:v>-1.7435323638181521E-2</c:v>
                </c:pt>
                <c:pt idx="151">
                  <c:v>-1.5268625630012614E-2</c:v>
                </c:pt>
                <c:pt idx="152">
                  <c:v>-1.4923527734413159E-2</c:v>
                </c:pt>
                <c:pt idx="153">
                  <c:v>-1.696588237498322E-2</c:v>
                </c:pt>
                <c:pt idx="154">
                  <c:v>-1.4617484610222737E-2</c:v>
                </c:pt>
                <c:pt idx="155">
                  <c:v>-1.4825118879278848E-2</c:v>
                </c:pt>
                <c:pt idx="156">
                  <c:v>-1.6352016746516512E-2</c:v>
                </c:pt>
                <c:pt idx="157">
                  <c:v>-1.6988966698587557E-2</c:v>
                </c:pt>
                <c:pt idx="158">
                  <c:v>-2.5474127460587439E-2</c:v>
                </c:pt>
                <c:pt idx="159">
                  <c:v>-2.6929801599732642E-2</c:v>
                </c:pt>
                <c:pt idx="160">
                  <c:v>-3.0670938660464653E-2</c:v>
                </c:pt>
                <c:pt idx="161">
                  <c:v>-3.0191510301565087E-2</c:v>
                </c:pt>
                <c:pt idx="162">
                  <c:v>-2.7410101058327807E-2</c:v>
                </c:pt>
                <c:pt idx="163">
                  <c:v>-2.8278722004814849E-2</c:v>
                </c:pt>
                <c:pt idx="164">
                  <c:v>-3.0254367157767751E-2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BB-459E-8A8E-D5F60F31C7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677167"/>
        <c:axId val="1695849791"/>
      </c:lineChart>
      <c:dateAx>
        <c:axId val="1926771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m/yy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5849791"/>
        <c:crosses val="autoZero"/>
        <c:auto val="1"/>
        <c:lblOffset val="100"/>
        <c:baseTimeUnit val="days"/>
      </c:dateAx>
      <c:valAx>
        <c:axId val="1695849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Beta 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677167"/>
        <c:crossesAt val="1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Beta</a:t>
            </a:r>
            <a:r>
              <a:rPr lang="en-US" baseline="0"/>
              <a:t> 3 - Actual Vs 1 Month Forecast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B3 - Actual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Forecast_1m!$A$4:$A$168</c:f>
              <c:numCache>
                <c:formatCode>dd/mm/yyyy</c:formatCode>
                <c:ptCount val="165"/>
                <c:pt idx="0">
                  <c:v>39141</c:v>
                </c:pt>
                <c:pt idx="1">
                  <c:v>39169</c:v>
                </c:pt>
                <c:pt idx="2">
                  <c:v>39197</c:v>
                </c:pt>
                <c:pt idx="3">
                  <c:v>39232</c:v>
                </c:pt>
                <c:pt idx="4">
                  <c:v>39260</c:v>
                </c:pt>
                <c:pt idx="5">
                  <c:v>39288</c:v>
                </c:pt>
                <c:pt idx="6">
                  <c:v>39323</c:v>
                </c:pt>
                <c:pt idx="7">
                  <c:v>39351</c:v>
                </c:pt>
                <c:pt idx="8">
                  <c:v>39386</c:v>
                </c:pt>
                <c:pt idx="9">
                  <c:v>39414</c:v>
                </c:pt>
                <c:pt idx="10">
                  <c:v>39442</c:v>
                </c:pt>
                <c:pt idx="11">
                  <c:v>39477</c:v>
                </c:pt>
                <c:pt idx="12">
                  <c:v>39505</c:v>
                </c:pt>
                <c:pt idx="13">
                  <c:v>39533</c:v>
                </c:pt>
                <c:pt idx="14">
                  <c:v>39568</c:v>
                </c:pt>
                <c:pt idx="15">
                  <c:v>39596</c:v>
                </c:pt>
                <c:pt idx="16">
                  <c:v>39624</c:v>
                </c:pt>
                <c:pt idx="17">
                  <c:v>39659</c:v>
                </c:pt>
                <c:pt idx="18">
                  <c:v>39687</c:v>
                </c:pt>
                <c:pt idx="19">
                  <c:v>39715</c:v>
                </c:pt>
                <c:pt idx="20">
                  <c:v>39750</c:v>
                </c:pt>
                <c:pt idx="21">
                  <c:v>39778</c:v>
                </c:pt>
                <c:pt idx="22">
                  <c:v>39813</c:v>
                </c:pt>
                <c:pt idx="23">
                  <c:v>39841</c:v>
                </c:pt>
                <c:pt idx="24">
                  <c:v>39869</c:v>
                </c:pt>
                <c:pt idx="25">
                  <c:v>39897</c:v>
                </c:pt>
                <c:pt idx="26">
                  <c:v>39932</c:v>
                </c:pt>
                <c:pt idx="27">
                  <c:v>39960</c:v>
                </c:pt>
                <c:pt idx="28">
                  <c:v>39988</c:v>
                </c:pt>
                <c:pt idx="29">
                  <c:v>40023</c:v>
                </c:pt>
                <c:pt idx="30">
                  <c:v>40051</c:v>
                </c:pt>
                <c:pt idx="31">
                  <c:v>40086</c:v>
                </c:pt>
                <c:pt idx="32">
                  <c:v>40114</c:v>
                </c:pt>
                <c:pt idx="33">
                  <c:v>40142</c:v>
                </c:pt>
                <c:pt idx="34">
                  <c:v>40177</c:v>
                </c:pt>
                <c:pt idx="35">
                  <c:v>40205</c:v>
                </c:pt>
                <c:pt idx="36">
                  <c:v>40233</c:v>
                </c:pt>
                <c:pt idx="37">
                  <c:v>40268</c:v>
                </c:pt>
                <c:pt idx="38">
                  <c:v>40296</c:v>
                </c:pt>
                <c:pt idx="39">
                  <c:v>40324</c:v>
                </c:pt>
                <c:pt idx="40">
                  <c:v>40359</c:v>
                </c:pt>
                <c:pt idx="41">
                  <c:v>40387</c:v>
                </c:pt>
                <c:pt idx="42">
                  <c:v>40415</c:v>
                </c:pt>
                <c:pt idx="43">
                  <c:v>40450</c:v>
                </c:pt>
                <c:pt idx="44">
                  <c:v>40478</c:v>
                </c:pt>
                <c:pt idx="45">
                  <c:v>40506</c:v>
                </c:pt>
                <c:pt idx="46">
                  <c:v>40541</c:v>
                </c:pt>
                <c:pt idx="47">
                  <c:v>40569</c:v>
                </c:pt>
                <c:pt idx="48">
                  <c:v>40597</c:v>
                </c:pt>
                <c:pt idx="49">
                  <c:v>40632</c:v>
                </c:pt>
                <c:pt idx="50">
                  <c:v>40660</c:v>
                </c:pt>
                <c:pt idx="51">
                  <c:v>40688</c:v>
                </c:pt>
                <c:pt idx="52">
                  <c:v>40723</c:v>
                </c:pt>
                <c:pt idx="53">
                  <c:v>40751</c:v>
                </c:pt>
                <c:pt idx="54">
                  <c:v>40786</c:v>
                </c:pt>
                <c:pt idx="55">
                  <c:v>40814</c:v>
                </c:pt>
                <c:pt idx="56">
                  <c:v>40842</c:v>
                </c:pt>
                <c:pt idx="57">
                  <c:v>40877</c:v>
                </c:pt>
                <c:pt idx="58">
                  <c:v>40905</c:v>
                </c:pt>
                <c:pt idx="59">
                  <c:v>40933</c:v>
                </c:pt>
                <c:pt idx="60">
                  <c:v>40968</c:v>
                </c:pt>
                <c:pt idx="61">
                  <c:v>40996</c:v>
                </c:pt>
                <c:pt idx="62">
                  <c:v>41024</c:v>
                </c:pt>
                <c:pt idx="63">
                  <c:v>41059</c:v>
                </c:pt>
                <c:pt idx="64">
                  <c:v>41087</c:v>
                </c:pt>
                <c:pt idx="65">
                  <c:v>41115</c:v>
                </c:pt>
                <c:pt idx="66">
                  <c:v>41150</c:v>
                </c:pt>
                <c:pt idx="67">
                  <c:v>41178</c:v>
                </c:pt>
                <c:pt idx="68">
                  <c:v>41213</c:v>
                </c:pt>
                <c:pt idx="69">
                  <c:v>41241</c:v>
                </c:pt>
                <c:pt idx="70">
                  <c:v>41269</c:v>
                </c:pt>
                <c:pt idx="71">
                  <c:v>41304</c:v>
                </c:pt>
                <c:pt idx="72">
                  <c:v>41332</c:v>
                </c:pt>
                <c:pt idx="73">
                  <c:v>41360</c:v>
                </c:pt>
                <c:pt idx="74">
                  <c:v>41388</c:v>
                </c:pt>
                <c:pt idx="75">
                  <c:v>41423</c:v>
                </c:pt>
                <c:pt idx="76">
                  <c:v>41451</c:v>
                </c:pt>
                <c:pt idx="77">
                  <c:v>41486</c:v>
                </c:pt>
                <c:pt idx="78">
                  <c:v>41514</c:v>
                </c:pt>
                <c:pt idx="79">
                  <c:v>41542</c:v>
                </c:pt>
                <c:pt idx="80">
                  <c:v>41577</c:v>
                </c:pt>
                <c:pt idx="81">
                  <c:v>41605</c:v>
                </c:pt>
                <c:pt idx="82">
                  <c:v>41633</c:v>
                </c:pt>
                <c:pt idx="83">
                  <c:v>41668</c:v>
                </c:pt>
                <c:pt idx="84">
                  <c:v>41696</c:v>
                </c:pt>
                <c:pt idx="85">
                  <c:v>41724</c:v>
                </c:pt>
                <c:pt idx="86">
                  <c:v>41759</c:v>
                </c:pt>
                <c:pt idx="87">
                  <c:v>41787</c:v>
                </c:pt>
                <c:pt idx="88">
                  <c:v>41815</c:v>
                </c:pt>
                <c:pt idx="89">
                  <c:v>41850</c:v>
                </c:pt>
                <c:pt idx="90">
                  <c:v>41878</c:v>
                </c:pt>
                <c:pt idx="91">
                  <c:v>41906</c:v>
                </c:pt>
                <c:pt idx="92">
                  <c:v>41941</c:v>
                </c:pt>
                <c:pt idx="93">
                  <c:v>41969</c:v>
                </c:pt>
                <c:pt idx="94">
                  <c:v>42004</c:v>
                </c:pt>
                <c:pt idx="95">
                  <c:v>42032</c:v>
                </c:pt>
                <c:pt idx="96">
                  <c:v>42060</c:v>
                </c:pt>
                <c:pt idx="97">
                  <c:v>42088</c:v>
                </c:pt>
                <c:pt idx="98">
                  <c:v>42123</c:v>
                </c:pt>
                <c:pt idx="99">
                  <c:v>42151</c:v>
                </c:pt>
                <c:pt idx="100">
                  <c:v>42179</c:v>
                </c:pt>
                <c:pt idx="101">
                  <c:v>42214</c:v>
                </c:pt>
                <c:pt idx="102">
                  <c:v>42242</c:v>
                </c:pt>
                <c:pt idx="103">
                  <c:v>42277</c:v>
                </c:pt>
                <c:pt idx="104">
                  <c:v>42305</c:v>
                </c:pt>
                <c:pt idx="105">
                  <c:v>42333</c:v>
                </c:pt>
                <c:pt idx="106">
                  <c:v>42368</c:v>
                </c:pt>
                <c:pt idx="107">
                  <c:v>42396</c:v>
                </c:pt>
                <c:pt idx="108">
                  <c:v>42424</c:v>
                </c:pt>
                <c:pt idx="109">
                  <c:v>42459</c:v>
                </c:pt>
                <c:pt idx="110">
                  <c:v>42487</c:v>
                </c:pt>
                <c:pt idx="111">
                  <c:v>42515</c:v>
                </c:pt>
                <c:pt idx="112">
                  <c:v>42550</c:v>
                </c:pt>
                <c:pt idx="113">
                  <c:v>42578</c:v>
                </c:pt>
                <c:pt idx="114">
                  <c:v>42613</c:v>
                </c:pt>
                <c:pt idx="115">
                  <c:v>42641</c:v>
                </c:pt>
                <c:pt idx="116">
                  <c:v>42669</c:v>
                </c:pt>
                <c:pt idx="117">
                  <c:v>42704</c:v>
                </c:pt>
                <c:pt idx="118">
                  <c:v>42732</c:v>
                </c:pt>
                <c:pt idx="119">
                  <c:v>42760</c:v>
                </c:pt>
                <c:pt idx="120">
                  <c:v>42788</c:v>
                </c:pt>
                <c:pt idx="121">
                  <c:v>42823</c:v>
                </c:pt>
                <c:pt idx="122">
                  <c:v>42851</c:v>
                </c:pt>
                <c:pt idx="123">
                  <c:v>42886</c:v>
                </c:pt>
                <c:pt idx="124">
                  <c:v>42914</c:v>
                </c:pt>
                <c:pt idx="125">
                  <c:v>42942</c:v>
                </c:pt>
                <c:pt idx="126">
                  <c:v>42977</c:v>
                </c:pt>
                <c:pt idx="127">
                  <c:v>43005</c:v>
                </c:pt>
                <c:pt idx="128">
                  <c:v>43033</c:v>
                </c:pt>
                <c:pt idx="129">
                  <c:v>43068</c:v>
                </c:pt>
                <c:pt idx="130">
                  <c:v>43096</c:v>
                </c:pt>
                <c:pt idx="131">
                  <c:v>43131</c:v>
                </c:pt>
                <c:pt idx="132">
                  <c:v>43159</c:v>
                </c:pt>
                <c:pt idx="133">
                  <c:v>43187</c:v>
                </c:pt>
                <c:pt idx="134">
                  <c:v>43215</c:v>
                </c:pt>
                <c:pt idx="135">
                  <c:v>43250</c:v>
                </c:pt>
                <c:pt idx="136">
                  <c:v>43278</c:v>
                </c:pt>
                <c:pt idx="137">
                  <c:v>43306</c:v>
                </c:pt>
                <c:pt idx="138">
                  <c:v>43341</c:v>
                </c:pt>
                <c:pt idx="139">
                  <c:v>43369</c:v>
                </c:pt>
                <c:pt idx="140">
                  <c:v>43404</c:v>
                </c:pt>
                <c:pt idx="141">
                  <c:v>43432</c:v>
                </c:pt>
                <c:pt idx="142">
                  <c:v>43460</c:v>
                </c:pt>
                <c:pt idx="143">
                  <c:v>43495</c:v>
                </c:pt>
                <c:pt idx="144">
                  <c:v>43523</c:v>
                </c:pt>
                <c:pt idx="145">
                  <c:v>43551</c:v>
                </c:pt>
                <c:pt idx="146">
                  <c:v>43579</c:v>
                </c:pt>
                <c:pt idx="147">
                  <c:v>43614</c:v>
                </c:pt>
                <c:pt idx="148">
                  <c:v>43642</c:v>
                </c:pt>
                <c:pt idx="149">
                  <c:v>43677</c:v>
                </c:pt>
                <c:pt idx="150">
                  <c:v>43705</c:v>
                </c:pt>
                <c:pt idx="151">
                  <c:v>43733</c:v>
                </c:pt>
                <c:pt idx="152">
                  <c:v>43768</c:v>
                </c:pt>
                <c:pt idx="153">
                  <c:v>43796</c:v>
                </c:pt>
                <c:pt idx="154">
                  <c:v>43824</c:v>
                </c:pt>
                <c:pt idx="155">
                  <c:v>43859</c:v>
                </c:pt>
                <c:pt idx="156">
                  <c:v>43887</c:v>
                </c:pt>
                <c:pt idx="157">
                  <c:v>43915</c:v>
                </c:pt>
                <c:pt idx="158">
                  <c:v>43950</c:v>
                </c:pt>
                <c:pt idx="159">
                  <c:v>43978</c:v>
                </c:pt>
                <c:pt idx="160">
                  <c:v>44006</c:v>
                </c:pt>
                <c:pt idx="161">
                  <c:v>44041</c:v>
                </c:pt>
                <c:pt idx="162">
                  <c:v>44069</c:v>
                </c:pt>
                <c:pt idx="163">
                  <c:v>44104</c:v>
                </c:pt>
                <c:pt idx="164">
                  <c:v>44118</c:v>
                </c:pt>
              </c:numCache>
            </c:numRef>
          </c:cat>
          <c:val>
            <c:numRef>
              <c:f>Forecast_1m!$D$4:$D$168</c:f>
              <c:numCache>
                <c:formatCode>General</c:formatCode>
                <c:ptCount val="165"/>
                <c:pt idx="0">
                  <c:v>-1.5533532947156601E-2</c:v>
                </c:pt>
                <c:pt idx="1">
                  <c:v>-2.0457905528073299E-2</c:v>
                </c:pt>
                <c:pt idx="2">
                  <c:v>-1.8186433700389401E-2</c:v>
                </c:pt>
                <c:pt idx="3">
                  <c:v>-7.4194534084834601E-3</c:v>
                </c:pt>
                <c:pt idx="4">
                  <c:v>-7.6806259733211901E-3</c:v>
                </c:pt>
                <c:pt idx="5">
                  <c:v>-1.3809793939948099E-2</c:v>
                </c:pt>
                <c:pt idx="6">
                  <c:v>-1.3281861422311299E-2</c:v>
                </c:pt>
                <c:pt idx="7">
                  <c:v>-1.7739264399116501E-2</c:v>
                </c:pt>
                <c:pt idx="8">
                  <c:v>-2.0378624518834799E-2</c:v>
                </c:pt>
                <c:pt idx="9">
                  <c:v>-2.53320415331376E-2</c:v>
                </c:pt>
                <c:pt idx="10">
                  <c:v>-2.93392440651691E-2</c:v>
                </c:pt>
                <c:pt idx="11">
                  <c:v>-4.9251257368786001E-2</c:v>
                </c:pt>
                <c:pt idx="12">
                  <c:v>-5.3600582570360801E-2</c:v>
                </c:pt>
                <c:pt idx="13">
                  <c:v>-5.4733001336328198E-2</c:v>
                </c:pt>
                <c:pt idx="14">
                  <c:v>-3.4625828960975803E-2</c:v>
                </c:pt>
                <c:pt idx="15">
                  <c:v>-2.7951953381800301E-2</c:v>
                </c:pt>
                <c:pt idx="16">
                  <c:v>-2.0810172476198902E-2</c:v>
                </c:pt>
                <c:pt idx="17">
                  <c:v>-2.61255126642716E-2</c:v>
                </c:pt>
                <c:pt idx="18">
                  <c:v>-3.2311105910753597E-2</c:v>
                </c:pt>
                <c:pt idx="19">
                  <c:v>-2.7303188039955399E-2</c:v>
                </c:pt>
                <c:pt idx="20">
                  <c:v>-3.7362994272535102E-2</c:v>
                </c:pt>
                <c:pt idx="21">
                  <c:v>-3.1326945311046399E-2</c:v>
                </c:pt>
                <c:pt idx="22">
                  <c:v>-2.58769961074692E-2</c:v>
                </c:pt>
                <c:pt idx="23">
                  <c:v>-4.0439830909847402E-2</c:v>
                </c:pt>
                <c:pt idx="24">
                  <c:v>-3.3923908365069401E-2</c:v>
                </c:pt>
                <c:pt idx="25">
                  <c:v>-4.9428258624857203E-2</c:v>
                </c:pt>
                <c:pt idx="26">
                  <c:v>-4.6888271249159501E-2</c:v>
                </c:pt>
                <c:pt idx="27">
                  <c:v>-5.27001767640475E-2</c:v>
                </c:pt>
                <c:pt idx="28">
                  <c:v>-3.4919888663415298E-2</c:v>
                </c:pt>
                <c:pt idx="29">
                  <c:v>-4.1590205863068899E-2</c:v>
                </c:pt>
                <c:pt idx="30">
                  <c:v>-3.8770289078884398E-2</c:v>
                </c:pt>
                <c:pt idx="31">
                  <c:v>-4.0428918208355397E-2</c:v>
                </c:pt>
                <c:pt idx="32">
                  <c:v>-4.4939722082120603E-2</c:v>
                </c:pt>
                <c:pt idx="33">
                  <c:v>-5.86218526069981E-2</c:v>
                </c:pt>
                <c:pt idx="34">
                  <c:v>-4.4970738348356999E-2</c:v>
                </c:pt>
                <c:pt idx="35">
                  <c:v>-5.1083603261512303E-2</c:v>
                </c:pt>
                <c:pt idx="36">
                  <c:v>-5.9558412074278498E-2</c:v>
                </c:pt>
                <c:pt idx="37">
                  <c:v>-6.0736442902308799E-2</c:v>
                </c:pt>
                <c:pt idx="38">
                  <c:v>-5.5661012829278801E-2</c:v>
                </c:pt>
                <c:pt idx="39">
                  <c:v>-5.2178377390562698E-2</c:v>
                </c:pt>
                <c:pt idx="40">
                  <c:v>-5.8356654312064701E-2</c:v>
                </c:pt>
                <c:pt idx="41">
                  <c:v>-6.4510554440914705E-2</c:v>
                </c:pt>
                <c:pt idx="42">
                  <c:v>-6.0675460870295302E-2</c:v>
                </c:pt>
                <c:pt idx="43">
                  <c:v>-6.9593730212941796E-2</c:v>
                </c:pt>
                <c:pt idx="44">
                  <c:v>-7.90999379736219E-2</c:v>
                </c:pt>
                <c:pt idx="45">
                  <c:v>-7.7749752410581296E-2</c:v>
                </c:pt>
                <c:pt idx="46">
                  <c:v>-6.69956683238766E-2</c:v>
                </c:pt>
                <c:pt idx="47">
                  <c:v>-7.1559033071809205E-2</c:v>
                </c:pt>
                <c:pt idx="48">
                  <c:v>-6.3083739183127693E-2</c:v>
                </c:pt>
                <c:pt idx="49">
                  <c:v>-5.9333813380321697E-2</c:v>
                </c:pt>
                <c:pt idx="50">
                  <c:v>-6.6275905862058504E-2</c:v>
                </c:pt>
                <c:pt idx="51">
                  <c:v>-6.9311902662414895E-2</c:v>
                </c:pt>
                <c:pt idx="52">
                  <c:v>-7.6570457581276397E-2</c:v>
                </c:pt>
                <c:pt idx="53">
                  <c:v>-7.8837026528002896E-2</c:v>
                </c:pt>
                <c:pt idx="54">
                  <c:v>-7.9427441851524005E-2</c:v>
                </c:pt>
                <c:pt idx="55">
                  <c:v>-6.3578712312338803E-2</c:v>
                </c:pt>
                <c:pt idx="56">
                  <c:v>-6.1757690203936698E-2</c:v>
                </c:pt>
                <c:pt idx="57">
                  <c:v>-5.9926396461099998E-2</c:v>
                </c:pt>
                <c:pt idx="58">
                  <c:v>-5.6490861175278698E-2</c:v>
                </c:pt>
                <c:pt idx="59">
                  <c:v>-6.7785702682695098E-2</c:v>
                </c:pt>
                <c:pt idx="60">
                  <c:v>-6.4442335616050006E-2</c:v>
                </c:pt>
                <c:pt idx="61">
                  <c:v>-6.4948957650545605E-2</c:v>
                </c:pt>
                <c:pt idx="62">
                  <c:v>-6.6950895818356504E-2</c:v>
                </c:pt>
                <c:pt idx="63">
                  <c:v>-5.80464839259201E-2</c:v>
                </c:pt>
                <c:pt idx="64">
                  <c:v>-5.5676495894532302E-2</c:v>
                </c:pt>
                <c:pt idx="65">
                  <c:v>-5.6344329670780402E-2</c:v>
                </c:pt>
                <c:pt idx="66">
                  <c:v>-6.07924038150537E-2</c:v>
                </c:pt>
                <c:pt idx="67">
                  <c:v>-6.2769937799300499E-2</c:v>
                </c:pt>
                <c:pt idx="68">
                  <c:v>-6.1304644943995901E-2</c:v>
                </c:pt>
                <c:pt idx="69">
                  <c:v>-6.1132021292872797E-2</c:v>
                </c:pt>
                <c:pt idx="70">
                  <c:v>-6.1406559691155001E-2</c:v>
                </c:pt>
                <c:pt idx="71">
                  <c:v>-6.5642585599057696E-2</c:v>
                </c:pt>
                <c:pt idx="72">
                  <c:v>-6.7482278715760402E-2</c:v>
                </c:pt>
                <c:pt idx="73">
                  <c:v>-6.7827157506618496E-2</c:v>
                </c:pt>
                <c:pt idx="74">
                  <c:v>-6.4483013313228199E-2</c:v>
                </c:pt>
                <c:pt idx="75">
                  <c:v>-6.6011496852128898E-2</c:v>
                </c:pt>
                <c:pt idx="76">
                  <c:v>-6.2524699171996906E-2</c:v>
                </c:pt>
                <c:pt idx="77">
                  <c:v>-6.5197145750935798E-2</c:v>
                </c:pt>
                <c:pt idx="78">
                  <c:v>-6.0040339440481899E-2</c:v>
                </c:pt>
                <c:pt idx="79">
                  <c:v>-6.3747129654082205E-2</c:v>
                </c:pt>
                <c:pt idx="80">
                  <c:v>-6.7981588151812905E-2</c:v>
                </c:pt>
                <c:pt idx="81">
                  <c:v>-7.1290368877966401E-2</c:v>
                </c:pt>
                <c:pt idx="82">
                  <c:v>-6.1064157999122202E-2</c:v>
                </c:pt>
                <c:pt idx="83">
                  <c:v>-5.9592111470684501E-2</c:v>
                </c:pt>
                <c:pt idx="84">
                  <c:v>-6.1782117338181203E-2</c:v>
                </c:pt>
                <c:pt idx="85">
                  <c:v>-5.0702119736386497E-2</c:v>
                </c:pt>
                <c:pt idx="86">
                  <c:v>-5.2906610055947101E-2</c:v>
                </c:pt>
                <c:pt idx="87">
                  <c:v>-5.4446210312002398E-2</c:v>
                </c:pt>
                <c:pt idx="88">
                  <c:v>-5.0106403409335101E-2</c:v>
                </c:pt>
                <c:pt idx="89">
                  <c:v>-4.1819244145310602E-2</c:v>
                </c:pt>
                <c:pt idx="90">
                  <c:v>-3.92710558285609E-2</c:v>
                </c:pt>
                <c:pt idx="91">
                  <c:v>-3.7479183679672699E-2</c:v>
                </c:pt>
                <c:pt idx="92">
                  <c:v>-3.8612442048897799E-2</c:v>
                </c:pt>
                <c:pt idx="93">
                  <c:v>-3.6732333730841699E-2</c:v>
                </c:pt>
                <c:pt idx="94">
                  <c:v>-2.3915090446657902E-2</c:v>
                </c:pt>
                <c:pt idx="95">
                  <c:v>-2.5433820572830501E-2</c:v>
                </c:pt>
                <c:pt idx="96">
                  <c:v>-2.5558914199197199E-2</c:v>
                </c:pt>
                <c:pt idx="97">
                  <c:v>-2.6362087928784101E-2</c:v>
                </c:pt>
                <c:pt idx="98">
                  <c:v>-3.4470318375772899E-2</c:v>
                </c:pt>
                <c:pt idx="99">
                  <c:v>-3.4615616396813702E-2</c:v>
                </c:pt>
                <c:pt idx="100">
                  <c:v>-3.8608476843055302E-2</c:v>
                </c:pt>
                <c:pt idx="101">
                  <c:v>-3.4623558496139802E-2</c:v>
                </c:pt>
                <c:pt idx="102">
                  <c:v>-3.70244066765094E-2</c:v>
                </c:pt>
                <c:pt idx="103">
                  <c:v>-3.9710233718323898E-2</c:v>
                </c:pt>
                <c:pt idx="104">
                  <c:v>-3.6250859177556397E-2</c:v>
                </c:pt>
                <c:pt idx="105">
                  <c:v>-3.2948497608467103E-2</c:v>
                </c:pt>
                <c:pt idx="106">
                  <c:v>-2.8799778872131299E-2</c:v>
                </c:pt>
                <c:pt idx="107">
                  <c:v>-3.6798147170796901E-2</c:v>
                </c:pt>
                <c:pt idx="108">
                  <c:v>-3.8697369875178099E-2</c:v>
                </c:pt>
                <c:pt idx="109">
                  <c:v>-3.7271923577756202E-2</c:v>
                </c:pt>
                <c:pt idx="110">
                  <c:v>-3.7323759876347298E-2</c:v>
                </c:pt>
                <c:pt idx="111">
                  <c:v>-3.4211055815614497E-2</c:v>
                </c:pt>
                <c:pt idx="112">
                  <c:v>-3.7465001591329102E-2</c:v>
                </c:pt>
                <c:pt idx="113">
                  <c:v>-3.1189074490741899E-2</c:v>
                </c:pt>
                <c:pt idx="114">
                  <c:v>-2.7478877811003999E-2</c:v>
                </c:pt>
                <c:pt idx="115">
                  <c:v>-3.1165860215383201E-2</c:v>
                </c:pt>
                <c:pt idx="116">
                  <c:v>-3.2833055946422503E-2</c:v>
                </c:pt>
                <c:pt idx="117">
                  <c:v>-2.7764925864035599E-2</c:v>
                </c:pt>
                <c:pt idx="118">
                  <c:v>-2.2993008807461201E-2</c:v>
                </c:pt>
                <c:pt idx="119">
                  <c:v>-2.4422414984739901E-2</c:v>
                </c:pt>
                <c:pt idx="120">
                  <c:v>-2.57237086627486E-2</c:v>
                </c:pt>
                <c:pt idx="121">
                  <c:v>-2.5236464254791199E-2</c:v>
                </c:pt>
                <c:pt idx="122">
                  <c:v>-2.9579062437202101E-2</c:v>
                </c:pt>
                <c:pt idx="123">
                  <c:v>-3.0466537010882502E-2</c:v>
                </c:pt>
                <c:pt idx="124">
                  <c:v>-2.65998659496464E-2</c:v>
                </c:pt>
                <c:pt idx="125">
                  <c:v>-2.9496746998309099E-2</c:v>
                </c:pt>
                <c:pt idx="126">
                  <c:v>-2.8168581244324101E-2</c:v>
                </c:pt>
                <c:pt idx="127">
                  <c:v>-2.4271801056171102E-2</c:v>
                </c:pt>
                <c:pt idx="128">
                  <c:v>-2.3112000733552501E-2</c:v>
                </c:pt>
                <c:pt idx="129">
                  <c:v>-1.7820867264482902E-2</c:v>
                </c:pt>
                <c:pt idx="130">
                  <c:v>-1.1319776873787201E-2</c:v>
                </c:pt>
                <c:pt idx="131">
                  <c:v>-5.2920708976137302E-3</c:v>
                </c:pt>
                <c:pt idx="132">
                  <c:v>-5.8950612118208803E-3</c:v>
                </c:pt>
                <c:pt idx="133">
                  <c:v>-5.4569856971406101E-3</c:v>
                </c:pt>
                <c:pt idx="134">
                  <c:v>-2.19951892822706E-3</c:v>
                </c:pt>
                <c:pt idx="135">
                  <c:v>-3.42917595299747E-3</c:v>
                </c:pt>
                <c:pt idx="136">
                  <c:v>-3.7584719418454199E-4</c:v>
                </c:pt>
                <c:pt idx="137">
                  <c:v>-2.2079105131945999E-4</c:v>
                </c:pt>
                <c:pt idx="138">
                  <c:v>9.5873865618418402E-4</c:v>
                </c:pt>
                <c:pt idx="139">
                  <c:v>2.7299158009159502E-3</c:v>
                </c:pt>
                <c:pt idx="140">
                  <c:v>-4.3206880460148504E-3</c:v>
                </c:pt>
                <c:pt idx="141">
                  <c:v>-7.8253015865020793E-3</c:v>
                </c:pt>
                <c:pt idx="142">
                  <c:v>-1.03134170501343E-2</c:v>
                </c:pt>
                <c:pt idx="143">
                  <c:v>-1.50242777365689E-2</c:v>
                </c:pt>
                <c:pt idx="144">
                  <c:v>-1.6724364832843199E-2</c:v>
                </c:pt>
                <c:pt idx="145">
                  <c:v>-2.34145677130056E-2</c:v>
                </c:pt>
                <c:pt idx="146">
                  <c:v>-2.03373813173147E-2</c:v>
                </c:pt>
                <c:pt idx="147">
                  <c:v>-2.4645334065017999E-2</c:v>
                </c:pt>
                <c:pt idx="148">
                  <c:v>-2.9915051982951999E-2</c:v>
                </c:pt>
                <c:pt idx="149">
                  <c:v>-2.8162720377318901E-2</c:v>
                </c:pt>
                <c:pt idx="150">
                  <c:v>-2.4865757470347898E-2</c:v>
                </c:pt>
                <c:pt idx="151">
                  <c:v>-2.4454713778779499E-2</c:v>
                </c:pt>
                <c:pt idx="152">
                  <c:v>-2.3169796004744E-2</c:v>
                </c:pt>
                <c:pt idx="153">
                  <c:v>-2.04866620183402E-2</c:v>
                </c:pt>
                <c:pt idx="154">
                  <c:v>-1.9974530235247999E-2</c:v>
                </c:pt>
                <c:pt idx="155">
                  <c:v>-2.3803755958913E-2</c:v>
                </c:pt>
                <c:pt idx="156">
                  <c:v>-2.64145498142354E-2</c:v>
                </c:pt>
                <c:pt idx="157">
                  <c:v>-2.3561766660479301E-2</c:v>
                </c:pt>
                <c:pt idx="158">
                  <c:v>-2.6822789695408501E-2</c:v>
                </c:pt>
                <c:pt idx="159">
                  <c:v>-3.3715840256950999E-2</c:v>
                </c:pt>
                <c:pt idx="160">
                  <c:v>-3.52398572579131E-2</c:v>
                </c:pt>
                <c:pt idx="161">
                  <c:v>-3.01257840884692E-2</c:v>
                </c:pt>
                <c:pt idx="162">
                  <c:v>-3.3111652606674299E-2</c:v>
                </c:pt>
                <c:pt idx="163">
                  <c:v>-3.5544350460783601E-2</c:v>
                </c:pt>
                <c:pt idx="164">
                  <c:v>-3.5957268223908802E-2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87-4FC4-BE9D-3ED04E20055A}"/>
            </c:ext>
          </c:extLst>
        </c:ser>
        <c:ser>
          <c:idx val="1"/>
          <c:order val="1"/>
          <c:tx>
            <c:v>B3 - 1 Month Forecast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Forecast_1m!$A$4:$A$168</c:f>
              <c:numCache>
                <c:formatCode>dd/mm/yyyy</c:formatCode>
                <c:ptCount val="165"/>
                <c:pt idx="0">
                  <c:v>39141</c:v>
                </c:pt>
                <c:pt idx="1">
                  <c:v>39169</c:v>
                </c:pt>
                <c:pt idx="2">
                  <c:v>39197</c:v>
                </c:pt>
                <c:pt idx="3">
                  <c:v>39232</c:v>
                </c:pt>
                <c:pt idx="4">
                  <c:v>39260</c:v>
                </c:pt>
                <c:pt idx="5">
                  <c:v>39288</c:v>
                </c:pt>
                <c:pt idx="6">
                  <c:v>39323</c:v>
                </c:pt>
                <c:pt idx="7">
                  <c:v>39351</c:v>
                </c:pt>
                <c:pt idx="8">
                  <c:v>39386</c:v>
                </c:pt>
                <c:pt idx="9">
                  <c:v>39414</c:v>
                </c:pt>
                <c:pt idx="10">
                  <c:v>39442</c:v>
                </c:pt>
                <c:pt idx="11">
                  <c:v>39477</c:v>
                </c:pt>
                <c:pt idx="12">
                  <c:v>39505</c:v>
                </c:pt>
                <c:pt idx="13">
                  <c:v>39533</c:v>
                </c:pt>
                <c:pt idx="14">
                  <c:v>39568</c:v>
                </c:pt>
                <c:pt idx="15">
                  <c:v>39596</c:v>
                </c:pt>
                <c:pt idx="16">
                  <c:v>39624</c:v>
                </c:pt>
                <c:pt idx="17">
                  <c:v>39659</c:v>
                </c:pt>
                <c:pt idx="18">
                  <c:v>39687</c:v>
                </c:pt>
                <c:pt idx="19">
                  <c:v>39715</c:v>
                </c:pt>
                <c:pt idx="20">
                  <c:v>39750</c:v>
                </c:pt>
                <c:pt idx="21">
                  <c:v>39778</c:v>
                </c:pt>
                <c:pt idx="22">
                  <c:v>39813</c:v>
                </c:pt>
                <c:pt idx="23">
                  <c:v>39841</c:v>
                </c:pt>
                <c:pt idx="24">
                  <c:v>39869</c:v>
                </c:pt>
                <c:pt idx="25">
                  <c:v>39897</c:v>
                </c:pt>
                <c:pt idx="26">
                  <c:v>39932</c:v>
                </c:pt>
                <c:pt idx="27">
                  <c:v>39960</c:v>
                </c:pt>
                <c:pt idx="28">
                  <c:v>39988</c:v>
                </c:pt>
                <c:pt idx="29">
                  <c:v>40023</c:v>
                </c:pt>
                <c:pt idx="30">
                  <c:v>40051</c:v>
                </c:pt>
                <c:pt idx="31">
                  <c:v>40086</c:v>
                </c:pt>
                <c:pt idx="32">
                  <c:v>40114</c:v>
                </c:pt>
                <c:pt idx="33">
                  <c:v>40142</c:v>
                </c:pt>
                <c:pt idx="34">
                  <c:v>40177</c:v>
                </c:pt>
                <c:pt idx="35">
                  <c:v>40205</c:v>
                </c:pt>
                <c:pt idx="36">
                  <c:v>40233</c:v>
                </c:pt>
                <c:pt idx="37">
                  <c:v>40268</c:v>
                </c:pt>
                <c:pt idx="38">
                  <c:v>40296</c:v>
                </c:pt>
                <c:pt idx="39">
                  <c:v>40324</c:v>
                </c:pt>
                <c:pt idx="40">
                  <c:v>40359</c:v>
                </c:pt>
                <c:pt idx="41">
                  <c:v>40387</c:v>
                </c:pt>
                <c:pt idx="42">
                  <c:v>40415</c:v>
                </c:pt>
                <c:pt idx="43">
                  <c:v>40450</c:v>
                </c:pt>
                <c:pt idx="44">
                  <c:v>40478</c:v>
                </c:pt>
                <c:pt idx="45">
                  <c:v>40506</c:v>
                </c:pt>
                <c:pt idx="46">
                  <c:v>40541</c:v>
                </c:pt>
                <c:pt idx="47">
                  <c:v>40569</c:v>
                </c:pt>
                <c:pt idx="48">
                  <c:v>40597</c:v>
                </c:pt>
                <c:pt idx="49">
                  <c:v>40632</c:v>
                </c:pt>
                <c:pt idx="50">
                  <c:v>40660</c:v>
                </c:pt>
                <c:pt idx="51">
                  <c:v>40688</c:v>
                </c:pt>
                <c:pt idx="52">
                  <c:v>40723</c:v>
                </c:pt>
                <c:pt idx="53">
                  <c:v>40751</c:v>
                </c:pt>
                <c:pt idx="54">
                  <c:v>40786</c:v>
                </c:pt>
                <c:pt idx="55">
                  <c:v>40814</c:v>
                </c:pt>
                <c:pt idx="56">
                  <c:v>40842</c:v>
                </c:pt>
                <c:pt idx="57">
                  <c:v>40877</c:v>
                </c:pt>
                <c:pt idx="58">
                  <c:v>40905</c:v>
                </c:pt>
                <c:pt idx="59">
                  <c:v>40933</c:v>
                </c:pt>
                <c:pt idx="60">
                  <c:v>40968</c:v>
                </c:pt>
                <c:pt idx="61">
                  <c:v>40996</c:v>
                </c:pt>
                <c:pt idx="62">
                  <c:v>41024</c:v>
                </c:pt>
                <c:pt idx="63">
                  <c:v>41059</c:v>
                </c:pt>
                <c:pt idx="64">
                  <c:v>41087</c:v>
                </c:pt>
                <c:pt idx="65">
                  <c:v>41115</c:v>
                </c:pt>
                <c:pt idx="66">
                  <c:v>41150</c:v>
                </c:pt>
                <c:pt idx="67">
                  <c:v>41178</c:v>
                </c:pt>
                <c:pt idx="68">
                  <c:v>41213</c:v>
                </c:pt>
                <c:pt idx="69">
                  <c:v>41241</c:v>
                </c:pt>
                <c:pt idx="70">
                  <c:v>41269</c:v>
                </c:pt>
                <c:pt idx="71">
                  <c:v>41304</c:v>
                </c:pt>
                <c:pt idx="72">
                  <c:v>41332</c:v>
                </c:pt>
                <c:pt idx="73">
                  <c:v>41360</c:v>
                </c:pt>
                <c:pt idx="74">
                  <c:v>41388</c:v>
                </c:pt>
                <c:pt idx="75">
                  <c:v>41423</c:v>
                </c:pt>
                <c:pt idx="76">
                  <c:v>41451</c:v>
                </c:pt>
                <c:pt idx="77">
                  <c:v>41486</c:v>
                </c:pt>
                <c:pt idx="78">
                  <c:v>41514</c:v>
                </c:pt>
                <c:pt idx="79">
                  <c:v>41542</c:v>
                </c:pt>
                <c:pt idx="80">
                  <c:v>41577</c:v>
                </c:pt>
                <c:pt idx="81">
                  <c:v>41605</c:v>
                </c:pt>
                <c:pt idx="82">
                  <c:v>41633</c:v>
                </c:pt>
                <c:pt idx="83">
                  <c:v>41668</c:v>
                </c:pt>
                <c:pt idx="84">
                  <c:v>41696</c:v>
                </c:pt>
                <c:pt idx="85">
                  <c:v>41724</c:v>
                </c:pt>
                <c:pt idx="86">
                  <c:v>41759</c:v>
                </c:pt>
                <c:pt idx="87">
                  <c:v>41787</c:v>
                </c:pt>
                <c:pt idx="88">
                  <c:v>41815</c:v>
                </c:pt>
                <c:pt idx="89">
                  <c:v>41850</c:v>
                </c:pt>
                <c:pt idx="90">
                  <c:v>41878</c:v>
                </c:pt>
                <c:pt idx="91">
                  <c:v>41906</c:v>
                </c:pt>
                <c:pt idx="92">
                  <c:v>41941</c:v>
                </c:pt>
                <c:pt idx="93">
                  <c:v>41969</c:v>
                </c:pt>
                <c:pt idx="94">
                  <c:v>42004</c:v>
                </c:pt>
                <c:pt idx="95">
                  <c:v>42032</c:v>
                </c:pt>
                <c:pt idx="96">
                  <c:v>42060</c:v>
                </c:pt>
                <c:pt idx="97">
                  <c:v>42088</c:v>
                </c:pt>
                <c:pt idx="98">
                  <c:v>42123</c:v>
                </c:pt>
                <c:pt idx="99">
                  <c:v>42151</c:v>
                </c:pt>
                <c:pt idx="100">
                  <c:v>42179</c:v>
                </c:pt>
                <c:pt idx="101">
                  <c:v>42214</c:v>
                </c:pt>
                <c:pt idx="102">
                  <c:v>42242</c:v>
                </c:pt>
                <c:pt idx="103">
                  <c:v>42277</c:v>
                </c:pt>
                <c:pt idx="104">
                  <c:v>42305</c:v>
                </c:pt>
                <c:pt idx="105">
                  <c:v>42333</c:v>
                </c:pt>
                <c:pt idx="106">
                  <c:v>42368</c:v>
                </c:pt>
                <c:pt idx="107">
                  <c:v>42396</c:v>
                </c:pt>
                <c:pt idx="108">
                  <c:v>42424</c:v>
                </c:pt>
                <c:pt idx="109">
                  <c:v>42459</c:v>
                </c:pt>
                <c:pt idx="110">
                  <c:v>42487</c:v>
                </c:pt>
                <c:pt idx="111">
                  <c:v>42515</c:v>
                </c:pt>
                <c:pt idx="112">
                  <c:v>42550</c:v>
                </c:pt>
                <c:pt idx="113">
                  <c:v>42578</c:v>
                </c:pt>
                <c:pt idx="114">
                  <c:v>42613</c:v>
                </c:pt>
                <c:pt idx="115">
                  <c:v>42641</c:v>
                </c:pt>
                <c:pt idx="116">
                  <c:v>42669</c:v>
                </c:pt>
                <c:pt idx="117">
                  <c:v>42704</c:v>
                </c:pt>
                <c:pt idx="118">
                  <c:v>42732</c:v>
                </c:pt>
                <c:pt idx="119">
                  <c:v>42760</c:v>
                </c:pt>
                <c:pt idx="120">
                  <c:v>42788</c:v>
                </c:pt>
                <c:pt idx="121">
                  <c:v>42823</c:v>
                </c:pt>
                <c:pt idx="122">
                  <c:v>42851</c:v>
                </c:pt>
                <c:pt idx="123">
                  <c:v>42886</c:v>
                </c:pt>
                <c:pt idx="124">
                  <c:v>42914</c:v>
                </c:pt>
                <c:pt idx="125">
                  <c:v>42942</c:v>
                </c:pt>
                <c:pt idx="126">
                  <c:v>42977</c:v>
                </c:pt>
                <c:pt idx="127">
                  <c:v>43005</c:v>
                </c:pt>
                <c:pt idx="128">
                  <c:v>43033</c:v>
                </c:pt>
                <c:pt idx="129">
                  <c:v>43068</c:v>
                </c:pt>
                <c:pt idx="130">
                  <c:v>43096</c:v>
                </c:pt>
                <c:pt idx="131">
                  <c:v>43131</c:v>
                </c:pt>
                <c:pt idx="132">
                  <c:v>43159</c:v>
                </c:pt>
                <c:pt idx="133">
                  <c:v>43187</c:v>
                </c:pt>
                <c:pt idx="134">
                  <c:v>43215</c:v>
                </c:pt>
                <c:pt idx="135">
                  <c:v>43250</c:v>
                </c:pt>
                <c:pt idx="136">
                  <c:v>43278</c:v>
                </c:pt>
                <c:pt idx="137">
                  <c:v>43306</c:v>
                </c:pt>
                <c:pt idx="138">
                  <c:v>43341</c:v>
                </c:pt>
                <c:pt idx="139">
                  <c:v>43369</c:v>
                </c:pt>
                <c:pt idx="140">
                  <c:v>43404</c:v>
                </c:pt>
                <c:pt idx="141">
                  <c:v>43432</c:v>
                </c:pt>
                <c:pt idx="142">
                  <c:v>43460</c:v>
                </c:pt>
                <c:pt idx="143">
                  <c:v>43495</c:v>
                </c:pt>
                <c:pt idx="144">
                  <c:v>43523</c:v>
                </c:pt>
                <c:pt idx="145">
                  <c:v>43551</c:v>
                </c:pt>
                <c:pt idx="146">
                  <c:v>43579</c:v>
                </c:pt>
                <c:pt idx="147">
                  <c:v>43614</c:v>
                </c:pt>
                <c:pt idx="148">
                  <c:v>43642</c:v>
                </c:pt>
                <c:pt idx="149">
                  <c:v>43677</c:v>
                </c:pt>
                <c:pt idx="150">
                  <c:v>43705</c:v>
                </c:pt>
                <c:pt idx="151">
                  <c:v>43733</c:v>
                </c:pt>
                <c:pt idx="152">
                  <c:v>43768</c:v>
                </c:pt>
                <c:pt idx="153">
                  <c:v>43796</c:v>
                </c:pt>
                <c:pt idx="154">
                  <c:v>43824</c:v>
                </c:pt>
                <c:pt idx="155">
                  <c:v>43859</c:v>
                </c:pt>
                <c:pt idx="156">
                  <c:v>43887</c:v>
                </c:pt>
                <c:pt idx="157">
                  <c:v>43915</c:v>
                </c:pt>
                <c:pt idx="158">
                  <c:v>43950</c:v>
                </c:pt>
                <c:pt idx="159">
                  <c:v>43978</c:v>
                </c:pt>
                <c:pt idx="160">
                  <c:v>44006</c:v>
                </c:pt>
                <c:pt idx="161">
                  <c:v>44041</c:v>
                </c:pt>
                <c:pt idx="162">
                  <c:v>44069</c:v>
                </c:pt>
                <c:pt idx="163">
                  <c:v>44104</c:v>
                </c:pt>
                <c:pt idx="164">
                  <c:v>44118</c:v>
                </c:pt>
              </c:numCache>
            </c:numRef>
          </c:cat>
          <c:val>
            <c:numRef>
              <c:f>Forecast_1m!$H$4:$H$168</c:f>
              <c:numCache>
                <c:formatCode>General</c:formatCode>
                <c:ptCount val="165"/>
                <c:pt idx="0">
                  <c:v>-1.243761972937911E-2</c:v>
                </c:pt>
                <c:pt idx="1">
                  <c:v>-1.7591964109950502E-2</c:v>
                </c:pt>
                <c:pt idx="2">
                  <c:v>-2.2042495592299649E-2</c:v>
                </c:pt>
                <c:pt idx="3">
                  <c:v>-1.9948527812298979E-2</c:v>
                </c:pt>
                <c:pt idx="4">
                  <c:v>-9.6373437621835954E-3</c:v>
                </c:pt>
                <c:pt idx="5">
                  <c:v>-9.9492731893270625E-3</c:v>
                </c:pt>
                <c:pt idx="6">
                  <c:v>-1.592731243495446E-2</c:v>
                </c:pt>
                <c:pt idx="7">
                  <c:v>-1.5076985958280701E-2</c:v>
                </c:pt>
                <c:pt idx="8">
                  <c:v>-1.9560681910007191E-2</c:v>
                </c:pt>
                <c:pt idx="9">
                  <c:v>-2.2243299190496439E-2</c:v>
                </c:pt>
                <c:pt idx="10">
                  <c:v>-2.7143903507297729E-2</c:v>
                </c:pt>
                <c:pt idx="11">
                  <c:v>-3.0801848359616964E-2</c:v>
                </c:pt>
                <c:pt idx="12">
                  <c:v>-4.9538099576977544E-2</c:v>
                </c:pt>
                <c:pt idx="13">
                  <c:v>-5.3555185011522288E-2</c:v>
                </c:pt>
                <c:pt idx="14">
                  <c:v>-5.468386061694995E-2</c:v>
                </c:pt>
                <c:pt idx="15">
                  <c:v>-3.5589255603632554E-2</c:v>
                </c:pt>
                <c:pt idx="16">
                  <c:v>-2.9171123141244561E-2</c:v>
                </c:pt>
                <c:pt idx="17">
                  <c:v>-2.2653022598593871E-2</c:v>
                </c:pt>
                <c:pt idx="18">
                  <c:v>-2.7537119503928922E-2</c:v>
                </c:pt>
                <c:pt idx="19">
                  <c:v>-3.3551544691225198E-2</c:v>
                </c:pt>
                <c:pt idx="20">
                  <c:v>-2.8932386279953537E-2</c:v>
                </c:pt>
                <c:pt idx="21">
                  <c:v>-4.0430499020901803E-2</c:v>
                </c:pt>
                <c:pt idx="22">
                  <c:v>-3.3856984269004652E-2</c:v>
                </c:pt>
                <c:pt idx="23">
                  <c:v>-3.0008112315505382E-2</c:v>
                </c:pt>
                <c:pt idx="24">
                  <c:v>-4.2592580476051613E-2</c:v>
                </c:pt>
                <c:pt idx="25">
                  <c:v>-3.6502658568402374E-2</c:v>
                </c:pt>
                <c:pt idx="26">
                  <c:v>-5.0160504772816715E-2</c:v>
                </c:pt>
                <c:pt idx="27">
                  <c:v>-4.7684428281616238E-2</c:v>
                </c:pt>
                <c:pt idx="28">
                  <c:v>-5.3093477699835592E-2</c:v>
                </c:pt>
                <c:pt idx="29">
                  <c:v>-3.6874015488458742E-2</c:v>
                </c:pt>
                <c:pt idx="30">
                  <c:v>-4.2731133714233552E-2</c:v>
                </c:pt>
                <c:pt idx="31">
                  <c:v>-4.0179226321099638E-2</c:v>
                </c:pt>
                <c:pt idx="32">
                  <c:v>-4.1748957019296547E-2</c:v>
                </c:pt>
                <c:pt idx="33">
                  <c:v>-4.5660410499821599E-2</c:v>
                </c:pt>
                <c:pt idx="34">
                  <c:v>-5.7966486070862903E-2</c:v>
                </c:pt>
                <c:pt idx="35">
                  <c:v>-4.566656721947325E-2</c:v>
                </c:pt>
                <c:pt idx="36">
                  <c:v>-5.1122471257179454E-2</c:v>
                </c:pt>
                <c:pt idx="37">
                  <c:v>-5.90203424161891E-2</c:v>
                </c:pt>
                <c:pt idx="38">
                  <c:v>-5.9833491805920951E-2</c:v>
                </c:pt>
                <c:pt idx="39">
                  <c:v>-5.5104991586053864E-2</c:v>
                </c:pt>
                <c:pt idx="40">
                  <c:v>-5.1966005253011115E-2</c:v>
                </c:pt>
                <c:pt idx="41">
                  <c:v>-5.7833835185279285E-2</c:v>
                </c:pt>
                <c:pt idx="42">
                  <c:v>-6.3241716692457914E-2</c:v>
                </c:pt>
                <c:pt idx="43">
                  <c:v>-5.9618406530997564E-2</c:v>
                </c:pt>
                <c:pt idx="44">
                  <c:v>-6.7570630613919477E-2</c:v>
                </c:pt>
                <c:pt idx="45">
                  <c:v>-7.6127248037837866E-2</c:v>
                </c:pt>
                <c:pt idx="46">
                  <c:v>-7.4899608441250889E-2</c:v>
                </c:pt>
                <c:pt idx="47">
                  <c:v>-6.5615602844214804E-2</c:v>
                </c:pt>
                <c:pt idx="48">
                  <c:v>-6.9692803739834788E-2</c:v>
                </c:pt>
                <c:pt idx="49">
                  <c:v>-6.1717688957465537E-2</c:v>
                </c:pt>
                <c:pt idx="50">
                  <c:v>-5.8271839140107175E-2</c:v>
                </c:pt>
                <c:pt idx="51">
                  <c:v>-6.4639963968533887E-2</c:v>
                </c:pt>
                <c:pt idx="52">
                  <c:v>-6.7472517378097188E-2</c:v>
                </c:pt>
                <c:pt idx="53">
                  <c:v>-7.4070621775174525E-2</c:v>
                </c:pt>
                <c:pt idx="54">
                  <c:v>-7.608203146517227E-2</c:v>
                </c:pt>
                <c:pt idx="55">
                  <c:v>-7.6351461719027333E-2</c:v>
                </c:pt>
                <c:pt idx="56">
                  <c:v>-6.2277558027062238E-2</c:v>
                </c:pt>
                <c:pt idx="57">
                  <c:v>-6.0861552582422533E-2</c:v>
                </c:pt>
                <c:pt idx="58">
                  <c:v>-5.9280818929803032E-2</c:v>
                </c:pt>
                <c:pt idx="59">
                  <c:v>-5.5929450330042589E-2</c:v>
                </c:pt>
                <c:pt idx="60">
                  <c:v>-6.6267955137974122E-2</c:v>
                </c:pt>
                <c:pt idx="61">
                  <c:v>-6.304854997512073E-2</c:v>
                </c:pt>
                <c:pt idx="62">
                  <c:v>-6.3558021512702928E-2</c:v>
                </c:pt>
                <c:pt idx="63">
                  <c:v>-6.5326121727128941E-2</c:v>
                </c:pt>
                <c:pt idx="64">
                  <c:v>-5.6910966385853384E-2</c:v>
                </c:pt>
                <c:pt idx="65">
                  <c:v>-5.4773624810965954E-2</c:v>
                </c:pt>
                <c:pt idx="66">
                  <c:v>-5.5553297232110742E-2</c:v>
                </c:pt>
                <c:pt idx="67">
                  <c:v>-5.9614437626677196E-2</c:v>
                </c:pt>
                <c:pt idx="68">
                  <c:v>-6.1315601115684223E-2</c:v>
                </c:pt>
                <c:pt idx="69">
                  <c:v>-5.9960182991381172E-2</c:v>
                </c:pt>
                <c:pt idx="70">
                  <c:v>-5.9715437127433595E-2</c:v>
                </c:pt>
                <c:pt idx="71">
                  <c:v>-5.9980188696981677E-2</c:v>
                </c:pt>
                <c:pt idx="72">
                  <c:v>-6.3967258180741254E-2</c:v>
                </c:pt>
                <c:pt idx="73">
                  <c:v>-6.5495648397703998E-2</c:v>
                </c:pt>
                <c:pt idx="74">
                  <c:v>-6.5825359189093255E-2</c:v>
                </c:pt>
                <c:pt idx="75">
                  <c:v>-6.2828206112309173E-2</c:v>
                </c:pt>
                <c:pt idx="76">
                  <c:v>-6.4332389059306286E-2</c:v>
                </c:pt>
                <c:pt idx="77">
                  <c:v>-6.1429406854149243E-2</c:v>
                </c:pt>
                <c:pt idx="78">
                  <c:v>-6.4089430830087418E-2</c:v>
                </c:pt>
                <c:pt idx="79">
                  <c:v>-5.9351432914281209E-2</c:v>
                </c:pt>
                <c:pt idx="80">
                  <c:v>-6.2677708144998637E-2</c:v>
                </c:pt>
                <c:pt idx="81">
                  <c:v>-6.6516991340528867E-2</c:v>
                </c:pt>
                <c:pt idx="82">
                  <c:v>-6.982507951604737E-2</c:v>
                </c:pt>
                <c:pt idx="83">
                  <c:v>-6.0647767634337789E-2</c:v>
                </c:pt>
                <c:pt idx="84">
                  <c:v>-5.9101119653416322E-2</c:v>
                </c:pt>
                <c:pt idx="85">
                  <c:v>-6.1060775951704574E-2</c:v>
                </c:pt>
                <c:pt idx="86">
                  <c:v>-5.080794627243182E-2</c:v>
                </c:pt>
                <c:pt idx="87">
                  <c:v>-5.2880514510810453E-2</c:v>
                </c:pt>
                <c:pt idx="88">
                  <c:v>-5.4045083063610194E-2</c:v>
                </c:pt>
                <c:pt idx="89">
                  <c:v>-5.0042709347060316E-2</c:v>
                </c:pt>
                <c:pt idx="90">
                  <c:v>-4.2410565585063766E-2</c:v>
                </c:pt>
                <c:pt idx="91">
                  <c:v>-3.9959823810710775E-2</c:v>
                </c:pt>
                <c:pt idx="92">
                  <c:v>-3.8400709901603047E-2</c:v>
                </c:pt>
                <c:pt idx="93">
                  <c:v>-3.9476227690799739E-2</c:v>
                </c:pt>
                <c:pt idx="94">
                  <c:v>-3.771761322986629E-2</c:v>
                </c:pt>
                <c:pt idx="95">
                  <c:v>-2.59381221257238E-2</c:v>
                </c:pt>
                <c:pt idx="96">
                  <c:v>-2.7570745563147675E-2</c:v>
                </c:pt>
                <c:pt idx="97">
                  <c:v>-2.7590866798153341E-2</c:v>
                </c:pt>
                <c:pt idx="98">
                  <c:v>-2.8302290825485993E-2</c:v>
                </c:pt>
                <c:pt idx="99">
                  <c:v>-3.555859150840792E-2</c:v>
                </c:pt>
                <c:pt idx="100">
                  <c:v>-3.5505240225281523E-2</c:v>
                </c:pt>
                <c:pt idx="101">
                  <c:v>-3.8999549350368805E-2</c:v>
                </c:pt>
                <c:pt idx="102">
                  <c:v>-3.5397267145520744E-2</c:v>
                </c:pt>
                <c:pt idx="103">
                  <c:v>-3.774979043119548E-2</c:v>
                </c:pt>
                <c:pt idx="104">
                  <c:v>-3.9908265730309214E-2</c:v>
                </c:pt>
                <c:pt idx="105">
                  <c:v>-3.6800966918690337E-2</c:v>
                </c:pt>
                <c:pt idx="106">
                  <c:v>-3.3608470199632735E-2</c:v>
                </c:pt>
                <c:pt idx="107">
                  <c:v>-2.9785887340821191E-2</c:v>
                </c:pt>
                <c:pt idx="108">
                  <c:v>-3.7237274112325885E-2</c:v>
                </c:pt>
                <c:pt idx="109">
                  <c:v>-3.8890553028944785E-2</c:v>
                </c:pt>
                <c:pt idx="110">
                  <c:v>-3.75914897192983E-2</c:v>
                </c:pt>
                <c:pt idx="111">
                  <c:v>-3.7459051388636054E-2</c:v>
                </c:pt>
                <c:pt idx="112">
                  <c:v>-3.4611246003701156E-2</c:v>
                </c:pt>
                <c:pt idx="113">
                  <c:v>-3.7738809859296188E-2</c:v>
                </c:pt>
                <c:pt idx="114">
                  <c:v>-3.2138965061096994E-2</c:v>
                </c:pt>
                <c:pt idx="115">
                  <c:v>-2.8878105372912244E-2</c:v>
                </c:pt>
                <c:pt idx="116">
                  <c:v>-3.2158641759997782E-2</c:v>
                </c:pt>
                <c:pt idx="117">
                  <c:v>-3.3549123805234053E-2</c:v>
                </c:pt>
                <c:pt idx="118">
                  <c:v>-2.9054231021196673E-2</c:v>
                </c:pt>
                <c:pt idx="119">
                  <c:v>-2.4685482537157979E-2</c:v>
                </c:pt>
                <c:pt idx="120">
                  <c:v>-2.6047176088942605E-2</c:v>
                </c:pt>
                <c:pt idx="121">
                  <c:v>-2.7138864666767591E-2</c:v>
                </c:pt>
                <c:pt idx="122">
                  <c:v>-2.6665166651635295E-2</c:v>
                </c:pt>
                <c:pt idx="123">
                  <c:v>-3.0435424291099335E-2</c:v>
                </c:pt>
                <c:pt idx="124">
                  <c:v>-3.1337419835261372E-2</c:v>
                </c:pt>
                <c:pt idx="125">
                  <c:v>-2.8069286781247885E-2</c:v>
                </c:pt>
                <c:pt idx="126">
                  <c:v>-3.0602573155800936E-2</c:v>
                </c:pt>
                <c:pt idx="127">
                  <c:v>-2.9386405465266979E-2</c:v>
                </c:pt>
                <c:pt idx="128">
                  <c:v>-2.5787298266232619E-2</c:v>
                </c:pt>
                <c:pt idx="129">
                  <c:v>-2.4776087697578903E-2</c:v>
                </c:pt>
                <c:pt idx="130">
                  <c:v>-1.999711475079342E-2</c:v>
                </c:pt>
                <c:pt idx="131">
                  <c:v>-1.4111463141807109E-2</c:v>
                </c:pt>
                <c:pt idx="132">
                  <c:v>-8.6517664078840355E-3</c:v>
                </c:pt>
                <c:pt idx="133">
                  <c:v>-9.017396469821172E-3</c:v>
                </c:pt>
                <c:pt idx="134">
                  <c:v>-8.605027547553561E-3</c:v>
                </c:pt>
                <c:pt idx="135">
                  <c:v>-5.638454745393792E-3</c:v>
                </c:pt>
                <c:pt idx="136">
                  <c:v>-6.8907525208481511E-3</c:v>
                </c:pt>
                <c:pt idx="137">
                  <c:v>-3.967976734424645E-3</c:v>
                </c:pt>
                <c:pt idx="138">
                  <c:v>-3.857223882730485E-3</c:v>
                </c:pt>
                <c:pt idx="139">
                  <c:v>-2.5488659095655357E-3</c:v>
                </c:pt>
                <c:pt idx="140">
                  <c:v>-8.7458301765264211E-4</c:v>
                </c:pt>
                <c:pt idx="141">
                  <c:v>-7.1405711654510939E-3</c:v>
                </c:pt>
                <c:pt idx="142">
                  <c:v>-1.0300339634350569E-2</c:v>
                </c:pt>
                <c:pt idx="143">
                  <c:v>-1.2892505052914761E-2</c:v>
                </c:pt>
                <c:pt idx="144">
                  <c:v>-1.703623703291E-2</c:v>
                </c:pt>
                <c:pt idx="145">
                  <c:v>-1.8592803863080914E-2</c:v>
                </c:pt>
                <c:pt idx="146">
                  <c:v>-2.4865257452418514E-2</c:v>
                </c:pt>
                <c:pt idx="147">
                  <c:v>-2.1988001571175673E-2</c:v>
                </c:pt>
                <c:pt idx="148">
                  <c:v>-2.6229308057595869E-2</c:v>
                </c:pt>
                <c:pt idx="149">
                  <c:v>-3.1080976726600509E-2</c:v>
                </c:pt>
                <c:pt idx="150">
                  <c:v>-2.9311793719958026E-2</c:v>
                </c:pt>
                <c:pt idx="151">
                  <c:v>-2.6626970701998667E-2</c:v>
                </c:pt>
                <c:pt idx="152">
                  <c:v>-2.6222399565426841E-2</c:v>
                </c:pt>
                <c:pt idx="153">
                  <c:v>-2.4995182958700322E-2</c:v>
                </c:pt>
                <c:pt idx="154">
                  <c:v>-2.2724899269486336E-2</c:v>
                </c:pt>
                <c:pt idx="155">
                  <c:v>-2.2300588153600934E-2</c:v>
                </c:pt>
                <c:pt idx="156">
                  <c:v>-2.5756506511643816E-2</c:v>
                </c:pt>
                <c:pt idx="157">
                  <c:v>-2.8290174287186731E-2</c:v>
                </c:pt>
                <c:pt idx="158">
                  <c:v>-2.572566878285007E-2</c:v>
                </c:pt>
                <c:pt idx="159">
                  <c:v>-2.8700285904342281E-2</c:v>
                </c:pt>
                <c:pt idx="160">
                  <c:v>-3.4788624591388304E-2</c:v>
                </c:pt>
                <c:pt idx="161">
                  <c:v>-3.6234760148425672E-2</c:v>
                </c:pt>
                <c:pt idx="162">
                  <c:v>-3.1760889869729941E-2</c:v>
                </c:pt>
                <c:pt idx="163">
                  <c:v>-3.4504345912419868E-2</c:v>
                </c:pt>
                <c:pt idx="164">
                  <c:v>-3.6601596107255004E-2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87-4FC4-BE9D-3ED04E2005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6231231"/>
        <c:axId val="194750383"/>
      </c:lineChart>
      <c:dateAx>
        <c:axId val="3762312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m/yy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750383"/>
        <c:crosses val="autoZero"/>
        <c:auto val="1"/>
        <c:lblOffset val="100"/>
        <c:baseTimeUnit val="days"/>
      </c:dateAx>
      <c:valAx>
        <c:axId val="194750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Beta</a:t>
                </a:r>
                <a:r>
                  <a:rPr lang="en-US" baseline="0"/>
                  <a:t> 3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231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Beta 4 - Actual</a:t>
            </a:r>
            <a:r>
              <a:rPr lang="en-US" baseline="0"/>
              <a:t> Vs 1 Month Forecast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B4 - Actual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Forecast_1m!$A$4:$A$168</c:f>
              <c:numCache>
                <c:formatCode>dd/mm/yyyy</c:formatCode>
                <c:ptCount val="165"/>
                <c:pt idx="0">
                  <c:v>39141</c:v>
                </c:pt>
                <c:pt idx="1">
                  <c:v>39169</c:v>
                </c:pt>
                <c:pt idx="2">
                  <c:v>39197</c:v>
                </c:pt>
                <c:pt idx="3">
                  <c:v>39232</c:v>
                </c:pt>
                <c:pt idx="4">
                  <c:v>39260</c:v>
                </c:pt>
                <c:pt idx="5">
                  <c:v>39288</c:v>
                </c:pt>
                <c:pt idx="6">
                  <c:v>39323</c:v>
                </c:pt>
                <c:pt idx="7">
                  <c:v>39351</c:v>
                </c:pt>
                <c:pt idx="8">
                  <c:v>39386</c:v>
                </c:pt>
                <c:pt idx="9">
                  <c:v>39414</c:v>
                </c:pt>
                <c:pt idx="10">
                  <c:v>39442</c:v>
                </c:pt>
                <c:pt idx="11">
                  <c:v>39477</c:v>
                </c:pt>
                <c:pt idx="12">
                  <c:v>39505</c:v>
                </c:pt>
                <c:pt idx="13">
                  <c:v>39533</c:v>
                </c:pt>
                <c:pt idx="14">
                  <c:v>39568</c:v>
                </c:pt>
                <c:pt idx="15">
                  <c:v>39596</c:v>
                </c:pt>
                <c:pt idx="16">
                  <c:v>39624</c:v>
                </c:pt>
                <c:pt idx="17">
                  <c:v>39659</c:v>
                </c:pt>
                <c:pt idx="18">
                  <c:v>39687</c:v>
                </c:pt>
                <c:pt idx="19">
                  <c:v>39715</c:v>
                </c:pt>
                <c:pt idx="20">
                  <c:v>39750</c:v>
                </c:pt>
                <c:pt idx="21">
                  <c:v>39778</c:v>
                </c:pt>
                <c:pt idx="22">
                  <c:v>39813</c:v>
                </c:pt>
                <c:pt idx="23">
                  <c:v>39841</c:v>
                </c:pt>
                <c:pt idx="24">
                  <c:v>39869</c:v>
                </c:pt>
                <c:pt idx="25">
                  <c:v>39897</c:v>
                </c:pt>
                <c:pt idx="26">
                  <c:v>39932</c:v>
                </c:pt>
                <c:pt idx="27">
                  <c:v>39960</c:v>
                </c:pt>
                <c:pt idx="28">
                  <c:v>39988</c:v>
                </c:pt>
                <c:pt idx="29">
                  <c:v>40023</c:v>
                </c:pt>
                <c:pt idx="30">
                  <c:v>40051</c:v>
                </c:pt>
                <c:pt idx="31">
                  <c:v>40086</c:v>
                </c:pt>
                <c:pt idx="32">
                  <c:v>40114</c:v>
                </c:pt>
                <c:pt idx="33">
                  <c:v>40142</c:v>
                </c:pt>
                <c:pt idx="34">
                  <c:v>40177</c:v>
                </c:pt>
                <c:pt idx="35">
                  <c:v>40205</c:v>
                </c:pt>
                <c:pt idx="36">
                  <c:v>40233</c:v>
                </c:pt>
                <c:pt idx="37">
                  <c:v>40268</c:v>
                </c:pt>
                <c:pt idx="38">
                  <c:v>40296</c:v>
                </c:pt>
                <c:pt idx="39">
                  <c:v>40324</c:v>
                </c:pt>
                <c:pt idx="40">
                  <c:v>40359</c:v>
                </c:pt>
                <c:pt idx="41">
                  <c:v>40387</c:v>
                </c:pt>
                <c:pt idx="42">
                  <c:v>40415</c:v>
                </c:pt>
                <c:pt idx="43">
                  <c:v>40450</c:v>
                </c:pt>
                <c:pt idx="44">
                  <c:v>40478</c:v>
                </c:pt>
                <c:pt idx="45">
                  <c:v>40506</c:v>
                </c:pt>
                <c:pt idx="46">
                  <c:v>40541</c:v>
                </c:pt>
                <c:pt idx="47">
                  <c:v>40569</c:v>
                </c:pt>
                <c:pt idx="48">
                  <c:v>40597</c:v>
                </c:pt>
                <c:pt idx="49">
                  <c:v>40632</c:v>
                </c:pt>
                <c:pt idx="50">
                  <c:v>40660</c:v>
                </c:pt>
                <c:pt idx="51">
                  <c:v>40688</c:v>
                </c:pt>
                <c:pt idx="52">
                  <c:v>40723</c:v>
                </c:pt>
                <c:pt idx="53">
                  <c:v>40751</c:v>
                </c:pt>
                <c:pt idx="54">
                  <c:v>40786</c:v>
                </c:pt>
                <c:pt idx="55">
                  <c:v>40814</c:v>
                </c:pt>
                <c:pt idx="56">
                  <c:v>40842</c:v>
                </c:pt>
                <c:pt idx="57">
                  <c:v>40877</c:v>
                </c:pt>
                <c:pt idx="58">
                  <c:v>40905</c:v>
                </c:pt>
                <c:pt idx="59">
                  <c:v>40933</c:v>
                </c:pt>
                <c:pt idx="60">
                  <c:v>40968</c:v>
                </c:pt>
                <c:pt idx="61">
                  <c:v>40996</c:v>
                </c:pt>
                <c:pt idx="62">
                  <c:v>41024</c:v>
                </c:pt>
                <c:pt idx="63">
                  <c:v>41059</c:v>
                </c:pt>
                <c:pt idx="64">
                  <c:v>41087</c:v>
                </c:pt>
                <c:pt idx="65">
                  <c:v>41115</c:v>
                </c:pt>
                <c:pt idx="66">
                  <c:v>41150</c:v>
                </c:pt>
                <c:pt idx="67">
                  <c:v>41178</c:v>
                </c:pt>
                <c:pt idx="68">
                  <c:v>41213</c:v>
                </c:pt>
                <c:pt idx="69">
                  <c:v>41241</c:v>
                </c:pt>
                <c:pt idx="70">
                  <c:v>41269</c:v>
                </c:pt>
                <c:pt idx="71">
                  <c:v>41304</c:v>
                </c:pt>
                <c:pt idx="72">
                  <c:v>41332</c:v>
                </c:pt>
                <c:pt idx="73">
                  <c:v>41360</c:v>
                </c:pt>
                <c:pt idx="74">
                  <c:v>41388</c:v>
                </c:pt>
                <c:pt idx="75">
                  <c:v>41423</c:v>
                </c:pt>
                <c:pt idx="76">
                  <c:v>41451</c:v>
                </c:pt>
                <c:pt idx="77">
                  <c:v>41486</c:v>
                </c:pt>
                <c:pt idx="78">
                  <c:v>41514</c:v>
                </c:pt>
                <c:pt idx="79">
                  <c:v>41542</c:v>
                </c:pt>
                <c:pt idx="80">
                  <c:v>41577</c:v>
                </c:pt>
                <c:pt idx="81">
                  <c:v>41605</c:v>
                </c:pt>
                <c:pt idx="82">
                  <c:v>41633</c:v>
                </c:pt>
                <c:pt idx="83">
                  <c:v>41668</c:v>
                </c:pt>
                <c:pt idx="84">
                  <c:v>41696</c:v>
                </c:pt>
                <c:pt idx="85">
                  <c:v>41724</c:v>
                </c:pt>
                <c:pt idx="86">
                  <c:v>41759</c:v>
                </c:pt>
                <c:pt idx="87">
                  <c:v>41787</c:v>
                </c:pt>
                <c:pt idx="88">
                  <c:v>41815</c:v>
                </c:pt>
                <c:pt idx="89">
                  <c:v>41850</c:v>
                </c:pt>
                <c:pt idx="90">
                  <c:v>41878</c:v>
                </c:pt>
                <c:pt idx="91">
                  <c:v>41906</c:v>
                </c:pt>
                <c:pt idx="92">
                  <c:v>41941</c:v>
                </c:pt>
                <c:pt idx="93">
                  <c:v>41969</c:v>
                </c:pt>
                <c:pt idx="94">
                  <c:v>42004</c:v>
                </c:pt>
                <c:pt idx="95">
                  <c:v>42032</c:v>
                </c:pt>
                <c:pt idx="96">
                  <c:v>42060</c:v>
                </c:pt>
                <c:pt idx="97">
                  <c:v>42088</c:v>
                </c:pt>
                <c:pt idx="98">
                  <c:v>42123</c:v>
                </c:pt>
                <c:pt idx="99">
                  <c:v>42151</c:v>
                </c:pt>
                <c:pt idx="100">
                  <c:v>42179</c:v>
                </c:pt>
                <c:pt idx="101">
                  <c:v>42214</c:v>
                </c:pt>
                <c:pt idx="102">
                  <c:v>42242</c:v>
                </c:pt>
                <c:pt idx="103">
                  <c:v>42277</c:v>
                </c:pt>
                <c:pt idx="104">
                  <c:v>42305</c:v>
                </c:pt>
                <c:pt idx="105">
                  <c:v>42333</c:v>
                </c:pt>
                <c:pt idx="106">
                  <c:v>42368</c:v>
                </c:pt>
                <c:pt idx="107">
                  <c:v>42396</c:v>
                </c:pt>
                <c:pt idx="108">
                  <c:v>42424</c:v>
                </c:pt>
                <c:pt idx="109">
                  <c:v>42459</c:v>
                </c:pt>
                <c:pt idx="110">
                  <c:v>42487</c:v>
                </c:pt>
                <c:pt idx="111">
                  <c:v>42515</c:v>
                </c:pt>
                <c:pt idx="112">
                  <c:v>42550</c:v>
                </c:pt>
                <c:pt idx="113">
                  <c:v>42578</c:v>
                </c:pt>
                <c:pt idx="114">
                  <c:v>42613</c:v>
                </c:pt>
                <c:pt idx="115">
                  <c:v>42641</c:v>
                </c:pt>
                <c:pt idx="116">
                  <c:v>42669</c:v>
                </c:pt>
                <c:pt idx="117">
                  <c:v>42704</c:v>
                </c:pt>
                <c:pt idx="118">
                  <c:v>42732</c:v>
                </c:pt>
                <c:pt idx="119">
                  <c:v>42760</c:v>
                </c:pt>
                <c:pt idx="120">
                  <c:v>42788</c:v>
                </c:pt>
                <c:pt idx="121">
                  <c:v>42823</c:v>
                </c:pt>
                <c:pt idx="122">
                  <c:v>42851</c:v>
                </c:pt>
                <c:pt idx="123">
                  <c:v>42886</c:v>
                </c:pt>
                <c:pt idx="124">
                  <c:v>42914</c:v>
                </c:pt>
                <c:pt idx="125">
                  <c:v>42942</c:v>
                </c:pt>
                <c:pt idx="126">
                  <c:v>42977</c:v>
                </c:pt>
                <c:pt idx="127">
                  <c:v>43005</c:v>
                </c:pt>
                <c:pt idx="128">
                  <c:v>43033</c:v>
                </c:pt>
                <c:pt idx="129">
                  <c:v>43068</c:v>
                </c:pt>
                <c:pt idx="130">
                  <c:v>43096</c:v>
                </c:pt>
                <c:pt idx="131">
                  <c:v>43131</c:v>
                </c:pt>
                <c:pt idx="132">
                  <c:v>43159</c:v>
                </c:pt>
                <c:pt idx="133">
                  <c:v>43187</c:v>
                </c:pt>
                <c:pt idx="134">
                  <c:v>43215</c:v>
                </c:pt>
                <c:pt idx="135">
                  <c:v>43250</c:v>
                </c:pt>
                <c:pt idx="136">
                  <c:v>43278</c:v>
                </c:pt>
                <c:pt idx="137">
                  <c:v>43306</c:v>
                </c:pt>
                <c:pt idx="138">
                  <c:v>43341</c:v>
                </c:pt>
                <c:pt idx="139">
                  <c:v>43369</c:v>
                </c:pt>
                <c:pt idx="140">
                  <c:v>43404</c:v>
                </c:pt>
                <c:pt idx="141">
                  <c:v>43432</c:v>
                </c:pt>
                <c:pt idx="142">
                  <c:v>43460</c:v>
                </c:pt>
                <c:pt idx="143">
                  <c:v>43495</c:v>
                </c:pt>
                <c:pt idx="144">
                  <c:v>43523</c:v>
                </c:pt>
                <c:pt idx="145">
                  <c:v>43551</c:v>
                </c:pt>
                <c:pt idx="146">
                  <c:v>43579</c:v>
                </c:pt>
                <c:pt idx="147">
                  <c:v>43614</c:v>
                </c:pt>
                <c:pt idx="148">
                  <c:v>43642</c:v>
                </c:pt>
                <c:pt idx="149">
                  <c:v>43677</c:v>
                </c:pt>
                <c:pt idx="150">
                  <c:v>43705</c:v>
                </c:pt>
                <c:pt idx="151">
                  <c:v>43733</c:v>
                </c:pt>
                <c:pt idx="152">
                  <c:v>43768</c:v>
                </c:pt>
                <c:pt idx="153">
                  <c:v>43796</c:v>
                </c:pt>
                <c:pt idx="154">
                  <c:v>43824</c:v>
                </c:pt>
                <c:pt idx="155">
                  <c:v>43859</c:v>
                </c:pt>
                <c:pt idx="156">
                  <c:v>43887</c:v>
                </c:pt>
                <c:pt idx="157">
                  <c:v>43915</c:v>
                </c:pt>
                <c:pt idx="158">
                  <c:v>43950</c:v>
                </c:pt>
                <c:pt idx="159">
                  <c:v>43978</c:v>
                </c:pt>
                <c:pt idx="160">
                  <c:v>44006</c:v>
                </c:pt>
                <c:pt idx="161">
                  <c:v>44041</c:v>
                </c:pt>
                <c:pt idx="162">
                  <c:v>44069</c:v>
                </c:pt>
                <c:pt idx="163">
                  <c:v>44104</c:v>
                </c:pt>
                <c:pt idx="164">
                  <c:v>44118</c:v>
                </c:pt>
              </c:numCache>
            </c:numRef>
          </c:cat>
          <c:val>
            <c:numRef>
              <c:f>Forecast_1m!$E$4:$E$168</c:f>
              <c:numCache>
                <c:formatCode>General</c:formatCode>
                <c:ptCount val="165"/>
                <c:pt idx="0">
                  <c:v>1.25120456599915E-2</c:v>
                </c:pt>
                <c:pt idx="1">
                  <c:v>9.4299747919412893E-3</c:v>
                </c:pt>
                <c:pt idx="2">
                  <c:v>1.09490639486117E-2</c:v>
                </c:pt>
                <c:pt idx="3">
                  <c:v>6.3465321953203296E-3</c:v>
                </c:pt>
                <c:pt idx="4">
                  <c:v>1.49327570039514E-2</c:v>
                </c:pt>
                <c:pt idx="5">
                  <c:v>1.9951481212161601E-2</c:v>
                </c:pt>
                <c:pt idx="6">
                  <c:v>3.59383269158969E-3</c:v>
                </c:pt>
                <c:pt idx="7">
                  <c:v>1.7319300329978998E-2</c:v>
                </c:pt>
                <c:pt idx="8">
                  <c:v>2.22701878449535E-2</c:v>
                </c:pt>
                <c:pt idx="9">
                  <c:v>2.80050639625825E-2</c:v>
                </c:pt>
                <c:pt idx="10">
                  <c:v>3.0044321162910999E-2</c:v>
                </c:pt>
                <c:pt idx="11">
                  <c:v>2.9533091509634402E-2</c:v>
                </c:pt>
                <c:pt idx="12">
                  <c:v>3.4799152989331797E-2</c:v>
                </c:pt>
                <c:pt idx="13">
                  <c:v>3.2761219135476603E-2</c:v>
                </c:pt>
                <c:pt idx="14">
                  <c:v>2.3312120974840499E-2</c:v>
                </c:pt>
                <c:pt idx="15">
                  <c:v>2.1106991555516302E-2</c:v>
                </c:pt>
                <c:pt idx="16">
                  <c:v>2.7842345786205699E-2</c:v>
                </c:pt>
                <c:pt idx="17">
                  <c:v>2.4553799752414299E-2</c:v>
                </c:pt>
                <c:pt idx="18">
                  <c:v>2.6533156277649201E-2</c:v>
                </c:pt>
                <c:pt idx="19">
                  <c:v>3.4858594485285298E-2</c:v>
                </c:pt>
                <c:pt idx="20">
                  <c:v>0.122361555623085</c:v>
                </c:pt>
                <c:pt idx="21">
                  <c:v>6.4667254732645799E-2</c:v>
                </c:pt>
                <c:pt idx="22">
                  <c:v>9.8136783393568405E-2</c:v>
                </c:pt>
                <c:pt idx="23">
                  <c:v>7.2672947917895206E-2</c:v>
                </c:pt>
                <c:pt idx="24">
                  <c:v>7.7255384344296796E-2</c:v>
                </c:pt>
                <c:pt idx="25">
                  <c:v>4.5742367867806701E-2</c:v>
                </c:pt>
                <c:pt idx="26">
                  <c:v>4.71692209525678E-2</c:v>
                </c:pt>
                <c:pt idx="27">
                  <c:v>5.9115618917687497E-2</c:v>
                </c:pt>
                <c:pt idx="28">
                  <c:v>7.3266471897754495E-2</c:v>
                </c:pt>
                <c:pt idx="29">
                  <c:v>5.8055126275642799E-2</c:v>
                </c:pt>
                <c:pt idx="30">
                  <c:v>5.3036710082818198E-2</c:v>
                </c:pt>
                <c:pt idx="31">
                  <c:v>5.0684923562965799E-2</c:v>
                </c:pt>
                <c:pt idx="32">
                  <c:v>4.25225234493554E-2</c:v>
                </c:pt>
                <c:pt idx="33">
                  <c:v>2.1493262847360601E-2</c:v>
                </c:pt>
                <c:pt idx="34">
                  <c:v>5.0484929307322401E-2</c:v>
                </c:pt>
                <c:pt idx="35">
                  <c:v>3.66889473059092E-2</c:v>
                </c:pt>
                <c:pt idx="36">
                  <c:v>4.0171698311576902E-2</c:v>
                </c:pt>
                <c:pt idx="37">
                  <c:v>3.2854701786900802E-2</c:v>
                </c:pt>
                <c:pt idx="38">
                  <c:v>3.1407166215639999E-2</c:v>
                </c:pt>
                <c:pt idx="39">
                  <c:v>1.5168448470212001E-2</c:v>
                </c:pt>
                <c:pt idx="40">
                  <c:v>1.31477576094983E-2</c:v>
                </c:pt>
                <c:pt idx="41">
                  <c:v>1.55391617783767E-3</c:v>
                </c:pt>
                <c:pt idx="42">
                  <c:v>-1.34936165366801E-2</c:v>
                </c:pt>
                <c:pt idx="43">
                  <c:v>-2.8179689436775901E-2</c:v>
                </c:pt>
                <c:pt idx="44">
                  <c:v>-3.3554033509051E-2</c:v>
                </c:pt>
                <c:pt idx="45">
                  <c:v>-2.6668228867110101E-2</c:v>
                </c:pt>
                <c:pt idx="46">
                  <c:v>1.3867616022916401E-2</c:v>
                </c:pt>
                <c:pt idx="47">
                  <c:v>8.3742964440648993E-3</c:v>
                </c:pt>
                <c:pt idx="48">
                  <c:v>7.3113663035558798E-3</c:v>
                </c:pt>
                <c:pt idx="49">
                  <c:v>8.3293597211049307E-3</c:v>
                </c:pt>
                <c:pt idx="50">
                  <c:v>2.00635499941009E-3</c:v>
                </c:pt>
                <c:pt idx="51">
                  <c:v>-4.2167377185015004E-3</c:v>
                </c:pt>
                <c:pt idx="52">
                  <c:v>-1.04433571404154E-2</c:v>
                </c:pt>
                <c:pt idx="53">
                  <c:v>-1.8037706777156499E-2</c:v>
                </c:pt>
                <c:pt idx="54">
                  <c:v>-4.8798108630067602E-2</c:v>
                </c:pt>
                <c:pt idx="55">
                  <c:v>-2.8247411196551199E-2</c:v>
                </c:pt>
                <c:pt idx="56">
                  <c:v>-1.20339516782118E-2</c:v>
                </c:pt>
                <c:pt idx="57">
                  <c:v>-1.1120143447784E-2</c:v>
                </c:pt>
                <c:pt idx="58">
                  <c:v>-2.0929891526957001E-2</c:v>
                </c:pt>
                <c:pt idx="59">
                  <c:v>-2.6058785245563099E-2</c:v>
                </c:pt>
                <c:pt idx="60">
                  <c:v>-3.1636933178151597E-2</c:v>
                </c:pt>
                <c:pt idx="61">
                  <c:v>-2.3841128853972202E-2</c:v>
                </c:pt>
                <c:pt idx="62">
                  <c:v>-3.3381683730917697E-2</c:v>
                </c:pt>
                <c:pt idx="63">
                  <c:v>-4.8424364087273103E-2</c:v>
                </c:pt>
                <c:pt idx="64">
                  <c:v>-4.5079771290522298E-2</c:v>
                </c:pt>
                <c:pt idx="65">
                  <c:v>-4.4569679391427398E-2</c:v>
                </c:pt>
                <c:pt idx="66">
                  <c:v>-4.1958662695721502E-2</c:v>
                </c:pt>
                <c:pt idx="67">
                  <c:v>-4.8098494970327997E-2</c:v>
                </c:pt>
                <c:pt idx="68">
                  <c:v>-4.5416159221096201E-2</c:v>
                </c:pt>
                <c:pt idx="69">
                  <c:v>-5.1154235888789701E-2</c:v>
                </c:pt>
                <c:pt idx="70">
                  <c:v>-4.6969608011512801E-2</c:v>
                </c:pt>
                <c:pt idx="71">
                  <c:v>-3.91241055996032E-2</c:v>
                </c:pt>
                <c:pt idx="72">
                  <c:v>-4.96316207438387E-2</c:v>
                </c:pt>
                <c:pt idx="73">
                  <c:v>-4.9538883945729598E-2</c:v>
                </c:pt>
                <c:pt idx="74">
                  <c:v>-4.8892254288661001E-2</c:v>
                </c:pt>
                <c:pt idx="75">
                  <c:v>-3.5343169712220901E-2</c:v>
                </c:pt>
                <c:pt idx="76">
                  <c:v>-1.08078995486918E-2</c:v>
                </c:pt>
                <c:pt idx="77">
                  <c:v>-2.5606220786634202E-3</c:v>
                </c:pt>
                <c:pt idx="78">
                  <c:v>5.2189757087558403E-3</c:v>
                </c:pt>
                <c:pt idx="79">
                  <c:v>-3.3891747434047202E-3</c:v>
                </c:pt>
                <c:pt idx="80">
                  <c:v>-9.9886925919984697E-3</c:v>
                </c:pt>
                <c:pt idx="81">
                  <c:v>3.6020002945499302E-3</c:v>
                </c:pt>
                <c:pt idx="82">
                  <c:v>2.3978164195465699E-2</c:v>
                </c:pt>
                <c:pt idx="83">
                  <c:v>9.4136594594363392E-3</c:v>
                </c:pt>
                <c:pt idx="84">
                  <c:v>5.4417089271227501E-3</c:v>
                </c:pt>
                <c:pt idx="85">
                  <c:v>9.3951125514736798E-3</c:v>
                </c:pt>
                <c:pt idx="86">
                  <c:v>1.21884880813542E-2</c:v>
                </c:pt>
                <c:pt idx="87">
                  <c:v>-3.3614424804371801E-3</c:v>
                </c:pt>
                <c:pt idx="88">
                  <c:v>2.1328123881686999E-3</c:v>
                </c:pt>
                <c:pt idx="89">
                  <c:v>5.6092839634644398E-3</c:v>
                </c:pt>
                <c:pt idx="90">
                  <c:v>-2.9485361198346902E-3</c:v>
                </c:pt>
                <c:pt idx="91">
                  <c:v>7.1174773779652499E-3</c:v>
                </c:pt>
                <c:pt idx="92">
                  <c:v>1.2392642352536099E-3</c:v>
                </c:pt>
                <c:pt idx="93">
                  <c:v>-1.5871440849285401E-3</c:v>
                </c:pt>
                <c:pt idx="94">
                  <c:v>1.7886263234882999E-3</c:v>
                </c:pt>
                <c:pt idx="95">
                  <c:v>-1.2289858170680601E-3</c:v>
                </c:pt>
                <c:pt idx="96">
                  <c:v>1.99133407178614E-3</c:v>
                </c:pt>
                <c:pt idx="97">
                  <c:v>-1.6746033610363E-3</c:v>
                </c:pt>
                <c:pt idx="98">
                  <c:v>-8.9967694817712999E-3</c:v>
                </c:pt>
                <c:pt idx="99">
                  <c:v>-1.3315043783138599E-2</c:v>
                </c:pt>
                <c:pt idx="100">
                  <c:v>-1.5998800897480799E-2</c:v>
                </c:pt>
                <c:pt idx="101">
                  <c:v>-1.55349725966354E-2</c:v>
                </c:pt>
                <c:pt idx="102">
                  <c:v>-1.30388715065185E-2</c:v>
                </c:pt>
                <c:pt idx="103">
                  <c:v>-3.0127515050222601E-2</c:v>
                </c:pt>
                <c:pt idx="104">
                  <c:v>-2.50319310756024E-2</c:v>
                </c:pt>
                <c:pt idx="105">
                  <c:v>-2.62070799526853E-2</c:v>
                </c:pt>
                <c:pt idx="106">
                  <c:v>-2.25106364912438E-2</c:v>
                </c:pt>
                <c:pt idx="107">
                  <c:v>-3.1782542275979403E-2</c:v>
                </c:pt>
                <c:pt idx="108">
                  <c:v>-4.3173662470625901E-2</c:v>
                </c:pt>
                <c:pt idx="109">
                  <c:v>-3.9556557454862799E-2</c:v>
                </c:pt>
                <c:pt idx="110">
                  <c:v>-4.57452746067597E-2</c:v>
                </c:pt>
                <c:pt idx="111">
                  <c:v>-4.4635389355262303E-2</c:v>
                </c:pt>
                <c:pt idx="112">
                  <c:v>-5.1090208300908102E-2</c:v>
                </c:pt>
                <c:pt idx="113">
                  <c:v>-4.1673581221003897E-2</c:v>
                </c:pt>
                <c:pt idx="114">
                  <c:v>-3.1833759763943502E-2</c:v>
                </c:pt>
                <c:pt idx="115">
                  <c:v>-3.7750691554084198E-2</c:v>
                </c:pt>
                <c:pt idx="116">
                  <c:v>-3.85897892369573E-2</c:v>
                </c:pt>
                <c:pt idx="117">
                  <c:v>-1.30871456335488E-2</c:v>
                </c:pt>
                <c:pt idx="118">
                  <c:v>-7.0540348055155803E-3</c:v>
                </c:pt>
                <c:pt idx="119">
                  <c:v>-6.0465804532164802E-3</c:v>
                </c:pt>
                <c:pt idx="120">
                  <c:v>-1.3619536507237301E-2</c:v>
                </c:pt>
                <c:pt idx="121">
                  <c:v>-1.6346952230173E-2</c:v>
                </c:pt>
                <c:pt idx="122">
                  <c:v>-3.0504159206895101E-2</c:v>
                </c:pt>
                <c:pt idx="123">
                  <c:v>-3.08288702510012E-2</c:v>
                </c:pt>
                <c:pt idx="124">
                  <c:v>-1.8779446778098698E-2</c:v>
                </c:pt>
                <c:pt idx="125">
                  <c:v>-2.3202360510637898E-2</c:v>
                </c:pt>
                <c:pt idx="126">
                  <c:v>-2.6619208029861001E-2</c:v>
                </c:pt>
                <c:pt idx="127">
                  <c:v>-2.13374934123963E-2</c:v>
                </c:pt>
                <c:pt idx="128">
                  <c:v>-1.5981855864028002E-2</c:v>
                </c:pt>
                <c:pt idx="129">
                  <c:v>-1.27269735668285E-2</c:v>
                </c:pt>
                <c:pt idx="130">
                  <c:v>-6.4030775782370399E-3</c:v>
                </c:pt>
                <c:pt idx="131">
                  <c:v>6.2610495454638497E-3</c:v>
                </c:pt>
                <c:pt idx="132">
                  <c:v>3.0401265460420698E-3</c:v>
                </c:pt>
                <c:pt idx="133">
                  <c:v>-5.7355290999821997E-4</c:v>
                </c:pt>
                <c:pt idx="134">
                  <c:v>7.5230563150345204E-3</c:v>
                </c:pt>
                <c:pt idx="135">
                  <c:v>5.9481659593298899E-3</c:v>
                </c:pt>
                <c:pt idx="136">
                  <c:v>1.85999757482202E-3</c:v>
                </c:pt>
                <c:pt idx="137">
                  <c:v>6.3275949566066704E-3</c:v>
                </c:pt>
                <c:pt idx="138">
                  <c:v>-4.2968915693938903E-3</c:v>
                </c:pt>
                <c:pt idx="139">
                  <c:v>-6.697231323049E-4</c:v>
                </c:pt>
                <c:pt idx="140">
                  <c:v>-1.00124130160547E-2</c:v>
                </c:pt>
                <c:pt idx="141">
                  <c:v>-1.6383308389605701E-2</c:v>
                </c:pt>
                <c:pt idx="142">
                  <c:v>-1.3132376195156101E-2</c:v>
                </c:pt>
                <c:pt idx="143">
                  <c:v>-2.50778406444516E-2</c:v>
                </c:pt>
                <c:pt idx="144">
                  <c:v>-2.5797363058568799E-2</c:v>
                </c:pt>
                <c:pt idx="145">
                  <c:v>-3.1929874304795297E-2</c:v>
                </c:pt>
                <c:pt idx="146">
                  <c:v>-2.8495339766012699E-2</c:v>
                </c:pt>
                <c:pt idx="147">
                  <c:v>-2.6656317863978998E-2</c:v>
                </c:pt>
                <c:pt idx="148">
                  <c:v>-3.2409951519656997E-2</c:v>
                </c:pt>
                <c:pt idx="149">
                  <c:v>-3.9003814300393597E-2</c:v>
                </c:pt>
                <c:pt idx="150">
                  <c:v>-3.6827917055787002E-2</c:v>
                </c:pt>
                <c:pt idx="151">
                  <c:v>-3.1524793809401798E-2</c:v>
                </c:pt>
                <c:pt idx="152">
                  <c:v>-2.9363841677216201E-2</c:v>
                </c:pt>
                <c:pt idx="153">
                  <c:v>-2.0163854689138099E-2</c:v>
                </c:pt>
                <c:pt idx="154">
                  <c:v>-1.39325449686723E-2</c:v>
                </c:pt>
                <c:pt idx="155">
                  <c:v>-2.7236709719603899E-2</c:v>
                </c:pt>
                <c:pt idx="156">
                  <c:v>-2.8520614042161999E-2</c:v>
                </c:pt>
                <c:pt idx="157">
                  <c:v>-3.0558501560194601E-2</c:v>
                </c:pt>
                <c:pt idx="158">
                  <c:v>-3.8552390814115697E-2</c:v>
                </c:pt>
                <c:pt idx="159">
                  <c:v>-4.9703136121395999E-2</c:v>
                </c:pt>
                <c:pt idx="160">
                  <c:v>-4.90300137995799E-2</c:v>
                </c:pt>
                <c:pt idx="161">
                  <c:v>-4.0907149059917498E-2</c:v>
                </c:pt>
                <c:pt idx="162">
                  <c:v>-3.8801180439221997E-2</c:v>
                </c:pt>
                <c:pt idx="163">
                  <c:v>-4.5460783980513501E-2</c:v>
                </c:pt>
                <c:pt idx="164">
                  <c:v>-4.4219809623390303E-2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5F-4159-B827-42A7D2CBCCF9}"/>
            </c:ext>
          </c:extLst>
        </c:ser>
        <c:ser>
          <c:idx val="1"/>
          <c:order val="1"/>
          <c:tx>
            <c:v>B4 - 1 Month Forecast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Forecast_1m!$A$4:$A$168</c:f>
              <c:numCache>
                <c:formatCode>dd/mm/yyyy</c:formatCode>
                <c:ptCount val="165"/>
                <c:pt idx="0">
                  <c:v>39141</c:v>
                </c:pt>
                <c:pt idx="1">
                  <c:v>39169</c:v>
                </c:pt>
                <c:pt idx="2">
                  <c:v>39197</c:v>
                </c:pt>
                <c:pt idx="3">
                  <c:v>39232</c:v>
                </c:pt>
                <c:pt idx="4">
                  <c:v>39260</c:v>
                </c:pt>
                <c:pt idx="5">
                  <c:v>39288</c:v>
                </c:pt>
                <c:pt idx="6">
                  <c:v>39323</c:v>
                </c:pt>
                <c:pt idx="7">
                  <c:v>39351</c:v>
                </c:pt>
                <c:pt idx="8">
                  <c:v>39386</c:v>
                </c:pt>
                <c:pt idx="9">
                  <c:v>39414</c:v>
                </c:pt>
                <c:pt idx="10">
                  <c:v>39442</c:v>
                </c:pt>
                <c:pt idx="11">
                  <c:v>39477</c:v>
                </c:pt>
                <c:pt idx="12">
                  <c:v>39505</c:v>
                </c:pt>
                <c:pt idx="13">
                  <c:v>39533</c:v>
                </c:pt>
                <c:pt idx="14">
                  <c:v>39568</c:v>
                </c:pt>
                <c:pt idx="15">
                  <c:v>39596</c:v>
                </c:pt>
                <c:pt idx="16">
                  <c:v>39624</c:v>
                </c:pt>
                <c:pt idx="17">
                  <c:v>39659</c:v>
                </c:pt>
                <c:pt idx="18">
                  <c:v>39687</c:v>
                </c:pt>
                <c:pt idx="19">
                  <c:v>39715</c:v>
                </c:pt>
                <c:pt idx="20">
                  <c:v>39750</c:v>
                </c:pt>
                <c:pt idx="21">
                  <c:v>39778</c:v>
                </c:pt>
                <c:pt idx="22">
                  <c:v>39813</c:v>
                </c:pt>
                <c:pt idx="23">
                  <c:v>39841</c:v>
                </c:pt>
                <c:pt idx="24">
                  <c:v>39869</c:v>
                </c:pt>
                <c:pt idx="25">
                  <c:v>39897</c:v>
                </c:pt>
                <c:pt idx="26">
                  <c:v>39932</c:v>
                </c:pt>
                <c:pt idx="27">
                  <c:v>39960</c:v>
                </c:pt>
                <c:pt idx="28">
                  <c:v>39988</c:v>
                </c:pt>
                <c:pt idx="29">
                  <c:v>40023</c:v>
                </c:pt>
                <c:pt idx="30">
                  <c:v>40051</c:v>
                </c:pt>
                <c:pt idx="31">
                  <c:v>40086</c:v>
                </c:pt>
                <c:pt idx="32">
                  <c:v>40114</c:v>
                </c:pt>
                <c:pt idx="33">
                  <c:v>40142</c:v>
                </c:pt>
                <c:pt idx="34">
                  <c:v>40177</c:v>
                </c:pt>
                <c:pt idx="35">
                  <c:v>40205</c:v>
                </c:pt>
                <c:pt idx="36">
                  <c:v>40233</c:v>
                </c:pt>
                <c:pt idx="37">
                  <c:v>40268</c:v>
                </c:pt>
                <c:pt idx="38">
                  <c:v>40296</c:v>
                </c:pt>
                <c:pt idx="39">
                  <c:v>40324</c:v>
                </c:pt>
                <c:pt idx="40">
                  <c:v>40359</c:v>
                </c:pt>
                <c:pt idx="41">
                  <c:v>40387</c:v>
                </c:pt>
                <c:pt idx="42">
                  <c:v>40415</c:v>
                </c:pt>
                <c:pt idx="43">
                  <c:v>40450</c:v>
                </c:pt>
                <c:pt idx="44">
                  <c:v>40478</c:v>
                </c:pt>
                <c:pt idx="45">
                  <c:v>40506</c:v>
                </c:pt>
                <c:pt idx="46">
                  <c:v>40541</c:v>
                </c:pt>
                <c:pt idx="47">
                  <c:v>40569</c:v>
                </c:pt>
                <c:pt idx="48">
                  <c:v>40597</c:v>
                </c:pt>
                <c:pt idx="49">
                  <c:v>40632</c:v>
                </c:pt>
                <c:pt idx="50">
                  <c:v>40660</c:v>
                </c:pt>
                <c:pt idx="51">
                  <c:v>40688</c:v>
                </c:pt>
                <c:pt idx="52">
                  <c:v>40723</c:v>
                </c:pt>
                <c:pt idx="53">
                  <c:v>40751</c:v>
                </c:pt>
                <c:pt idx="54">
                  <c:v>40786</c:v>
                </c:pt>
                <c:pt idx="55">
                  <c:v>40814</c:v>
                </c:pt>
                <c:pt idx="56">
                  <c:v>40842</c:v>
                </c:pt>
                <c:pt idx="57">
                  <c:v>40877</c:v>
                </c:pt>
                <c:pt idx="58">
                  <c:v>40905</c:v>
                </c:pt>
                <c:pt idx="59">
                  <c:v>40933</c:v>
                </c:pt>
                <c:pt idx="60">
                  <c:v>40968</c:v>
                </c:pt>
                <c:pt idx="61">
                  <c:v>40996</c:v>
                </c:pt>
                <c:pt idx="62">
                  <c:v>41024</c:v>
                </c:pt>
                <c:pt idx="63">
                  <c:v>41059</c:v>
                </c:pt>
                <c:pt idx="64">
                  <c:v>41087</c:v>
                </c:pt>
                <c:pt idx="65">
                  <c:v>41115</c:v>
                </c:pt>
                <c:pt idx="66">
                  <c:v>41150</c:v>
                </c:pt>
                <c:pt idx="67">
                  <c:v>41178</c:v>
                </c:pt>
                <c:pt idx="68">
                  <c:v>41213</c:v>
                </c:pt>
                <c:pt idx="69">
                  <c:v>41241</c:v>
                </c:pt>
                <c:pt idx="70">
                  <c:v>41269</c:v>
                </c:pt>
                <c:pt idx="71">
                  <c:v>41304</c:v>
                </c:pt>
                <c:pt idx="72">
                  <c:v>41332</c:v>
                </c:pt>
                <c:pt idx="73">
                  <c:v>41360</c:v>
                </c:pt>
                <c:pt idx="74">
                  <c:v>41388</c:v>
                </c:pt>
                <c:pt idx="75">
                  <c:v>41423</c:v>
                </c:pt>
                <c:pt idx="76">
                  <c:v>41451</c:v>
                </c:pt>
                <c:pt idx="77">
                  <c:v>41486</c:v>
                </c:pt>
                <c:pt idx="78">
                  <c:v>41514</c:v>
                </c:pt>
                <c:pt idx="79">
                  <c:v>41542</c:v>
                </c:pt>
                <c:pt idx="80">
                  <c:v>41577</c:v>
                </c:pt>
                <c:pt idx="81">
                  <c:v>41605</c:v>
                </c:pt>
                <c:pt idx="82">
                  <c:v>41633</c:v>
                </c:pt>
                <c:pt idx="83">
                  <c:v>41668</c:v>
                </c:pt>
                <c:pt idx="84">
                  <c:v>41696</c:v>
                </c:pt>
                <c:pt idx="85">
                  <c:v>41724</c:v>
                </c:pt>
                <c:pt idx="86">
                  <c:v>41759</c:v>
                </c:pt>
                <c:pt idx="87">
                  <c:v>41787</c:v>
                </c:pt>
                <c:pt idx="88">
                  <c:v>41815</c:v>
                </c:pt>
                <c:pt idx="89">
                  <c:v>41850</c:v>
                </c:pt>
                <c:pt idx="90">
                  <c:v>41878</c:v>
                </c:pt>
                <c:pt idx="91">
                  <c:v>41906</c:v>
                </c:pt>
                <c:pt idx="92">
                  <c:v>41941</c:v>
                </c:pt>
                <c:pt idx="93">
                  <c:v>41969</c:v>
                </c:pt>
                <c:pt idx="94">
                  <c:v>42004</c:v>
                </c:pt>
                <c:pt idx="95">
                  <c:v>42032</c:v>
                </c:pt>
                <c:pt idx="96">
                  <c:v>42060</c:v>
                </c:pt>
                <c:pt idx="97">
                  <c:v>42088</c:v>
                </c:pt>
                <c:pt idx="98">
                  <c:v>42123</c:v>
                </c:pt>
                <c:pt idx="99">
                  <c:v>42151</c:v>
                </c:pt>
                <c:pt idx="100">
                  <c:v>42179</c:v>
                </c:pt>
                <c:pt idx="101">
                  <c:v>42214</c:v>
                </c:pt>
                <c:pt idx="102">
                  <c:v>42242</c:v>
                </c:pt>
                <c:pt idx="103">
                  <c:v>42277</c:v>
                </c:pt>
                <c:pt idx="104">
                  <c:v>42305</c:v>
                </c:pt>
                <c:pt idx="105">
                  <c:v>42333</c:v>
                </c:pt>
                <c:pt idx="106">
                  <c:v>42368</c:v>
                </c:pt>
                <c:pt idx="107">
                  <c:v>42396</c:v>
                </c:pt>
                <c:pt idx="108">
                  <c:v>42424</c:v>
                </c:pt>
                <c:pt idx="109">
                  <c:v>42459</c:v>
                </c:pt>
                <c:pt idx="110">
                  <c:v>42487</c:v>
                </c:pt>
                <c:pt idx="111">
                  <c:v>42515</c:v>
                </c:pt>
                <c:pt idx="112">
                  <c:v>42550</c:v>
                </c:pt>
                <c:pt idx="113">
                  <c:v>42578</c:v>
                </c:pt>
                <c:pt idx="114">
                  <c:v>42613</c:v>
                </c:pt>
                <c:pt idx="115">
                  <c:v>42641</c:v>
                </c:pt>
                <c:pt idx="116">
                  <c:v>42669</c:v>
                </c:pt>
                <c:pt idx="117">
                  <c:v>42704</c:v>
                </c:pt>
                <c:pt idx="118">
                  <c:v>42732</c:v>
                </c:pt>
                <c:pt idx="119">
                  <c:v>42760</c:v>
                </c:pt>
                <c:pt idx="120">
                  <c:v>42788</c:v>
                </c:pt>
                <c:pt idx="121">
                  <c:v>42823</c:v>
                </c:pt>
                <c:pt idx="122">
                  <c:v>42851</c:v>
                </c:pt>
                <c:pt idx="123">
                  <c:v>42886</c:v>
                </c:pt>
                <c:pt idx="124">
                  <c:v>42914</c:v>
                </c:pt>
                <c:pt idx="125">
                  <c:v>42942</c:v>
                </c:pt>
                <c:pt idx="126">
                  <c:v>42977</c:v>
                </c:pt>
                <c:pt idx="127">
                  <c:v>43005</c:v>
                </c:pt>
                <c:pt idx="128">
                  <c:v>43033</c:v>
                </c:pt>
                <c:pt idx="129">
                  <c:v>43068</c:v>
                </c:pt>
                <c:pt idx="130">
                  <c:v>43096</c:v>
                </c:pt>
                <c:pt idx="131">
                  <c:v>43131</c:v>
                </c:pt>
                <c:pt idx="132">
                  <c:v>43159</c:v>
                </c:pt>
                <c:pt idx="133">
                  <c:v>43187</c:v>
                </c:pt>
                <c:pt idx="134">
                  <c:v>43215</c:v>
                </c:pt>
                <c:pt idx="135">
                  <c:v>43250</c:v>
                </c:pt>
                <c:pt idx="136">
                  <c:v>43278</c:v>
                </c:pt>
                <c:pt idx="137">
                  <c:v>43306</c:v>
                </c:pt>
                <c:pt idx="138">
                  <c:v>43341</c:v>
                </c:pt>
                <c:pt idx="139">
                  <c:v>43369</c:v>
                </c:pt>
                <c:pt idx="140">
                  <c:v>43404</c:v>
                </c:pt>
                <c:pt idx="141">
                  <c:v>43432</c:v>
                </c:pt>
                <c:pt idx="142">
                  <c:v>43460</c:v>
                </c:pt>
                <c:pt idx="143">
                  <c:v>43495</c:v>
                </c:pt>
                <c:pt idx="144">
                  <c:v>43523</c:v>
                </c:pt>
                <c:pt idx="145">
                  <c:v>43551</c:v>
                </c:pt>
                <c:pt idx="146">
                  <c:v>43579</c:v>
                </c:pt>
                <c:pt idx="147">
                  <c:v>43614</c:v>
                </c:pt>
                <c:pt idx="148">
                  <c:v>43642</c:v>
                </c:pt>
                <c:pt idx="149">
                  <c:v>43677</c:v>
                </c:pt>
                <c:pt idx="150">
                  <c:v>43705</c:v>
                </c:pt>
                <c:pt idx="151">
                  <c:v>43733</c:v>
                </c:pt>
                <c:pt idx="152">
                  <c:v>43768</c:v>
                </c:pt>
                <c:pt idx="153">
                  <c:v>43796</c:v>
                </c:pt>
                <c:pt idx="154">
                  <c:v>43824</c:v>
                </c:pt>
                <c:pt idx="155">
                  <c:v>43859</c:v>
                </c:pt>
                <c:pt idx="156">
                  <c:v>43887</c:v>
                </c:pt>
                <c:pt idx="157">
                  <c:v>43915</c:v>
                </c:pt>
                <c:pt idx="158">
                  <c:v>43950</c:v>
                </c:pt>
                <c:pt idx="159">
                  <c:v>43978</c:v>
                </c:pt>
                <c:pt idx="160">
                  <c:v>44006</c:v>
                </c:pt>
                <c:pt idx="161">
                  <c:v>44041</c:v>
                </c:pt>
                <c:pt idx="162">
                  <c:v>44069</c:v>
                </c:pt>
                <c:pt idx="163">
                  <c:v>44104</c:v>
                </c:pt>
                <c:pt idx="164">
                  <c:v>44118</c:v>
                </c:pt>
              </c:numCache>
            </c:numRef>
          </c:cat>
          <c:val>
            <c:numRef>
              <c:f>Forecast_1m!$I$4:$I$168</c:f>
              <c:numCache>
                <c:formatCode>General</c:formatCode>
                <c:ptCount val="165"/>
                <c:pt idx="0">
                  <c:v>1.296370755145056E-2</c:v>
                </c:pt>
                <c:pt idx="1">
                  <c:v>1.3079200504084197E-2</c:v>
                </c:pt>
                <c:pt idx="2">
                  <c:v>1.0879784949056661E-2</c:v>
                </c:pt>
                <c:pt idx="3">
                  <c:v>1.2562321816484912E-2</c:v>
                </c:pt>
                <c:pt idx="4">
                  <c:v>1.2849273956402976E-2</c:v>
                </c:pt>
                <c:pt idx="5">
                  <c:v>2.1146299279150713E-2</c:v>
                </c:pt>
                <c:pt idx="6">
                  <c:v>2.2111894306603781E-2</c:v>
                </c:pt>
                <c:pt idx="7">
                  <c:v>1.0669708375888652E-2</c:v>
                </c:pt>
                <c:pt idx="8">
                  <c:v>2.0694296418787408E-2</c:v>
                </c:pt>
                <c:pt idx="9">
                  <c:v>2.2641367457737357E-2</c:v>
                </c:pt>
                <c:pt idx="10">
                  <c:v>2.5956740628088927E-2</c:v>
                </c:pt>
                <c:pt idx="11">
                  <c:v>2.8178936650536772E-2</c:v>
                </c:pt>
                <c:pt idx="12">
                  <c:v>2.4223384007985384E-2</c:v>
                </c:pt>
                <c:pt idx="13">
                  <c:v>2.994940075730549E-2</c:v>
                </c:pt>
                <c:pt idx="14">
                  <c:v>2.7599158327360748E-2</c:v>
                </c:pt>
                <c:pt idx="15">
                  <c:v>2.4481662845291768E-2</c:v>
                </c:pt>
                <c:pt idx="16">
                  <c:v>2.5154568400291809E-2</c:v>
                </c:pt>
                <c:pt idx="17">
                  <c:v>3.1513430301074868E-2</c:v>
                </c:pt>
                <c:pt idx="18">
                  <c:v>2.8441413732480693E-2</c:v>
                </c:pt>
                <c:pt idx="19">
                  <c:v>2.6611480373934369E-2</c:v>
                </c:pt>
                <c:pt idx="20">
                  <c:v>3.6731068775661242E-2</c:v>
                </c:pt>
                <c:pt idx="21">
                  <c:v>0.10229691769814719</c:v>
                </c:pt>
                <c:pt idx="22">
                  <c:v>5.4431661606787148E-2</c:v>
                </c:pt>
                <c:pt idx="23">
                  <c:v>7.5603827238824722E-2</c:v>
                </c:pt>
                <c:pt idx="24">
                  <c:v>5.849388847509468E-2</c:v>
                </c:pt>
                <c:pt idx="25">
                  <c:v>6.4357283072293464E-2</c:v>
                </c:pt>
                <c:pt idx="26">
                  <c:v>3.8633453067105764E-2</c:v>
                </c:pt>
                <c:pt idx="27">
                  <c:v>4.2099274139829654E-2</c:v>
                </c:pt>
                <c:pt idx="28">
                  <c:v>5.4043706458319477E-2</c:v>
                </c:pt>
                <c:pt idx="29">
                  <c:v>6.7377957162748928E-2</c:v>
                </c:pt>
                <c:pt idx="30">
                  <c:v>5.4639757175774288E-2</c:v>
                </c:pt>
                <c:pt idx="31">
                  <c:v>4.8766835781848573E-2</c:v>
                </c:pt>
                <c:pt idx="32">
                  <c:v>4.5786688715657442E-2</c:v>
                </c:pt>
                <c:pt idx="33">
                  <c:v>4.0168664220208906E-2</c:v>
                </c:pt>
                <c:pt idx="34">
                  <c:v>2.1349260828814571E-2</c:v>
                </c:pt>
                <c:pt idx="35">
                  <c:v>4.8959708926969742E-2</c:v>
                </c:pt>
                <c:pt idx="36">
                  <c:v>3.6432431204970223E-2</c:v>
                </c:pt>
                <c:pt idx="37">
                  <c:v>3.8883520519179024E-2</c:v>
                </c:pt>
                <c:pt idx="38">
                  <c:v>3.4318760435298412E-2</c:v>
                </c:pt>
                <c:pt idx="39">
                  <c:v>3.3433590363381907E-2</c:v>
                </c:pt>
                <c:pt idx="40">
                  <c:v>1.5332460511575424E-2</c:v>
                </c:pt>
                <c:pt idx="41">
                  <c:v>1.0798422762862149E-2</c:v>
                </c:pt>
                <c:pt idx="42">
                  <c:v>1.6568482898913163E-3</c:v>
                </c:pt>
                <c:pt idx="43">
                  <c:v>-1.3240137737598261E-2</c:v>
                </c:pt>
                <c:pt idx="44">
                  <c:v>-2.5719971229511956E-2</c:v>
                </c:pt>
                <c:pt idx="45">
                  <c:v>-2.9039904073448877E-2</c:v>
                </c:pt>
                <c:pt idx="46">
                  <c:v>-2.1897521684394905E-2</c:v>
                </c:pt>
                <c:pt idx="47">
                  <c:v>1.3763574448966878E-2</c:v>
                </c:pt>
                <c:pt idx="48">
                  <c:v>9.4303450109460216E-3</c:v>
                </c:pt>
                <c:pt idx="49">
                  <c:v>1.0619267270536512E-2</c:v>
                </c:pt>
                <c:pt idx="50">
                  <c:v>1.1652070804240222E-2</c:v>
                </c:pt>
                <c:pt idx="51">
                  <c:v>5.1967068133976103E-3</c:v>
                </c:pt>
                <c:pt idx="52">
                  <c:v>-1.9650726369780363E-3</c:v>
                </c:pt>
                <c:pt idx="53">
                  <c:v>-7.6169415260291858E-3</c:v>
                </c:pt>
                <c:pt idx="54">
                  <c:v>-1.4852376746936229E-2</c:v>
                </c:pt>
                <c:pt idx="55">
                  <c:v>-4.4207816470040698E-2</c:v>
                </c:pt>
                <c:pt idx="56">
                  <c:v>-2.8711851134633717E-2</c:v>
                </c:pt>
                <c:pt idx="57">
                  <c:v>-1.4595000492497708E-2</c:v>
                </c:pt>
                <c:pt idx="58">
                  <c:v>-1.4912920756430194E-2</c:v>
                </c:pt>
                <c:pt idx="59">
                  <c:v>-2.3002807093486562E-2</c:v>
                </c:pt>
                <c:pt idx="60">
                  <c:v>-2.7825086321440387E-2</c:v>
                </c:pt>
                <c:pt idx="61">
                  <c:v>-3.2056219298412666E-2</c:v>
                </c:pt>
                <c:pt idx="62">
                  <c:v>-2.4291228201741642E-2</c:v>
                </c:pt>
                <c:pt idx="63">
                  <c:v>-3.3558160377164657E-2</c:v>
                </c:pt>
                <c:pt idx="64">
                  <c:v>-4.6837415222801014E-2</c:v>
                </c:pt>
                <c:pt idx="65">
                  <c:v>-4.3827736595822051E-2</c:v>
                </c:pt>
                <c:pt idx="66">
                  <c:v>-4.5375862949566782E-2</c:v>
                </c:pt>
                <c:pt idx="67">
                  <c:v>-4.2225819299622873E-2</c:v>
                </c:pt>
                <c:pt idx="68">
                  <c:v>-4.7260997678134471E-2</c:v>
                </c:pt>
                <c:pt idx="69">
                  <c:v>-4.4306165988359715E-2</c:v>
                </c:pt>
                <c:pt idx="70">
                  <c:v>-4.9323009575617083E-2</c:v>
                </c:pt>
                <c:pt idx="71">
                  <c:v>-4.4937747545078163E-2</c:v>
                </c:pt>
                <c:pt idx="72">
                  <c:v>-3.7647950103445134E-2</c:v>
                </c:pt>
                <c:pt idx="73">
                  <c:v>-4.6868662140684005E-2</c:v>
                </c:pt>
                <c:pt idx="74">
                  <c:v>-4.6879729522137883E-2</c:v>
                </c:pt>
                <c:pt idx="75">
                  <c:v>-4.719200168649848E-2</c:v>
                </c:pt>
                <c:pt idx="76">
                  <c:v>-3.3929113540346598E-2</c:v>
                </c:pt>
                <c:pt idx="77">
                  <c:v>-1.1547837950273268E-2</c:v>
                </c:pt>
                <c:pt idx="78">
                  <c:v>-5.2154125062581188E-3</c:v>
                </c:pt>
                <c:pt idx="79">
                  <c:v>3.0279050413738774E-3</c:v>
                </c:pt>
                <c:pt idx="80">
                  <c:v>-5.0595444925712468E-3</c:v>
                </c:pt>
                <c:pt idx="81">
                  <c:v>-1.1493782081868227E-2</c:v>
                </c:pt>
                <c:pt idx="82">
                  <c:v>-3.0566272415850698E-4</c:v>
                </c:pt>
                <c:pt idx="83">
                  <c:v>1.8595103336460993E-2</c:v>
                </c:pt>
                <c:pt idx="84">
                  <c:v>5.4974123051294635E-3</c:v>
                </c:pt>
                <c:pt idx="85">
                  <c:v>1.9250232101651436E-3</c:v>
                </c:pt>
                <c:pt idx="86">
                  <c:v>6.9447132442808524E-3</c:v>
                </c:pt>
                <c:pt idx="87">
                  <c:v>9.4030869022807759E-3</c:v>
                </c:pt>
                <c:pt idx="88">
                  <c:v>-4.0497868019253374E-3</c:v>
                </c:pt>
                <c:pt idx="89">
                  <c:v>1.9194198938717265E-3</c:v>
                </c:pt>
                <c:pt idx="90">
                  <c:v>5.7447942332388658E-3</c:v>
                </c:pt>
                <c:pt idx="91">
                  <c:v>-2.0678290427321986E-3</c:v>
                </c:pt>
                <c:pt idx="92">
                  <c:v>7.5974324779546441E-3</c:v>
                </c:pt>
                <c:pt idx="93">
                  <c:v>8.6300532616024163E-4</c:v>
                </c:pt>
                <c:pt idx="94">
                  <c:v>-1.8227814019500259E-3</c:v>
                </c:pt>
                <c:pt idx="95">
                  <c:v>1.5403023128781018E-3</c:v>
                </c:pt>
                <c:pt idx="96">
                  <c:v>-4.6013216991000958E-3</c:v>
                </c:pt>
                <c:pt idx="97">
                  <c:v>3.2084049500278808E-5</c:v>
                </c:pt>
                <c:pt idx="98">
                  <c:v>-3.6224552769908358E-3</c:v>
                </c:pt>
                <c:pt idx="99">
                  <c:v>-8.8440839959548559E-3</c:v>
                </c:pt>
                <c:pt idx="100">
                  <c:v>-1.1103520088063848E-2</c:v>
                </c:pt>
                <c:pt idx="101">
                  <c:v>-1.1733780607600807E-2</c:v>
                </c:pt>
                <c:pt idx="102">
                  <c:v>-1.2111420072616898E-2</c:v>
                </c:pt>
                <c:pt idx="103">
                  <c:v>-1.1349661952377039E-2</c:v>
                </c:pt>
                <c:pt idx="104">
                  <c:v>-2.5596795080438606E-2</c:v>
                </c:pt>
                <c:pt idx="105">
                  <c:v>-2.1238146406612639E-2</c:v>
                </c:pt>
                <c:pt idx="106">
                  <c:v>-2.0819348633949443E-2</c:v>
                </c:pt>
                <c:pt idx="107">
                  <c:v>-1.6962486393501595E-2</c:v>
                </c:pt>
                <c:pt idx="108">
                  <c:v>-2.8030677821289079E-2</c:v>
                </c:pt>
                <c:pt idx="109">
                  <c:v>-3.8984959171879607E-2</c:v>
                </c:pt>
                <c:pt idx="110">
                  <c:v>-3.5167125068863846E-2</c:v>
                </c:pt>
                <c:pt idx="111">
                  <c:v>-3.9497445945275371E-2</c:v>
                </c:pt>
                <c:pt idx="112">
                  <c:v>-3.8729068088287397E-2</c:v>
                </c:pt>
                <c:pt idx="113">
                  <c:v>-4.712795418293568E-2</c:v>
                </c:pt>
                <c:pt idx="114">
                  <c:v>-3.9341709067733745E-2</c:v>
                </c:pt>
                <c:pt idx="115">
                  <c:v>-3.0833687115455213E-2</c:v>
                </c:pt>
                <c:pt idx="116">
                  <c:v>-3.5689652897020856E-2</c:v>
                </c:pt>
                <c:pt idx="117">
                  <c:v>-3.4900253667359202E-2</c:v>
                </c:pt>
                <c:pt idx="118">
                  <c:v>-9.9079711601020512E-3</c:v>
                </c:pt>
                <c:pt idx="119">
                  <c:v>-3.7746733747751633E-3</c:v>
                </c:pt>
                <c:pt idx="120">
                  <c:v>-3.2792443531788245E-3</c:v>
                </c:pt>
                <c:pt idx="121">
                  <c:v>-1.0091350139278431E-2</c:v>
                </c:pt>
                <c:pt idx="122">
                  <c:v>-1.2935074389617095E-2</c:v>
                </c:pt>
                <c:pt idx="123">
                  <c:v>-2.5368002669131084E-2</c:v>
                </c:pt>
                <c:pt idx="124">
                  <c:v>-2.6965742460955414E-2</c:v>
                </c:pt>
                <c:pt idx="125">
                  <c:v>-1.7842566806547878E-2</c:v>
                </c:pt>
                <c:pt idx="126">
                  <c:v>-2.0897744399781953E-2</c:v>
                </c:pt>
                <c:pt idx="127">
                  <c:v>-2.4614695437077339E-2</c:v>
                </c:pt>
                <c:pt idx="128">
                  <c:v>-1.8868016153346594E-2</c:v>
                </c:pt>
                <c:pt idx="129">
                  <c:v>-1.4042858644788145E-2</c:v>
                </c:pt>
                <c:pt idx="130">
                  <c:v>-1.1982859529613768E-2</c:v>
                </c:pt>
                <c:pt idx="131">
                  <c:v>-6.6272358339171875E-3</c:v>
                </c:pt>
                <c:pt idx="132">
                  <c:v>5.549759394610998E-3</c:v>
                </c:pt>
                <c:pt idx="133">
                  <c:v>4.4468028566779739E-3</c:v>
                </c:pt>
                <c:pt idx="134">
                  <c:v>6.0707450557933554E-4</c:v>
                </c:pt>
                <c:pt idx="135">
                  <c:v>8.571319785571966E-3</c:v>
                </c:pt>
                <c:pt idx="136">
                  <c:v>5.2937939748745879E-3</c:v>
                </c:pt>
                <c:pt idx="137">
                  <c:v>2.2008625479749077E-3</c:v>
                </c:pt>
                <c:pt idx="138">
                  <c:v>6.4180449443374437E-3</c:v>
                </c:pt>
                <c:pt idx="139">
                  <c:v>-2.1188478236896266E-3</c:v>
                </c:pt>
                <c:pt idx="140">
                  <c:v>2.2062406711597505E-3</c:v>
                </c:pt>
                <c:pt idx="141">
                  <c:v>-5.1916039115854585E-3</c:v>
                </c:pt>
                <c:pt idx="142">
                  <c:v>-1.12103263995629E-2</c:v>
                </c:pt>
                <c:pt idx="143">
                  <c:v>-1.1591110926477648E-2</c:v>
                </c:pt>
                <c:pt idx="144">
                  <c:v>-2.1867514595145437E-2</c:v>
                </c:pt>
                <c:pt idx="145">
                  <c:v>-2.2550975647903405E-2</c:v>
                </c:pt>
                <c:pt idx="146">
                  <c:v>-3.0432279890102169E-2</c:v>
                </c:pt>
                <c:pt idx="147">
                  <c:v>-2.6176704532653548E-2</c:v>
                </c:pt>
                <c:pt idx="148">
                  <c:v>-2.7643352816158394E-2</c:v>
                </c:pt>
                <c:pt idx="149">
                  <c:v>-3.3364722586017345E-2</c:v>
                </c:pt>
                <c:pt idx="150">
                  <c:v>-3.8517698242610574E-2</c:v>
                </c:pt>
                <c:pt idx="151">
                  <c:v>-4.0116059073954519E-2</c:v>
                </c:pt>
                <c:pt idx="152">
                  <c:v>-3.4298895415675268E-2</c:v>
                </c:pt>
                <c:pt idx="153">
                  <c:v>-3.1115692387101164E-2</c:v>
                </c:pt>
                <c:pt idx="154">
                  <c:v>-2.3807151938100728E-2</c:v>
                </c:pt>
                <c:pt idx="155">
                  <c:v>-1.7671812704721943E-2</c:v>
                </c:pt>
                <c:pt idx="156">
                  <c:v>-3.0879543697249733E-2</c:v>
                </c:pt>
                <c:pt idx="157">
                  <c:v>-3.3612102941038696E-2</c:v>
                </c:pt>
                <c:pt idx="158">
                  <c:v>-3.4691101110467491E-2</c:v>
                </c:pt>
                <c:pt idx="159">
                  <c:v>-4.2725910135744803E-2</c:v>
                </c:pt>
                <c:pt idx="160">
                  <c:v>-5.1450509185712555E-2</c:v>
                </c:pt>
                <c:pt idx="161">
                  <c:v>-5.1360544133480103E-2</c:v>
                </c:pt>
                <c:pt idx="162">
                  <c:v>-4.5498156776631507E-2</c:v>
                </c:pt>
                <c:pt idx="163">
                  <c:v>-4.3220311772547447E-2</c:v>
                </c:pt>
                <c:pt idx="164">
                  <c:v>-4.8510110311270505E-2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5F-4159-B827-42A7D2CBCC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0298751"/>
        <c:axId val="194781583"/>
      </c:lineChart>
      <c:dateAx>
        <c:axId val="2802987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m/yy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781583"/>
        <c:crosses val="autoZero"/>
        <c:auto val="1"/>
        <c:lblOffset val="100"/>
        <c:baseTimeUnit val="days"/>
      </c:dateAx>
      <c:valAx>
        <c:axId val="19478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beta</a:t>
                </a:r>
                <a:r>
                  <a:rPr lang="en-US" baseline="0"/>
                  <a:t> 4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298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Beta</a:t>
            </a:r>
            <a:r>
              <a:rPr lang="en-US" baseline="0"/>
              <a:t> 1 - Actual Vs 2 Month Forecast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B1 - Actual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Forecast_1m!$A$5:$A$168</c:f>
              <c:numCache>
                <c:formatCode>dd/mm/yyyy</c:formatCode>
                <c:ptCount val="164"/>
                <c:pt idx="0">
                  <c:v>39169</c:v>
                </c:pt>
                <c:pt idx="1">
                  <c:v>39197</c:v>
                </c:pt>
                <c:pt idx="2">
                  <c:v>39232</c:v>
                </c:pt>
                <c:pt idx="3">
                  <c:v>39260</c:v>
                </c:pt>
                <c:pt idx="4">
                  <c:v>39288</c:v>
                </c:pt>
                <c:pt idx="5">
                  <c:v>39323</c:v>
                </c:pt>
                <c:pt idx="6">
                  <c:v>39351</c:v>
                </c:pt>
                <c:pt idx="7">
                  <c:v>39386</c:v>
                </c:pt>
                <c:pt idx="8">
                  <c:v>39414</c:v>
                </c:pt>
                <c:pt idx="9">
                  <c:v>39442</c:v>
                </c:pt>
                <c:pt idx="10">
                  <c:v>39477</c:v>
                </c:pt>
                <c:pt idx="11">
                  <c:v>39505</c:v>
                </c:pt>
                <c:pt idx="12">
                  <c:v>39533</c:v>
                </c:pt>
                <c:pt idx="13">
                  <c:v>39568</c:v>
                </c:pt>
                <c:pt idx="14">
                  <c:v>39596</c:v>
                </c:pt>
                <c:pt idx="15">
                  <c:v>39624</c:v>
                </c:pt>
                <c:pt idx="16">
                  <c:v>39659</c:v>
                </c:pt>
                <c:pt idx="17">
                  <c:v>39687</c:v>
                </c:pt>
                <c:pt idx="18">
                  <c:v>39715</c:v>
                </c:pt>
                <c:pt idx="19">
                  <c:v>39750</c:v>
                </c:pt>
                <c:pt idx="20">
                  <c:v>39778</c:v>
                </c:pt>
                <c:pt idx="21">
                  <c:v>39813</c:v>
                </c:pt>
                <c:pt idx="22">
                  <c:v>39841</c:v>
                </c:pt>
                <c:pt idx="23">
                  <c:v>39869</c:v>
                </c:pt>
                <c:pt idx="24">
                  <c:v>39897</c:v>
                </c:pt>
                <c:pt idx="25">
                  <c:v>39932</c:v>
                </c:pt>
                <c:pt idx="26">
                  <c:v>39960</c:v>
                </c:pt>
                <c:pt idx="27">
                  <c:v>39988</c:v>
                </c:pt>
                <c:pt idx="28">
                  <c:v>40023</c:v>
                </c:pt>
                <c:pt idx="29">
                  <c:v>40051</c:v>
                </c:pt>
                <c:pt idx="30">
                  <c:v>40086</c:v>
                </c:pt>
                <c:pt idx="31">
                  <c:v>40114</c:v>
                </c:pt>
                <c:pt idx="32">
                  <c:v>40142</c:v>
                </c:pt>
                <c:pt idx="33">
                  <c:v>40177</c:v>
                </c:pt>
                <c:pt idx="34">
                  <c:v>40205</c:v>
                </c:pt>
                <c:pt idx="35">
                  <c:v>40233</c:v>
                </c:pt>
                <c:pt idx="36">
                  <c:v>40268</c:v>
                </c:pt>
                <c:pt idx="37">
                  <c:v>40296</c:v>
                </c:pt>
                <c:pt idx="38">
                  <c:v>40324</c:v>
                </c:pt>
                <c:pt idx="39">
                  <c:v>40359</c:v>
                </c:pt>
                <c:pt idx="40">
                  <c:v>40387</c:v>
                </c:pt>
                <c:pt idx="41">
                  <c:v>40415</c:v>
                </c:pt>
                <c:pt idx="42">
                  <c:v>40450</c:v>
                </c:pt>
                <c:pt idx="43">
                  <c:v>40478</c:v>
                </c:pt>
                <c:pt idx="44">
                  <c:v>40506</c:v>
                </c:pt>
                <c:pt idx="45">
                  <c:v>40541</c:v>
                </c:pt>
                <c:pt idx="46">
                  <c:v>40569</c:v>
                </c:pt>
                <c:pt idx="47">
                  <c:v>40597</c:v>
                </c:pt>
                <c:pt idx="48">
                  <c:v>40632</c:v>
                </c:pt>
                <c:pt idx="49">
                  <c:v>40660</c:v>
                </c:pt>
                <c:pt idx="50">
                  <c:v>40688</c:v>
                </c:pt>
                <c:pt idx="51">
                  <c:v>40723</c:v>
                </c:pt>
                <c:pt idx="52">
                  <c:v>40751</c:v>
                </c:pt>
                <c:pt idx="53">
                  <c:v>40786</c:v>
                </c:pt>
                <c:pt idx="54">
                  <c:v>40814</c:v>
                </c:pt>
                <c:pt idx="55">
                  <c:v>40842</c:v>
                </c:pt>
                <c:pt idx="56">
                  <c:v>40877</c:v>
                </c:pt>
                <c:pt idx="57">
                  <c:v>40905</c:v>
                </c:pt>
                <c:pt idx="58">
                  <c:v>40933</c:v>
                </c:pt>
                <c:pt idx="59">
                  <c:v>40968</c:v>
                </c:pt>
                <c:pt idx="60">
                  <c:v>40996</c:v>
                </c:pt>
                <c:pt idx="61">
                  <c:v>41024</c:v>
                </c:pt>
                <c:pt idx="62">
                  <c:v>41059</c:v>
                </c:pt>
                <c:pt idx="63">
                  <c:v>41087</c:v>
                </c:pt>
                <c:pt idx="64">
                  <c:v>41115</c:v>
                </c:pt>
                <c:pt idx="65">
                  <c:v>41150</c:v>
                </c:pt>
                <c:pt idx="66">
                  <c:v>41178</c:v>
                </c:pt>
                <c:pt idx="67">
                  <c:v>41213</c:v>
                </c:pt>
                <c:pt idx="68">
                  <c:v>41241</c:v>
                </c:pt>
                <c:pt idx="69">
                  <c:v>41269</c:v>
                </c:pt>
                <c:pt idx="70">
                  <c:v>41304</c:v>
                </c:pt>
                <c:pt idx="71">
                  <c:v>41332</c:v>
                </c:pt>
                <c:pt idx="72">
                  <c:v>41360</c:v>
                </c:pt>
                <c:pt idx="73">
                  <c:v>41388</c:v>
                </c:pt>
                <c:pt idx="74">
                  <c:v>41423</c:v>
                </c:pt>
                <c:pt idx="75">
                  <c:v>41451</c:v>
                </c:pt>
                <c:pt idx="76">
                  <c:v>41486</c:v>
                </c:pt>
                <c:pt idx="77">
                  <c:v>41514</c:v>
                </c:pt>
                <c:pt idx="78">
                  <c:v>41542</c:v>
                </c:pt>
                <c:pt idx="79">
                  <c:v>41577</c:v>
                </c:pt>
                <c:pt idx="80">
                  <c:v>41605</c:v>
                </c:pt>
                <c:pt idx="81">
                  <c:v>41633</c:v>
                </c:pt>
                <c:pt idx="82">
                  <c:v>41668</c:v>
                </c:pt>
                <c:pt idx="83">
                  <c:v>41696</c:v>
                </c:pt>
                <c:pt idx="84">
                  <c:v>41724</c:v>
                </c:pt>
                <c:pt idx="85">
                  <c:v>41759</c:v>
                </c:pt>
                <c:pt idx="86">
                  <c:v>41787</c:v>
                </c:pt>
                <c:pt idx="87">
                  <c:v>41815</c:v>
                </c:pt>
                <c:pt idx="88">
                  <c:v>41850</c:v>
                </c:pt>
                <c:pt idx="89">
                  <c:v>41878</c:v>
                </c:pt>
                <c:pt idx="90">
                  <c:v>41906</c:v>
                </c:pt>
                <c:pt idx="91">
                  <c:v>41941</c:v>
                </c:pt>
                <c:pt idx="92">
                  <c:v>41969</c:v>
                </c:pt>
                <c:pt idx="93">
                  <c:v>42004</c:v>
                </c:pt>
                <c:pt idx="94">
                  <c:v>42032</c:v>
                </c:pt>
                <c:pt idx="95">
                  <c:v>42060</c:v>
                </c:pt>
                <c:pt idx="96">
                  <c:v>42088</c:v>
                </c:pt>
                <c:pt idx="97">
                  <c:v>42123</c:v>
                </c:pt>
                <c:pt idx="98">
                  <c:v>42151</c:v>
                </c:pt>
                <c:pt idx="99">
                  <c:v>42179</c:v>
                </c:pt>
                <c:pt idx="100">
                  <c:v>42214</c:v>
                </c:pt>
                <c:pt idx="101">
                  <c:v>42242</c:v>
                </c:pt>
                <c:pt idx="102">
                  <c:v>42277</c:v>
                </c:pt>
                <c:pt idx="103">
                  <c:v>42305</c:v>
                </c:pt>
                <c:pt idx="104">
                  <c:v>42333</c:v>
                </c:pt>
                <c:pt idx="105">
                  <c:v>42368</c:v>
                </c:pt>
                <c:pt idx="106">
                  <c:v>42396</c:v>
                </c:pt>
                <c:pt idx="107">
                  <c:v>42424</c:v>
                </c:pt>
                <c:pt idx="108">
                  <c:v>42459</c:v>
                </c:pt>
                <c:pt idx="109">
                  <c:v>42487</c:v>
                </c:pt>
                <c:pt idx="110">
                  <c:v>42515</c:v>
                </c:pt>
                <c:pt idx="111">
                  <c:v>42550</c:v>
                </c:pt>
                <c:pt idx="112">
                  <c:v>42578</c:v>
                </c:pt>
                <c:pt idx="113">
                  <c:v>42613</c:v>
                </c:pt>
                <c:pt idx="114">
                  <c:v>42641</c:v>
                </c:pt>
                <c:pt idx="115">
                  <c:v>42669</c:v>
                </c:pt>
                <c:pt idx="116">
                  <c:v>42704</c:v>
                </c:pt>
                <c:pt idx="117">
                  <c:v>42732</c:v>
                </c:pt>
                <c:pt idx="118">
                  <c:v>42760</c:v>
                </c:pt>
                <c:pt idx="119">
                  <c:v>42788</c:v>
                </c:pt>
                <c:pt idx="120">
                  <c:v>42823</c:v>
                </c:pt>
                <c:pt idx="121">
                  <c:v>42851</c:v>
                </c:pt>
                <c:pt idx="122">
                  <c:v>42886</c:v>
                </c:pt>
                <c:pt idx="123">
                  <c:v>42914</c:v>
                </c:pt>
                <c:pt idx="124">
                  <c:v>42942</c:v>
                </c:pt>
                <c:pt idx="125">
                  <c:v>42977</c:v>
                </c:pt>
                <c:pt idx="126">
                  <c:v>43005</c:v>
                </c:pt>
                <c:pt idx="127">
                  <c:v>43033</c:v>
                </c:pt>
                <c:pt idx="128">
                  <c:v>43068</c:v>
                </c:pt>
                <c:pt idx="129">
                  <c:v>43096</c:v>
                </c:pt>
                <c:pt idx="130">
                  <c:v>43131</c:v>
                </c:pt>
                <c:pt idx="131">
                  <c:v>43159</c:v>
                </c:pt>
                <c:pt idx="132">
                  <c:v>43187</c:v>
                </c:pt>
                <c:pt idx="133">
                  <c:v>43215</c:v>
                </c:pt>
                <c:pt idx="134">
                  <c:v>43250</c:v>
                </c:pt>
                <c:pt idx="135">
                  <c:v>43278</c:v>
                </c:pt>
                <c:pt idx="136">
                  <c:v>43306</c:v>
                </c:pt>
                <c:pt idx="137">
                  <c:v>43341</c:v>
                </c:pt>
                <c:pt idx="138">
                  <c:v>43369</c:v>
                </c:pt>
                <c:pt idx="139">
                  <c:v>43404</c:v>
                </c:pt>
                <c:pt idx="140">
                  <c:v>43432</c:v>
                </c:pt>
                <c:pt idx="141">
                  <c:v>43460</c:v>
                </c:pt>
                <c:pt idx="142">
                  <c:v>43495</c:v>
                </c:pt>
                <c:pt idx="143">
                  <c:v>43523</c:v>
                </c:pt>
                <c:pt idx="144">
                  <c:v>43551</c:v>
                </c:pt>
                <c:pt idx="145">
                  <c:v>43579</c:v>
                </c:pt>
                <c:pt idx="146">
                  <c:v>43614</c:v>
                </c:pt>
                <c:pt idx="147">
                  <c:v>43642</c:v>
                </c:pt>
                <c:pt idx="148">
                  <c:v>43677</c:v>
                </c:pt>
                <c:pt idx="149">
                  <c:v>43705</c:v>
                </c:pt>
                <c:pt idx="150">
                  <c:v>43733</c:v>
                </c:pt>
                <c:pt idx="151">
                  <c:v>43768</c:v>
                </c:pt>
                <c:pt idx="152">
                  <c:v>43796</c:v>
                </c:pt>
                <c:pt idx="153">
                  <c:v>43824</c:v>
                </c:pt>
                <c:pt idx="154">
                  <c:v>43859</c:v>
                </c:pt>
                <c:pt idx="155">
                  <c:v>43887</c:v>
                </c:pt>
                <c:pt idx="156">
                  <c:v>43915</c:v>
                </c:pt>
                <c:pt idx="157">
                  <c:v>43950</c:v>
                </c:pt>
                <c:pt idx="158">
                  <c:v>43978</c:v>
                </c:pt>
                <c:pt idx="159">
                  <c:v>44006</c:v>
                </c:pt>
                <c:pt idx="160">
                  <c:v>44041</c:v>
                </c:pt>
                <c:pt idx="161">
                  <c:v>44069</c:v>
                </c:pt>
                <c:pt idx="162">
                  <c:v>44104</c:v>
                </c:pt>
                <c:pt idx="163">
                  <c:v>44118</c:v>
                </c:pt>
              </c:numCache>
            </c:numRef>
          </c:cat>
          <c:val>
            <c:numRef>
              <c:f>Forecast_1m!$B$5:$B$168</c:f>
              <c:numCache>
                <c:formatCode>General</c:formatCode>
                <c:ptCount val="164"/>
                <c:pt idx="0">
                  <c:v>4.6989696469333E-2</c:v>
                </c:pt>
                <c:pt idx="1">
                  <c:v>4.6443703465717502E-2</c:v>
                </c:pt>
                <c:pt idx="2">
                  <c:v>4.8993971799909497E-2</c:v>
                </c:pt>
                <c:pt idx="3">
                  <c:v>4.8817925739681099E-2</c:v>
                </c:pt>
                <c:pt idx="4">
                  <c:v>4.5848982995809903E-2</c:v>
                </c:pt>
                <c:pt idx="5">
                  <c:v>4.9179216255039702E-2</c:v>
                </c:pt>
                <c:pt idx="6">
                  <c:v>4.5695913080373199E-2</c:v>
                </c:pt>
                <c:pt idx="7">
                  <c:v>4.2952257148200203E-2</c:v>
                </c:pt>
                <c:pt idx="8">
                  <c:v>3.8672471746448299E-2</c:v>
                </c:pt>
                <c:pt idx="9">
                  <c:v>4.09383078154546E-2</c:v>
                </c:pt>
                <c:pt idx="10">
                  <c:v>3.9689403599015599E-2</c:v>
                </c:pt>
                <c:pt idx="11">
                  <c:v>4.1341475339874201E-2</c:v>
                </c:pt>
                <c:pt idx="12">
                  <c:v>3.9530216963914698E-2</c:v>
                </c:pt>
                <c:pt idx="13">
                  <c:v>4.1878762295920802E-2</c:v>
                </c:pt>
                <c:pt idx="14">
                  <c:v>4.4280066815469997E-2</c:v>
                </c:pt>
                <c:pt idx="15">
                  <c:v>4.1788452722102597E-2</c:v>
                </c:pt>
                <c:pt idx="16">
                  <c:v>4.3150243278122599E-2</c:v>
                </c:pt>
                <c:pt idx="17">
                  <c:v>3.9981330613593401E-2</c:v>
                </c:pt>
                <c:pt idx="18">
                  <c:v>3.8781915116644999E-2</c:v>
                </c:pt>
                <c:pt idx="19">
                  <c:v>1.40501290438537E-2</c:v>
                </c:pt>
                <c:pt idx="20">
                  <c:v>2.22112242878242E-2</c:v>
                </c:pt>
                <c:pt idx="21">
                  <c:v>4.4060667294397301E-3</c:v>
                </c:pt>
                <c:pt idx="22">
                  <c:v>2.03551052276136E-2</c:v>
                </c:pt>
                <c:pt idx="23">
                  <c:v>2.03531575230965E-2</c:v>
                </c:pt>
                <c:pt idx="24">
                  <c:v>3.221352439018E-2</c:v>
                </c:pt>
                <c:pt idx="25">
                  <c:v>3.3736187155651201E-2</c:v>
                </c:pt>
                <c:pt idx="26">
                  <c:v>3.6040168353621997E-2</c:v>
                </c:pt>
                <c:pt idx="27">
                  <c:v>2.9185793094048E-2</c:v>
                </c:pt>
                <c:pt idx="28">
                  <c:v>3.4499487513854801E-2</c:v>
                </c:pt>
                <c:pt idx="29">
                  <c:v>3.2244927826725299E-2</c:v>
                </c:pt>
                <c:pt idx="30">
                  <c:v>3.1771186792781597E-2</c:v>
                </c:pt>
                <c:pt idx="31">
                  <c:v>3.6373818216909402E-2</c:v>
                </c:pt>
                <c:pt idx="32">
                  <c:v>4.3425666487292E-2</c:v>
                </c:pt>
                <c:pt idx="33">
                  <c:v>3.7644174816354202E-2</c:v>
                </c:pt>
                <c:pt idx="34">
                  <c:v>4.0986728736682097E-2</c:v>
                </c:pt>
                <c:pt idx="35">
                  <c:v>4.2589937871957903E-2</c:v>
                </c:pt>
                <c:pt idx="36">
                  <c:v>4.6822177910674598E-2</c:v>
                </c:pt>
                <c:pt idx="37">
                  <c:v>4.59545973881995E-2</c:v>
                </c:pt>
                <c:pt idx="38">
                  <c:v>4.1820191859789302E-2</c:v>
                </c:pt>
                <c:pt idx="39">
                  <c:v>4.06642424824947E-2</c:v>
                </c:pt>
                <c:pt idx="40">
                  <c:v>4.5734801182266999E-2</c:v>
                </c:pt>
                <c:pt idx="41">
                  <c:v>4.4350926911289598E-2</c:v>
                </c:pt>
                <c:pt idx="42">
                  <c:v>5.00221740089839E-2</c:v>
                </c:pt>
                <c:pt idx="43">
                  <c:v>5.5856119411691198E-2</c:v>
                </c:pt>
                <c:pt idx="44">
                  <c:v>5.5929245997377301E-2</c:v>
                </c:pt>
                <c:pt idx="45">
                  <c:v>4.6454892602118901E-2</c:v>
                </c:pt>
                <c:pt idx="46">
                  <c:v>4.9446725453297001E-2</c:v>
                </c:pt>
                <c:pt idx="47">
                  <c:v>4.93551795122859E-2</c:v>
                </c:pt>
                <c:pt idx="48">
                  <c:v>4.8110508506348001E-2</c:v>
                </c:pt>
                <c:pt idx="49">
                  <c:v>5.0074239467275503E-2</c:v>
                </c:pt>
                <c:pt idx="50">
                  <c:v>4.9773937682204603E-2</c:v>
                </c:pt>
                <c:pt idx="51">
                  <c:v>5.2925176073054997E-2</c:v>
                </c:pt>
                <c:pt idx="52">
                  <c:v>5.41326440503987E-2</c:v>
                </c:pt>
                <c:pt idx="53">
                  <c:v>5.5489776289907401E-2</c:v>
                </c:pt>
                <c:pt idx="54">
                  <c:v>4.3831457754978903E-2</c:v>
                </c:pt>
                <c:pt idx="55">
                  <c:v>4.0609363537629402E-2</c:v>
                </c:pt>
                <c:pt idx="56">
                  <c:v>3.83209443055458E-2</c:v>
                </c:pt>
                <c:pt idx="57">
                  <c:v>3.9261876218780002E-2</c:v>
                </c:pt>
                <c:pt idx="58">
                  <c:v>4.3471817302335299E-2</c:v>
                </c:pt>
                <c:pt idx="59">
                  <c:v>4.4159148187836103E-2</c:v>
                </c:pt>
                <c:pt idx="60">
                  <c:v>4.4479698241005998E-2</c:v>
                </c:pt>
                <c:pt idx="61">
                  <c:v>4.5349596496671397E-2</c:v>
                </c:pt>
                <c:pt idx="62">
                  <c:v>4.4375641994631197E-2</c:v>
                </c:pt>
                <c:pt idx="63">
                  <c:v>4.3219135559511797E-2</c:v>
                </c:pt>
                <c:pt idx="64">
                  <c:v>4.0732249827322098E-2</c:v>
                </c:pt>
                <c:pt idx="65">
                  <c:v>4.30939096473682E-2</c:v>
                </c:pt>
                <c:pt idx="66">
                  <c:v>4.5060159313057201E-2</c:v>
                </c:pt>
                <c:pt idx="67">
                  <c:v>4.4979237230264098E-2</c:v>
                </c:pt>
                <c:pt idx="68">
                  <c:v>4.5710371175887499E-2</c:v>
                </c:pt>
                <c:pt idx="69">
                  <c:v>4.6027086479041197E-2</c:v>
                </c:pt>
                <c:pt idx="70">
                  <c:v>4.6821785730132202E-2</c:v>
                </c:pt>
                <c:pt idx="71">
                  <c:v>4.9083167005529602E-2</c:v>
                </c:pt>
                <c:pt idx="72">
                  <c:v>4.8977405484421303E-2</c:v>
                </c:pt>
                <c:pt idx="73">
                  <c:v>4.6562656926903798E-2</c:v>
                </c:pt>
                <c:pt idx="74">
                  <c:v>4.6934038095962999E-2</c:v>
                </c:pt>
                <c:pt idx="75">
                  <c:v>4.3326476838325398E-2</c:v>
                </c:pt>
                <c:pt idx="76">
                  <c:v>4.1743338263211999E-2</c:v>
                </c:pt>
                <c:pt idx="77">
                  <c:v>4.0720936084763397E-2</c:v>
                </c:pt>
                <c:pt idx="78">
                  <c:v>4.2424435893381601E-2</c:v>
                </c:pt>
                <c:pt idx="79">
                  <c:v>4.41505766312583E-2</c:v>
                </c:pt>
                <c:pt idx="80">
                  <c:v>4.2362312863177001E-2</c:v>
                </c:pt>
                <c:pt idx="81">
                  <c:v>3.7201669754595899E-2</c:v>
                </c:pt>
                <c:pt idx="82">
                  <c:v>3.8290429114705801E-2</c:v>
                </c:pt>
                <c:pt idx="83">
                  <c:v>3.95438791314437E-2</c:v>
                </c:pt>
                <c:pt idx="84">
                  <c:v>3.7137031859021202E-2</c:v>
                </c:pt>
                <c:pt idx="85">
                  <c:v>3.7440025154425002E-2</c:v>
                </c:pt>
                <c:pt idx="86">
                  <c:v>4.0485835811610901E-2</c:v>
                </c:pt>
                <c:pt idx="87">
                  <c:v>3.9779301534441598E-2</c:v>
                </c:pt>
                <c:pt idx="88">
                  <c:v>3.74402132838806E-2</c:v>
                </c:pt>
                <c:pt idx="89">
                  <c:v>3.7407641856578903E-2</c:v>
                </c:pt>
                <c:pt idx="90">
                  <c:v>3.6384387192401703E-2</c:v>
                </c:pt>
                <c:pt idx="91">
                  <c:v>3.5589885833708E-2</c:v>
                </c:pt>
                <c:pt idx="92">
                  <c:v>3.51319096879266E-2</c:v>
                </c:pt>
                <c:pt idx="93">
                  <c:v>3.0935128644875E-2</c:v>
                </c:pt>
                <c:pt idx="94">
                  <c:v>2.7136956591740001E-2</c:v>
                </c:pt>
                <c:pt idx="95">
                  <c:v>2.9136960643729899E-2</c:v>
                </c:pt>
                <c:pt idx="96">
                  <c:v>2.95157237140658E-2</c:v>
                </c:pt>
                <c:pt idx="97">
                  <c:v>3.4890065237090401E-2</c:v>
                </c:pt>
                <c:pt idx="98">
                  <c:v>3.7607141428789202E-2</c:v>
                </c:pt>
                <c:pt idx="99">
                  <c:v>4.1707266620288203E-2</c:v>
                </c:pt>
                <c:pt idx="100">
                  <c:v>3.9351550978430301E-2</c:v>
                </c:pt>
                <c:pt idx="101">
                  <c:v>3.8090255021907098E-2</c:v>
                </c:pt>
                <c:pt idx="102">
                  <c:v>4.2331403798457699E-2</c:v>
                </c:pt>
                <c:pt idx="103">
                  <c:v>4.0515695674873099E-2</c:v>
                </c:pt>
                <c:pt idx="104">
                  <c:v>4.1994439409345802E-2</c:v>
                </c:pt>
                <c:pt idx="105">
                  <c:v>4.1165722500309698E-2</c:v>
                </c:pt>
                <c:pt idx="106">
                  <c:v>4.1322568845402301E-2</c:v>
                </c:pt>
                <c:pt idx="107">
                  <c:v>4.2274528072045799E-2</c:v>
                </c:pt>
                <c:pt idx="108">
                  <c:v>4.1917158876804597E-2</c:v>
                </c:pt>
                <c:pt idx="109">
                  <c:v>4.4270245598214499E-2</c:v>
                </c:pt>
                <c:pt idx="110">
                  <c:v>4.3176047384200798E-2</c:v>
                </c:pt>
                <c:pt idx="111">
                  <c:v>4.12235414630861E-2</c:v>
                </c:pt>
                <c:pt idx="112">
                  <c:v>3.7228147156907698E-2</c:v>
                </c:pt>
                <c:pt idx="113">
                  <c:v>3.45250500158579E-2</c:v>
                </c:pt>
                <c:pt idx="114">
                  <c:v>3.6978139172955303E-2</c:v>
                </c:pt>
                <c:pt idx="115">
                  <c:v>3.9936634128740302E-2</c:v>
                </c:pt>
                <c:pt idx="116">
                  <c:v>3.8281222395338398E-2</c:v>
                </c:pt>
                <c:pt idx="117">
                  <c:v>3.6972173047363402E-2</c:v>
                </c:pt>
                <c:pt idx="118">
                  <c:v>3.6788029974677103E-2</c:v>
                </c:pt>
                <c:pt idx="119">
                  <c:v>3.8197342344677102E-2</c:v>
                </c:pt>
                <c:pt idx="120">
                  <c:v>3.8293980188769498E-2</c:v>
                </c:pt>
                <c:pt idx="121">
                  <c:v>4.2078362721222798E-2</c:v>
                </c:pt>
                <c:pt idx="122">
                  <c:v>4.1006227734247697E-2</c:v>
                </c:pt>
                <c:pt idx="123">
                  <c:v>3.6208980288204198E-2</c:v>
                </c:pt>
                <c:pt idx="124">
                  <c:v>3.8927345022142602E-2</c:v>
                </c:pt>
                <c:pt idx="125">
                  <c:v>3.7990595108383797E-2</c:v>
                </c:pt>
                <c:pt idx="126">
                  <c:v>3.7513411821951399E-2</c:v>
                </c:pt>
                <c:pt idx="127">
                  <c:v>3.6878518855383902E-2</c:v>
                </c:pt>
                <c:pt idx="128">
                  <c:v>3.40899829954227E-2</c:v>
                </c:pt>
                <c:pt idx="129">
                  <c:v>3.1061909427072001E-2</c:v>
                </c:pt>
                <c:pt idx="130">
                  <c:v>2.9102550570945102E-2</c:v>
                </c:pt>
                <c:pt idx="131">
                  <c:v>3.2157952993671302E-2</c:v>
                </c:pt>
                <c:pt idx="132">
                  <c:v>3.18166733235343E-2</c:v>
                </c:pt>
                <c:pt idx="133">
                  <c:v>3.1254906161661197E-2</c:v>
                </c:pt>
                <c:pt idx="134">
                  <c:v>2.9507211670019701E-2</c:v>
                </c:pt>
                <c:pt idx="135">
                  <c:v>3.0002494129235401E-2</c:v>
                </c:pt>
                <c:pt idx="136">
                  <c:v>2.9994851301705899E-2</c:v>
                </c:pt>
                <c:pt idx="137">
                  <c:v>3.2161107975715801E-2</c:v>
                </c:pt>
                <c:pt idx="138">
                  <c:v>3.2771672074705799E-2</c:v>
                </c:pt>
                <c:pt idx="139">
                  <c:v>3.7979702061328703E-2</c:v>
                </c:pt>
                <c:pt idx="140">
                  <c:v>3.9576578808668897E-2</c:v>
                </c:pt>
                <c:pt idx="141">
                  <c:v>3.5716231832911297E-2</c:v>
                </c:pt>
                <c:pt idx="142">
                  <c:v>3.9161405419912303E-2</c:v>
                </c:pt>
                <c:pt idx="143">
                  <c:v>3.9798370983463803E-2</c:v>
                </c:pt>
                <c:pt idx="144">
                  <c:v>3.93607217796643E-2</c:v>
                </c:pt>
                <c:pt idx="145">
                  <c:v>3.94586717946242E-2</c:v>
                </c:pt>
                <c:pt idx="146">
                  <c:v>3.6431022519423602E-2</c:v>
                </c:pt>
                <c:pt idx="147">
                  <c:v>3.7284407872310202E-2</c:v>
                </c:pt>
                <c:pt idx="148">
                  <c:v>3.8638200715777601E-2</c:v>
                </c:pt>
                <c:pt idx="149">
                  <c:v>3.1625379377212499E-2</c:v>
                </c:pt>
                <c:pt idx="150">
                  <c:v>3.2618368546892602E-2</c:v>
                </c:pt>
                <c:pt idx="151">
                  <c:v>3.30035346416271E-2</c:v>
                </c:pt>
                <c:pt idx="152">
                  <c:v>2.978143619704E-2</c:v>
                </c:pt>
                <c:pt idx="153">
                  <c:v>2.9471351475377501E-2</c:v>
                </c:pt>
                <c:pt idx="154">
                  <c:v>3.0347396272640499E-2</c:v>
                </c:pt>
                <c:pt idx="155">
                  <c:v>2.8721160012569399E-2</c:v>
                </c:pt>
                <c:pt idx="156">
                  <c:v>2.5467700385861099E-2</c:v>
                </c:pt>
                <c:pt idx="157">
                  <c:v>2.6028885658681101E-2</c:v>
                </c:pt>
                <c:pt idx="158">
                  <c:v>3.1424149785147397E-2</c:v>
                </c:pt>
                <c:pt idx="159">
                  <c:v>3.1324372873389197E-2</c:v>
                </c:pt>
                <c:pt idx="160">
                  <c:v>2.6526449838418301E-2</c:v>
                </c:pt>
                <c:pt idx="161">
                  <c:v>2.7857293003651001E-2</c:v>
                </c:pt>
                <c:pt idx="162">
                  <c:v>3.0295230280463499E-2</c:v>
                </c:pt>
                <c:pt idx="163">
                  <c:v>3.0384496259996101E-2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1F-4E96-8E0C-E4D5D6E8CBEE}"/>
            </c:ext>
          </c:extLst>
        </c:ser>
        <c:ser>
          <c:idx val="1"/>
          <c:order val="1"/>
          <c:tx>
            <c:v>B1 - 2 Month Forecast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Forecast_1m!$A$5:$A$168</c:f>
              <c:numCache>
                <c:formatCode>dd/mm/yyyy</c:formatCode>
                <c:ptCount val="164"/>
                <c:pt idx="0">
                  <c:v>39169</c:v>
                </c:pt>
                <c:pt idx="1">
                  <c:v>39197</c:v>
                </c:pt>
                <c:pt idx="2">
                  <c:v>39232</c:v>
                </c:pt>
                <c:pt idx="3">
                  <c:v>39260</c:v>
                </c:pt>
                <c:pt idx="4">
                  <c:v>39288</c:v>
                </c:pt>
                <c:pt idx="5">
                  <c:v>39323</c:v>
                </c:pt>
                <c:pt idx="6">
                  <c:v>39351</c:v>
                </c:pt>
                <c:pt idx="7">
                  <c:v>39386</c:v>
                </c:pt>
                <c:pt idx="8">
                  <c:v>39414</c:v>
                </c:pt>
                <c:pt idx="9">
                  <c:v>39442</c:v>
                </c:pt>
                <c:pt idx="10">
                  <c:v>39477</c:v>
                </c:pt>
                <c:pt idx="11">
                  <c:v>39505</c:v>
                </c:pt>
                <c:pt idx="12">
                  <c:v>39533</c:v>
                </c:pt>
                <c:pt idx="13">
                  <c:v>39568</c:v>
                </c:pt>
                <c:pt idx="14">
                  <c:v>39596</c:v>
                </c:pt>
                <c:pt idx="15">
                  <c:v>39624</c:v>
                </c:pt>
                <c:pt idx="16">
                  <c:v>39659</c:v>
                </c:pt>
                <c:pt idx="17">
                  <c:v>39687</c:v>
                </c:pt>
                <c:pt idx="18">
                  <c:v>39715</c:v>
                </c:pt>
                <c:pt idx="19">
                  <c:v>39750</c:v>
                </c:pt>
                <c:pt idx="20">
                  <c:v>39778</c:v>
                </c:pt>
                <c:pt idx="21">
                  <c:v>39813</c:v>
                </c:pt>
                <c:pt idx="22">
                  <c:v>39841</c:v>
                </c:pt>
                <c:pt idx="23">
                  <c:v>39869</c:v>
                </c:pt>
                <c:pt idx="24">
                  <c:v>39897</c:v>
                </c:pt>
                <c:pt idx="25">
                  <c:v>39932</c:v>
                </c:pt>
                <c:pt idx="26">
                  <c:v>39960</c:v>
                </c:pt>
                <c:pt idx="27">
                  <c:v>39988</c:v>
                </c:pt>
                <c:pt idx="28">
                  <c:v>40023</c:v>
                </c:pt>
                <c:pt idx="29">
                  <c:v>40051</c:v>
                </c:pt>
                <c:pt idx="30">
                  <c:v>40086</c:v>
                </c:pt>
                <c:pt idx="31">
                  <c:v>40114</c:v>
                </c:pt>
                <c:pt idx="32">
                  <c:v>40142</c:v>
                </c:pt>
                <c:pt idx="33">
                  <c:v>40177</c:v>
                </c:pt>
                <c:pt idx="34">
                  <c:v>40205</c:v>
                </c:pt>
                <c:pt idx="35">
                  <c:v>40233</c:v>
                </c:pt>
                <c:pt idx="36">
                  <c:v>40268</c:v>
                </c:pt>
                <c:pt idx="37">
                  <c:v>40296</c:v>
                </c:pt>
                <c:pt idx="38">
                  <c:v>40324</c:v>
                </c:pt>
                <c:pt idx="39">
                  <c:v>40359</c:v>
                </c:pt>
                <c:pt idx="40">
                  <c:v>40387</c:v>
                </c:pt>
                <c:pt idx="41">
                  <c:v>40415</c:v>
                </c:pt>
                <c:pt idx="42">
                  <c:v>40450</c:v>
                </c:pt>
                <c:pt idx="43">
                  <c:v>40478</c:v>
                </c:pt>
                <c:pt idx="44">
                  <c:v>40506</c:v>
                </c:pt>
                <c:pt idx="45">
                  <c:v>40541</c:v>
                </c:pt>
                <c:pt idx="46">
                  <c:v>40569</c:v>
                </c:pt>
                <c:pt idx="47">
                  <c:v>40597</c:v>
                </c:pt>
                <c:pt idx="48">
                  <c:v>40632</c:v>
                </c:pt>
                <c:pt idx="49">
                  <c:v>40660</c:v>
                </c:pt>
                <c:pt idx="50">
                  <c:v>40688</c:v>
                </c:pt>
                <c:pt idx="51">
                  <c:v>40723</c:v>
                </c:pt>
                <c:pt idx="52">
                  <c:v>40751</c:v>
                </c:pt>
                <c:pt idx="53">
                  <c:v>40786</c:v>
                </c:pt>
                <c:pt idx="54">
                  <c:v>40814</c:v>
                </c:pt>
                <c:pt idx="55">
                  <c:v>40842</c:v>
                </c:pt>
                <c:pt idx="56">
                  <c:v>40877</c:v>
                </c:pt>
                <c:pt idx="57">
                  <c:v>40905</c:v>
                </c:pt>
                <c:pt idx="58">
                  <c:v>40933</c:v>
                </c:pt>
                <c:pt idx="59">
                  <c:v>40968</c:v>
                </c:pt>
                <c:pt idx="60">
                  <c:v>40996</c:v>
                </c:pt>
                <c:pt idx="61">
                  <c:v>41024</c:v>
                </c:pt>
                <c:pt idx="62">
                  <c:v>41059</c:v>
                </c:pt>
                <c:pt idx="63">
                  <c:v>41087</c:v>
                </c:pt>
                <c:pt idx="64">
                  <c:v>41115</c:v>
                </c:pt>
                <c:pt idx="65">
                  <c:v>41150</c:v>
                </c:pt>
                <c:pt idx="66">
                  <c:v>41178</c:v>
                </c:pt>
                <c:pt idx="67">
                  <c:v>41213</c:v>
                </c:pt>
                <c:pt idx="68">
                  <c:v>41241</c:v>
                </c:pt>
                <c:pt idx="69">
                  <c:v>41269</c:v>
                </c:pt>
                <c:pt idx="70">
                  <c:v>41304</c:v>
                </c:pt>
                <c:pt idx="71">
                  <c:v>41332</c:v>
                </c:pt>
                <c:pt idx="72">
                  <c:v>41360</c:v>
                </c:pt>
                <c:pt idx="73">
                  <c:v>41388</c:v>
                </c:pt>
                <c:pt idx="74">
                  <c:v>41423</c:v>
                </c:pt>
                <c:pt idx="75">
                  <c:v>41451</c:v>
                </c:pt>
                <c:pt idx="76">
                  <c:v>41486</c:v>
                </c:pt>
                <c:pt idx="77">
                  <c:v>41514</c:v>
                </c:pt>
                <c:pt idx="78">
                  <c:v>41542</c:v>
                </c:pt>
                <c:pt idx="79">
                  <c:v>41577</c:v>
                </c:pt>
                <c:pt idx="80">
                  <c:v>41605</c:v>
                </c:pt>
                <c:pt idx="81">
                  <c:v>41633</c:v>
                </c:pt>
                <c:pt idx="82">
                  <c:v>41668</c:v>
                </c:pt>
                <c:pt idx="83">
                  <c:v>41696</c:v>
                </c:pt>
                <c:pt idx="84">
                  <c:v>41724</c:v>
                </c:pt>
                <c:pt idx="85">
                  <c:v>41759</c:v>
                </c:pt>
                <c:pt idx="86">
                  <c:v>41787</c:v>
                </c:pt>
                <c:pt idx="87">
                  <c:v>41815</c:v>
                </c:pt>
                <c:pt idx="88">
                  <c:v>41850</c:v>
                </c:pt>
                <c:pt idx="89">
                  <c:v>41878</c:v>
                </c:pt>
                <c:pt idx="90">
                  <c:v>41906</c:v>
                </c:pt>
                <c:pt idx="91">
                  <c:v>41941</c:v>
                </c:pt>
                <c:pt idx="92">
                  <c:v>41969</c:v>
                </c:pt>
                <c:pt idx="93">
                  <c:v>42004</c:v>
                </c:pt>
                <c:pt idx="94">
                  <c:v>42032</c:v>
                </c:pt>
                <c:pt idx="95">
                  <c:v>42060</c:v>
                </c:pt>
                <c:pt idx="96">
                  <c:v>42088</c:v>
                </c:pt>
                <c:pt idx="97">
                  <c:v>42123</c:v>
                </c:pt>
                <c:pt idx="98">
                  <c:v>42151</c:v>
                </c:pt>
                <c:pt idx="99">
                  <c:v>42179</c:v>
                </c:pt>
                <c:pt idx="100">
                  <c:v>42214</c:v>
                </c:pt>
                <c:pt idx="101">
                  <c:v>42242</c:v>
                </c:pt>
                <c:pt idx="102">
                  <c:v>42277</c:v>
                </c:pt>
                <c:pt idx="103">
                  <c:v>42305</c:v>
                </c:pt>
                <c:pt idx="104">
                  <c:v>42333</c:v>
                </c:pt>
                <c:pt idx="105">
                  <c:v>42368</c:v>
                </c:pt>
                <c:pt idx="106">
                  <c:v>42396</c:v>
                </c:pt>
                <c:pt idx="107">
                  <c:v>42424</c:v>
                </c:pt>
                <c:pt idx="108">
                  <c:v>42459</c:v>
                </c:pt>
                <c:pt idx="109">
                  <c:v>42487</c:v>
                </c:pt>
                <c:pt idx="110">
                  <c:v>42515</c:v>
                </c:pt>
                <c:pt idx="111">
                  <c:v>42550</c:v>
                </c:pt>
                <c:pt idx="112">
                  <c:v>42578</c:v>
                </c:pt>
                <c:pt idx="113">
                  <c:v>42613</c:v>
                </c:pt>
                <c:pt idx="114">
                  <c:v>42641</c:v>
                </c:pt>
                <c:pt idx="115">
                  <c:v>42669</c:v>
                </c:pt>
                <c:pt idx="116">
                  <c:v>42704</c:v>
                </c:pt>
                <c:pt idx="117">
                  <c:v>42732</c:v>
                </c:pt>
                <c:pt idx="118">
                  <c:v>42760</c:v>
                </c:pt>
                <c:pt idx="119">
                  <c:v>42788</c:v>
                </c:pt>
                <c:pt idx="120">
                  <c:v>42823</c:v>
                </c:pt>
                <c:pt idx="121">
                  <c:v>42851</c:v>
                </c:pt>
                <c:pt idx="122">
                  <c:v>42886</c:v>
                </c:pt>
                <c:pt idx="123">
                  <c:v>42914</c:v>
                </c:pt>
                <c:pt idx="124">
                  <c:v>42942</c:v>
                </c:pt>
                <c:pt idx="125">
                  <c:v>42977</c:v>
                </c:pt>
                <c:pt idx="126">
                  <c:v>43005</c:v>
                </c:pt>
                <c:pt idx="127">
                  <c:v>43033</c:v>
                </c:pt>
                <c:pt idx="128">
                  <c:v>43068</c:v>
                </c:pt>
                <c:pt idx="129">
                  <c:v>43096</c:v>
                </c:pt>
                <c:pt idx="130">
                  <c:v>43131</c:v>
                </c:pt>
                <c:pt idx="131">
                  <c:v>43159</c:v>
                </c:pt>
                <c:pt idx="132">
                  <c:v>43187</c:v>
                </c:pt>
                <c:pt idx="133">
                  <c:v>43215</c:v>
                </c:pt>
                <c:pt idx="134">
                  <c:v>43250</c:v>
                </c:pt>
                <c:pt idx="135">
                  <c:v>43278</c:v>
                </c:pt>
                <c:pt idx="136">
                  <c:v>43306</c:v>
                </c:pt>
                <c:pt idx="137">
                  <c:v>43341</c:v>
                </c:pt>
                <c:pt idx="138">
                  <c:v>43369</c:v>
                </c:pt>
                <c:pt idx="139">
                  <c:v>43404</c:v>
                </c:pt>
                <c:pt idx="140">
                  <c:v>43432</c:v>
                </c:pt>
                <c:pt idx="141">
                  <c:v>43460</c:v>
                </c:pt>
                <c:pt idx="142">
                  <c:v>43495</c:v>
                </c:pt>
                <c:pt idx="143">
                  <c:v>43523</c:v>
                </c:pt>
                <c:pt idx="144">
                  <c:v>43551</c:v>
                </c:pt>
                <c:pt idx="145">
                  <c:v>43579</c:v>
                </c:pt>
                <c:pt idx="146">
                  <c:v>43614</c:v>
                </c:pt>
                <c:pt idx="147">
                  <c:v>43642</c:v>
                </c:pt>
                <c:pt idx="148">
                  <c:v>43677</c:v>
                </c:pt>
                <c:pt idx="149">
                  <c:v>43705</c:v>
                </c:pt>
                <c:pt idx="150">
                  <c:v>43733</c:v>
                </c:pt>
                <c:pt idx="151">
                  <c:v>43768</c:v>
                </c:pt>
                <c:pt idx="152">
                  <c:v>43796</c:v>
                </c:pt>
                <c:pt idx="153">
                  <c:v>43824</c:v>
                </c:pt>
                <c:pt idx="154">
                  <c:v>43859</c:v>
                </c:pt>
                <c:pt idx="155">
                  <c:v>43887</c:v>
                </c:pt>
                <c:pt idx="156">
                  <c:v>43915</c:v>
                </c:pt>
                <c:pt idx="157">
                  <c:v>43950</c:v>
                </c:pt>
                <c:pt idx="158">
                  <c:v>43978</c:v>
                </c:pt>
                <c:pt idx="159">
                  <c:v>44006</c:v>
                </c:pt>
                <c:pt idx="160">
                  <c:v>44041</c:v>
                </c:pt>
                <c:pt idx="161">
                  <c:v>44069</c:v>
                </c:pt>
                <c:pt idx="162">
                  <c:v>44104</c:v>
                </c:pt>
                <c:pt idx="163">
                  <c:v>44118</c:v>
                </c:pt>
              </c:numCache>
            </c:numRef>
          </c:cat>
          <c:val>
            <c:numRef>
              <c:f>Forecast_1m!$J$5:$J$168</c:f>
              <c:numCache>
                <c:formatCode>General</c:formatCode>
                <c:ptCount val="164"/>
                <c:pt idx="0">
                  <c:v>4.5215918801960402E-2</c:v>
                </c:pt>
                <c:pt idx="1">
                  <c:v>4.4612611091724381E-2</c:v>
                </c:pt>
                <c:pt idx="2">
                  <c:v>4.6469101634717146E-2</c:v>
                </c:pt>
                <c:pt idx="3">
                  <c:v>4.5824778202897418E-2</c:v>
                </c:pt>
                <c:pt idx="4">
                  <c:v>4.5119489426755158E-2</c:v>
                </c:pt>
                <c:pt idx="5">
                  <c:v>4.4788312971178808E-2</c:v>
                </c:pt>
                <c:pt idx="6">
                  <c:v>4.4588922277675219E-2</c:v>
                </c:pt>
                <c:pt idx="7">
                  <c:v>4.4676687475461885E-2</c:v>
                </c:pt>
                <c:pt idx="8">
                  <c:v>4.3365549168208978E-2</c:v>
                </c:pt>
                <c:pt idx="9">
                  <c:v>4.2705018531766011E-2</c:v>
                </c:pt>
                <c:pt idx="10">
                  <c:v>3.9864878466711086E-2</c:v>
                </c:pt>
                <c:pt idx="11">
                  <c:v>4.1726690376508821E-2</c:v>
                </c:pt>
                <c:pt idx="12">
                  <c:v>4.2350579354354552E-2</c:v>
                </c:pt>
                <c:pt idx="13">
                  <c:v>4.3205759103960621E-2</c:v>
                </c:pt>
                <c:pt idx="14">
                  <c:v>4.1663166800268742E-2</c:v>
                </c:pt>
                <c:pt idx="15">
                  <c:v>4.0233682853397124E-2</c:v>
                </c:pt>
                <c:pt idx="16">
                  <c:v>4.0723857021997781E-2</c:v>
                </c:pt>
                <c:pt idx="17">
                  <c:v>3.8557016771436185E-2</c:v>
                </c:pt>
                <c:pt idx="18">
                  <c:v>3.96473864156539E-2</c:v>
                </c:pt>
                <c:pt idx="19">
                  <c:v>3.9176611720977098E-2</c:v>
                </c:pt>
                <c:pt idx="20">
                  <c:v>3.6366797372931726E-2</c:v>
                </c:pt>
                <c:pt idx="21">
                  <c:v>2.4976083460547246E-2</c:v>
                </c:pt>
                <c:pt idx="22">
                  <c:v>2.8009543105880434E-2</c:v>
                </c:pt>
                <c:pt idx="23">
                  <c:v>1.885193255320464E-2</c:v>
                </c:pt>
                <c:pt idx="24">
                  <c:v>2.857224478009306E-2</c:v>
                </c:pt>
                <c:pt idx="25">
                  <c:v>2.7632233780837099E-2</c:v>
                </c:pt>
                <c:pt idx="26">
                  <c:v>3.5535579663908086E-2</c:v>
                </c:pt>
                <c:pt idx="27">
                  <c:v>3.5465561683187347E-2</c:v>
                </c:pt>
                <c:pt idx="28">
                  <c:v>3.6995354843190026E-2</c:v>
                </c:pt>
                <c:pt idx="29">
                  <c:v>3.0957606144921254E-2</c:v>
                </c:pt>
                <c:pt idx="30">
                  <c:v>3.4658535796651541E-2</c:v>
                </c:pt>
                <c:pt idx="31">
                  <c:v>3.3432360078741584E-2</c:v>
                </c:pt>
                <c:pt idx="32">
                  <c:v>3.3491347657119822E-2</c:v>
                </c:pt>
                <c:pt idx="33">
                  <c:v>3.6207976278577893E-2</c:v>
                </c:pt>
                <c:pt idx="34">
                  <c:v>4.1803153735413046E-2</c:v>
                </c:pt>
                <c:pt idx="35">
                  <c:v>3.6463560989109862E-2</c:v>
                </c:pt>
                <c:pt idx="36">
                  <c:v>3.9120514366087746E-2</c:v>
                </c:pt>
                <c:pt idx="37">
                  <c:v>4.1028714734981597E-2</c:v>
                </c:pt>
                <c:pt idx="38">
                  <c:v>4.3323002975916992E-2</c:v>
                </c:pt>
                <c:pt idx="39">
                  <c:v>4.2291325826858212E-2</c:v>
                </c:pt>
                <c:pt idx="40">
                  <c:v>4.0512979253202124E-2</c:v>
                </c:pt>
                <c:pt idx="41">
                  <c:v>4.1194279100174945E-2</c:v>
                </c:pt>
                <c:pt idx="42">
                  <c:v>4.4531984274603011E-2</c:v>
                </c:pt>
                <c:pt idx="43">
                  <c:v>4.3853257627033564E-2</c:v>
                </c:pt>
                <c:pt idx="44">
                  <c:v>4.8003791963682776E-2</c:v>
                </c:pt>
                <c:pt idx="45">
                  <c:v>5.2005929385063779E-2</c:v>
                </c:pt>
                <c:pt idx="46">
                  <c:v>5.1631925979185429E-2</c:v>
                </c:pt>
                <c:pt idx="47">
                  <c:v>4.4769972209851121E-2</c:v>
                </c:pt>
                <c:pt idx="48">
                  <c:v>4.6870389026969057E-2</c:v>
                </c:pt>
                <c:pt idx="49">
                  <c:v>4.5386332583485907E-2</c:v>
                </c:pt>
                <c:pt idx="50">
                  <c:v>4.4249543546385946E-2</c:v>
                </c:pt>
                <c:pt idx="51">
                  <c:v>4.6290419807146418E-2</c:v>
                </c:pt>
                <c:pt idx="52">
                  <c:v>4.688327160139396E-2</c:v>
                </c:pt>
                <c:pt idx="53">
                  <c:v>4.9527466364212049E-2</c:v>
                </c:pt>
                <c:pt idx="54">
                  <c:v>5.0680659828033665E-2</c:v>
                </c:pt>
                <c:pt idx="55">
                  <c:v>5.222692574168309E-2</c:v>
                </c:pt>
                <c:pt idx="56">
                  <c:v>4.4424645824174443E-2</c:v>
                </c:pt>
                <c:pt idx="57">
                  <c:v>4.2255615230855428E-2</c:v>
                </c:pt>
                <c:pt idx="58">
                  <c:v>4.099604162033911E-2</c:v>
                </c:pt>
                <c:pt idx="59">
                  <c:v>4.1135496159825591E-2</c:v>
                </c:pt>
                <c:pt idx="60">
                  <c:v>4.4829049237387703E-2</c:v>
                </c:pt>
                <c:pt idx="61">
                  <c:v>4.4826876711050546E-2</c:v>
                </c:pt>
                <c:pt idx="62">
                  <c:v>4.4809655087121272E-2</c:v>
                </c:pt>
                <c:pt idx="63">
                  <c:v>4.5789249098625265E-2</c:v>
                </c:pt>
                <c:pt idx="64">
                  <c:v>4.4447175987047047E-2</c:v>
                </c:pt>
                <c:pt idx="65">
                  <c:v>4.351766610099253E-2</c:v>
                </c:pt>
                <c:pt idx="66">
                  <c:v>4.2632115033971844E-2</c:v>
                </c:pt>
                <c:pt idx="67">
                  <c:v>4.4252823865511028E-2</c:v>
                </c:pt>
                <c:pt idx="68">
                  <c:v>4.551304514396147E-2</c:v>
                </c:pt>
                <c:pt idx="69">
                  <c:v>4.5160327129488725E-2</c:v>
                </c:pt>
                <c:pt idx="70">
                  <c:v>4.5569989734610121E-2</c:v>
                </c:pt>
                <c:pt idx="71">
                  <c:v>4.5529096630464463E-2</c:v>
                </c:pt>
                <c:pt idx="72">
                  <c:v>4.6240652960174489E-2</c:v>
                </c:pt>
                <c:pt idx="73">
                  <c:v>4.7848990846733337E-2</c:v>
                </c:pt>
                <c:pt idx="74">
                  <c:v>4.7806337179264594E-2</c:v>
                </c:pt>
                <c:pt idx="75">
                  <c:v>4.6279730075007283E-2</c:v>
                </c:pt>
                <c:pt idx="76">
                  <c:v>4.6221274644462518E-2</c:v>
                </c:pt>
                <c:pt idx="77">
                  <c:v>4.3423296685621476E-2</c:v>
                </c:pt>
                <c:pt idx="78">
                  <c:v>4.2898810965828663E-2</c:v>
                </c:pt>
                <c:pt idx="79">
                  <c:v>4.1389581652806762E-2</c:v>
                </c:pt>
                <c:pt idx="80">
                  <c:v>4.2887731984510992E-2</c:v>
                </c:pt>
                <c:pt idx="81">
                  <c:v>4.4586418782024601E-2</c:v>
                </c:pt>
                <c:pt idx="82">
                  <c:v>4.3988504393081961E-2</c:v>
                </c:pt>
                <c:pt idx="83">
                  <c:v>3.9568744874478395E-2</c:v>
                </c:pt>
                <c:pt idx="84">
                  <c:v>4.0179866767162918E-2</c:v>
                </c:pt>
                <c:pt idx="85">
                  <c:v>4.1190766240423116E-2</c:v>
                </c:pt>
                <c:pt idx="86">
                  <c:v>3.8238934375642505E-2</c:v>
                </c:pt>
                <c:pt idx="87">
                  <c:v>3.8591504262828848E-2</c:v>
                </c:pt>
                <c:pt idx="88">
                  <c:v>4.0566059105325278E-2</c:v>
                </c:pt>
                <c:pt idx="89">
                  <c:v>3.9428597485430657E-2</c:v>
                </c:pt>
                <c:pt idx="90">
                  <c:v>3.7020007598714169E-2</c:v>
                </c:pt>
                <c:pt idx="91">
                  <c:v>3.6874946725356655E-2</c:v>
                </c:pt>
                <c:pt idx="92">
                  <c:v>3.5811086814977584E-2</c:v>
                </c:pt>
                <c:pt idx="93">
                  <c:v>3.5912299270326381E-2</c:v>
                </c:pt>
                <c:pt idx="94">
                  <c:v>3.5547981337638028E-2</c:v>
                </c:pt>
                <c:pt idx="95">
                  <c:v>3.1777090046176341E-2</c:v>
                </c:pt>
                <c:pt idx="96">
                  <c:v>3.0551565667358012E-2</c:v>
                </c:pt>
                <c:pt idx="97">
                  <c:v>3.1270808080266013E-2</c:v>
                </c:pt>
                <c:pt idx="98">
                  <c:v>3.1767459026471372E-2</c:v>
                </c:pt>
                <c:pt idx="99">
                  <c:v>3.5419284709410644E-2</c:v>
                </c:pt>
                <c:pt idx="100">
                  <c:v>3.6665680722955951E-2</c:v>
                </c:pt>
                <c:pt idx="101">
                  <c:v>3.9059920950981541E-2</c:v>
                </c:pt>
                <c:pt idx="102">
                  <c:v>3.7535666619272337E-2</c:v>
                </c:pt>
                <c:pt idx="103">
                  <c:v>3.7454918481001291E-2</c:v>
                </c:pt>
                <c:pt idx="104">
                  <c:v>4.0042117866261016E-2</c:v>
                </c:pt>
                <c:pt idx="105">
                  <c:v>3.8750065977992437E-2</c:v>
                </c:pt>
                <c:pt idx="106">
                  <c:v>3.9151257917320964E-2</c:v>
                </c:pt>
                <c:pt idx="107">
                  <c:v>3.8217686583742125E-2</c:v>
                </c:pt>
                <c:pt idx="108">
                  <c:v>3.9871694229025548E-2</c:v>
                </c:pt>
                <c:pt idx="109">
                  <c:v>4.0886888875822959E-2</c:v>
                </c:pt>
                <c:pt idx="110">
                  <c:v>4.0270111122765302E-2</c:v>
                </c:pt>
                <c:pt idx="111">
                  <c:v>4.1398967882148412E-2</c:v>
                </c:pt>
                <c:pt idx="112">
                  <c:v>4.0671847444730326E-2</c:v>
                </c:pt>
                <c:pt idx="113">
                  <c:v>4.0415624251406712E-2</c:v>
                </c:pt>
                <c:pt idx="114">
                  <c:v>3.7594449369372819E-2</c:v>
                </c:pt>
                <c:pt idx="115">
                  <c:v>3.5695018361661821E-2</c:v>
                </c:pt>
                <c:pt idx="116">
                  <c:v>3.7391976419872512E-2</c:v>
                </c:pt>
                <c:pt idx="117">
                  <c:v>3.9009385620366981E-2</c:v>
                </c:pt>
                <c:pt idx="118">
                  <c:v>3.6874289951292688E-2</c:v>
                </c:pt>
                <c:pt idx="119">
                  <c:v>3.5431036391706687E-2</c:v>
                </c:pt>
                <c:pt idx="120">
                  <c:v>3.5551239681211252E-2</c:v>
                </c:pt>
                <c:pt idx="121">
                  <c:v>3.6624843506850392E-2</c:v>
                </c:pt>
                <c:pt idx="122">
                  <c:v>3.6961276419223997E-2</c:v>
                </c:pt>
                <c:pt idx="123">
                  <c:v>3.9793134902740342E-2</c:v>
                </c:pt>
                <c:pt idx="124">
                  <c:v>3.9722556071824074E-2</c:v>
                </c:pt>
                <c:pt idx="125">
                  <c:v>3.692003678172092E-2</c:v>
                </c:pt>
                <c:pt idx="126">
                  <c:v>3.8606463489060237E-2</c:v>
                </c:pt>
                <c:pt idx="127">
                  <c:v>3.8118034211203272E-2</c:v>
                </c:pt>
                <c:pt idx="128">
                  <c:v>3.7209002870667238E-2</c:v>
                </c:pt>
                <c:pt idx="129">
                  <c:v>3.6821285746432626E-2</c:v>
                </c:pt>
                <c:pt idx="130">
                  <c:v>3.508854696826498E-2</c:v>
                </c:pt>
                <c:pt idx="131">
                  <c:v>3.2850848265776264E-2</c:v>
                </c:pt>
                <c:pt idx="132">
                  <c:v>3.0999402582492053E-2</c:v>
                </c:pt>
                <c:pt idx="133">
                  <c:v>3.2469637576796155E-2</c:v>
                </c:pt>
                <c:pt idx="134">
                  <c:v>3.2489251099757685E-2</c:v>
                </c:pt>
                <c:pt idx="135">
                  <c:v>3.1829636279696275E-2</c:v>
                </c:pt>
                <c:pt idx="136">
                  <c:v>3.1465688892697734E-2</c:v>
                </c:pt>
                <c:pt idx="137">
                  <c:v>3.1477934289482846E-2</c:v>
                </c:pt>
                <c:pt idx="138">
                  <c:v>3.1486487777210977E-2</c:v>
                </c:pt>
                <c:pt idx="139">
                  <c:v>3.2492511375908563E-2</c:v>
                </c:pt>
                <c:pt idx="140">
                  <c:v>3.2464390125085452E-2</c:v>
                </c:pt>
                <c:pt idx="141">
                  <c:v>3.6215052243669735E-2</c:v>
                </c:pt>
                <c:pt idx="142">
                  <c:v>3.7654741501160889E-2</c:v>
                </c:pt>
                <c:pt idx="143">
                  <c:v>3.6460219862907796E-2</c:v>
                </c:pt>
                <c:pt idx="144">
                  <c:v>3.8879012570079294E-2</c:v>
                </c:pt>
                <c:pt idx="145">
                  <c:v>3.9444254650412083E-2</c:v>
                </c:pt>
                <c:pt idx="146">
                  <c:v>4.0382355712453896E-2</c:v>
                </c:pt>
                <c:pt idx="147">
                  <c:v>3.9805597732025175E-2</c:v>
                </c:pt>
                <c:pt idx="148">
                  <c:v>3.9161520913249863E-2</c:v>
                </c:pt>
                <c:pt idx="149">
                  <c:v>3.9998729736346626E-2</c:v>
                </c:pt>
                <c:pt idx="150">
                  <c:v>4.0562545251729608E-2</c:v>
                </c:pt>
                <c:pt idx="151">
                  <c:v>3.661853318253068E-2</c:v>
                </c:pt>
                <c:pt idx="152">
                  <c:v>3.6989240599937939E-2</c:v>
                </c:pt>
                <c:pt idx="153">
                  <c:v>3.6508236092835836E-2</c:v>
                </c:pt>
                <c:pt idx="154">
                  <c:v>3.4520763237291363E-2</c:v>
                </c:pt>
                <c:pt idx="155">
                  <c:v>3.4036205297837754E-2</c:v>
                </c:pt>
                <c:pt idx="156">
                  <c:v>3.5244848371018288E-2</c:v>
                </c:pt>
                <c:pt idx="157">
                  <c:v>3.4716587255413996E-2</c:v>
                </c:pt>
                <c:pt idx="158">
                  <c:v>3.0863715868963137E-2</c:v>
                </c:pt>
                <c:pt idx="159">
                  <c:v>3.166005507544168E-2</c:v>
                </c:pt>
                <c:pt idx="160">
                  <c:v>3.5292901349263953E-2</c:v>
                </c:pt>
                <c:pt idx="161">
                  <c:v>3.5566954231063083E-2</c:v>
                </c:pt>
                <c:pt idx="162">
                  <c:v>3.2450695573233462E-2</c:v>
                </c:pt>
                <c:pt idx="163">
                  <c:v>3.3421144173041255E-2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1F-4E96-8E0C-E4D5D6E8CB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1690959"/>
        <c:axId val="194752463"/>
      </c:lineChart>
      <c:dateAx>
        <c:axId val="271690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m/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752463"/>
        <c:crosses val="autoZero"/>
        <c:auto val="1"/>
        <c:lblOffset val="100"/>
        <c:baseTimeUnit val="days"/>
      </c:dateAx>
      <c:valAx>
        <c:axId val="194752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Beta</a:t>
                </a:r>
                <a:r>
                  <a:rPr lang="en-US" baseline="0"/>
                  <a:t> 1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690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B2</a:t>
            </a:r>
            <a:r>
              <a:rPr lang="en-US" baseline="0"/>
              <a:t> - Actual Vs 2 Month Forecast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B2 - Actual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Forecast_1m!$A$5:$A$168</c:f>
              <c:numCache>
                <c:formatCode>dd/mm/yyyy</c:formatCode>
                <c:ptCount val="164"/>
                <c:pt idx="0">
                  <c:v>39169</c:v>
                </c:pt>
                <c:pt idx="1">
                  <c:v>39197</c:v>
                </c:pt>
                <c:pt idx="2">
                  <c:v>39232</c:v>
                </c:pt>
                <c:pt idx="3">
                  <c:v>39260</c:v>
                </c:pt>
                <c:pt idx="4">
                  <c:v>39288</c:v>
                </c:pt>
                <c:pt idx="5">
                  <c:v>39323</c:v>
                </c:pt>
                <c:pt idx="6">
                  <c:v>39351</c:v>
                </c:pt>
                <c:pt idx="7">
                  <c:v>39386</c:v>
                </c:pt>
                <c:pt idx="8">
                  <c:v>39414</c:v>
                </c:pt>
                <c:pt idx="9">
                  <c:v>39442</c:v>
                </c:pt>
                <c:pt idx="10">
                  <c:v>39477</c:v>
                </c:pt>
                <c:pt idx="11">
                  <c:v>39505</c:v>
                </c:pt>
                <c:pt idx="12">
                  <c:v>39533</c:v>
                </c:pt>
                <c:pt idx="13">
                  <c:v>39568</c:v>
                </c:pt>
                <c:pt idx="14">
                  <c:v>39596</c:v>
                </c:pt>
                <c:pt idx="15">
                  <c:v>39624</c:v>
                </c:pt>
                <c:pt idx="16">
                  <c:v>39659</c:v>
                </c:pt>
                <c:pt idx="17">
                  <c:v>39687</c:v>
                </c:pt>
                <c:pt idx="18">
                  <c:v>39715</c:v>
                </c:pt>
                <c:pt idx="19">
                  <c:v>39750</c:v>
                </c:pt>
                <c:pt idx="20">
                  <c:v>39778</c:v>
                </c:pt>
                <c:pt idx="21">
                  <c:v>39813</c:v>
                </c:pt>
                <c:pt idx="22">
                  <c:v>39841</c:v>
                </c:pt>
                <c:pt idx="23">
                  <c:v>39869</c:v>
                </c:pt>
                <c:pt idx="24">
                  <c:v>39897</c:v>
                </c:pt>
                <c:pt idx="25">
                  <c:v>39932</c:v>
                </c:pt>
                <c:pt idx="26">
                  <c:v>39960</c:v>
                </c:pt>
                <c:pt idx="27">
                  <c:v>39988</c:v>
                </c:pt>
                <c:pt idx="28">
                  <c:v>40023</c:v>
                </c:pt>
                <c:pt idx="29">
                  <c:v>40051</c:v>
                </c:pt>
                <c:pt idx="30">
                  <c:v>40086</c:v>
                </c:pt>
                <c:pt idx="31">
                  <c:v>40114</c:v>
                </c:pt>
                <c:pt idx="32">
                  <c:v>40142</c:v>
                </c:pt>
                <c:pt idx="33">
                  <c:v>40177</c:v>
                </c:pt>
                <c:pt idx="34">
                  <c:v>40205</c:v>
                </c:pt>
                <c:pt idx="35">
                  <c:v>40233</c:v>
                </c:pt>
                <c:pt idx="36">
                  <c:v>40268</c:v>
                </c:pt>
                <c:pt idx="37">
                  <c:v>40296</c:v>
                </c:pt>
                <c:pt idx="38">
                  <c:v>40324</c:v>
                </c:pt>
                <c:pt idx="39">
                  <c:v>40359</c:v>
                </c:pt>
                <c:pt idx="40">
                  <c:v>40387</c:v>
                </c:pt>
                <c:pt idx="41">
                  <c:v>40415</c:v>
                </c:pt>
                <c:pt idx="42">
                  <c:v>40450</c:v>
                </c:pt>
                <c:pt idx="43">
                  <c:v>40478</c:v>
                </c:pt>
                <c:pt idx="44">
                  <c:v>40506</c:v>
                </c:pt>
                <c:pt idx="45">
                  <c:v>40541</c:v>
                </c:pt>
                <c:pt idx="46">
                  <c:v>40569</c:v>
                </c:pt>
                <c:pt idx="47">
                  <c:v>40597</c:v>
                </c:pt>
                <c:pt idx="48">
                  <c:v>40632</c:v>
                </c:pt>
                <c:pt idx="49">
                  <c:v>40660</c:v>
                </c:pt>
                <c:pt idx="50">
                  <c:v>40688</c:v>
                </c:pt>
                <c:pt idx="51">
                  <c:v>40723</c:v>
                </c:pt>
                <c:pt idx="52">
                  <c:v>40751</c:v>
                </c:pt>
                <c:pt idx="53">
                  <c:v>40786</c:v>
                </c:pt>
                <c:pt idx="54">
                  <c:v>40814</c:v>
                </c:pt>
                <c:pt idx="55">
                  <c:v>40842</c:v>
                </c:pt>
                <c:pt idx="56">
                  <c:v>40877</c:v>
                </c:pt>
                <c:pt idx="57">
                  <c:v>40905</c:v>
                </c:pt>
                <c:pt idx="58">
                  <c:v>40933</c:v>
                </c:pt>
                <c:pt idx="59">
                  <c:v>40968</c:v>
                </c:pt>
                <c:pt idx="60">
                  <c:v>40996</c:v>
                </c:pt>
                <c:pt idx="61">
                  <c:v>41024</c:v>
                </c:pt>
                <c:pt idx="62">
                  <c:v>41059</c:v>
                </c:pt>
                <c:pt idx="63">
                  <c:v>41087</c:v>
                </c:pt>
                <c:pt idx="64">
                  <c:v>41115</c:v>
                </c:pt>
                <c:pt idx="65">
                  <c:v>41150</c:v>
                </c:pt>
                <c:pt idx="66">
                  <c:v>41178</c:v>
                </c:pt>
                <c:pt idx="67">
                  <c:v>41213</c:v>
                </c:pt>
                <c:pt idx="68">
                  <c:v>41241</c:v>
                </c:pt>
                <c:pt idx="69">
                  <c:v>41269</c:v>
                </c:pt>
                <c:pt idx="70">
                  <c:v>41304</c:v>
                </c:pt>
                <c:pt idx="71">
                  <c:v>41332</c:v>
                </c:pt>
                <c:pt idx="72">
                  <c:v>41360</c:v>
                </c:pt>
                <c:pt idx="73">
                  <c:v>41388</c:v>
                </c:pt>
                <c:pt idx="74">
                  <c:v>41423</c:v>
                </c:pt>
                <c:pt idx="75">
                  <c:v>41451</c:v>
                </c:pt>
                <c:pt idx="76">
                  <c:v>41486</c:v>
                </c:pt>
                <c:pt idx="77">
                  <c:v>41514</c:v>
                </c:pt>
                <c:pt idx="78">
                  <c:v>41542</c:v>
                </c:pt>
                <c:pt idx="79">
                  <c:v>41577</c:v>
                </c:pt>
                <c:pt idx="80">
                  <c:v>41605</c:v>
                </c:pt>
                <c:pt idx="81">
                  <c:v>41633</c:v>
                </c:pt>
                <c:pt idx="82">
                  <c:v>41668</c:v>
                </c:pt>
                <c:pt idx="83">
                  <c:v>41696</c:v>
                </c:pt>
                <c:pt idx="84">
                  <c:v>41724</c:v>
                </c:pt>
                <c:pt idx="85">
                  <c:v>41759</c:v>
                </c:pt>
                <c:pt idx="86">
                  <c:v>41787</c:v>
                </c:pt>
                <c:pt idx="87">
                  <c:v>41815</c:v>
                </c:pt>
                <c:pt idx="88">
                  <c:v>41850</c:v>
                </c:pt>
                <c:pt idx="89">
                  <c:v>41878</c:v>
                </c:pt>
                <c:pt idx="90">
                  <c:v>41906</c:v>
                </c:pt>
                <c:pt idx="91">
                  <c:v>41941</c:v>
                </c:pt>
                <c:pt idx="92">
                  <c:v>41969</c:v>
                </c:pt>
                <c:pt idx="93">
                  <c:v>42004</c:v>
                </c:pt>
                <c:pt idx="94">
                  <c:v>42032</c:v>
                </c:pt>
                <c:pt idx="95">
                  <c:v>42060</c:v>
                </c:pt>
                <c:pt idx="96">
                  <c:v>42088</c:v>
                </c:pt>
                <c:pt idx="97">
                  <c:v>42123</c:v>
                </c:pt>
                <c:pt idx="98">
                  <c:v>42151</c:v>
                </c:pt>
                <c:pt idx="99">
                  <c:v>42179</c:v>
                </c:pt>
                <c:pt idx="100">
                  <c:v>42214</c:v>
                </c:pt>
                <c:pt idx="101">
                  <c:v>42242</c:v>
                </c:pt>
                <c:pt idx="102">
                  <c:v>42277</c:v>
                </c:pt>
                <c:pt idx="103">
                  <c:v>42305</c:v>
                </c:pt>
                <c:pt idx="104">
                  <c:v>42333</c:v>
                </c:pt>
                <c:pt idx="105">
                  <c:v>42368</c:v>
                </c:pt>
                <c:pt idx="106">
                  <c:v>42396</c:v>
                </c:pt>
                <c:pt idx="107">
                  <c:v>42424</c:v>
                </c:pt>
                <c:pt idx="108">
                  <c:v>42459</c:v>
                </c:pt>
                <c:pt idx="109">
                  <c:v>42487</c:v>
                </c:pt>
                <c:pt idx="110">
                  <c:v>42515</c:v>
                </c:pt>
                <c:pt idx="111">
                  <c:v>42550</c:v>
                </c:pt>
                <c:pt idx="112">
                  <c:v>42578</c:v>
                </c:pt>
                <c:pt idx="113">
                  <c:v>42613</c:v>
                </c:pt>
                <c:pt idx="114">
                  <c:v>42641</c:v>
                </c:pt>
                <c:pt idx="115">
                  <c:v>42669</c:v>
                </c:pt>
                <c:pt idx="116">
                  <c:v>42704</c:v>
                </c:pt>
                <c:pt idx="117">
                  <c:v>42732</c:v>
                </c:pt>
                <c:pt idx="118">
                  <c:v>42760</c:v>
                </c:pt>
                <c:pt idx="119">
                  <c:v>42788</c:v>
                </c:pt>
                <c:pt idx="120">
                  <c:v>42823</c:v>
                </c:pt>
                <c:pt idx="121">
                  <c:v>42851</c:v>
                </c:pt>
                <c:pt idx="122">
                  <c:v>42886</c:v>
                </c:pt>
                <c:pt idx="123">
                  <c:v>42914</c:v>
                </c:pt>
                <c:pt idx="124">
                  <c:v>42942</c:v>
                </c:pt>
                <c:pt idx="125">
                  <c:v>42977</c:v>
                </c:pt>
                <c:pt idx="126">
                  <c:v>43005</c:v>
                </c:pt>
                <c:pt idx="127">
                  <c:v>43033</c:v>
                </c:pt>
                <c:pt idx="128">
                  <c:v>43068</c:v>
                </c:pt>
                <c:pt idx="129">
                  <c:v>43096</c:v>
                </c:pt>
                <c:pt idx="130">
                  <c:v>43131</c:v>
                </c:pt>
                <c:pt idx="131">
                  <c:v>43159</c:v>
                </c:pt>
                <c:pt idx="132">
                  <c:v>43187</c:v>
                </c:pt>
                <c:pt idx="133">
                  <c:v>43215</c:v>
                </c:pt>
                <c:pt idx="134">
                  <c:v>43250</c:v>
                </c:pt>
                <c:pt idx="135">
                  <c:v>43278</c:v>
                </c:pt>
                <c:pt idx="136">
                  <c:v>43306</c:v>
                </c:pt>
                <c:pt idx="137">
                  <c:v>43341</c:v>
                </c:pt>
                <c:pt idx="138">
                  <c:v>43369</c:v>
                </c:pt>
                <c:pt idx="139">
                  <c:v>43404</c:v>
                </c:pt>
                <c:pt idx="140">
                  <c:v>43432</c:v>
                </c:pt>
                <c:pt idx="141">
                  <c:v>43460</c:v>
                </c:pt>
                <c:pt idx="142">
                  <c:v>43495</c:v>
                </c:pt>
                <c:pt idx="143">
                  <c:v>43523</c:v>
                </c:pt>
                <c:pt idx="144">
                  <c:v>43551</c:v>
                </c:pt>
                <c:pt idx="145">
                  <c:v>43579</c:v>
                </c:pt>
                <c:pt idx="146">
                  <c:v>43614</c:v>
                </c:pt>
                <c:pt idx="147">
                  <c:v>43642</c:v>
                </c:pt>
                <c:pt idx="148">
                  <c:v>43677</c:v>
                </c:pt>
                <c:pt idx="149">
                  <c:v>43705</c:v>
                </c:pt>
                <c:pt idx="150">
                  <c:v>43733</c:v>
                </c:pt>
                <c:pt idx="151">
                  <c:v>43768</c:v>
                </c:pt>
                <c:pt idx="152">
                  <c:v>43796</c:v>
                </c:pt>
                <c:pt idx="153">
                  <c:v>43824</c:v>
                </c:pt>
                <c:pt idx="154">
                  <c:v>43859</c:v>
                </c:pt>
                <c:pt idx="155">
                  <c:v>43887</c:v>
                </c:pt>
                <c:pt idx="156">
                  <c:v>43915</c:v>
                </c:pt>
                <c:pt idx="157">
                  <c:v>43950</c:v>
                </c:pt>
                <c:pt idx="158">
                  <c:v>43978</c:v>
                </c:pt>
                <c:pt idx="159">
                  <c:v>44006</c:v>
                </c:pt>
                <c:pt idx="160">
                  <c:v>44041</c:v>
                </c:pt>
                <c:pt idx="161">
                  <c:v>44069</c:v>
                </c:pt>
                <c:pt idx="162">
                  <c:v>44104</c:v>
                </c:pt>
                <c:pt idx="163">
                  <c:v>44118</c:v>
                </c:pt>
              </c:numCache>
            </c:numRef>
          </c:cat>
          <c:val>
            <c:numRef>
              <c:f>Forecast_1m!$C$5:$C$168</c:f>
              <c:numCache>
                <c:formatCode>General</c:formatCode>
                <c:ptCount val="164"/>
                <c:pt idx="0">
                  <c:v>6.46284971765406E-3</c:v>
                </c:pt>
                <c:pt idx="1">
                  <c:v>6.68130483055093E-3</c:v>
                </c:pt>
                <c:pt idx="2">
                  <c:v>1.7343002477431999E-3</c:v>
                </c:pt>
                <c:pt idx="3">
                  <c:v>1.5835218377349899E-3</c:v>
                </c:pt>
                <c:pt idx="4">
                  <c:v>6.5507908549831103E-3</c:v>
                </c:pt>
                <c:pt idx="5">
                  <c:v>-7.26666156361377E-3</c:v>
                </c:pt>
                <c:pt idx="6">
                  <c:v>-4.3609726438250101E-3</c:v>
                </c:pt>
                <c:pt idx="7" formatCode="0.00E+00">
                  <c:v>-2.7429905603865099E-5</c:v>
                </c:pt>
                <c:pt idx="8">
                  <c:v>-5.5512746444606699E-3</c:v>
                </c:pt>
                <c:pt idx="9">
                  <c:v>-5.3075191909146002E-3</c:v>
                </c:pt>
                <c:pt idx="10">
                  <c:v>-1.44104121964551E-2</c:v>
                </c:pt>
                <c:pt idx="11">
                  <c:v>-1.7930625925524999E-2</c:v>
                </c:pt>
                <c:pt idx="12">
                  <c:v>-2.23144866726562E-2</c:v>
                </c:pt>
                <c:pt idx="13">
                  <c:v>-2.3718313071229801E-2</c:v>
                </c:pt>
                <c:pt idx="14">
                  <c:v>-2.3878897894552501E-2</c:v>
                </c:pt>
                <c:pt idx="15">
                  <c:v>-2.09380211726354E-2</c:v>
                </c:pt>
                <c:pt idx="16">
                  <c:v>-2.4290197176285999E-2</c:v>
                </c:pt>
                <c:pt idx="17">
                  <c:v>-2.0863104386706698E-2</c:v>
                </c:pt>
                <c:pt idx="18">
                  <c:v>-2.81343719069653E-2</c:v>
                </c:pt>
                <c:pt idx="19">
                  <c:v>-3.2970771761288899E-3</c:v>
                </c:pt>
                <c:pt idx="20">
                  <c:v>-1.8633568848950999E-2</c:v>
                </c:pt>
                <c:pt idx="21">
                  <c:v>-7.5042343254731704E-4</c:v>
                </c:pt>
                <c:pt idx="22">
                  <c:v>-1.5029967186275099E-2</c:v>
                </c:pt>
                <c:pt idx="23">
                  <c:v>-1.43631873330051E-2</c:v>
                </c:pt>
                <c:pt idx="24">
                  <c:v>-2.7069743616807401E-2</c:v>
                </c:pt>
                <c:pt idx="25">
                  <c:v>-3.05139048530443E-2</c:v>
                </c:pt>
                <c:pt idx="26">
                  <c:v>-3.2312534875560697E-2</c:v>
                </c:pt>
                <c:pt idx="27">
                  <c:v>-2.7088393126406901E-2</c:v>
                </c:pt>
                <c:pt idx="28">
                  <c:v>-3.1739510541654602E-2</c:v>
                </c:pt>
                <c:pt idx="29">
                  <c:v>-2.96416271974684E-2</c:v>
                </c:pt>
                <c:pt idx="30">
                  <c:v>-2.94292782306762E-2</c:v>
                </c:pt>
                <c:pt idx="31">
                  <c:v>-3.4508725011523599E-2</c:v>
                </c:pt>
                <c:pt idx="32">
                  <c:v>-4.0806860939135402E-2</c:v>
                </c:pt>
                <c:pt idx="33">
                  <c:v>-3.61338109250217E-2</c:v>
                </c:pt>
                <c:pt idx="34">
                  <c:v>-3.9430769439591E-2</c:v>
                </c:pt>
                <c:pt idx="35">
                  <c:v>-4.0162809930465698E-2</c:v>
                </c:pt>
                <c:pt idx="36">
                  <c:v>-4.3472004990641702E-2</c:v>
                </c:pt>
                <c:pt idx="37">
                  <c:v>-4.2567102426525699E-2</c:v>
                </c:pt>
                <c:pt idx="38">
                  <c:v>-3.8505886388101797E-2</c:v>
                </c:pt>
                <c:pt idx="39">
                  <c:v>-3.5871311384425203E-2</c:v>
                </c:pt>
                <c:pt idx="40">
                  <c:v>-4.0817410780658703E-2</c:v>
                </c:pt>
                <c:pt idx="41">
                  <c:v>-3.9320386573308497E-2</c:v>
                </c:pt>
                <c:pt idx="42">
                  <c:v>-4.4341869057348701E-2</c:v>
                </c:pt>
                <c:pt idx="43">
                  <c:v>-4.9758748637224799E-2</c:v>
                </c:pt>
                <c:pt idx="44">
                  <c:v>-4.9961218293307699E-2</c:v>
                </c:pt>
                <c:pt idx="45">
                  <c:v>-4.19559721856693E-2</c:v>
                </c:pt>
                <c:pt idx="46">
                  <c:v>-4.4641413697599601E-2</c:v>
                </c:pt>
                <c:pt idx="47">
                  <c:v>-4.6295759450750401E-2</c:v>
                </c:pt>
                <c:pt idx="48">
                  <c:v>-4.5412896679900297E-2</c:v>
                </c:pt>
                <c:pt idx="49">
                  <c:v>-4.6989996332896203E-2</c:v>
                </c:pt>
                <c:pt idx="50">
                  <c:v>-4.5970448499810301E-2</c:v>
                </c:pt>
                <c:pt idx="51">
                  <c:v>-4.8339880066312402E-2</c:v>
                </c:pt>
                <c:pt idx="52">
                  <c:v>-4.8838668505349403E-2</c:v>
                </c:pt>
                <c:pt idx="53">
                  <c:v>-5.00130146781902E-2</c:v>
                </c:pt>
                <c:pt idx="54">
                  <c:v>-3.90154046717852E-2</c:v>
                </c:pt>
                <c:pt idx="55">
                  <c:v>-3.6452346382402301E-2</c:v>
                </c:pt>
                <c:pt idx="56">
                  <c:v>-3.42689244779215E-2</c:v>
                </c:pt>
                <c:pt idx="57">
                  <c:v>-3.5499756916020399E-2</c:v>
                </c:pt>
                <c:pt idx="58">
                  <c:v>-3.8506273455052101E-2</c:v>
                </c:pt>
                <c:pt idx="59">
                  <c:v>-3.9046001164700701E-2</c:v>
                </c:pt>
                <c:pt idx="60">
                  <c:v>-3.9389584387400402E-2</c:v>
                </c:pt>
                <c:pt idx="61">
                  <c:v>-3.9857874125557399E-2</c:v>
                </c:pt>
                <c:pt idx="62">
                  <c:v>-3.9520306264356903E-2</c:v>
                </c:pt>
                <c:pt idx="63">
                  <c:v>-3.8469242329777498E-2</c:v>
                </c:pt>
                <c:pt idx="64">
                  <c:v>-3.5506050292203099E-2</c:v>
                </c:pt>
                <c:pt idx="65">
                  <c:v>-3.7384950547947902E-2</c:v>
                </c:pt>
                <c:pt idx="66">
                  <c:v>-3.9443594280387899E-2</c:v>
                </c:pt>
                <c:pt idx="67">
                  <c:v>-3.9591915745621702E-2</c:v>
                </c:pt>
                <c:pt idx="68">
                  <c:v>-4.05320853672071E-2</c:v>
                </c:pt>
                <c:pt idx="69">
                  <c:v>-4.1434841698409698E-2</c:v>
                </c:pt>
                <c:pt idx="70">
                  <c:v>-4.2214037475649703E-2</c:v>
                </c:pt>
                <c:pt idx="71">
                  <c:v>-4.3818165313850403E-2</c:v>
                </c:pt>
                <c:pt idx="72">
                  <c:v>-4.3986740839109299E-2</c:v>
                </c:pt>
                <c:pt idx="73">
                  <c:v>-4.1729841409396999E-2</c:v>
                </c:pt>
                <c:pt idx="74">
                  <c:v>-4.24010527920652E-2</c:v>
                </c:pt>
                <c:pt idx="75">
                  <c:v>-3.9445243873507702E-2</c:v>
                </c:pt>
                <c:pt idx="76">
                  <c:v>-3.7896464541078798E-2</c:v>
                </c:pt>
                <c:pt idx="77">
                  <c:v>-3.7714778060441698E-2</c:v>
                </c:pt>
                <c:pt idx="78">
                  <c:v>-3.9293356106089E-2</c:v>
                </c:pt>
                <c:pt idx="79">
                  <c:v>-3.9821905032466201E-2</c:v>
                </c:pt>
                <c:pt idx="80">
                  <c:v>-3.7614995673290103E-2</c:v>
                </c:pt>
                <c:pt idx="81">
                  <c:v>-3.3965002586401401E-2</c:v>
                </c:pt>
                <c:pt idx="82">
                  <c:v>-3.5346801717434297E-2</c:v>
                </c:pt>
                <c:pt idx="83">
                  <c:v>-3.6194612415368997E-2</c:v>
                </c:pt>
                <c:pt idx="84">
                  <c:v>-3.5469347040321501E-2</c:v>
                </c:pt>
                <c:pt idx="85">
                  <c:v>-3.58116534158473E-2</c:v>
                </c:pt>
                <c:pt idx="86">
                  <c:v>-3.8584310489764899E-2</c:v>
                </c:pt>
                <c:pt idx="87">
                  <c:v>-3.834644341231E-2</c:v>
                </c:pt>
                <c:pt idx="88">
                  <c:v>-3.7019521918617002E-2</c:v>
                </c:pt>
                <c:pt idx="89">
                  <c:v>-3.7068301500434497E-2</c:v>
                </c:pt>
                <c:pt idx="90">
                  <c:v>-3.6662239809581297E-2</c:v>
                </c:pt>
                <c:pt idx="91">
                  <c:v>-3.5190952025915302E-2</c:v>
                </c:pt>
                <c:pt idx="92">
                  <c:v>-3.4652877943407601E-2</c:v>
                </c:pt>
                <c:pt idx="93">
                  <c:v>-3.1150011475161801E-2</c:v>
                </c:pt>
                <c:pt idx="94">
                  <c:v>-2.69342406687503E-2</c:v>
                </c:pt>
                <c:pt idx="95">
                  <c:v>-2.9218957462828699E-2</c:v>
                </c:pt>
                <c:pt idx="96">
                  <c:v>-2.8843834985035701E-2</c:v>
                </c:pt>
                <c:pt idx="97">
                  <c:v>-3.3897593127872203E-2</c:v>
                </c:pt>
                <c:pt idx="98">
                  <c:v>-3.68260021720202E-2</c:v>
                </c:pt>
                <c:pt idx="99">
                  <c:v>-4.0689616030669701E-2</c:v>
                </c:pt>
                <c:pt idx="100">
                  <c:v>-3.8103315805559097E-2</c:v>
                </c:pt>
                <c:pt idx="101">
                  <c:v>-3.5728104321810103E-2</c:v>
                </c:pt>
                <c:pt idx="102">
                  <c:v>-4.0271944452216497E-2</c:v>
                </c:pt>
                <c:pt idx="103">
                  <c:v>-3.78409962038301E-2</c:v>
                </c:pt>
                <c:pt idx="104">
                  <c:v>-3.7997148673300403E-2</c:v>
                </c:pt>
                <c:pt idx="105">
                  <c:v>-3.6537015521682599E-2</c:v>
                </c:pt>
                <c:pt idx="106">
                  <c:v>-3.5448487374218803E-2</c:v>
                </c:pt>
                <c:pt idx="107">
                  <c:v>-3.6223972187793198E-2</c:v>
                </c:pt>
                <c:pt idx="108">
                  <c:v>-3.6885699021302898E-2</c:v>
                </c:pt>
                <c:pt idx="109">
                  <c:v>-3.9477546823605103E-2</c:v>
                </c:pt>
                <c:pt idx="110">
                  <c:v>-3.7138395885979399E-2</c:v>
                </c:pt>
                <c:pt idx="111">
                  <c:v>-3.5667459707940101E-2</c:v>
                </c:pt>
                <c:pt idx="112">
                  <c:v>-3.166069106924E-2</c:v>
                </c:pt>
                <c:pt idx="113">
                  <c:v>-2.8755960735606399E-2</c:v>
                </c:pt>
                <c:pt idx="114">
                  <c:v>-3.1312438227212198E-2</c:v>
                </c:pt>
                <c:pt idx="115">
                  <c:v>-3.3532763629017998E-2</c:v>
                </c:pt>
                <c:pt idx="116">
                  <c:v>-3.1942557823032597E-2</c:v>
                </c:pt>
                <c:pt idx="117">
                  <c:v>-3.0961514666616199E-2</c:v>
                </c:pt>
                <c:pt idx="118">
                  <c:v>-3.0626389551929499E-2</c:v>
                </c:pt>
                <c:pt idx="119">
                  <c:v>-3.14981047171254E-2</c:v>
                </c:pt>
                <c:pt idx="120">
                  <c:v>-2.9811931130246001E-2</c:v>
                </c:pt>
                <c:pt idx="121">
                  <c:v>-3.2133028190651801E-2</c:v>
                </c:pt>
                <c:pt idx="122">
                  <c:v>-2.9546092684003399E-2</c:v>
                </c:pt>
                <c:pt idx="123">
                  <c:v>-2.4183871878813601E-2</c:v>
                </c:pt>
                <c:pt idx="124">
                  <c:v>-2.6810023673683701E-2</c:v>
                </c:pt>
                <c:pt idx="125">
                  <c:v>-2.59034656251101E-2</c:v>
                </c:pt>
                <c:pt idx="126">
                  <c:v>-2.5498940699152699E-2</c:v>
                </c:pt>
                <c:pt idx="127">
                  <c:v>-2.3673291626641901E-2</c:v>
                </c:pt>
                <c:pt idx="128">
                  <c:v>-1.9196711979483E-2</c:v>
                </c:pt>
                <c:pt idx="129">
                  <c:v>-1.53964009392859E-2</c:v>
                </c:pt>
                <c:pt idx="130">
                  <c:v>-1.2355285708798701E-2</c:v>
                </c:pt>
                <c:pt idx="131">
                  <c:v>-1.5321978416049599E-2</c:v>
                </c:pt>
                <c:pt idx="132">
                  <c:v>-1.4220633080133599E-2</c:v>
                </c:pt>
                <c:pt idx="133">
                  <c:v>-1.2034848543085201E-2</c:v>
                </c:pt>
                <c:pt idx="134">
                  <c:v>-9.3520555415721792E-3</c:v>
                </c:pt>
                <c:pt idx="135">
                  <c:v>-9.1055586915143993E-3</c:v>
                </c:pt>
                <c:pt idx="136">
                  <c:v>-8.1119485344443298E-3</c:v>
                </c:pt>
                <c:pt idx="137">
                  <c:v>-1.0491134725706199E-2</c:v>
                </c:pt>
                <c:pt idx="138">
                  <c:v>-1.06840064512098E-2</c:v>
                </c:pt>
                <c:pt idx="139">
                  <c:v>-1.39570573225135E-2</c:v>
                </c:pt>
                <c:pt idx="140">
                  <c:v>-1.49484397275791E-2</c:v>
                </c:pt>
                <c:pt idx="141">
                  <c:v>-1.0071152479175E-2</c:v>
                </c:pt>
                <c:pt idx="142">
                  <c:v>-1.3666906596897401E-2</c:v>
                </c:pt>
                <c:pt idx="143">
                  <c:v>-1.4064586534152801E-2</c:v>
                </c:pt>
                <c:pt idx="144">
                  <c:v>-1.35846271061606E-2</c:v>
                </c:pt>
                <c:pt idx="145">
                  <c:v>-1.42266172390295E-2</c:v>
                </c:pt>
                <c:pt idx="146">
                  <c:v>-1.0767377195917201E-2</c:v>
                </c:pt>
                <c:pt idx="147">
                  <c:v>-1.4248949337298899E-2</c:v>
                </c:pt>
                <c:pt idx="148">
                  <c:v>-1.5244242009962701E-2</c:v>
                </c:pt>
                <c:pt idx="149">
                  <c:v>-1.12017785740543E-2</c:v>
                </c:pt>
                <c:pt idx="150">
                  <c:v>-1.1194154132890899E-2</c:v>
                </c:pt>
                <c:pt idx="151">
                  <c:v>-1.40607992517596E-2</c:v>
                </c:pt>
                <c:pt idx="152">
                  <c:v>-1.08425897450488E-2</c:v>
                </c:pt>
                <c:pt idx="153">
                  <c:v>-1.1196901981507299E-2</c:v>
                </c:pt>
                <c:pt idx="154">
                  <c:v>-1.2517931525808001E-2</c:v>
                </c:pt>
                <c:pt idx="155">
                  <c:v>-1.24434154277108E-2</c:v>
                </c:pt>
                <c:pt idx="156">
                  <c:v>-2.2473714453093901E-2</c:v>
                </c:pt>
                <c:pt idx="157">
                  <c:v>-2.37958858440711E-2</c:v>
                </c:pt>
                <c:pt idx="158">
                  <c:v>-2.8649139735687501E-2</c:v>
                </c:pt>
                <c:pt idx="159">
                  <c:v>-2.7805280445508399E-2</c:v>
                </c:pt>
                <c:pt idx="160">
                  <c:v>-2.39793132589716E-2</c:v>
                </c:pt>
                <c:pt idx="161">
                  <c:v>-2.4991751975240999E-2</c:v>
                </c:pt>
                <c:pt idx="162">
                  <c:v>-2.7616011314390398E-2</c:v>
                </c:pt>
                <c:pt idx="163">
                  <c:v>-2.76490366922264E-2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D4-4D06-B1EB-843549DF710F}"/>
            </c:ext>
          </c:extLst>
        </c:ser>
        <c:ser>
          <c:idx val="1"/>
          <c:order val="1"/>
          <c:tx>
            <c:v>B2 - 2 Month Forecast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Forecast_1m!$A$5:$A$168</c:f>
              <c:numCache>
                <c:formatCode>dd/mm/yyyy</c:formatCode>
                <c:ptCount val="164"/>
                <c:pt idx="0">
                  <c:v>39169</c:v>
                </c:pt>
                <c:pt idx="1">
                  <c:v>39197</c:v>
                </c:pt>
                <c:pt idx="2">
                  <c:v>39232</c:v>
                </c:pt>
                <c:pt idx="3">
                  <c:v>39260</c:v>
                </c:pt>
                <c:pt idx="4">
                  <c:v>39288</c:v>
                </c:pt>
                <c:pt idx="5">
                  <c:v>39323</c:v>
                </c:pt>
                <c:pt idx="6">
                  <c:v>39351</c:v>
                </c:pt>
                <c:pt idx="7">
                  <c:v>39386</c:v>
                </c:pt>
                <c:pt idx="8">
                  <c:v>39414</c:v>
                </c:pt>
                <c:pt idx="9">
                  <c:v>39442</c:v>
                </c:pt>
                <c:pt idx="10">
                  <c:v>39477</c:v>
                </c:pt>
                <c:pt idx="11">
                  <c:v>39505</c:v>
                </c:pt>
                <c:pt idx="12">
                  <c:v>39533</c:v>
                </c:pt>
                <c:pt idx="13">
                  <c:v>39568</c:v>
                </c:pt>
                <c:pt idx="14">
                  <c:v>39596</c:v>
                </c:pt>
                <c:pt idx="15">
                  <c:v>39624</c:v>
                </c:pt>
                <c:pt idx="16">
                  <c:v>39659</c:v>
                </c:pt>
                <c:pt idx="17">
                  <c:v>39687</c:v>
                </c:pt>
                <c:pt idx="18">
                  <c:v>39715</c:v>
                </c:pt>
                <c:pt idx="19">
                  <c:v>39750</c:v>
                </c:pt>
                <c:pt idx="20">
                  <c:v>39778</c:v>
                </c:pt>
                <c:pt idx="21">
                  <c:v>39813</c:v>
                </c:pt>
                <c:pt idx="22">
                  <c:v>39841</c:v>
                </c:pt>
                <c:pt idx="23">
                  <c:v>39869</c:v>
                </c:pt>
                <c:pt idx="24">
                  <c:v>39897</c:v>
                </c:pt>
                <c:pt idx="25">
                  <c:v>39932</c:v>
                </c:pt>
                <c:pt idx="26">
                  <c:v>39960</c:v>
                </c:pt>
                <c:pt idx="27">
                  <c:v>39988</c:v>
                </c:pt>
                <c:pt idx="28">
                  <c:v>40023</c:v>
                </c:pt>
                <c:pt idx="29">
                  <c:v>40051</c:v>
                </c:pt>
                <c:pt idx="30">
                  <c:v>40086</c:v>
                </c:pt>
                <c:pt idx="31">
                  <c:v>40114</c:v>
                </c:pt>
                <c:pt idx="32">
                  <c:v>40142</c:v>
                </c:pt>
                <c:pt idx="33">
                  <c:v>40177</c:v>
                </c:pt>
                <c:pt idx="34">
                  <c:v>40205</c:v>
                </c:pt>
                <c:pt idx="35">
                  <c:v>40233</c:v>
                </c:pt>
                <c:pt idx="36">
                  <c:v>40268</c:v>
                </c:pt>
                <c:pt idx="37">
                  <c:v>40296</c:v>
                </c:pt>
                <c:pt idx="38">
                  <c:v>40324</c:v>
                </c:pt>
                <c:pt idx="39">
                  <c:v>40359</c:v>
                </c:pt>
                <c:pt idx="40">
                  <c:v>40387</c:v>
                </c:pt>
                <c:pt idx="41">
                  <c:v>40415</c:v>
                </c:pt>
                <c:pt idx="42">
                  <c:v>40450</c:v>
                </c:pt>
                <c:pt idx="43">
                  <c:v>40478</c:v>
                </c:pt>
                <c:pt idx="44">
                  <c:v>40506</c:v>
                </c:pt>
                <c:pt idx="45">
                  <c:v>40541</c:v>
                </c:pt>
                <c:pt idx="46">
                  <c:v>40569</c:v>
                </c:pt>
                <c:pt idx="47">
                  <c:v>40597</c:v>
                </c:pt>
                <c:pt idx="48">
                  <c:v>40632</c:v>
                </c:pt>
                <c:pt idx="49">
                  <c:v>40660</c:v>
                </c:pt>
                <c:pt idx="50">
                  <c:v>40688</c:v>
                </c:pt>
                <c:pt idx="51">
                  <c:v>40723</c:v>
                </c:pt>
                <c:pt idx="52">
                  <c:v>40751</c:v>
                </c:pt>
                <c:pt idx="53">
                  <c:v>40786</c:v>
                </c:pt>
                <c:pt idx="54">
                  <c:v>40814</c:v>
                </c:pt>
                <c:pt idx="55">
                  <c:v>40842</c:v>
                </c:pt>
                <c:pt idx="56">
                  <c:v>40877</c:v>
                </c:pt>
                <c:pt idx="57">
                  <c:v>40905</c:v>
                </c:pt>
                <c:pt idx="58">
                  <c:v>40933</c:v>
                </c:pt>
                <c:pt idx="59">
                  <c:v>40968</c:v>
                </c:pt>
                <c:pt idx="60">
                  <c:v>40996</c:v>
                </c:pt>
                <c:pt idx="61">
                  <c:v>41024</c:v>
                </c:pt>
                <c:pt idx="62">
                  <c:v>41059</c:v>
                </c:pt>
                <c:pt idx="63">
                  <c:v>41087</c:v>
                </c:pt>
                <c:pt idx="64">
                  <c:v>41115</c:v>
                </c:pt>
                <c:pt idx="65">
                  <c:v>41150</c:v>
                </c:pt>
                <c:pt idx="66">
                  <c:v>41178</c:v>
                </c:pt>
                <c:pt idx="67">
                  <c:v>41213</c:v>
                </c:pt>
                <c:pt idx="68">
                  <c:v>41241</c:v>
                </c:pt>
                <c:pt idx="69">
                  <c:v>41269</c:v>
                </c:pt>
                <c:pt idx="70">
                  <c:v>41304</c:v>
                </c:pt>
                <c:pt idx="71">
                  <c:v>41332</c:v>
                </c:pt>
                <c:pt idx="72">
                  <c:v>41360</c:v>
                </c:pt>
                <c:pt idx="73">
                  <c:v>41388</c:v>
                </c:pt>
                <c:pt idx="74">
                  <c:v>41423</c:v>
                </c:pt>
                <c:pt idx="75">
                  <c:v>41451</c:v>
                </c:pt>
                <c:pt idx="76">
                  <c:v>41486</c:v>
                </c:pt>
                <c:pt idx="77">
                  <c:v>41514</c:v>
                </c:pt>
                <c:pt idx="78">
                  <c:v>41542</c:v>
                </c:pt>
                <c:pt idx="79">
                  <c:v>41577</c:v>
                </c:pt>
                <c:pt idx="80">
                  <c:v>41605</c:v>
                </c:pt>
                <c:pt idx="81">
                  <c:v>41633</c:v>
                </c:pt>
                <c:pt idx="82">
                  <c:v>41668</c:v>
                </c:pt>
                <c:pt idx="83">
                  <c:v>41696</c:v>
                </c:pt>
                <c:pt idx="84">
                  <c:v>41724</c:v>
                </c:pt>
                <c:pt idx="85">
                  <c:v>41759</c:v>
                </c:pt>
                <c:pt idx="86">
                  <c:v>41787</c:v>
                </c:pt>
                <c:pt idx="87">
                  <c:v>41815</c:v>
                </c:pt>
                <c:pt idx="88">
                  <c:v>41850</c:v>
                </c:pt>
                <c:pt idx="89">
                  <c:v>41878</c:v>
                </c:pt>
                <c:pt idx="90">
                  <c:v>41906</c:v>
                </c:pt>
                <c:pt idx="91">
                  <c:v>41941</c:v>
                </c:pt>
                <c:pt idx="92">
                  <c:v>41969</c:v>
                </c:pt>
                <c:pt idx="93">
                  <c:v>42004</c:v>
                </c:pt>
                <c:pt idx="94">
                  <c:v>42032</c:v>
                </c:pt>
                <c:pt idx="95">
                  <c:v>42060</c:v>
                </c:pt>
                <c:pt idx="96">
                  <c:v>42088</c:v>
                </c:pt>
                <c:pt idx="97">
                  <c:v>42123</c:v>
                </c:pt>
                <c:pt idx="98">
                  <c:v>42151</c:v>
                </c:pt>
                <c:pt idx="99">
                  <c:v>42179</c:v>
                </c:pt>
                <c:pt idx="100">
                  <c:v>42214</c:v>
                </c:pt>
                <c:pt idx="101">
                  <c:v>42242</c:v>
                </c:pt>
                <c:pt idx="102">
                  <c:v>42277</c:v>
                </c:pt>
                <c:pt idx="103">
                  <c:v>42305</c:v>
                </c:pt>
                <c:pt idx="104">
                  <c:v>42333</c:v>
                </c:pt>
                <c:pt idx="105">
                  <c:v>42368</c:v>
                </c:pt>
                <c:pt idx="106">
                  <c:v>42396</c:v>
                </c:pt>
                <c:pt idx="107">
                  <c:v>42424</c:v>
                </c:pt>
                <c:pt idx="108">
                  <c:v>42459</c:v>
                </c:pt>
                <c:pt idx="109">
                  <c:v>42487</c:v>
                </c:pt>
                <c:pt idx="110">
                  <c:v>42515</c:v>
                </c:pt>
                <c:pt idx="111">
                  <c:v>42550</c:v>
                </c:pt>
                <c:pt idx="112">
                  <c:v>42578</c:v>
                </c:pt>
                <c:pt idx="113">
                  <c:v>42613</c:v>
                </c:pt>
                <c:pt idx="114">
                  <c:v>42641</c:v>
                </c:pt>
                <c:pt idx="115">
                  <c:v>42669</c:v>
                </c:pt>
                <c:pt idx="116">
                  <c:v>42704</c:v>
                </c:pt>
                <c:pt idx="117">
                  <c:v>42732</c:v>
                </c:pt>
                <c:pt idx="118">
                  <c:v>42760</c:v>
                </c:pt>
                <c:pt idx="119">
                  <c:v>42788</c:v>
                </c:pt>
                <c:pt idx="120">
                  <c:v>42823</c:v>
                </c:pt>
                <c:pt idx="121">
                  <c:v>42851</c:v>
                </c:pt>
                <c:pt idx="122">
                  <c:v>42886</c:v>
                </c:pt>
                <c:pt idx="123">
                  <c:v>42914</c:v>
                </c:pt>
                <c:pt idx="124">
                  <c:v>42942</c:v>
                </c:pt>
                <c:pt idx="125">
                  <c:v>42977</c:v>
                </c:pt>
                <c:pt idx="126">
                  <c:v>43005</c:v>
                </c:pt>
                <c:pt idx="127">
                  <c:v>43033</c:v>
                </c:pt>
                <c:pt idx="128">
                  <c:v>43068</c:v>
                </c:pt>
                <c:pt idx="129">
                  <c:v>43096</c:v>
                </c:pt>
                <c:pt idx="130">
                  <c:v>43131</c:v>
                </c:pt>
                <c:pt idx="131">
                  <c:v>43159</c:v>
                </c:pt>
                <c:pt idx="132">
                  <c:v>43187</c:v>
                </c:pt>
                <c:pt idx="133">
                  <c:v>43215</c:v>
                </c:pt>
                <c:pt idx="134">
                  <c:v>43250</c:v>
                </c:pt>
                <c:pt idx="135">
                  <c:v>43278</c:v>
                </c:pt>
                <c:pt idx="136">
                  <c:v>43306</c:v>
                </c:pt>
                <c:pt idx="137">
                  <c:v>43341</c:v>
                </c:pt>
                <c:pt idx="138">
                  <c:v>43369</c:v>
                </c:pt>
                <c:pt idx="139">
                  <c:v>43404</c:v>
                </c:pt>
                <c:pt idx="140">
                  <c:v>43432</c:v>
                </c:pt>
                <c:pt idx="141">
                  <c:v>43460</c:v>
                </c:pt>
                <c:pt idx="142">
                  <c:v>43495</c:v>
                </c:pt>
                <c:pt idx="143">
                  <c:v>43523</c:v>
                </c:pt>
                <c:pt idx="144">
                  <c:v>43551</c:v>
                </c:pt>
                <c:pt idx="145">
                  <c:v>43579</c:v>
                </c:pt>
                <c:pt idx="146">
                  <c:v>43614</c:v>
                </c:pt>
                <c:pt idx="147">
                  <c:v>43642</c:v>
                </c:pt>
                <c:pt idx="148">
                  <c:v>43677</c:v>
                </c:pt>
                <c:pt idx="149">
                  <c:v>43705</c:v>
                </c:pt>
                <c:pt idx="150">
                  <c:v>43733</c:v>
                </c:pt>
                <c:pt idx="151">
                  <c:v>43768</c:v>
                </c:pt>
                <c:pt idx="152">
                  <c:v>43796</c:v>
                </c:pt>
                <c:pt idx="153">
                  <c:v>43824</c:v>
                </c:pt>
                <c:pt idx="154">
                  <c:v>43859</c:v>
                </c:pt>
                <c:pt idx="155">
                  <c:v>43887</c:v>
                </c:pt>
                <c:pt idx="156">
                  <c:v>43915</c:v>
                </c:pt>
                <c:pt idx="157">
                  <c:v>43950</c:v>
                </c:pt>
                <c:pt idx="158">
                  <c:v>43978</c:v>
                </c:pt>
                <c:pt idx="159">
                  <c:v>44006</c:v>
                </c:pt>
                <c:pt idx="160">
                  <c:v>44041</c:v>
                </c:pt>
                <c:pt idx="161">
                  <c:v>44069</c:v>
                </c:pt>
                <c:pt idx="162">
                  <c:v>44104</c:v>
                </c:pt>
                <c:pt idx="163">
                  <c:v>44118</c:v>
                </c:pt>
              </c:numCache>
            </c:numRef>
          </c:cat>
          <c:val>
            <c:numRef>
              <c:f>Forecast_1m!$K$5:$K$168</c:f>
              <c:numCache>
                <c:formatCode>General</c:formatCode>
                <c:ptCount val="164"/>
                <c:pt idx="0">
                  <c:v>3.2060191623193499E-3</c:v>
                </c:pt>
                <c:pt idx="1">
                  <c:v>2.9471895768739126E-3</c:v>
                </c:pt>
                <c:pt idx="2">
                  <c:v>9.2784824605351426E-4</c:v>
                </c:pt>
                <c:pt idx="3">
                  <c:v>1.3646540299168876E-3</c:v>
                </c:pt>
                <c:pt idx="4">
                  <c:v>1.0255314772854053E-3</c:v>
                </c:pt>
                <c:pt idx="5">
                  <c:v>9.7369643939646487E-4</c:v>
                </c:pt>
                <c:pt idx="6">
                  <c:v>2.115550097253012E-3</c:v>
                </c:pt>
                <c:pt idx="7">
                  <c:v>-6.1764359768189869E-3</c:v>
                </c:pt>
                <c:pt idx="8">
                  <c:v>-6.0989673777204073E-3</c:v>
                </c:pt>
                <c:pt idx="9">
                  <c:v>-4.6033346794101104E-3</c:v>
                </c:pt>
                <c:pt idx="10">
                  <c:v>-1.0718004118895211E-2</c:v>
                </c:pt>
                <c:pt idx="11">
                  <c:v>-1.0512049184199034E-2</c:v>
                </c:pt>
                <c:pt idx="12">
                  <c:v>-2.1068616248750147E-2</c:v>
                </c:pt>
                <c:pt idx="13">
                  <c:v>-2.3613608729547743E-2</c:v>
                </c:pt>
                <c:pt idx="14">
                  <c:v>-2.7466417190364394E-2</c:v>
                </c:pt>
                <c:pt idx="15">
                  <c:v>-2.3719313817347303E-2</c:v>
                </c:pt>
                <c:pt idx="16">
                  <c:v>-2.1675138197402632E-2</c:v>
                </c:pt>
                <c:pt idx="17">
                  <c:v>-1.9027947302264207E-2</c:v>
                </c:pt>
                <c:pt idx="18">
                  <c:v>-2.1921204432450419E-2</c:v>
                </c:pt>
                <c:pt idx="19">
                  <c:v>-2.1953508615626463E-2</c:v>
                </c:pt>
                <c:pt idx="20">
                  <c:v>-2.6095521188933841E-2</c:v>
                </c:pt>
                <c:pt idx="21">
                  <c:v>-1.8583120581397879E-2</c:v>
                </c:pt>
                <c:pt idx="22">
                  <c:v>-2.5860157624778272E-2</c:v>
                </c:pt>
                <c:pt idx="23">
                  <c:v>-1.8469872030040819E-2</c:v>
                </c:pt>
                <c:pt idx="24">
                  <c:v>-2.5778153849784283E-2</c:v>
                </c:pt>
                <c:pt idx="25">
                  <c:v>-2.3936663101584748E-2</c:v>
                </c:pt>
                <c:pt idx="26">
                  <c:v>-3.1950760143918802E-2</c:v>
                </c:pt>
                <c:pt idx="27">
                  <c:v>-3.3182405140202945E-2</c:v>
                </c:pt>
                <c:pt idx="28">
                  <c:v>-3.4505499949766948E-2</c:v>
                </c:pt>
                <c:pt idx="29">
                  <c:v>-2.9604471609651094E-2</c:v>
                </c:pt>
                <c:pt idx="30">
                  <c:v>-3.2461598964355298E-2</c:v>
                </c:pt>
                <c:pt idx="31">
                  <c:v>-3.1387604493747882E-2</c:v>
                </c:pt>
                <c:pt idx="32">
                  <c:v>-3.1791636015791838E-2</c:v>
                </c:pt>
                <c:pt idx="33">
                  <c:v>-3.4621283892432173E-2</c:v>
                </c:pt>
                <c:pt idx="34">
                  <c:v>-3.9482241830078535E-2</c:v>
                </c:pt>
                <c:pt idx="35">
                  <c:v>-3.5112843496955745E-2</c:v>
                </c:pt>
                <c:pt idx="36">
                  <c:v>-3.7624643037583484E-2</c:v>
                </c:pt>
                <c:pt idx="37">
                  <c:v>-3.9177981172553042E-2</c:v>
                </c:pt>
                <c:pt idx="38">
                  <c:v>-4.02670872783496E-2</c:v>
                </c:pt>
                <c:pt idx="39">
                  <c:v>-3.8978623620519764E-2</c:v>
                </c:pt>
                <c:pt idx="40">
                  <c:v>-3.7338916475563359E-2</c:v>
                </c:pt>
                <c:pt idx="41">
                  <c:v>-3.7261021753517816E-2</c:v>
                </c:pt>
                <c:pt idx="42">
                  <c:v>-4.0229815457175737E-2</c:v>
                </c:pt>
                <c:pt idx="43">
                  <c:v>-3.923723664297428E-2</c:v>
                </c:pt>
                <c:pt idx="44">
                  <c:v>-4.2656354721538489E-2</c:v>
                </c:pt>
                <c:pt idx="45">
                  <c:v>-4.6222418036339877E-2</c:v>
                </c:pt>
                <c:pt idx="46">
                  <c:v>-4.5929510836186377E-2</c:v>
                </c:pt>
                <c:pt idx="47">
                  <c:v>-4.0999901032498162E-2</c:v>
                </c:pt>
                <c:pt idx="48">
                  <c:v>-4.2756514133098604E-2</c:v>
                </c:pt>
                <c:pt idx="49">
                  <c:v>-4.2219402989513474E-2</c:v>
                </c:pt>
                <c:pt idx="50">
                  <c:v>-4.1298728086673557E-2</c:v>
                </c:pt>
                <c:pt idx="51">
                  <c:v>-4.3170975375417489E-2</c:v>
                </c:pt>
                <c:pt idx="52">
                  <c:v>-4.3322052218971799E-2</c:v>
                </c:pt>
                <c:pt idx="53">
                  <c:v>-4.5364527577066431E-2</c:v>
                </c:pt>
                <c:pt idx="54">
                  <c:v>-4.5869149924026659E-2</c:v>
                </c:pt>
                <c:pt idx="55">
                  <c:v>-4.6881156298787113E-2</c:v>
                </c:pt>
                <c:pt idx="56">
                  <c:v>-4.008257624262878E-2</c:v>
                </c:pt>
                <c:pt idx="57">
                  <c:v>-3.8834896728811942E-2</c:v>
                </c:pt>
                <c:pt idx="58">
                  <c:v>-3.7800273980729035E-2</c:v>
                </c:pt>
                <c:pt idx="59">
                  <c:v>-3.7789646057447043E-2</c:v>
                </c:pt>
                <c:pt idx="60">
                  <c:v>-4.067106109559987E-2</c:v>
                </c:pt>
                <c:pt idx="61">
                  <c:v>-4.0224519760569316E-2</c:v>
                </c:pt>
                <c:pt idx="62">
                  <c:v>-4.0293187838287232E-2</c:v>
                </c:pt>
                <c:pt idx="63">
                  <c:v>-4.0881788859723926E-2</c:v>
                </c:pt>
                <c:pt idx="64">
                  <c:v>-3.9504172861533834E-2</c:v>
                </c:pt>
                <c:pt idx="65">
                  <c:v>-3.8671483043108933E-2</c:v>
                </c:pt>
                <c:pt idx="66">
                  <c:v>-3.7693403232841337E-2</c:v>
                </c:pt>
                <c:pt idx="67">
                  <c:v>-3.8955015923195772E-2</c:v>
                </c:pt>
                <c:pt idx="68">
                  <c:v>-4.015010257112242E-2</c:v>
                </c:pt>
                <c:pt idx="69">
                  <c:v>-3.9933151831628315E-2</c:v>
                </c:pt>
                <c:pt idx="70">
                  <c:v>-4.0378776580576425E-2</c:v>
                </c:pt>
                <c:pt idx="71">
                  <c:v>-4.084659666148422E-2</c:v>
                </c:pt>
                <c:pt idx="72">
                  <c:v>-4.178577395546882E-2</c:v>
                </c:pt>
                <c:pt idx="73">
                  <c:v>-4.2626758173877226E-2</c:v>
                </c:pt>
                <c:pt idx="74">
                  <c:v>-4.2844945414166336E-2</c:v>
                </c:pt>
                <c:pt idx="75">
                  <c:v>-4.1507675334806322E-2</c:v>
                </c:pt>
                <c:pt idx="76">
                  <c:v>-4.1872858273218232E-2</c:v>
                </c:pt>
                <c:pt idx="77">
                  <c:v>-4.0005462837867302E-2</c:v>
                </c:pt>
                <c:pt idx="78">
                  <c:v>-3.9908389133406448E-2</c:v>
                </c:pt>
                <c:pt idx="79">
                  <c:v>-3.8967295926367107E-2</c:v>
                </c:pt>
                <c:pt idx="80">
                  <c:v>-4.0328023792082973E-2</c:v>
                </c:pt>
                <c:pt idx="81">
                  <c:v>-4.1043537604360268E-2</c:v>
                </c:pt>
                <c:pt idx="82">
                  <c:v>-4.0603269772779074E-2</c:v>
                </c:pt>
                <c:pt idx="83">
                  <c:v>-3.7551139165401606E-2</c:v>
                </c:pt>
                <c:pt idx="84">
                  <c:v>-3.8074061516166692E-2</c:v>
                </c:pt>
                <c:pt idx="85">
                  <c:v>-3.8711753438693909E-2</c:v>
                </c:pt>
                <c:pt idx="86">
                  <c:v>-3.6784253540015084E-2</c:v>
                </c:pt>
                <c:pt idx="87">
                  <c:v>-3.7294699539583968E-2</c:v>
                </c:pt>
                <c:pt idx="88">
                  <c:v>-3.8676651246346477E-2</c:v>
                </c:pt>
                <c:pt idx="89">
                  <c:v>-3.7792990749259667E-2</c:v>
                </c:pt>
                <c:pt idx="90">
                  <c:v>-3.6007021205464076E-2</c:v>
                </c:pt>
                <c:pt idx="91">
                  <c:v>-3.5704096230706084E-2</c:v>
                </c:pt>
                <c:pt idx="92">
                  <c:v>-3.5243952972353956E-2</c:v>
                </c:pt>
                <c:pt idx="93">
                  <c:v>-3.4879700931603308E-2</c:v>
                </c:pt>
                <c:pt idx="94">
                  <c:v>-3.4358813731465133E-2</c:v>
                </c:pt>
                <c:pt idx="95">
                  <c:v>-3.0867871373936581E-2</c:v>
                </c:pt>
                <c:pt idx="96">
                  <c:v>-2.9754726336432259E-2</c:v>
                </c:pt>
                <c:pt idx="97">
                  <c:v>-3.0538633973464447E-2</c:v>
                </c:pt>
                <c:pt idx="98">
                  <c:v>-3.0383330352698017E-2</c:v>
                </c:pt>
                <c:pt idx="99">
                  <c:v>-3.3626358647766037E-2</c:v>
                </c:pt>
                <c:pt idx="100">
                  <c:v>-3.4735137150300827E-2</c:v>
                </c:pt>
                <c:pt idx="101">
                  <c:v>-3.6719202405357157E-2</c:v>
                </c:pt>
                <c:pt idx="102">
                  <c:v>-3.501485447507767E-2</c:v>
                </c:pt>
                <c:pt idx="103">
                  <c:v>-3.4304286408745062E-2</c:v>
                </c:pt>
                <c:pt idx="104">
                  <c:v>-3.6708204723807737E-2</c:v>
                </c:pt>
                <c:pt idx="105">
                  <c:v>-3.4932441163941987E-2</c:v>
                </c:pt>
                <c:pt idx="106">
                  <c:v>-3.3870512888244671E-2</c:v>
                </c:pt>
                <c:pt idx="107">
                  <c:v>-3.2283046522949943E-2</c:v>
                </c:pt>
                <c:pt idx="108">
                  <c:v>-3.3278790314959665E-2</c:v>
                </c:pt>
                <c:pt idx="109">
                  <c:v>-3.4059110226377615E-2</c:v>
                </c:pt>
                <c:pt idx="110">
                  <c:v>-3.4275204830469558E-2</c:v>
                </c:pt>
                <c:pt idx="111">
                  <c:v>-3.5304902098918269E-2</c:v>
                </c:pt>
                <c:pt idx="112">
                  <c:v>-3.347957447609437E-2</c:v>
                </c:pt>
                <c:pt idx="113">
                  <c:v>-3.3964513769925112E-2</c:v>
                </c:pt>
                <c:pt idx="114">
                  <c:v>-3.1260182635185395E-2</c:v>
                </c:pt>
                <c:pt idx="115">
                  <c:v>-2.9341477905071706E-2</c:v>
                </c:pt>
                <c:pt idx="116">
                  <c:v>-3.1035796460254627E-2</c:v>
                </c:pt>
                <c:pt idx="117">
                  <c:v>-3.1822129421726776E-2</c:v>
                </c:pt>
                <c:pt idx="118">
                  <c:v>-2.9839850264569021E-2</c:v>
                </c:pt>
                <c:pt idx="119">
                  <c:v>-2.857518632541884E-2</c:v>
                </c:pt>
                <c:pt idx="120">
                  <c:v>-2.8683362804662962E-2</c:v>
                </c:pt>
                <c:pt idx="121">
                  <c:v>-2.9172264001602635E-2</c:v>
                </c:pt>
                <c:pt idx="122">
                  <c:v>-2.7960978066754998E-2</c:v>
                </c:pt>
                <c:pt idx="123">
                  <c:v>-2.9312435420358659E-2</c:v>
                </c:pt>
                <c:pt idx="124">
                  <c:v>-2.8142873544046824E-2</c:v>
                </c:pt>
                <c:pt idx="125">
                  <c:v>-2.5247592316143416E-2</c:v>
                </c:pt>
                <c:pt idx="126">
                  <c:v>-2.6707059622888517E-2</c:v>
                </c:pt>
                <c:pt idx="127">
                  <c:v>-2.6231512189037753E-2</c:v>
                </c:pt>
                <c:pt idx="128">
                  <c:v>-2.5247266654477567E-2</c:v>
                </c:pt>
                <c:pt idx="129">
                  <c:v>-2.3913286281327235E-2</c:v>
                </c:pt>
                <c:pt idx="130">
                  <c:v>-2.0779353015336455E-2</c:v>
                </c:pt>
                <c:pt idx="131">
                  <c:v>-1.7883017812762244E-2</c:v>
                </c:pt>
                <c:pt idx="132">
                  <c:v>-1.5088897663549299E-2</c:v>
                </c:pt>
                <c:pt idx="133">
                  <c:v>-1.6173634368527375E-2</c:v>
                </c:pt>
                <c:pt idx="134">
                  <c:v>-1.5537581145965542E-2</c:v>
                </c:pt>
                <c:pt idx="135">
                  <c:v>-1.3462646542662547E-2</c:v>
                </c:pt>
                <c:pt idx="136">
                  <c:v>-1.2562005821822819E-2</c:v>
                </c:pt>
                <c:pt idx="137">
                  <c:v>-1.1685998104345991E-2</c:v>
                </c:pt>
                <c:pt idx="138">
                  <c:v>-1.090538633830004E-2</c:v>
                </c:pt>
                <c:pt idx="139">
                  <c:v>-1.1696897501367444E-2</c:v>
                </c:pt>
                <c:pt idx="140">
                  <c:v>-1.1184055683546003E-2</c:v>
                </c:pt>
                <c:pt idx="141">
                  <c:v>-1.3118089007085132E-2</c:v>
                </c:pt>
                <c:pt idx="142">
                  <c:v>-1.4039414100320845E-2</c:v>
                </c:pt>
                <c:pt idx="143">
                  <c:v>-1.2578969673866788E-2</c:v>
                </c:pt>
                <c:pt idx="144">
                  <c:v>-1.4938022302123778E-2</c:v>
                </c:pt>
                <c:pt idx="145">
                  <c:v>-1.5332745575675195E-2</c:v>
                </c:pt>
                <c:pt idx="146">
                  <c:v>-1.6626063419553177E-2</c:v>
                </c:pt>
                <c:pt idx="147">
                  <c:v>-1.633888580883476E-2</c:v>
                </c:pt>
                <c:pt idx="148">
                  <c:v>-1.5925345048566991E-2</c:v>
                </c:pt>
                <c:pt idx="149">
                  <c:v>-1.9124589620978832E-2</c:v>
                </c:pt>
                <c:pt idx="150">
                  <c:v>-1.9084899949040619E-2</c:v>
                </c:pt>
                <c:pt idx="151">
                  <c:v>-1.8167749490349674E-2</c:v>
                </c:pt>
                <c:pt idx="152">
                  <c:v>-1.762488666928989E-2</c:v>
                </c:pt>
                <c:pt idx="153">
                  <c:v>-1.9111953726180415E-2</c:v>
                </c:pt>
                <c:pt idx="154">
                  <c:v>-1.7386076576463485E-2</c:v>
                </c:pt>
                <c:pt idx="155">
                  <c:v>-1.7512203482838221E-2</c:v>
                </c:pt>
                <c:pt idx="156">
                  <c:v>-1.9109385714649308E-2</c:v>
                </c:pt>
                <c:pt idx="157">
                  <c:v>-2.0187000310299505E-2</c:v>
                </c:pt>
                <c:pt idx="158">
                  <c:v>-2.7542701573918138E-2</c:v>
                </c:pt>
                <c:pt idx="159">
                  <c:v>-2.9037139623642457E-2</c:v>
                </c:pt>
                <c:pt idx="160">
                  <c:v>-3.1967749175385245E-2</c:v>
                </c:pt>
                <c:pt idx="161">
                  <c:v>-3.1729912251249555E-2</c:v>
                </c:pt>
                <c:pt idx="162">
                  <c:v>-2.9690614483827611E-2</c:v>
                </c:pt>
                <c:pt idx="163">
                  <c:v>-3.0454441633444688E-2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D4-4D06-B1EB-843549DF71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2757903"/>
        <c:axId val="194749967"/>
      </c:lineChart>
      <c:dateAx>
        <c:axId val="20327579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4943530183727034"/>
              <c:y val="0.7784251968503936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m/yy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749967"/>
        <c:crosses val="autoZero"/>
        <c:auto val="1"/>
        <c:lblOffset val="100"/>
        <c:baseTimeUnit val="days"/>
      </c:dateAx>
      <c:valAx>
        <c:axId val="194749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Beta</a:t>
                </a:r>
                <a:r>
                  <a:rPr lang="en-US" baseline="0"/>
                  <a:t> 2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2757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Beta</a:t>
            </a:r>
            <a:r>
              <a:rPr lang="en-US" baseline="0"/>
              <a:t> 3 - Actual Vs 2 Month Forecast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B3 - Acual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Forecast_1m!$A$5:$A$168</c:f>
              <c:numCache>
                <c:formatCode>dd/mm/yyyy</c:formatCode>
                <c:ptCount val="164"/>
                <c:pt idx="0">
                  <c:v>39169</c:v>
                </c:pt>
                <c:pt idx="1">
                  <c:v>39197</c:v>
                </c:pt>
                <c:pt idx="2">
                  <c:v>39232</c:v>
                </c:pt>
                <c:pt idx="3">
                  <c:v>39260</c:v>
                </c:pt>
                <c:pt idx="4">
                  <c:v>39288</c:v>
                </c:pt>
                <c:pt idx="5">
                  <c:v>39323</c:v>
                </c:pt>
                <c:pt idx="6">
                  <c:v>39351</c:v>
                </c:pt>
                <c:pt idx="7">
                  <c:v>39386</c:v>
                </c:pt>
                <c:pt idx="8">
                  <c:v>39414</c:v>
                </c:pt>
                <c:pt idx="9">
                  <c:v>39442</c:v>
                </c:pt>
                <c:pt idx="10">
                  <c:v>39477</c:v>
                </c:pt>
                <c:pt idx="11">
                  <c:v>39505</c:v>
                </c:pt>
                <c:pt idx="12">
                  <c:v>39533</c:v>
                </c:pt>
                <c:pt idx="13">
                  <c:v>39568</c:v>
                </c:pt>
                <c:pt idx="14">
                  <c:v>39596</c:v>
                </c:pt>
                <c:pt idx="15">
                  <c:v>39624</c:v>
                </c:pt>
                <c:pt idx="16">
                  <c:v>39659</c:v>
                </c:pt>
                <c:pt idx="17">
                  <c:v>39687</c:v>
                </c:pt>
                <c:pt idx="18">
                  <c:v>39715</c:v>
                </c:pt>
                <c:pt idx="19">
                  <c:v>39750</c:v>
                </c:pt>
                <c:pt idx="20">
                  <c:v>39778</c:v>
                </c:pt>
                <c:pt idx="21">
                  <c:v>39813</c:v>
                </c:pt>
                <c:pt idx="22">
                  <c:v>39841</c:v>
                </c:pt>
                <c:pt idx="23">
                  <c:v>39869</c:v>
                </c:pt>
                <c:pt idx="24">
                  <c:v>39897</c:v>
                </c:pt>
                <c:pt idx="25">
                  <c:v>39932</c:v>
                </c:pt>
                <c:pt idx="26">
                  <c:v>39960</c:v>
                </c:pt>
                <c:pt idx="27">
                  <c:v>39988</c:v>
                </c:pt>
                <c:pt idx="28">
                  <c:v>40023</c:v>
                </c:pt>
                <c:pt idx="29">
                  <c:v>40051</c:v>
                </c:pt>
                <c:pt idx="30">
                  <c:v>40086</c:v>
                </c:pt>
                <c:pt idx="31">
                  <c:v>40114</c:v>
                </c:pt>
                <c:pt idx="32">
                  <c:v>40142</c:v>
                </c:pt>
                <c:pt idx="33">
                  <c:v>40177</c:v>
                </c:pt>
                <c:pt idx="34">
                  <c:v>40205</c:v>
                </c:pt>
                <c:pt idx="35">
                  <c:v>40233</c:v>
                </c:pt>
                <c:pt idx="36">
                  <c:v>40268</c:v>
                </c:pt>
                <c:pt idx="37">
                  <c:v>40296</c:v>
                </c:pt>
                <c:pt idx="38">
                  <c:v>40324</c:v>
                </c:pt>
                <c:pt idx="39">
                  <c:v>40359</c:v>
                </c:pt>
                <c:pt idx="40">
                  <c:v>40387</c:v>
                </c:pt>
                <c:pt idx="41">
                  <c:v>40415</c:v>
                </c:pt>
                <c:pt idx="42">
                  <c:v>40450</c:v>
                </c:pt>
                <c:pt idx="43">
                  <c:v>40478</c:v>
                </c:pt>
                <c:pt idx="44">
                  <c:v>40506</c:v>
                </c:pt>
                <c:pt idx="45">
                  <c:v>40541</c:v>
                </c:pt>
                <c:pt idx="46">
                  <c:v>40569</c:v>
                </c:pt>
                <c:pt idx="47">
                  <c:v>40597</c:v>
                </c:pt>
                <c:pt idx="48">
                  <c:v>40632</c:v>
                </c:pt>
                <c:pt idx="49">
                  <c:v>40660</c:v>
                </c:pt>
                <c:pt idx="50">
                  <c:v>40688</c:v>
                </c:pt>
                <c:pt idx="51">
                  <c:v>40723</c:v>
                </c:pt>
                <c:pt idx="52">
                  <c:v>40751</c:v>
                </c:pt>
                <c:pt idx="53">
                  <c:v>40786</c:v>
                </c:pt>
                <c:pt idx="54">
                  <c:v>40814</c:v>
                </c:pt>
                <c:pt idx="55">
                  <c:v>40842</c:v>
                </c:pt>
                <c:pt idx="56">
                  <c:v>40877</c:v>
                </c:pt>
                <c:pt idx="57">
                  <c:v>40905</c:v>
                </c:pt>
                <c:pt idx="58">
                  <c:v>40933</c:v>
                </c:pt>
                <c:pt idx="59">
                  <c:v>40968</c:v>
                </c:pt>
                <c:pt idx="60">
                  <c:v>40996</c:v>
                </c:pt>
                <c:pt idx="61">
                  <c:v>41024</c:v>
                </c:pt>
                <c:pt idx="62">
                  <c:v>41059</c:v>
                </c:pt>
                <c:pt idx="63">
                  <c:v>41087</c:v>
                </c:pt>
                <c:pt idx="64">
                  <c:v>41115</c:v>
                </c:pt>
                <c:pt idx="65">
                  <c:v>41150</c:v>
                </c:pt>
                <c:pt idx="66">
                  <c:v>41178</c:v>
                </c:pt>
                <c:pt idx="67">
                  <c:v>41213</c:v>
                </c:pt>
                <c:pt idx="68">
                  <c:v>41241</c:v>
                </c:pt>
                <c:pt idx="69">
                  <c:v>41269</c:v>
                </c:pt>
                <c:pt idx="70">
                  <c:v>41304</c:v>
                </c:pt>
                <c:pt idx="71">
                  <c:v>41332</c:v>
                </c:pt>
                <c:pt idx="72">
                  <c:v>41360</c:v>
                </c:pt>
                <c:pt idx="73">
                  <c:v>41388</c:v>
                </c:pt>
                <c:pt idx="74">
                  <c:v>41423</c:v>
                </c:pt>
                <c:pt idx="75">
                  <c:v>41451</c:v>
                </c:pt>
                <c:pt idx="76">
                  <c:v>41486</c:v>
                </c:pt>
                <c:pt idx="77">
                  <c:v>41514</c:v>
                </c:pt>
                <c:pt idx="78">
                  <c:v>41542</c:v>
                </c:pt>
                <c:pt idx="79">
                  <c:v>41577</c:v>
                </c:pt>
                <c:pt idx="80">
                  <c:v>41605</c:v>
                </c:pt>
                <c:pt idx="81">
                  <c:v>41633</c:v>
                </c:pt>
                <c:pt idx="82">
                  <c:v>41668</c:v>
                </c:pt>
                <c:pt idx="83">
                  <c:v>41696</c:v>
                </c:pt>
                <c:pt idx="84">
                  <c:v>41724</c:v>
                </c:pt>
                <c:pt idx="85">
                  <c:v>41759</c:v>
                </c:pt>
                <c:pt idx="86">
                  <c:v>41787</c:v>
                </c:pt>
                <c:pt idx="87">
                  <c:v>41815</c:v>
                </c:pt>
                <c:pt idx="88">
                  <c:v>41850</c:v>
                </c:pt>
                <c:pt idx="89">
                  <c:v>41878</c:v>
                </c:pt>
                <c:pt idx="90">
                  <c:v>41906</c:v>
                </c:pt>
                <c:pt idx="91">
                  <c:v>41941</c:v>
                </c:pt>
                <c:pt idx="92">
                  <c:v>41969</c:v>
                </c:pt>
                <c:pt idx="93">
                  <c:v>42004</c:v>
                </c:pt>
                <c:pt idx="94">
                  <c:v>42032</c:v>
                </c:pt>
                <c:pt idx="95">
                  <c:v>42060</c:v>
                </c:pt>
                <c:pt idx="96">
                  <c:v>42088</c:v>
                </c:pt>
                <c:pt idx="97">
                  <c:v>42123</c:v>
                </c:pt>
                <c:pt idx="98">
                  <c:v>42151</c:v>
                </c:pt>
                <c:pt idx="99">
                  <c:v>42179</c:v>
                </c:pt>
                <c:pt idx="100">
                  <c:v>42214</c:v>
                </c:pt>
                <c:pt idx="101">
                  <c:v>42242</c:v>
                </c:pt>
                <c:pt idx="102">
                  <c:v>42277</c:v>
                </c:pt>
                <c:pt idx="103">
                  <c:v>42305</c:v>
                </c:pt>
                <c:pt idx="104">
                  <c:v>42333</c:v>
                </c:pt>
                <c:pt idx="105">
                  <c:v>42368</c:v>
                </c:pt>
                <c:pt idx="106">
                  <c:v>42396</c:v>
                </c:pt>
                <c:pt idx="107">
                  <c:v>42424</c:v>
                </c:pt>
                <c:pt idx="108">
                  <c:v>42459</c:v>
                </c:pt>
                <c:pt idx="109">
                  <c:v>42487</c:v>
                </c:pt>
                <c:pt idx="110">
                  <c:v>42515</c:v>
                </c:pt>
                <c:pt idx="111">
                  <c:v>42550</c:v>
                </c:pt>
                <c:pt idx="112">
                  <c:v>42578</c:v>
                </c:pt>
                <c:pt idx="113">
                  <c:v>42613</c:v>
                </c:pt>
                <c:pt idx="114">
                  <c:v>42641</c:v>
                </c:pt>
                <c:pt idx="115">
                  <c:v>42669</c:v>
                </c:pt>
                <c:pt idx="116">
                  <c:v>42704</c:v>
                </c:pt>
                <c:pt idx="117">
                  <c:v>42732</c:v>
                </c:pt>
                <c:pt idx="118">
                  <c:v>42760</c:v>
                </c:pt>
                <c:pt idx="119">
                  <c:v>42788</c:v>
                </c:pt>
                <c:pt idx="120">
                  <c:v>42823</c:v>
                </c:pt>
                <c:pt idx="121">
                  <c:v>42851</c:v>
                </c:pt>
                <c:pt idx="122">
                  <c:v>42886</c:v>
                </c:pt>
                <c:pt idx="123">
                  <c:v>42914</c:v>
                </c:pt>
                <c:pt idx="124">
                  <c:v>42942</c:v>
                </c:pt>
                <c:pt idx="125">
                  <c:v>42977</c:v>
                </c:pt>
                <c:pt idx="126">
                  <c:v>43005</c:v>
                </c:pt>
                <c:pt idx="127">
                  <c:v>43033</c:v>
                </c:pt>
                <c:pt idx="128">
                  <c:v>43068</c:v>
                </c:pt>
                <c:pt idx="129">
                  <c:v>43096</c:v>
                </c:pt>
                <c:pt idx="130">
                  <c:v>43131</c:v>
                </c:pt>
                <c:pt idx="131">
                  <c:v>43159</c:v>
                </c:pt>
                <c:pt idx="132">
                  <c:v>43187</c:v>
                </c:pt>
                <c:pt idx="133">
                  <c:v>43215</c:v>
                </c:pt>
                <c:pt idx="134">
                  <c:v>43250</c:v>
                </c:pt>
                <c:pt idx="135">
                  <c:v>43278</c:v>
                </c:pt>
                <c:pt idx="136">
                  <c:v>43306</c:v>
                </c:pt>
                <c:pt idx="137">
                  <c:v>43341</c:v>
                </c:pt>
                <c:pt idx="138">
                  <c:v>43369</c:v>
                </c:pt>
                <c:pt idx="139">
                  <c:v>43404</c:v>
                </c:pt>
                <c:pt idx="140">
                  <c:v>43432</c:v>
                </c:pt>
                <c:pt idx="141">
                  <c:v>43460</c:v>
                </c:pt>
                <c:pt idx="142">
                  <c:v>43495</c:v>
                </c:pt>
                <c:pt idx="143">
                  <c:v>43523</c:v>
                </c:pt>
                <c:pt idx="144">
                  <c:v>43551</c:v>
                </c:pt>
                <c:pt idx="145">
                  <c:v>43579</c:v>
                </c:pt>
                <c:pt idx="146">
                  <c:v>43614</c:v>
                </c:pt>
                <c:pt idx="147">
                  <c:v>43642</c:v>
                </c:pt>
                <c:pt idx="148">
                  <c:v>43677</c:v>
                </c:pt>
                <c:pt idx="149">
                  <c:v>43705</c:v>
                </c:pt>
                <c:pt idx="150">
                  <c:v>43733</c:v>
                </c:pt>
                <c:pt idx="151">
                  <c:v>43768</c:v>
                </c:pt>
                <c:pt idx="152">
                  <c:v>43796</c:v>
                </c:pt>
                <c:pt idx="153">
                  <c:v>43824</c:v>
                </c:pt>
                <c:pt idx="154">
                  <c:v>43859</c:v>
                </c:pt>
                <c:pt idx="155">
                  <c:v>43887</c:v>
                </c:pt>
                <c:pt idx="156">
                  <c:v>43915</c:v>
                </c:pt>
                <c:pt idx="157">
                  <c:v>43950</c:v>
                </c:pt>
                <c:pt idx="158">
                  <c:v>43978</c:v>
                </c:pt>
                <c:pt idx="159">
                  <c:v>44006</c:v>
                </c:pt>
                <c:pt idx="160">
                  <c:v>44041</c:v>
                </c:pt>
                <c:pt idx="161">
                  <c:v>44069</c:v>
                </c:pt>
                <c:pt idx="162">
                  <c:v>44104</c:v>
                </c:pt>
                <c:pt idx="163">
                  <c:v>44118</c:v>
                </c:pt>
              </c:numCache>
            </c:numRef>
          </c:cat>
          <c:val>
            <c:numRef>
              <c:f>Forecast_1m!$D$5:$D$168</c:f>
              <c:numCache>
                <c:formatCode>General</c:formatCode>
                <c:ptCount val="164"/>
                <c:pt idx="0">
                  <c:v>-2.0457905528073299E-2</c:v>
                </c:pt>
                <c:pt idx="1">
                  <c:v>-1.8186433700389401E-2</c:v>
                </c:pt>
                <c:pt idx="2">
                  <c:v>-7.4194534084834601E-3</c:v>
                </c:pt>
                <c:pt idx="3">
                  <c:v>-7.6806259733211901E-3</c:v>
                </c:pt>
                <c:pt idx="4">
                  <c:v>-1.3809793939948099E-2</c:v>
                </c:pt>
                <c:pt idx="5">
                  <c:v>-1.3281861422311299E-2</c:v>
                </c:pt>
                <c:pt idx="6">
                  <c:v>-1.7739264399116501E-2</c:v>
                </c:pt>
                <c:pt idx="7">
                  <c:v>-2.0378624518834799E-2</c:v>
                </c:pt>
                <c:pt idx="8">
                  <c:v>-2.53320415331376E-2</c:v>
                </c:pt>
                <c:pt idx="9">
                  <c:v>-2.93392440651691E-2</c:v>
                </c:pt>
                <c:pt idx="10">
                  <c:v>-4.9251257368786001E-2</c:v>
                </c:pt>
                <c:pt idx="11">
                  <c:v>-5.3600582570360801E-2</c:v>
                </c:pt>
                <c:pt idx="12">
                  <c:v>-5.4733001336328198E-2</c:v>
                </c:pt>
                <c:pt idx="13">
                  <c:v>-3.4625828960975803E-2</c:v>
                </c:pt>
                <c:pt idx="14">
                  <c:v>-2.7951953381800301E-2</c:v>
                </c:pt>
                <c:pt idx="15">
                  <c:v>-2.0810172476198902E-2</c:v>
                </c:pt>
                <c:pt idx="16">
                  <c:v>-2.61255126642716E-2</c:v>
                </c:pt>
                <c:pt idx="17">
                  <c:v>-3.2311105910753597E-2</c:v>
                </c:pt>
                <c:pt idx="18">
                  <c:v>-2.7303188039955399E-2</c:v>
                </c:pt>
                <c:pt idx="19">
                  <c:v>-3.7362994272535102E-2</c:v>
                </c:pt>
                <c:pt idx="20">
                  <c:v>-3.1326945311046399E-2</c:v>
                </c:pt>
                <c:pt idx="21">
                  <c:v>-2.58769961074692E-2</c:v>
                </c:pt>
                <c:pt idx="22">
                  <c:v>-4.0439830909847402E-2</c:v>
                </c:pt>
                <c:pt idx="23">
                  <c:v>-3.3923908365069401E-2</c:v>
                </c:pt>
                <c:pt idx="24">
                  <c:v>-4.9428258624857203E-2</c:v>
                </c:pt>
                <c:pt idx="25">
                  <c:v>-4.6888271249159501E-2</c:v>
                </c:pt>
                <c:pt idx="26">
                  <c:v>-5.27001767640475E-2</c:v>
                </c:pt>
                <c:pt idx="27">
                  <c:v>-3.4919888663415298E-2</c:v>
                </c:pt>
                <c:pt idx="28">
                  <c:v>-4.1590205863068899E-2</c:v>
                </c:pt>
                <c:pt idx="29">
                  <c:v>-3.8770289078884398E-2</c:v>
                </c:pt>
                <c:pt idx="30">
                  <c:v>-4.0428918208355397E-2</c:v>
                </c:pt>
                <c:pt idx="31">
                  <c:v>-4.4939722082120603E-2</c:v>
                </c:pt>
                <c:pt idx="32">
                  <c:v>-5.86218526069981E-2</c:v>
                </c:pt>
                <c:pt idx="33">
                  <c:v>-4.4970738348356999E-2</c:v>
                </c:pt>
                <c:pt idx="34">
                  <c:v>-5.1083603261512303E-2</c:v>
                </c:pt>
                <c:pt idx="35">
                  <c:v>-5.9558412074278498E-2</c:v>
                </c:pt>
                <c:pt idx="36">
                  <c:v>-6.0736442902308799E-2</c:v>
                </c:pt>
                <c:pt idx="37">
                  <c:v>-5.5661012829278801E-2</c:v>
                </c:pt>
                <c:pt idx="38">
                  <c:v>-5.2178377390562698E-2</c:v>
                </c:pt>
                <c:pt idx="39">
                  <c:v>-5.8356654312064701E-2</c:v>
                </c:pt>
                <c:pt idx="40">
                  <c:v>-6.4510554440914705E-2</c:v>
                </c:pt>
                <c:pt idx="41">
                  <c:v>-6.0675460870295302E-2</c:v>
                </c:pt>
                <c:pt idx="42">
                  <c:v>-6.9593730212941796E-2</c:v>
                </c:pt>
                <c:pt idx="43">
                  <c:v>-7.90999379736219E-2</c:v>
                </c:pt>
                <c:pt idx="44">
                  <c:v>-7.7749752410581296E-2</c:v>
                </c:pt>
                <c:pt idx="45">
                  <c:v>-6.69956683238766E-2</c:v>
                </c:pt>
                <c:pt idx="46">
                  <c:v>-7.1559033071809205E-2</c:v>
                </c:pt>
                <c:pt idx="47">
                  <c:v>-6.3083739183127693E-2</c:v>
                </c:pt>
                <c:pt idx="48">
                  <c:v>-5.9333813380321697E-2</c:v>
                </c:pt>
                <c:pt idx="49">
                  <c:v>-6.6275905862058504E-2</c:v>
                </c:pt>
                <c:pt idx="50">
                  <c:v>-6.9311902662414895E-2</c:v>
                </c:pt>
                <c:pt idx="51">
                  <c:v>-7.6570457581276397E-2</c:v>
                </c:pt>
                <c:pt idx="52">
                  <c:v>-7.8837026528002896E-2</c:v>
                </c:pt>
                <c:pt idx="53">
                  <c:v>-7.9427441851524005E-2</c:v>
                </c:pt>
                <c:pt idx="54">
                  <c:v>-6.3578712312338803E-2</c:v>
                </c:pt>
                <c:pt idx="55">
                  <c:v>-6.1757690203936698E-2</c:v>
                </c:pt>
                <c:pt idx="56">
                  <c:v>-5.9926396461099998E-2</c:v>
                </c:pt>
                <c:pt idx="57">
                  <c:v>-5.6490861175278698E-2</c:v>
                </c:pt>
                <c:pt idx="58">
                  <c:v>-6.7785702682695098E-2</c:v>
                </c:pt>
                <c:pt idx="59">
                  <c:v>-6.4442335616050006E-2</c:v>
                </c:pt>
                <c:pt idx="60">
                  <c:v>-6.4948957650545605E-2</c:v>
                </c:pt>
                <c:pt idx="61">
                  <c:v>-6.6950895818356504E-2</c:v>
                </c:pt>
                <c:pt idx="62">
                  <c:v>-5.80464839259201E-2</c:v>
                </c:pt>
                <c:pt idx="63">
                  <c:v>-5.5676495894532302E-2</c:v>
                </c:pt>
                <c:pt idx="64">
                  <c:v>-5.6344329670780402E-2</c:v>
                </c:pt>
                <c:pt idx="65">
                  <c:v>-6.07924038150537E-2</c:v>
                </c:pt>
                <c:pt idx="66">
                  <c:v>-6.2769937799300499E-2</c:v>
                </c:pt>
                <c:pt idx="67">
                  <c:v>-6.1304644943995901E-2</c:v>
                </c:pt>
                <c:pt idx="68">
                  <c:v>-6.1132021292872797E-2</c:v>
                </c:pt>
                <c:pt idx="69">
                  <c:v>-6.1406559691155001E-2</c:v>
                </c:pt>
                <c:pt idx="70">
                  <c:v>-6.5642585599057696E-2</c:v>
                </c:pt>
                <c:pt idx="71">
                  <c:v>-6.7482278715760402E-2</c:v>
                </c:pt>
                <c:pt idx="72">
                  <c:v>-6.7827157506618496E-2</c:v>
                </c:pt>
                <c:pt idx="73">
                  <c:v>-6.4483013313228199E-2</c:v>
                </c:pt>
                <c:pt idx="74">
                  <c:v>-6.6011496852128898E-2</c:v>
                </c:pt>
                <c:pt idx="75">
                  <c:v>-6.2524699171996906E-2</c:v>
                </c:pt>
                <c:pt idx="76">
                  <c:v>-6.5197145750935798E-2</c:v>
                </c:pt>
                <c:pt idx="77">
                  <c:v>-6.0040339440481899E-2</c:v>
                </c:pt>
                <c:pt idx="78">
                  <c:v>-6.3747129654082205E-2</c:v>
                </c:pt>
                <c:pt idx="79">
                  <c:v>-6.7981588151812905E-2</c:v>
                </c:pt>
                <c:pt idx="80">
                  <c:v>-7.1290368877966401E-2</c:v>
                </c:pt>
                <c:pt idx="81">
                  <c:v>-6.1064157999122202E-2</c:v>
                </c:pt>
                <c:pt idx="82">
                  <c:v>-5.9592111470684501E-2</c:v>
                </c:pt>
                <c:pt idx="83">
                  <c:v>-6.1782117338181203E-2</c:v>
                </c:pt>
                <c:pt idx="84">
                  <c:v>-5.0702119736386497E-2</c:v>
                </c:pt>
                <c:pt idx="85">
                  <c:v>-5.2906610055947101E-2</c:v>
                </c:pt>
                <c:pt idx="86">
                  <c:v>-5.4446210312002398E-2</c:v>
                </c:pt>
                <c:pt idx="87">
                  <c:v>-5.0106403409335101E-2</c:v>
                </c:pt>
                <c:pt idx="88">
                  <c:v>-4.1819244145310602E-2</c:v>
                </c:pt>
                <c:pt idx="89">
                  <c:v>-3.92710558285609E-2</c:v>
                </c:pt>
                <c:pt idx="90">
                  <c:v>-3.7479183679672699E-2</c:v>
                </c:pt>
                <c:pt idx="91">
                  <c:v>-3.8612442048897799E-2</c:v>
                </c:pt>
                <c:pt idx="92">
                  <c:v>-3.6732333730841699E-2</c:v>
                </c:pt>
                <c:pt idx="93">
                  <c:v>-2.3915090446657902E-2</c:v>
                </c:pt>
                <c:pt idx="94">
                  <c:v>-2.5433820572830501E-2</c:v>
                </c:pt>
                <c:pt idx="95">
                  <c:v>-2.5558914199197199E-2</c:v>
                </c:pt>
                <c:pt idx="96">
                  <c:v>-2.6362087928784101E-2</c:v>
                </c:pt>
                <c:pt idx="97">
                  <c:v>-3.4470318375772899E-2</c:v>
                </c:pt>
                <c:pt idx="98">
                  <c:v>-3.4615616396813702E-2</c:v>
                </c:pt>
                <c:pt idx="99">
                  <c:v>-3.8608476843055302E-2</c:v>
                </c:pt>
                <c:pt idx="100">
                  <c:v>-3.4623558496139802E-2</c:v>
                </c:pt>
                <c:pt idx="101">
                  <c:v>-3.70244066765094E-2</c:v>
                </c:pt>
                <c:pt idx="102">
                  <c:v>-3.9710233718323898E-2</c:v>
                </c:pt>
                <c:pt idx="103">
                  <c:v>-3.6250859177556397E-2</c:v>
                </c:pt>
                <c:pt idx="104">
                  <c:v>-3.2948497608467103E-2</c:v>
                </c:pt>
                <c:pt idx="105">
                  <c:v>-2.8799778872131299E-2</c:v>
                </c:pt>
                <c:pt idx="106">
                  <c:v>-3.6798147170796901E-2</c:v>
                </c:pt>
                <c:pt idx="107">
                  <c:v>-3.8697369875178099E-2</c:v>
                </c:pt>
                <c:pt idx="108">
                  <c:v>-3.7271923577756202E-2</c:v>
                </c:pt>
                <c:pt idx="109">
                  <c:v>-3.7323759876347298E-2</c:v>
                </c:pt>
                <c:pt idx="110">
                  <c:v>-3.4211055815614497E-2</c:v>
                </c:pt>
                <c:pt idx="111">
                  <c:v>-3.7465001591329102E-2</c:v>
                </c:pt>
                <c:pt idx="112">
                  <c:v>-3.1189074490741899E-2</c:v>
                </c:pt>
                <c:pt idx="113">
                  <c:v>-2.7478877811003999E-2</c:v>
                </c:pt>
                <c:pt idx="114">
                  <c:v>-3.1165860215383201E-2</c:v>
                </c:pt>
                <c:pt idx="115">
                  <c:v>-3.2833055946422503E-2</c:v>
                </c:pt>
                <c:pt idx="116">
                  <c:v>-2.7764925864035599E-2</c:v>
                </c:pt>
                <c:pt idx="117">
                  <c:v>-2.2993008807461201E-2</c:v>
                </c:pt>
                <c:pt idx="118">
                  <c:v>-2.4422414984739901E-2</c:v>
                </c:pt>
                <c:pt idx="119">
                  <c:v>-2.57237086627486E-2</c:v>
                </c:pt>
                <c:pt idx="120">
                  <c:v>-2.5236464254791199E-2</c:v>
                </c:pt>
                <c:pt idx="121">
                  <c:v>-2.9579062437202101E-2</c:v>
                </c:pt>
                <c:pt idx="122">
                  <c:v>-3.0466537010882502E-2</c:v>
                </c:pt>
                <c:pt idx="123">
                  <c:v>-2.65998659496464E-2</c:v>
                </c:pt>
                <c:pt idx="124">
                  <c:v>-2.9496746998309099E-2</c:v>
                </c:pt>
                <c:pt idx="125">
                  <c:v>-2.8168581244324101E-2</c:v>
                </c:pt>
                <c:pt idx="126">
                  <c:v>-2.4271801056171102E-2</c:v>
                </c:pt>
                <c:pt idx="127">
                  <c:v>-2.3112000733552501E-2</c:v>
                </c:pt>
                <c:pt idx="128">
                  <c:v>-1.7820867264482902E-2</c:v>
                </c:pt>
                <c:pt idx="129">
                  <c:v>-1.1319776873787201E-2</c:v>
                </c:pt>
                <c:pt idx="130">
                  <c:v>-5.2920708976137302E-3</c:v>
                </c:pt>
                <c:pt idx="131">
                  <c:v>-5.8950612118208803E-3</c:v>
                </c:pt>
                <c:pt idx="132">
                  <c:v>-5.4569856971406101E-3</c:v>
                </c:pt>
                <c:pt idx="133">
                  <c:v>-2.19951892822706E-3</c:v>
                </c:pt>
                <c:pt idx="134">
                  <c:v>-3.42917595299747E-3</c:v>
                </c:pt>
                <c:pt idx="135">
                  <c:v>-3.7584719418454199E-4</c:v>
                </c:pt>
                <c:pt idx="136">
                  <c:v>-2.2079105131945999E-4</c:v>
                </c:pt>
                <c:pt idx="137">
                  <c:v>9.5873865618418402E-4</c:v>
                </c:pt>
                <c:pt idx="138">
                  <c:v>2.7299158009159502E-3</c:v>
                </c:pt>
                <c:pt idx="139">
                  <c:v>-4.3206880460148504E-3</c:v>
                </c:pt>
                <c:pt idx="140">
                  <c:v>-7.8253015865020793E-3</c:v>
                </c:pt>
                <c:pt idx="141">
                  <c:v>-1.03134170501343E-2</c:v>
                </c:pt>
                <c:pt idx="142">
                  <c:v>-1.50242777365689E-2</c:v>
                </c:pt>
                <c:pt idx="143">
                  <c:v>-1.6724364832843199E-2</c:v>
                </c:pt>
                <c:pt idx="144">
                  <c:v>-2.34145677130056E-2</c:v>
                </c:pt>
                <c:pt idx="145">
                  <c:v>-2.03373813173147E-2</c:v>
                </c:pt>
                <c:pt idx="146">
                  <c:v>-2.4645334065017999E-2</c:v>
                </c:pt>
                <c:pt idx="147">
                  <c:v>-2.9915051982951999E-2</c:v>
                </c:pt>
                <c:pt idx="148">
                  <c:v>-2.8162720377318901E-2</c:v>
                </c:pt>
                <c:pt idx="149">
                  <c:v>-2.4865757470347898E-2</c:v>
                </c:pt>
                <c:pt idx="150">
                  <c:v>-2.4454713778779499E-2</c:v>
                </c:pt>
                <c:pt idx="151">
                  <c:v>-2.3169796004744E-2</c:v>
                </c:pt>
                <c:pt idx="152">
                  <c:v>-2.04866620183402E-2</c:v>
                </c:pt>
                <c:pt idx="153">
                  <c:v>-1.9974530235247999E-2</c:v>
                </c:pt>
                <c:pt idx="154">
                  <c:v>-2.3803755958913E-2</c:v>
                </c:pt>
                <c:pt idx="155">
                  <c:v>-2.64145498142354E-2</c:v>
                </c:pt>
                <c:pt idx="156">
                  <c:v>-2.3561766660479301E-2</c:v>
                </c:pt>
                <c:pt idx="157">
                  <c:v>-2.6822789695408501E-2</c:v>
                </c:pt>
                <c:pt idx="158">
                  <c:v>-3.3715840256950999E-2</c:v>
                </c:pt>
                <c:pt idx="159">
                  <c:v>-3.52398572579131E-2</c:v>
                </c:pt>
                <c:pt idx="160">
                  <c:v>-3.01257840884692E-2</c:v>
                </c:pt>
                <c:pt idx="161">
                  <c:v>-3.3111652606674299E-2</c:v>
                </c:pt>
                <c:pt idx="162">
                  <c:v>-3.5544350460783601E-2</c:v>
                </c:pt>
                <c:pt idx="163">
                  <c:v>-3.5957268223908802E-2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C2-4482-A8E3-0C55F555C7E2}"/>
            </c:ext>
          </c:extLst>
        </c:ser>
        <c:ser>
          <c:idx val="1"/>
          <c:order val="1"/>
          <c:tx>
            <c:v>B3 - 2 Month Forecast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Forecast_1m!$A$5:$A$168</c:f>
              <c:numCache>
                <c:formatCode>dd/mm/yyyy</c:formatCode>
                <c:ptCount val="164"/>
                <c:pt idx="0">
                  <c:v>39169</c:v>
                </c:pt>
                <c:pt idx="1">
                  <c:v>39197</c:v>
                </c:pt>
                <c:pt idx="2">
                  <c:v>39232</c:v>
                </c:pt>
                <c:pt idx="3">
                  <c:v>39260</c:v>
                </c:pt>
                <c:pt idx="4">
                  <c:v>39288</c:v>
                </c:pt>
                <c:pt idx="5">
                  <c:v>39323</c:v>
                </c:pt>
                <c:pt idx="6">
                  <c:v>39351</c:v>
                </c:pt>
                <c:pt idx="7">
                  <c:v>39386</c:v>
                </c:pt>
                <c:pt idx="8">
                  <c:v>39414</c:v>
                </c:pt>
                <c:pt idx="9">
                  <c:v>39442</c:v>
                </c:pt>
                <c:pt idx="10">
                  <c:v>39477</c:v>
                </c:pt>
                <c:pt idx="11">
                  <c:v>39505</c:v>
                </c:pt>
                <c:pt idx="12">
                  <c:v>39533</c:v>
                </c:pt>
                <c:pt idx="13">
                  <c:v>39568</c:v>
                </c:pt>
                <c:pt idx="14">
                  <c:v>39596</c:v>
                </c:pt>
                <c:pt idx="15">
                  <c:v>39624</c:v>
                </c:pt>
                <c:pt idx="16">
                  <c:v>39659</c:v>
                </c:pt>
                <c:pt idx="17">
                  <c:v>39687</c:v>
                </c:pt>
                <c:pt idx="18">
                  <c:v>39715</c:v>
                </c:pt>
                <c:pt idx="19">
                  <c:v>39750</c:v>
                </c:pt>
                <c:pt idx="20">
                  <c:v>39778</c:v>
                </c:pt>
                <c:pt idx="21">
                  <c:v>39813</c:v>
                </c:pt>
                <c:pt idx="22">
                  <c:v>39841</c:v>
                </c:pt>
                <c:pt idx="23">
                  <c:v>39869</c:v>
                </c:pt>
                <c:pt idx="24">
                  <c:v>39897</c:v>
                </c:pt>
                <c:pt idx="25">
                  <c:v>39932</c:v>
                </c:pt>
                <c:pt idx="26">
                  <c:v>39960</c:v>
                </c:pt>
                <c:pt idx="27">
                  <c:v>39988</c:v>
                </c:pt>
                <c:pt idx="28">
                  <c:v>40023</c:v>
                </c:pt>
                <c:pt idx="29">
                  <c:v>40051</c:v>
                </c:pt>
                <c:pt idx="30">
                  <c:v>40086</c:v>
                </c:pt>
                <c:pt idx="31">
                  <c:v>40114</c:v>
                </c:pt>
                <c:pt idx="32">
                  <c:v>40142</c:v>
                </c:pt>
                <c:pt idx="33">
                  <c:v>40177</c:v>
                </c:pt>
                <c:pt idx="34">
                  <c:v>40205</c:v>
                </c:pt>
                <c:pt idx="35">
                  <c:v>40233</c:v>
                </c:pt>
                <c:pt idx="36">
                  <c:v>40268</c:v>
                </c:pt>
                <c:pt idx="37">
                  <c:v>40296</c:v>
                </c:pt>
                <c:pt idx="38">
                  <c:v>40324</c:v>
                </c:pt>
                <c:pt idx="39">
                  <c:v>40359</c:v>
                </c:pt>
                <c:pt idx="40">
                  <c:v>40387</c:v>
                </c:pt>
                <c:pt idx="41">
                  <c:v>40415</c:v>
                </c:pt>
                <c:pt idx="42">
                  <c:v>40450</c:v>
                </c:pt>
                <c:pt idx="43">
                  <c:v>40478</c:v>
                </c:pt>
                <c:pt idx="44">
                  <c:v>40506</c:v>
                </c:pt>
                <c:pt idx="45">
                  <c:v>40541</c:v>
                </c:pt>
                <c:pt idx="46">
                  <c:v>40569</c:v>
                </c:pt>
                <c:pt idx="47">
                  <c:v>40597</c:v>
                </c:pt>
                <c:pt idx="48">
                  <c:v>40632</c:v>
                </c:pt>
                <c:pt idx="49">
                  <c:v>40660</c:v>
                </c:pt>
                <c:pt idx="50">
                  <c:v>40688</c:v>
                </c:pt>
                <c:pt idx="51">
                  <c:v>40723</c:v>
                </c:pt>
                <c:pt idx="52">
                  <c:v>40751</c:v>
                </c:pt>
                <c:pt idx="53">
                  <c:v>40786</c:v>
                </c:pt>
                <c:pt idx="54">
                  <c:v>40814</c:v>
                </c:pt>
                <c:pt idx="55">
                  <c:v>40842</c:v>
                </c:pt>
                <c:pt idx="56">
                  <c:v>40877</c:v>
                </c:pt>
                <c:pt idx="57">
                  <c:v>40905</c:v>
                </c:pt>
                <c:pt idx="58">
                  <c:v>40933</c:v>
                </c:pt>
                <c:pt idx="59">
                  <c:v>40968</c:v>
                </c:pt>
                <c:pt idx="60">
                  <c:v>40996</c:v>
                </c:pt>
                <c:pt idx="61">
                  <c:v>41024</c:v>
                </c:pt>
                <c:pt idx="62">
                  <c:v>41059</c:v>
                </c:pt>
                <c:pt idx="63">
                  <c:v>41087</c:v>
                </c:pt>
                <c:pt idx="64">
                  <c:v>41115</c:v>
                </c:pt>
                <c:pt idx="65">
                  <c:v>41150</c:v>
                </c:pt>
                <c:pt idx="66">
                  <c:v>41178</c:v>
                </c:pt>
                <c:pt idx="67">
                  <c:v>41213</c:v>
                </c:pt>
                <c:pt idx="68">
                  <c:v>41241</c:v>
                </c:pt>
                <c:pt idx="69">
                  <c:v>41269</c:v>
                </c:pt>
                <c:pt idx="70">
                  <c:v>41304</c:v>
                </c:pt>
                <c:pt idx="71">
                  <c:v>41332</c:v>
                </c:pt>
                <c:pt idx="72">
                  <c:v>41360</c:v>
                </c:pt>
                <c:pt idx="73">
                  <c:v>41388</c:v>
                </c:pt>
                <c:pt idx="74">
                  <c:v>41423</c:v>
                </c:pt>
                <c:pt idx="75">
                  <c:v>41451</c:v>
                </c:pt>
                <c:pt idx="76">
                  <c:v>41486</c:v>
                </c:pt>
                <c:pt idx="77">
                  <c:v>41514</c:v>
                </c:pt>
                <c:pt idx="78">
                  <c:v>41542</c:v>
                </c:pt>
                <c:pt idx="79">
                  <c:v>41577</c:v>
                </c:pt>
                <c:pt idx="80">
                  <c:v>41605</c:v>
                </c:pt>
                <c:pt idx="81">
                  <c:v>41633</c:v>
                </c:pt>
                <c:pt idx="82">
                  <c:v>41668</c:v>
                </c:pt>
                <c:pt idx="83">
                  <c:v>41696</c:v>
                </c:pt>
                <c:pt idx="84">
                  <c:v>41724</c:v>
                </c:pt>
                <c:pt idx="85">
                  <c:v>41759</c:v>
                </c:pt>
                <c:pt idx="86">
                  <c:v>41787</c:v>
                </c:pt>
                <c:pt idx="87">
                  <c:v>41815</c:v>
                </c:pt>
                <c:pt idx="88">
                  <c:v>41850</c:v>
                </c:pt>
                <c:pt idx="89">
                  <c:v>41878</c:v>
                </c:pt>
                <c:pt idx="90">
                  <c:v>41906</c:v>
                </c:pt>
                <c:pt idx="91">
                  <c:v>41941</c:v>
                </c:pt>
                <c:pt idx="92">
                  <c:v>41969</c:v>
                </c:pt>
                <c:pt idx="93">
                  <c:v>42004</c:v>
                </c:pt>
                <c:pt idx="94">
                  <c:v>42032</c:v>
                </c:pt>
                <c:pt idx="95">
                  <c:v>42060</c:v>
                </c:pt>
                <c:pt idx="96">
                  <c:v>42088</c:v>
                </c:pt>
                <c:pt idx="97">
                  <c:v>42123</c:v>
                </c:pt>
                <c:pt idx="98">
                  <c:v>42151</c:v>
                </c:pt>
                <c:pt idx="99">
                  <c:v>42179</c:v>
                </c:pt>
                <c:pt idx="100">
                  <c:v>42214</c:v>
                </c:pt>
                <c:pt idx="101">
                  <c:v>42242</c:v>
                </c:pt>
                <c:pt idx="102">
                  <c:v>42277</c:v>
                </c:pt>
                <c:pt idx="103">
                  <c:v>42305</c:v>
                </c:pt>
                <c:pt idx="104">
                  <c:v>42333</c:v>
                </c:pt>
                <c:pt idx="105">
                  <c:v>42368</c:v>
                </c:pt>
                <c:pt idx="106">
                  <c:v>42396</c:v>
                </c:pt>
                <c:pt idx="107">
                  <c:v>42424</c:v>
                </c:pt>
                <c:pt idx="108">
                  <c:v>42459</c:v>
                </c:pt>
                <c:pt idx="109">
                  <c:v>42487</c:v>
                </c:pt>
                <c:pt idx="110">
                  <c:v>42515</c:v>
                </c:pt>
                <c:pt idx="111">
                  <c:v>42550</c:v>
                </c:pt>
                <c:pt idx="112">
                  <c:v>42578</c:v>
                </c:pt>
                <c:pt idx="113">
                  <c:v>42613</c:v>
                </c:pt>
                <c:pt idx="114">
                  <c:v>42641</c:v>
                </c:pt>
                <c:pt idx="115">
                  <c:v>42669</c:v>
                </c:pt>
                <c:pt idx="116">
                  <c:v>42704</c:v>
                </c:pt>
                <c:pt idx="117">
                  <c:v>42732</c:v>
                </c:pt>
                <c:pt idx="118">
                  <c:v>42760</c:v>
                </c:pt>
                <c:pt idx="119">
                  <c:v>42788</c:v>
                </c:pt>
                <c:pt idx="120">
                  <c:v>42823</c:v>
                </c:pt>
                <c:pt idx="121">
                  <c:v>42851</c:v>
                </c:pt>
                <c:pt idx="122">
                  <c:v>42886</c:v>
                </c:pt>
                <c:pt idx="123">
                  <c:v>42914</c:v>
                </c:pt>
                <c:pt idx="124">
                  <c:v>42942</c:v>
                </c:pt>
                <c:pt idx="125">
                  <c:v>42977</c:v>
                </c:pt>
                <c:pt idx="126">
                  <c:v>43005</c:v>
                </c:pt>
                <c:pt idx="127">
                  <c:v>43033</c:v>
                </c:pt>
                <c:pt idx="128">
                  <c:v>43068</c:v>
                </c:pt>
                <c:pt idx="129">
                  <c:v>43096</c:v>
                </c:pt>
                <c:pt idx="130">
                  <c:v>43131</c:v>
                </c:pt>
                <c:pt idx="131">
                  <c:v>43159</c:v>
                </c:pt>
                <c:pt idx="132">
                  <c:v>43187</c:v>
                </c:pt>
                <c:pt idx="133">
                  <c:v>43215</c:v>
                </c:pt>
                <c:pt idx="134">
                  <c:v>43250</c:v>
                </c:pt>
                <c:pt idx="135">
                  <c:v>43278</c:v>
                </c:pt>
                <c:pt idx="136">
                  <c:v>43306</c:v>
                </c:pt>
                <c:pt idx="137">
                  <c:v>43341</c:v>
                </c:pt>
                <c:pt idx="138">
                  <c:v>43369</c:v>
                </c:pt>
                <c:pt idx="139">
                  <c:v>43404</c:v>
                </c:pt>
                <c:pt idx="140">
                  <c:v>43432</c:v>
                </c:pt>
                <c:pt idx="141">
                  <c:v>43460</c:v>
                </c:pt>
                <c:pt idx="142">
                  <c:v>43495</c:v>
                </c:pt>
                <c:pt idx="143">
                  <c:v>43523</c:v>
                </c:pt>
                <c:pt idx="144">
                  <c:v>43551</c:v>
                </c:pt>
                <c:pt idx="145">
                  <c:v>43579</c:v>
                </c:pt>
                <c:pt idx="146">
                  <c:v>43614</c:v>
                </c:pt>
                <c:pt idx="147">
                  <c:v>43642</c:v>
                </c:pt>
                <c:pt idx="148">
                  <c:v>43677</c:v>
                </c:pt>
                <c:pt idx="149">
                  <c:v>43705</c:v>
                </c:pt>
                <c:pt idx="150">
                  <c:v>43733</c:v>
                </c:pt>
                <c:pt idx="151">
                  <c:v>43768</c:v>
                </c:pt>
                <c:pt idx="152">
                  <c:v>43796</c:v>
                </c:pt>
                <c:pt idx="153">
                  <c:v>43824</c:v>
                </c:pt>
                <c:pt idx="154">
                  <c:v>43859</c:v>
                </c:pt>
                <c:pt idx="155">
                  <c:v>43887</c:v>
                </c:pt>
                <c:pt idx="156">
                  <c:v>43915</c:v>
                </c:pt>
                <c:pt idx="157">
                  <c:v>43950</c:v>
                </c:pt>
                <c:pt idx="158">
                  <c:v>43978</c:v>
                </c:pt>
                <c:pt idx="159">
                  <c:v>44006</c:v>
                </c:pt>
                <c:pt idx="160">
                  <c:v>44041</c:v>
                </c:pt>
                <c:pt idx="161">
                  <c:v>44069</c:v>
                </c:pt>
                <c:pt idx="162">
                  <c:v>44104</c:v>
                </c:pt>
                <c:pt idx="163">
                  <c:v>44118</c:v>
                </c:pt>
              </c:numCache>
            </c:numRef>
          </c:cat>
          <c:val>
            <c:numRef>
              <c:f>Forecast_1m!$L$5:$L$168</c:f>
              <c:numCache>
                <c:formatCode>General</c:formatCode>
                <c:ptCount val="164"/>
                <c:pt idx="0">
                  <c:v>-1.4569798076398764E-2</c:v>
                </c:pt>
                <c:pt idx="1">
                  <c:v>-1.9500862789810013E-2</c:v>
                </c:pt>
                <c:pt idx="2">
                  <c:v>-2.3538370156913745E-2</c:v>
                </c:pt>
                <c:pt idx="3">
                  <c:v>-2.1616840056514663E-2</c:v>
                </c:pt>
                <c:pt idx="4">
                  <c:v>-1.1887542967808883E-2</c:v>
                </c:pt>
                <c:pt idx="5">
                  <c:v>-1.2250876912177059E-2</c:v>
                </c:pt>
                <c:pt idx="6">
                  <c:v>-1.7958120418368528E-2</c:v>
                </c:pt>
                <c:pt idx="7">
                  <c:v>-1.6959442494051749E-2</c:v>
                </c:pt>
                <c:pt idx="8">
                  <c:v>-2.1364891450303965E-2</c:v>
                </c:pt>
                <c:pt idx="9">
                  <c:v>-2.3992276328749163E-2</c:v>
                </c:pt>
                <c:pt idx="10">
                  <c:v>-2.8780503669982888E-2</c:v>
                </c:pt>
                <c:pt idx="11">
                  <c:v>-3.2122705550766885E-2</c:v>
                </c:pt>
                <c:pt idx="12">
                  <c:v>-4.9663906614089155E-2</c:v>
                </c:pt>
                <c:pt idx="13">
                  <c:v>-5.3399697312070213E-2</c:v>
                </c:pt>
                <c:pt idx="14">
                  <c:v>-5.4516776383863375E-2</c:v>
                </c:pt>
                <c:pt idx="15">
                  <c:v>-3.6556732566631459E-2</c:v>
                </c:pt>
                <c:pt idx="16">
                  <c:v>-3.0466930299152335E-2</c:v>
                </c:pt>
                <c:pt idx="17">
                  <c:v>-2.4523270584551705E-2</c:v>
                </c:pt>
                <c:pt idx="18">
                  <c:v>-2.9012476766126276E-2</c:v>
                </c:pt>
                <c:pt idx="19">
                  <c:v>-3.4742515549614834E-2</c:v>
                </c:pt>
                <c:pt idx="20">
                  <c:v>-3.0565044162199684E-2</c:v>
                </c:pt>
                <c:pt idx="21">
                  <c:v>-4.2791824352908805E-2</c:v>
                </c:pt>
                <c:pt idx="22">
                  <c:v>-3.596728550727761E-2</c:v>
                </c:pt>
                <c:pt idx="23">
                  <c:v>-3.3236389755663613E-2</c:v>
                </c:pt>
                <c:pt idx="24">
                  <c:v>-4.423178691908896E-2</c:v>
                </c:pt>
                <c:pt idx="25">
                  <c:v>-3.8586000019386391E-2</c:v>
                </c:pt>
                <c:pt idx="26">
                  <c:v>-5.0682271229788516E-2</c:v>
                </c:pt>
                <c:pt idx="27">
                  <c:v>-4.8338501565048479E-2</c:v>
                </c:pt>
                <c:pt idx="28">
                  <c:v>-5.3393970169733539E-2</c:v>
                </c:pt>
                <c:pt idx="29">
                  <c:v>-3.8614525527983376E-2</c:v>
                </c:pt>
                <c:pt idx="30">
                  <c:v>-4.3778205153135998E-2</c:v>
                </c:pt>
                <c:pt idx="31">
                  <c:v>-4.1437119955136194E-2</c:v>
                </c:pt>
                <c:pt idx="32">
                  <c:v>-4.2899774639982909E-2</c:v>
                </c:pt>
                <c:pt idx="33">
                  <c:v>-4.6330460030306157E-2</c:v>
                </c:pt>
                <c:pt idx="34">
                  <c:v>-5.7404201422624458E-2</c:v>
                </c:pt>
                <c:pt idx="35">
                  <c:v>-4.6355002317445611E-2</c:v>
                </c:pt>
                <c:pt idx="36">
                  <c:v>-5.1223983084040497E-2</c:v>
                </c:pt>
                <c:pt idx="37">
                  <c:v>-5.8558305449218209E-2</c:v>
                </c:pt>
                <c:pt idx="38">
                  <c:v>-5.9114596006162312E-2</c:v>
                </c:pt>
                <c:pt idx="39">
                  <c:v>-5.472353882760652E-2</c:v>
                </c:pt>
                <c:pt idx="40">
                  <c:v>-5.1812816161904834E-2</c:v>
                </c:pt>
                <c:pt idx="41">
                  <c:v>-5.7303758614320223E-2</c:v>
                </c:pt>
                <c:pt idx="42">
                  <c:v>-6.2085996588820455E-2</c:v>
                </c:pt>
                <c:pt idx="43">
                  <c:v>-5.8639014013582021E-2</c:v>
                </c:pt>
                <c:pt idx="44">
                  <c:v>-6.5748297525080351E-2</c:v>
                </c:pt>
                <c:pt idx="45">
                  <c:v>-7.3487411827154292E-2</c:v>
                </c:pt>
                <c:pt idx="46">
                  <c:v>-7.2393100077002517E-2</c:v>
                </c:pt>
                <c:pt idx="47">
                  <c:v>-6.4370452753242047E-2</c:v>
                </c:pt>
                <c:pt idx="48">
                  <c:v>-6.8028236920012933E-2</c:v>
                </c:pt>
                <c:pt idx="49">
                  <c:v>-6.0591805626593914E-2</c:v>
                </c:pt>
                <c:pt idx="50">
                  <c:v>-5.7429601632629418E-2</c:v>
                </c:pt>
                <c:pt idx="51">
                  <c:v>-6.3251897496457196E-2</c:v>
                </c:pt>
                <c:pt idx="52">
                  <c:v>-6.5853736237237739E-2</c:v>
                </c:pt>
                <c:pt idx="53">
                  <c:v>-7.1849803378243648E-2</c:v>
                </c:pt>
                <c:pt idx="54">
                  <c:v>-7.362443815692768E-2</c:v>
                </c:pt>
                <c:pt idx="55">
                  <c:v>-7.3594475977688312E-2</c:v>
                </c:pt>
                <c:pt idx="56">
                  <c:v>-6.1024329315906144E-2</c:v>
                </c:pt>
                <c:pt idx="57">
                  <c:v>-5.9938743307219482E-2</c:v>
                </c:pt>
                <c:pt idx="58">
                  <c:v>-5.8549518301350266E-2</c:v>
                </c:pt>
                <c:pt idx="59">
                  <c:v>-5.5318567166620022E-2</c:v>
                </c:pt>
                <c:pt idx="60">
                  <c:v>-6.4773762657851341E-2</c:v>
                </c:pt>
                <c:pt idx="61">
                  <c:v>-6.1705412040313927E-2</c:v>
                </c:pt>
                <c:pt idx="62">
                  <c:v>-6.2229180913165212E-2</c:v>
                </c:pt>
                <c:pt idx="63">
                  <c:v>-6.3774448188630081E-2</c:v>
                </c:pt>
                <c:pt idx="64">
                  <c:v>-5.5847542813598244E-2</c:v>
                </c:pt>
                <c:pt idx="65">
                  <c:v>-5.3919497371402753E-2</c:v>
                </c:pt>
                <c:pt idx="66">
                  <c:v>-5.4733206494490358E-2</c:v>
                </c:pt>
                <c:pt idx="67">
                  <c:v>-5.8458653456858314E-2</c:v>
                </c:pt>
                <c:pt idx="68">
                  <c:v>-5.9931816800980205E-2</c:v>
                </c:pt>
                <c:pt idx="69">
                  <c:v>-5.8691803081012163E-2</c:v>
                </c:pt>
                <c:pt idx="70">
                  <c:v>-5.8395673841571544E-2</c:v>
                </c:pt>
                <c:pt idx="71">
                  <c:v>-5.8665531031786344E-2</c:v>
                </c:pt>
                <c:pt idx="72">
                  <c:v>-6.2416331880028618E-2</c:v>
                </c:pt>
                <c:pt idx="73">
                  <c:v>-6.3682791740837588E-2</c:v>
                </c:pt>
                <c:pt idx="74">
                  <c:v>-6.399536619195513E-2</c:v>
                </c:pt>
                <c:pt idx="75">
                  <c:v>-6.1287743552008202E-2</c:v>
                </c:pt>
                <c:pt idx="76">
                  <c:v>-6.2782084757650708E-2</c:v>
                </c:pt>
                <c:pt idx="77">
                  <c:v>-6.0386430346226157E-2</c:v>
                </c:pt>
                <c:pt idx="78">
                  <c:v>-6.2983522597527708E-2</c:v>
                </c:pt>
                <c:pt idx="79">
                  <c:v>-5.8661915578784078E-2</c:v>
                </c:pt>
                <c:pt idx="80">
                  <c:v>-6.1639887981647837E-2</c:v>
                </c:pt>
                <c:pt idx="81">
                  <c:v>-6.5107537709568578E-2</c:v>
                </c:pt>
                <c:pt idx="82">
                  <c:v>-6.8355283437400605E-2</c:v>
                </c:pt>
                <c:pt idx="83">
                  <c:v>-6.0132349045319673E-2</c:v>
                </c:pt>
                <c:pt idx="84">
                  <c:v>-5.8543010042549776E-2</c:v>
                </c:pt>
                <c:pt idx="85">
                  <c:v>-6.0296384717174474E-2</c:v>
                </c:pt>
                <c:pt idx="86">
                  <c:v>-5.0852496393653801E-2</c:v>
                </c:pt>
                <c:pt idx="87">
                  <c:v>-5.2796316813529885E-2</c:v>
                </c:pt>
                <c:pt idx="88">
                  <c:v>-5.3659644229386357E-2</c:v>
                </c:pt>
                <c:pt idx="89">
                  <c:v>-4.9994737019732803E-2</c:v>
                </c:pt>
                <c:pt idx="90">
                  <c:v>-4.2986648838711387E-2</c:v>
                </c:pt>
                <c:pt idx="91">
                  <c:v>-4.0637413066085495E-2</c:v>
                </c:pt>
                <c:pt idx="92">
                  <c:v>-3.9296880807752003E-2</c:v>
                </c:pt>
                <c:pt idx="93">
                  <c:v>-4.0279797575299293E-2</c:v>
                </c:pt>
                <c:pt idx="94">
                  <c:v>-3.8633609313574901E-2</c:v>
                </c:pt>
                <c:pt idx="95">
                  <c:v>-2.781933968276161E-2</c:v>
                </c:pt>
                <c:pt idx="96">
                  <c:v>-2.9446092120452343E-2</c:v>
                </c:pt>
                <c:pt idx="97">
                  <c:v>-2.9422552434774384E-2</c:v>
                </c:pt>
                <c:pt idx="98">
                  <c:v>-3.0042863486303507E-2</c:v>
                </c:pt>
                <c:pt idx="99">
                  <c:v>-3.6570442199090808E-2</c:v>
                </c:pt>
                <c:pt idx="100">
                  <c:v>-3.6396366146060954E-2</c:v>
                </c:pt>
                <c:pt idx="101">
                  <c:v>-3.949472103324031E-2</c:v>
                </c:pt>
                <c:pt idx="102">
                  <c:v>-3.6218248004470543E-2</c:v>
                </c:pt>
                <c:pt idx="103">
                  <c:v>-3.8470334772074358E-2</c:v>
                </c:pt>
                <c:pt idx="104">
                  <c:v>-4.0209995784029375E-2</c:v>
                </c:pt>
                <c:pt idx="105">
                  <c:v>-3.7410971538857266E-2</c:v>
                </c:pt>
                <c:pt idx="106">
                  <c:v>-3.4370935319474917E-2</c:v>
                </c:pt>
                <c:pt idx="107">
                  <c:v>-3.0860764084252007E-2</c:v>
                </c:pt>
                <c:pt idx="108">
                  <c:v>-3.7729282201012612E-2</c:v>
                </c:pt>
                <c:pt idx="109">
                  <c:v>-3.9151264964889659E-2</c:v>
                </c:pt>
                <c:pt idx="110">
                  <c:v>-3.7982693528125069E-2</c:v>
                </c:pt>
                <c:pt idx="111">
                  <c:v>-3.7733009888292368E-2</c:v>
                </c:pt>
                <c:pt idx="112">
                  <c:v>-3.5119204709310972E-2</c:v>
                </c:pt>
                <c:pt idx="113">
                  <c:v>-3.8053971674246921E-2</c:v>
                </c:pt>
                <c:pt idx="114">
                  <c:v>-3.3039292794801119E-2</c:v>
                </c:pt>
                <c:pt idx="115">
                  <c:v>-3.0164579897450375E-2</c:v>
                </c:pt>
                <c:pt idx="116">
                  <c:v>-3.3095739729602558E-2</c:v>
                </c:pt>
                <c:pt idx="117">
                  <c:v>-3.4283510883134437E-2</c:v>
                </c:pt>
                <c:pt idx="118">
                  <c:v>-3.0342899302941245E-2</c:v>
                </c:pt>
                <c:pt idx="119">
                  <c:v>-2.636044116335105E-2</c:v>
                </c:pt>
                <c:pt idx="120">
                  <c:v>-2.7643672538562737E-2</c:v>
                </c:pt>
                <c:pt idx="121">
                  <c:v>-2.8554522254179111E-2</c:v>
                </c:pt>
                <c:pt idx="122">
                  <c:v>-2.8083310162465958E-2</c:v>
                </c:pt>
                <c:pt idx="123">
                  <c:v>-3.1358418180608895E-2</c:v>
                </c:pt>
                <c:pt idx="124">
                  <c:v>-3.2228756525736077E-2</c:v>
                </c:pt>
                <c:pt idx="125">
                  <c:v>-2.9433941099193305E-2</c:v>
                </c:pt>
                <c:pt idx="126">
                  <c:v>-3.1670117637816006E-2</c:v>
                </c:pt>
                <c:pt idx="127">
                  <c:v>-3.0541801142905525E-2</c:v>
                </c:pt>
                <c:pt idx="128">
                  <c:v>-2.7242345040330906E-2</c:v>
                </c:pt>
                <c:pt idx="129">
                  <c:v>-2.6358149288617971E-2</c:v>
                </c:pt>
                <c:pt idx="130">
                  <c:v>-2.2015952050819531E-2</c:v>
                </c:pt>
                <c:pt idx="131">
                  <c:v>-1.6676094428158018E-2</c:v>
                </c:pt>
                <c:pt idx="132">
                  <c:v>-1.1744673706575261E-2</c:v>
                </c:pt>
                <c:pt idx="133">
                  <c:v>-1.1957296979846568E-2</c:v>
                </c:pt>
                <c:pt idx="134">
                  <c:v>-1.155444771495839E-2</c:v>
                </c:pt>
                <c:pt idx="135">
                  <c:v>-8.8640150191696757E-3</c:v>
                </c:pt>
                <c:pt idx="136">
                  <c:v>-1.0076108189421657E-2</c:v>
                </c:pt>
                <c:pt idx="137">
                  <c:v>-7.3004302693571894E-3</c:v>
                </c:pt>
                <c:pt idx="138">
                  <c:v>-7.2285057414834212E-3</c:v>
                </c:pt>
                <c:pt idx="139">
                  <c:v>-5.8546944144826276E-3</c:v>
                </c:pt>
                <c:pt idx="140">
                  <c:v>-4.2991679060373975E-3</c:v>
                </c:pt>
                <c:pt idx="141">
                  <c:v>-9.8886061757312849E-3</c:v>
                </c:pt>
                <c:pt idx="142">
                  <c:v>-1.2730534017717506E-2</c:v>
                </c:pt>
                <c:pt idx="143">
                  <c:v>-1.5300162735693484E-2</c:v>
                </c:pt>
                <c:pt idx="144">
                  <c:v>-1.8956793463428007E-2</c:v>
                </c:pt>
                <c:pt idx="145">
                  <c:v>-2.0380489181260956E-2</c:v>
                </c:pt>
                <c:pt idx="146">
                  <c:v>-2.6197400817667842E-2</c:v>
                </c:pt>
                <c:pt idx="147">
                  <c:v>-2.3538923669549794E-2</c:v>
                </c:pt>
                <c:pt idx="148">
                  <c:v>-2.7609164164735935E-2</c:v>
                </c:pt>
                <c:pt idx="149">
                  <c:v>-3.2068478593037186E-2</c:v>
                </c:pt>
                <c:pt idx="150">
                  <c:v>-3.0321485655459821E-2</c:v>
                </c:pt>
                <c:pt idx="151">
                  <c:v>-2.8081039601856338E-2</c:v>
                </c:pt>
                <c:pt idx="152">
                  <c:v>-2.7707573008097876E-2</c:v>
                </c:pt>
                <c:pt idx="153">
                  <c:v>-2.6574178936084474E-2</c:v>
                </c:pt>
                <c:pt idx="154">
                  <c:v>-2.4636488832815252E-2</c:v>
                </c:pt>
                <c:pt idx="155">
                  <c:v>-2.430088273106774E-2</c:v>
                </c:pt>
                <c:pt idx="156">
                  <c:v>-2.7393672156634453E-2</c:v>
                </c:pt>
                <c:pt idx="157">
                  <c:v>-2.9806285914607513E-2</c:v>
                </c:pt>
                <c:pt idx="158">
                  <c:v>-2.7549868417943876E-2</c:v>
                </c:pt>
                <c:pt idx="159">
                  <c:v>-3.0245986204007716E-2</c:v>
                </c:pt>
                <c:pt idx="160">
                  <c:v>-3.5653860345823539E-2</c:v>
                </c:pt>
                <c:pt idx="161">
                  <c:v>-3.7008624789941956E-2</c:v>
                </c:pt>
                <c:pt idx="162">
                  <c:v>-3.3064200852599583E-2</c:v>
                </c:pt>
                <c:pt idx="163">
                  <c:v>-3.5592476501572622E-2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C2-4482-A8E3-0C55F555C7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3852927"/>
        <c:axId val="194751631"/>
      </c:lineChart>
      <c:dateAx>
        <c:axId val="6138529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m/yy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751631"/>
        <c:crosses val="autoZero"/>
        <c:auto val="1"/>
        <c:lblOffset val="100"/>
        <c:baseTimeUnit val="days"/>
      </c:dateAx>
      <c:valAx>
        <c:axId val="194751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Beta</a:t>
                </a:r>
                <a:r>
                  <a:rPr lang="en-US" baseline="0"/>
                  <a:t> 3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852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Beta</a:t>
            </a:r>
            <a:r>
              <a:rPr lang="en-US" baseline="0"/>
              <a:t> 4 - Actual Vs 2 Month Forecast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B4 - Actual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Forecast_1m!$A$5:$A$168</c:f>
              <c:numCache>
                <c:formatCode>dd/mm/yyyy</c:formatCode>
                <c:ptCount val="164"/>
                <c:pt idx="0">
                  <c:v>39169</c:v>
                </c:pt>
                <c:pt idx="1">
                  <c:v>39197</c:v>
                </c:pt>
                <c:pt idx="2">
                  <c:v>39232</c:v>
                </c:pt>
                <c:pt idx="3">
                  <c:v>39260</c:v>
                </c:pt>
                <c:pt idx="4">
                  <c:v>39288</c:v>
                </c:pt>
                <c:pt idx="5">
                  <c:v>39323</c:v>
                </c:pt>
                <c:pt idx="6">
                  <c:v>39351</c:v>
                </c:pt>
                <c:pt idx="7">
                  <c:v>39386</c:v>
                </c:pt>
                <c:pt idx="8">
                  <c:v>39414</c:v>
                </c:pt>
                <c:pt idx="9">
                  <c:v>39442</c:v>
                </c:pt>
                <c:pt idx="10">
                  <c:v>39477</c:v>
                </c:pt>
                <c:pt idx="11">
                  <c:v>39505</c:v>
                </c:pt>
                <c:pt idx="12">
                  <c:v>39533</c:v>
                </c:pt>
                <c:pt idx="13">
                  <c:v>39568</c:v>
                </c:pt>
                <c:pt idx="14">
                  <c:v>39596</c:v>
                </c:pt>
                <c:pt idx="15">
                  <c:v>39624</c:v>
                </c:pt>
                <c:pt idx="16">
                  <c:v>39659</c:v>
                </c:pt>
                <c:pt idx="17">
                  <c:v>39687</c:v>
                </c:pt>
                <c:pt idx="18">
                  <c:v>39715</c:v>
                </c:pt>
                <c:pt idx="19">
                  <c:v>39750</c:v>
                </c:pt>
                <c:pt idx="20">
                  <c:v>39778</c:v>
                </c:pt>
                <c:pt idx="21">
                  <c:v>39813</c:v>
                </c:pt>
                <c:pt idx="22">
                  <c:v>39841</c:v>
                </c:pt>
                <c:pt idx="23">
                  <c:v>39869</c:v>
                </c:pt>
                <c:pt idx="24">
                  <c:v>39897</c:v>
                </c:pt>
                <c:pt idx="25">
                  <c:v>39932</c:v>
                </c:pt>
                <c:pt idx="26">
                  <c:v>39960</c:v>
                </c:pt>
                <c:pt idx="27">
                  <c:v>39988</c:v>
                </c:pt>
                <c:pt idx="28">
                  <c:v>40023</c:v>
                </c:pt>
                <c:pt idx="29">
                  <c:v>40051</c:v>
                </c:pt>
                <c:pt idx="30">
                  <c:v>40086</c:v>
                </c:pt>
                <c:pt idx="31">
                  <c:v>40114</c:v>
                </c:pt>
                <c:pt idx="32">
                  <c:v>40142</c:v>
                </c:pt>
                <c:pt idx="33">
                  <c:v>40177</c:v>
                </c:pt>
                <c:pt idx="34">
                  <c:v>40205</c:v>
                </c:pt>
                <c:pt idx="35">
                  <c:v>40233</c:v>
                </c:pt>
                <c:pt idx="36">
                  <c:v>40268</c:v>
                </c:pt>
                <c:pt idx="37">
                  <c:v>40296</c:v>
                </c:pt>
                <c:pt idx="38">
                  <c:v>40324</c:v>
                </c:pt>
                <c:pt idx="39">
                  <c:v>40359</c:v>
                </c:pt>
                <c:pt idx="40">
                  <c:v>40387</c:v>
                </c:pt>
                <c:pt idx="41">
                  <c:v>40415</c:v>
                </c:pt>
                <c:pt idx="42">
                  <c:v>40450</c:v>
                </c:pt>
                <c:pt idx="43">
                  <c:v>40478</c:v>
                </c:pt>
                <c:pt idx="44">
                  <c:v>40506</c:v>
                </c:pt>
                <c:pt idx="45">
                  <c:v>40541</c:v>
                </c:pt>
                <c:pt idx="46">
                  <c:v>40569</c:v>
                </c:pt>
                <c:pt idx="47">
                  <c:v>40597</c:v>
                </c:pt>
                <c:pt idx="48">
                  <c:v>40632</c:v>
                </c:pt>
                <c:pt idx="49">
                  <c:v>40660</c:v>
                </c:pt>
                <c:pt idx="50">
                  <c:v>40688</c:v>
                </c:pt>
                <c:pt idx="51">
                  <c:v>40723</c:v>
                </c:pt>
                <c:pt idx="52">
                  <c:v>40751</c:v>
                </c:pt>
                <c:pt idx="53">
                  <c:v>40786</c:v>
                </c:pt>
                <c:pt idx="54">
                  <c:v>40814</c:v>
                </c:pt>
                <c:pt idx="55">
                  <c:v>40842</c:v>
                </c:pt>
                <c:pt idx="56">
                  <c:v>40877</c:v>
                </c:pt>
                <c:pt idx="57">
                  <c:v>40905</c:v>
                </c:pt>
                <c:pt idx="58">
                  <c:v>40933</c:v>
                </c:pt>
                <c:pt idx="59">
                  <c:v>40968</c:v>
                </c:pt>
                <c:pt idx="60">
                  <c:v>40996</c:v>
                </c:pt>
                <c:pt idx="61">
                  <c:v>41024</c:v>
                </c:pt>
                <c:pt idx="62">
                  <c:v>41059</c:v>
                </c:pt>
                <c:pt idx="63">
                  <c:v>41087</c:v>
                </c:pt>
                <c:pt idx="64">
                  <c:v>41115</c:v>
                </c:pt>
                <c:pt idx="65">
                  <c:v>41150</c:v>
                </c:pt>
                <c:pt idx="66">
                  <c:v>41178</c:v>
                </c:pt>
                <c:pt idx="67">
                  <c:v>41213</c:v>
                </c:pt>
                <c:pt idx="68">
                  <c:v>41241</c:v>
                </c:pt>
                <c:pt idx="69">
                  <c:v>41269</c:v>
                </c:pt>
                <c:pt idx="70">
                  <c:v>41304</c:v>
                </c:pt>
                <c:pt idx="71">
                  <c:v>41332</c:v>
                </c:pt>
                <c:pt idx="72">
                  <c:v>41360</c:v>
                </c:pt>
                <c:pt idx="73">
                  <c:v>41388</c:v>
                </c:pt>
                <c:pt idx="74">
                  <c:v>41423</c:v>
                </c:pt>
                <c:pt idx="75">
                  <c:v>41451</c:v>
                </c:pt>
                <c:pt idx="76">
                  <c:v>41486</c:v>
                </c:pt>
                <c:pt idx="77">
                  <c:v>41514</c:v>
                </c:pt>
                <c:pt idx="78">
                  <c:v>41542</c:v>
                </c:pt>
                <c:pt idx="79">
                  <c:v>41577</c:v>
                </c:pt>
                <c:pt idx="80">
                  <c:v>41605</c:v>
                </c:pt>
                <c:pt idx="81">
                  <c:v>41633</c:v>
                </c:pt>
                <c:pt idx="82">
                  <c:v>41668</c:v>
                </c:pt>
                <c:pt idx="83">
                  <c:v>41696</c:v>
                </c:pt>
                <c:pt idx="84">
                  <c:v>41724</c:v>
                </c:pt>
                <c:pt idx="85">
                  <c:v>41759</c:v>
                </c:pt>
                <c:pt idx="86">
                  <c:v>41787</c:v>
                </c:pt>
                <c:pt idx="87">
                  <c:v>41815</c:v>
                </c:pt>
                <c:pt idx="88">
                  <c:v>41850</c:v>
                </c:pt>
                <c:pt idx="89">
                  <c:v>41878</c:v>
                </c:pt>
                <c:pt idx="90">
                  <c:v>41906</c:v>
                </c:pt>
                <c:pt idx="91">
                  <c:v>41941</c:v>
                </c:pt>
                <c:pt idx="92">
                  <c:v>41969</c:v>
                </c:pt>
                <c:pt idx="93">
                  <c:v>42004</c:v>
                </c:pt>
                <c:pt idx="94">
                  <c:v>42032</c:v>
                </c:pt>
                <c:pt idx="95">
                  <c:v>42060</c:v>
                </c:pt>
                <c:pt idx="96">
                  <c:v>42088</c:v>
                </c:pt>
                <c:pt idx="97">
                  <c:v>42123</c:v>
                </c:pt>
                <c:pt idx="98">
                  <c:v>42151</c:v>
                </c:pt>
                <c:pt idx="99">
                  <c:v>42179</c:v>
                </c:pt>
                <c:pt idx="100">
                  <c:v>42214</c:v>
                </c:pt>
                <c:pt idx="101">
                  <c:v>42242</c:v>
                </c:pt>
                <c:pt idx="102">
                  <c:v>42277</c:v>
                </c:pt>
                <c:pt idx="103">
                  <c:v>42305</c:v>
                </c:pt>
                <c:pt idx="104">
                  <c:v>42333</c:v>
                </c:pt>
                <c:pt idx="105">
                  <c:v>42368</c:v>
                </c:pt>
                <c:pt idx="106">
                  <c:v>42396</c:v>
                </c:pt>
                <c:pt idx="107">
                  <c:v>42424</c:v>
                </c:pt>
                <c:pt idx="108">
                  <c:v>42459</c:v>
                </c:pt>
                <c:pt idx="109">
                  <c:v>42487</c:v>
                </c:pt>
                <c:pt idx="110">
                  <c:v>42515</c:v>
                </c:pt>
                <c:pt idx="111">
                  <c:v>42550</c:v>
                </c:pt>
                <c:pt idx="112">
                  <c:v>42578</c:v>
                </c:pt>
                <c:pt idx="113">
                  <c:v>42613</c:v>
                </c:pt>
                <c:pt idx="114">
                  <c:v>42641</c:v>
                </c:pt>
                <c:pt idx="115">
                  <c:v>42669</c:v>
                </c:pt>
                <c:pt idx="116">
                  <c:v>42704</c:v>
                </c:pt>
                <c:pt idx="117">
                  <c:v>42732</c:v>
                </c:pt>
                <c:pt idx="118">
                  <c:v>42760</c:v>
                </c:pt>
                <c:pt idx="119">
                  <c:v>42788</c:v>
                </c:pt>
                <c:pt idx="120">
                  <c:v>42823</c:v>
                </c:pt>
                <c:pt idx="121">
                  <c:v>42851</c:v>
                </c:pt>
                <c:pt idx="122">
                  <c:v>42886</c:v>
                </c:pt>
                <c:pt idx="123">
                  <c:v>42914</c:v>
                </c:pt>
                <c:pt idx="124">
                  <c:v>42942</c:v>
                </c:pt>
                <c:pt idx="125">
                  <c:v>42977</c:v>
                </c:pt>
                <c:pt idx="126">
                  <c:v>43005</c:v>
                </c:pt>
                <c:pt idx="127">
                  <c:v>43033</c:v>
                </c:pt>
                <c:pt idx="128">
                  <c:v>43068</c:v>
                </c:pt>
                <c:pt idx="129">
                  <c:v>43096</c:v>
                </c:pt>
                <c:pt idx="130">
                  <c:v>43131</c:v>
                </c:pt>
                <c:pt idx="131">
                  <c:v>43159</c:v>
                </c:pt>
                <c:pt idx="132">
                  <c:v>43187</c:v>
                </c:pt>
                <c:pt idx="133">
                  <c:v>43215</c:v>
                </c:pt>
                <c:pt idx="134">
                  <c:v>43250</c:v>
                </c:pt>
                <c:pt idx="135">
                  <c:v>43278</c:v>
                </c:pt>
                <c:pt idx="136">
                  <c:v>43306</c:v>
                </c:pt>
                <c:pt idx="137">
                  <c:v>43341</c:v>
                </c:pt>
                <c:pt idx="138">
                  <c:v>43369</c:v>
                </c:pt>
                <c:pt idx="139">
                  <c:v>43404</c:v>
                </c:pt>
                <c:pt idx="140">
                  <c:v>43432</c:v>
                </c:pt>
                <c:pt idx="141">
                  <c:v>43460</c:v>
                </c:pt>
                <c:pt idx="142">
                  <c:v>43495</c:v>
                </c:pt>
                <c:pt idx="143">
                  <c:v>43523</c:v>
                </c:pt>
                <c:pt idx="144">
                  <c:v>43551</c:v>
                </c:pt>
                <c:pt idx="145">
                  <c:v>43579</c:v>
                </c:pt>
                <c:pt idx="146">
                  <c:v>43614</c:v>
                </c:pt>
                <c:pt idx="147">
                  <c:v>43642</c:v>
                </c:pt>
                <c:pt idx="148">
                  <c:v>43677</c:v>
                </c:pt>
                <c:pt idx="149">
                  <c:v>43705</c:v>
                </c:pt>
                <c:pt idx="150">
                  <c:v>43733</c:v>
                </c:pt>
                <c:pt idx="151">
                  <c:v>43768</c:v>
                </c:pt>
                <c:pt idx="152">
                  <c:v>43796</c:v>
                </c:pt>
                <c:pt idx="153">
                  <c:v>43824</c:v>
                </c:pt>
                <c:pt idx="154">
                  <c:v>43859</c:v>
                </c:pt>
                <c:pt idx="155">
                  <c:v>43887</c:v>
                </c:pt>
                <c:pt idx="156">
                  <c:v>43915</c:v>
                </c:pt>
                <c:pt idx="157">
                  <c:v>43950</c:v>
                </c:pt>
                <c:pt idx="158">
                  <c:v>43978</c:v>
                </c:pt>
                <c:pt idx="159">
                  <c:v>44006</c:v>
                </c:pt>
                <c:pt idx="160">
                  <c:v>44041</c:v>
                </c:pt>
                <c:pt idx="161">
                  <c:v>44069</c:v>
                </c:pt>
                <c:pt idx="162">
                  <c:v>44104</c:v>
                </c:pt>
                <c:pt idx="163">
                  <c:v>44118</c:v>
                </c:pt>
              </c:numCache>
            </c:numRef>
          </c:cat>
          <c:val>
            <c:numRef>
              <c:f>Forecast_1m!$E$5:$E$168</c:f>
              <c:numCache>
                <c:formatCode>General</c:formatCode>
                <c:ptCount val="164"/>
                <c:pt idx="0">
                  <c:v>9.4299747919412893E-3</c:v>
                </c:pt>
                <c:pt idx="1">
                  <c:v>1.09490639486117E-2</c:v>
                </c:pt>
                <c:pt idx="2">
                  <c:v>6.3465321953203296E-3</c:v>
                </c:pt>
                <c:pt idx="3">
                  <c:v>1.49327570039514E-2</c:v>
                </c:pt>
                <c:pt idx="4">
                  <c:v>1.9951481212161601E-2</c:v>
                </c:pt>
                <c:pt idx="5">
                  <c:v>3.59383269158969E-3</c:v>
                </c:pt>
                <c:pt idx="6">
                  <c:v>1.7319300329978998E-2</c:v>
                </c:pt>
                <c:pt idx="7">
                  <c:v>2.22701878449535E-2</c:v>
                </c:pt>
                <c:pt idx="8">
                  <c:v>2.80050639625825E-2</c:v>
                </c:pt>
                <c:pt idx="9">
                  <c:v>3.0044321162910999E-2</c:v>
                </c:pt>
                <c:pt idx="10">
                  <c:v>2.9533091509634402E-2</c:v>
                </c:pt>
                <c:pt idx="11">
                  <c:v>3.4799152989331797E-2</c:v>
                </c:pt>
                <c:pt idx="12">
                  <c:v>3.2761219135476603E-2</c:v>
                </c:pt>
                <c:pt idx="13">
                  <c:v>2.3312120974840499E-2</c:v>
                </c:pt>
                <c:pt idx="14">
                  <c:v>2.1106991555516302E-2</c:v>
                </c:pt>
                <c:pt idx="15">
                  <c:v>2.7842345786205699E-2</c:v>
                </c:pt>
                <c:pt idx="16">
                  <c:v>2.4553799752414299E-2</c:v>
                </c:pt>
                <c:pt idx="17">
                  <c:v>2.6533156277649201E-2</c:v>
                </c:pt>
                <c:pt idx="18">
                  <c:v>3.4858594485285298E-2</c:v>
                </c:pt>
                <c:pt idx="19">
                  <c:v>0.122361555623085</c:v>
                </c:pt>
                <c:pt idx="20">
                  <c:v>6.4667254732645799E-2</c:v>
                </c:pt>
                <c:pt idx="21">
                  <c:v>9.8136783393568405E-2</c:v>
                </c:pt>
                <c:pt idx="22">
                  <c:v>7.2672947917895206E-2</c:v>
                </c:pt>
                <c:pt idx="23">
                  <c:v>7.7255384344296796E-2</c:v>
                </c:pt>
                <c:pt idx="24">
                  <c:v>4.5742367867806701E-2</c:v>
                </c:pt>
                <c:pt idx="25">
                  <c:v>4.71692209525678E-2</c:v>
                </c:pt>
                <c:pt idx="26">
                  <c:v>5.9115618917687497E-2</c:v>
                </c:pt>
                <c:pt idx="27">
                  <c:v>7.3266471897754495E-2</c:v>
                </c:pt>
                <c:pt idx="28">
                  <c:v>5.8055126275642799E-2</c:v>
                </c:pt>
                <c:pt idx="29">
                  <c:v>5.3036710082818198E-2</c:v>
                </c:pt>
                <c:pt idx="30">
                  <c:v>5.0684923562965799E-2</c:v>
                </c:pt>
                <c:pt idx="31">
                  <c:v>4.25225234493554E-2</c:v>
                </c:pt>
                <c:pt idx="32">
                  <c:v>2.1493262847360601E-2</c:v>
                </c:pt>
                <c:pt idx="33">
                  <c:v>5.0484929307322401E-2</c:v>
                </c:pt>
                <c:pt idx="34">
                  <c:v>3.66889473059092E-2</c:v>
                </c:pt>
                <c:pt idx="35">
                  <c:v>4.0171698311576902E-2</c:v>
                </c:pt>
                <c:pt idx="36">
                  <c:v>3.2854701786900802E-2</c:v>
                </c:pt>
                <c:pt idx="37">
                  <c:v>3.1407166215639999E-2</c:v>
                </c:pt>
                <c:pt idx="38">
                  <c:v>1.5168448470212001E-2</c:v>
                </c:pt>
                <c:pt idx="39">
                  <c:v>1.31477576094983E-2</c:v>
                </c:pt>
                <c:pt idx="40">
                  <c:v>1.55391617783767E-3</c:v>
                </c:pt>
                <c:pt idx="41">
                  <c:v>-1.34936165366801E-2</c:v>
                </c:pt>
                <c:pt idx="42">
                  <c:v>-2.8179689436775901E-2</c:v>
                </c:pt>
                <c:pt idx="43">
                  <c:v>-3.3554033509051E-2</c:v>
                </c:pt>
                <c:pt idx="44">
                  <c:v>-2.6668228867110101E-2</c:v>
                </c:pt>
                <c:pt idx="45">
                  <c:v>1.3867616022916401E-2</c:v>
                </c:pt>
                <c:pt idx="46">
                  <c:v>8.3742964440648993E-3</c:v>
                </c:pt>
                <c:pt idx="47">
                  <c:v>7.3113663035558798E-3</c:v>
                </c:pt>
                <c:pt idx="48">
                  <c:v>8.3293597211049307E-3</c:v>
                </c:pt>
                <c:pt idx="49">
                  <c:v>2.00635499941009E-3</c:v>
                </c:pt>
                <c:pt idx="50">
                  <c:v>-4.2167377185015004E-3</c:v>
                </c:pt>
                <c:pt idx="51">
                  <c:v>-1.04433571404154E-2</c:v>
                </c:pt>
                <c:pt idx="52">
                  <c:v>-1.8037706777156499E-2</c:v>
                </c:pt>
                <c:pt idx="53">
                  <c:v>-4.8798108630067602E-2</c:v>
                </c:pt>
                <c:pt idx="54">
                  <c:v>-2.8247411196551199E-2</c:v>
                </c:pt>
                <c:pt idx="55">
                  <c:v>-1.20339516782118E-2</c:v>
                </c:pt>
                <c:pt idx="56">
                  <c:v>-1.1120143447784E-2</c:v>
                </c:pt>
                <c:pt idx="57">
                  <c:v>-2.0929891526957001E-2</c:v>
                </c:pt>
                <c:pt idx="58">
                  <c:v>-2.6058785245563099E-2</c:v>
                </c:pt>
                <c:pt idx="59">
                  <c:v>-3.1636933178151597E-2</c:v>
                </c:pt>
                <c:pt idx="60">
                  <c:v>-2.3841128853972202E-2</c:v>
                </c:pt>
                <c:pt idx="61">
                  <c:v>-3.3381683730917697E-2</c:v>
                </c:pt>
                <c:pt idx="62">
                  <c:v>-4.8424364087273103E-2</c:v>
                </c:pt>
                <c:pt idx="63">
                  <c:v>-4.5079771290522298E-2</c:v>
                </c:pt>
                <c:pt idx="64">
                  <c:v>-4.4569679391427398E-2</c:v>
                </c:pt>
                <c:pt idx="65">
                  <c:v>-4.1958662695721502E-2</c:v>
                </c:pt>
                <c:pt idx="66">
                  <c:v>-4.8098494970327997E-2</c:v>
                </c:pt>
                <c:pt idx="67">
                  <c:v>-4.5416159221096201E-2</c:v>
                </c:pt>
                <c:pt idx="68">
                  <c:v>-5.1154235888789701E-2</c:v>
                </c:pt>
                <c:pt idx="69">
                  <c:v>-4.6969608011512801E-2</c:v>
                </c:pt>
                <c:pt idx="70">
                  <c:v>-3.91241055996032E-2</c:v>
                </c:pt>
                <c:pt idx="71">
                  <c:v>-4.96316207438387E-2</c:v>
                </c:pt>
                <c:pt idx="72">
                  <c:v>-4.9538883945729598E-2</c:v>
                </c:pt>
                <c:pt idx="73">
                  <c:v>-4.8892254288661001E-2</c:v>
                </c:pt>
                <c:pt idx="74">
                  <c:v>-3.5343169712220901E-2</c:v>
                </c:pt>
                <c:pt idx="75">
                  <c:v>-1.08078995486918E-2</c:v>
                </c:pt>
                <c:pt idx="76">
                  <c:v>-2.5606220786634202E-3</c:v>
                </c:pt>
                <c:pt idx="77">
                  <c:v>5.2189757087558403E-3</c:v>
                </c:pt>
                <c:pt idx="78">
                  <c:v>-3.3891747434047202E-3</c:v>
                </c:pt>
                <c:pt idx="79">
                  <c:v>-9.9886925919984697E-3</c:v>
                </c:pt>
                <c:pt idx="80">
                  <c:v>3.6020002945499302E-3</c:v>
                </c:pt>
                <c:pt idx="81">
                  <c:v>2.3978164195465699E-2</c:v>
                </c:pt>
                <c:pt idx="82">
                  <c:v>9.4136594594363392E-3</c:v>
                </c:pt>
                <c:pt idx="83">
                  <c:v>5.4417089271227501E-3</c:v>
                </c:pt>
                <c:pt idx="84">
                  <c:v>9.3951125514736798E-3</c:v>
                </c:pt>
                <c:pt idx="85">
                  <c:v>1.21884880813542E-2</c:v>
                </c:pt>
                <c:pt idx="86">
                  <c:v>-3.3614424804371801E-3</c:v>
                </c:pt>
                <c:pt idx="87">
                  <c:v>2.1328123881686999E-3</c:v>
                </c:pt>
                <c:pt idx="88">
                  <c:v>5.6092839634644398E-3</c:v>
                </c:pt>
                <c:pt idx="89">
                  <c:v>-2.9485361198346902E-3</c:v>
                </c:pt>
                <c:pt idx="90">
                  <c:v>7.1174773779652499E-3</c:v>
                </c:pt>
                <c:pt idx="91">
                  <c:v>1.2392642352536099E-3</c:v>
                </c:pt>
                <c:pt idx="92">
                  <c:v>-1.5871440849285401E-3</c:v>
                </c:pt>
                <c:pt idx="93">
                  <c:v>1.7886263234882999E-3</c:v>
                </c:pt>
                <c:pt idx="94">
                  <c:v>-1.2289858170680601E-3</c:v>
                </c:pt>
                <c:pt idx="95">
                  <c:v>1.99133407178614E-3</c:v>
                </c:pt>
                <c:pt idx="96">
                  <c:v>-1.6746033610363E-3</c:v>
                </c:pt>
                <c:pt idx="97">
                  <c:v>-8.9967694817712999E-3</c:v>
                </c:pt>
                <c:pt idx="98">
                  <c:v>-1.3315043783138599E-2</c:v>
                </c:pt>
                <c:pt idx="99">
                  <c:v>-1.5998800897480799E-2</c:v>
                </c:pt>
                <c:pt idx="100">
                  <c:v>-1.55349725966354E-2</c:v>
                </c:pt>
                <c:pt idx="101">
                  <c:v>-1.30388715065185E-2</c:v>
                </c:pt>
                <c:pt idx="102">
                  <c:v>-3.0127515050222601E-2</c:v>
                </c:pt>
                <c:pt idx="103">
                  <c:v>-2.50319310756024E-2</c:v>
                </c:pt>
                <c:pt idx="104">
                  <c:v>-2.62070799526853E-2</c:v>
                </c:pt>
                <c:pt idx="105">
                  <c:v>-2.25106364912438E-2</c:v>
                </c:pt>
                <c:pt idx="106">
                  <c:v>-3.1782542275979403E-2</c:v>
                </c:pt>
                <c:pt idx="107">
                  <c:v>-4.3173662470625901E-2</c:v>
                </c:pt>
                <c:pt idx="108">
                  <c:v>-3.9556557454862799E-2</c:v>
                </c:pt>
                <c:pt idx="109">
                  <c:v>-4.57452746067597E-2</c:v>
                </c:pt>
                <c:pt idx="110">
                  <c:v>-4.4635389355262303E-2</c:v>
                </c:pt>
                <c:pt idx="111">
                  <c:v>-5.1090208300908102E-2</c:v>
                </c:pt>
                <c:pt idx="112">
                  <c:v>-4.1673581221003897E-2</c:v>
                </c:pt>
                <c:pt idx="113">
                  <c:v>-3.1833759763943502E-2</c:v>
                </c:pt>
                <c:pt idx="114">
                  <c:v>-3.7750691554084198E-2</c:v>
                </c:pt>
                <c:pt idx="115">
                  <c:v>-3.85897892369573E-2</c:v>
                </c:pt>
                <c:pt idx="116">
                  <c:v>-1.30871456335488E-2</c:v>
                </c:pt>
                <c:pt idx="117">
                  <c:v>-7.0540348055155803E-3</c:v>
                </c:pt>
                <c:pt idx="118">
                  <c:v>-6.0465804532164802E-3</c:v>
                </c:pt>
                <c:pt idx="119">
                  <c:v>-1.3619536507237301E-2</c:v>
                </c:pt>
                <c:pt idx="120">
                  <c:v>-1.6346952230173E-2</c:v>
                </c:pt>
                <c:pt idx="121">
                  <c:v>-3.0504159206895101E-2</c:v>
                </c:pt>
                <c:pt idx="122">
                  <c:v>-3.08288702510012E-2</c:v>
                </c:pt>
                <c:pt idx="123">
                  <c:v>-1.8779446778098698E-2</c:v>
                </c:pt>
                <c:pt idx="124">
                  <c:v>-2.3202360510637898E-2</c:v>
                </c:pt>
                <c:pt idx="125">
                  <c:v>-2.6619208029861001E-2</c:v>
                </c:pt>
                <c:pt idx="126">
                  <c:v>-2.13374934123963E-2</c:v>
                </c:pt>
                <c:pt idx="127">
                  <c:v>-1.5981855864028002E-2</c:v>
                </c:pt>
                <c:pt idx="128">
                  <c:v>-1.27269735668285E-2</c:v>
                </c:pt>
                <c:pt idx="129">
                  <c:v>-6.4030775782370399E-3</c:v>
                </c:pt>
                <c:pt idx="130">
                  <c:v>6.2610495454638497E-3</c:v>
                </c:pt>
                <c:pt idx="131">
                  <c:v>3.0401265460420698E-3</c:v>
                </c:pt>
                <c:pt idx="132">
                  <c:v>-5.7355290999821997E-4</c:v>
                </c:pt>
                <c:pt idx="133">
                  <c:v>7.5230563150345204E-3</c:v>
                </c:pt>
                <c:pt idx="134">
                  <c:v>5.9481659593298899E-3</c:v>
                </c:pt>
                <c:pt idx="135">
                  <c:v>1.85999757482202E-3</c:v>
                </c:pt>
                <c:pt idx="136">
                  <c:v>6.3275949566066704E-3</c:v>
                </c:pt>
                <c:pt idx="137">
                  <c:v>-4.2968915693938903E-3</c:v>
                </c:pt>
                <c:pt idx="138">
                  <c:v>-6.697231323049E-4</c:v>
                </c:pt>
                <c:pt idx="139">
                  <c:v>-1.00124130160547E-2</c:v>
                </c:pt>
                <c:pt idx="140">
                  <c:v>-1.6383308389605701E-2</c:v>
                </c:pt>
                <c:pt idx="141">
                  <c:v>-1.3132376195156101E-2</c:v>
                </c:pt>
                <c:pt idx="142">
                  <c:v>-2.50778406444516E-2</c:v>
                </c:pt>
                <c:pt idx="143">
                  <c:v>-2.5797363058568799E-2</c:v>
                </c:pt>
                <c:pt idx="144">
                  <c:v>-3.1929874304795297E-2</c:v>
                </c:pt>
                <c:pt idx="145">
                  <c:v>-2.8495339766012699E-2</c:v>
                </c:pt>
                <c:pt idx="146">
                  <c:v>-2.6656317863978998E-2</c:v>
                </c:pt>
                <c:pt idx="147">
                  <c:v>-3.2409951519656997E-2</c:v>
                </c:pt>
                <c:pt idx="148">
                  <c:v>-3.9003814300393597E-2</c:v>
                </c:pt>
                <c:pt idx="149">
                  <c:v>-3.6827917055787002E-2</c:v>
                </c:pt>
                <c:pt idx="150">
                  <c:v>-3.1524793809401798E-2</c:v>
                </c:pt>
                <c:pt idx="151">
                  <c:v>-2.9363841677216201E-2</c:v>
                </c:pt>
                <c:pt idx="152">
                  <c:v>-2.0163854689138099E-2</c:v>
                </c:pt>
                <c:pt idx="153">
                  <c:v>-1.39325449686723E-2</c:v>
                </c:pt>
                <c:pt idx="154">
                  <c:v>-2.7236709719603899E-2</c:v>
                </c:pt>
                <c:pt idx="155">
                  <c:v>-2.8520614042161999E-2</c:v>
                </c:pt>
                <c:pt idx="156">
                  <c:v>-3.0558501560194601E-2</c:v>
                </c:pt>
                <c:pt idx="157">
                  <c:v>-3.8552390814115697E-2</c:v>
                </c:pt>
                <c:pt idx="158">
                  <c:v>-4.9703136121395999E-2</c:v>
                </c:pt>
                <c:pt idx="159">
                  <c:v>-4.90300137995799E-2</c:v>
                </c:pt>
                <c:pt idx="160">
                  <c:v>-4.0907149059917498E-2</c:v>
                </c:pt>
                <c:pt idx="161">
                  <c:v>-3.8801180439221997E-2</c:v>
                </c:pt>
                <c:pt idx="162">
                  <c:v>-4.5460783980513501E-2</c:v>
                </c:pt>
                <c:pt idx="163">
                  <c:v>-4.4219809623390303E-2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AF-415D-A9AD-70CD695158B8}"/>
            </c:ext>
          </c:extLst>
        </c:ser>
        <c:ser>
          <c:idx val="1"/>
          <c:order val="1"/>
          <c:tx>
            <c:v>B4 - 2 Month Forecast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Forecast_1m!$A$5:$A$168</c:f>
              <c:numCache>
                <c:formatCode>dd/mm/yyyy</c:formatCode>
                <c:ptCount val="164"/>
                <c:pt idx="0">
                  <c:v>39169</c:v>
                </c:pt>
                <c:pt idx="1">
                  <c:v>39197</c:v>
                </c:pt>
                <c:pt idx="2">
                  <c:v>39232</c:v>
                </c:pt>
                <c:pt idx="3">
                  <c:v>39260</c:v>
                </c:pt>
                <c:pt idx="4">
                  <c:v>39288</c:v>
                </c:pt>
                <c:pt idx="5">
                  <c:v>39323</c:v>
                </c:pt>
                <c:pt idx="6">
                  <c:v>39351</c:v>
                </c:pt>
                <c:pt idx="7">
                  <c:v>39386</c:v>
                </c:pt>
                <c:pt idx="8">
                  <c:v>39414</c:v>
                </c:pt>
                <c:pt idx="9">
                  <c:v>39442</c:v>
                </c:pt>
                <c:pt idx="10">
                  <c:v>39477</c:v>
                </c:pt>
                <c:pt idx="11">
                  <c:v>39505</c:v>
                </c:pt>
                <c:pt idx="12">
                  <c:v>39533</c:v>
                </c:pt>
                <c:pt idx="13">
                  <c:v>39568</c:v>
                </c:pt>
                <c:pt idx="14">
                  <c:v>39596</c:v>
                </c:pt>
                <c:pt idx="15">
                  <c:v>39624</c:v>
                </c:pt>
                <c:pt idx="16">
                  <c:v>39659</c:v>
                </c:pt>
                <c:pt idx="17">
                  <c:v>39687</c:v>
                </c:pt>
                <c:pt idx="18">
                  <c:v>39715</c:v>
                </c:pt>
                <c:pt idx="19">
                  <c:v>39750</c:v>
                </c:pt>
                <c:pt idx="20">
                  <c:v>39778</c:v>
                </c:pt>
                <c:pt idx="21">
                  <c:v>39813</c:v>
                </c:pt>
                <c:pt idx="22">
                  <c:v>39841</c:v>
                </c:pt>
                <c:pt idx="23">
                  <c:v>39869</c:v>
                </c:pt>
                <c:pt idx="24">
                  <c:v>39897</c:v>
                </c:pt>
                <c:pt idx="25">
                  <c:v>39932</c:v>
                </c:pt>
                <c:pt idx="26">
                  <c:v>39960</c:v>
                </c:pt>
                <c:pt idx="27">
                  <c:v>39988</c:v>
                </c:pt>
                <c:pt idx="28">
                  <c:v>40023</c:v>
                </c:pt>
                <c:pt idx="29">
                  <c:v>40051</c:v>
                </c:pt>
                <c:pt idx="30">
                  <c:v>40086</c:v>
                </c:pt>
                <c:pt idx="31">
                  <c:v>40114</c:v>
                </c:pt>
                <c:pt idx="32">
                  <c:v>40142</c:v>
                </c:pt>
                <c:pt idx="33">
                  <c:v>40177</c:v>
                </c:pt>
                <c:pt idx="34">
                  <c:v>40205</c:v>
                </c:pt>
                <c:pt idx="35">
                  <c:v>40233</c:v>
                </c:pt>
                <c:pt idx="36">
                  <c:v>40268</c:v>
                </c:pt>
                <c:pt idx="37">
                  <c:v>40296</c:v>
                </c:pt>
                <c:pt idx="38">
                  <c:v>40324</c:v>
                </c:pt>
                <c:pt idx="39">
                  <c:v>40359</c:v>
                </c:pt>
                <c:pt idx="40">
                  <c:v>40387</c:v>
                </c:pt>
                <c:pt idx="41">
                  <c:v>40415</c:v>
                </c:pt>
                <c:pt idx="42">
                  <c:v>40450</c:v>
                </c:pt>
                <c:pt idx="43">
                  <c:v>40478</c:v>
                </c:pt>
                <c:pt idx="44">
                  <c:v>40506</c:v>
                </c:pt>
                <c:pt idx="45">
                  <c:v>40541</c:v>
                </c:pt>
                <c:pt idx="46">
                  <c:v>40569</c:v>
                </c:pt>
                <c:pt idx="47">
                  <c:v>40597</c:v>
                </c:pt>
                <c:pt idx="48">
                  <c:v>40632</c:v>
                </c:pt>
                <c:pt idx="49">
                  <c:v>40660</c:v>
                </c:pt>
                <c:pt idx="50">
                  <c:v>40688</c:v>
                </c:pt>
                <c:pt idx="51">
                  <c:v>40723</c:v>
                </c:pt>
                <c:pt idx="52">
                  <c:v>40751</c:v>
                </c:pt>
                <c:pt idx="53">
                  <c:v>40786</c:v>
                </c:pt>
                <c:pt idx="54">
                  <c:v>40814</c:v>
                </c:pt>
                <c:pt idx="55">
                  <c:v>40842</c:v>
                </c:pt>
                <c:pt idx="56">
                  <c:v>40877</c:v>
                </c:pt>
                <c:pt idx="57">
                  <c:v>40905</c:v>
                </c:pt>
                <c:pt idx="58">
                  <c:v>40933</c:v>
                </c:pt>
                <c:pt idx="59">
                  <c:v>40968</c:v>
                </c:pt>
                <c:pt idx="60">
                  <c:v>40996</c:v>
                </c:pt>
                <c:pt idx="61">
                  <c:v>41024</c:v>
                </c:pt>
                <c:pt idx="62">
                  <c:v>41059</c:v>
                </c:pt>
                <c:pt idx="63">
                  <c:v>41087</c:v>
                </c:pt>
                <c:pt idx="64">
                  <c:v>41115</c:v>
                </c:pt>
                <c:pt idx="65">
                  <c:v>41150</c:v>
                </c:pt>
                <c:pt idx="66">
                  <c:v>41178</c:v>
                </c:pt>
                <c:pt idx="67">
                  <c:v>41213</c:v>
                </c:pt>
                <c:pt idx="68">
                  <c:v>41241</c:v>
                </c:pt>
                <c:pt idx="69">
                  <c:v>41269</c:v>
                </c:pt>
                <c:pt idx="70">
                  <c:v>41304</c:v>
                </c:pt>
                <c:pt idx="71">
                  <c:v>41332</c:v>
                </c:pt>
                <c:pt idx="72">
                  <c:v>41360</c:v>
                </c:pt>
                <c:pt idx="73">
                  <c:v>41388</c:v>
                </c:pt>
                <c:pt idx="74">
                  <c:v>41423</c:v>
                </c:pt>
                <c:pt idx="75">
                  <c:v>41451</c:v>
                </c:pt>
                <c:pt idx="76">
                  <c:v>41486</c:v>
                </c:pt>
                <c:pt idx="77">
                  <c:v>41514</c:v>
                </c:pt>
                <c:pt idx="78">
                  <c:v>41542</c:v>
                </c:pt>
                <c:pt idx="79">
                  <c:v>41577</c:v>
                </c:pt>
                <c:pt idx="80">
                  <c:v>41605</c:v>
                </c:pt>
                <c:pt idx="81">
                  <c:v>41633</c:v>
                </c:pt>
                <c:pt idx="82">
                  <c:v>41668</c:v>
                </c:pt>
                <c:pt idx="83">
                  <c:v>41696</c:v>
                </c:pt>
                <c:pt idx="84">
                  <c:v>41724</c:v>
                </c:pt>
                <c:pt idx="85">
                  <c:v>41759</c:v>
                </c:pt>
                <c:pt idx="86">
                  <c:v>41787</c:v>
                </c:pt>
                <c:pt idx="87">
                  <c:v>41815</c:v>
                </c:pt>
                <c:pt idx="88">
                  <c:v>41850</c:v>
                </c:pt>
                <c:pt idx="89">
                  <c:v>41878</c:v>
                </c:pt>
                <c:pt idx="90">
                  <c:v>41906</c:v>
                </c:pt>
                <c:pt idx="91">
                  <c:v>41941</c:v>
                </c:pt>
                <c:pt idx="92">
                  <c:v>41969</c:v>
                </c:pt>
                <c:pt idx="93">
                  <c:v>42004</c:v>
                </c:pt>
                <c:pt idx="94">
                  <c:v>42032</c:v>
                </c:pt>
                <c:pt idx="95">
                  <c:v>42060</c:v>
                </c:pt>
                <c:pt idx="96">
                  <c:v>42088</c:v>
                </c:pt>
                <c:pt idx="97">
                  <c:v>42123</c:v>
                </c:pt>
                <c:pt idx="98">
                  <c:v>42151</c:v>
                </c:pt>
                <c:pt idx="99">
                  <c:v>42179</c:v>
                </c:pt>
                <c:pt idx="100">
                  <c:v>42214</c:v>
                </c:pt>
                <c:pt idx="101">
                  <c:v>42242</c:v>
                </c:pt>
                <c:pt idx="102">
                  <c:v>42277</c:v>
                </c:pt>
                <c:pt idx="103">
                  <c:v>42305</c:v>
                </c:pt>
                <c:pt idx="104">
                  <c:v>42333</c:v>
                </c:pt>
                <c:pt idx="105">
                  <c:v>42368</c:v>
                </c:pt>
                <c:pt idx="106">
                  <c:v>42396</c:v>
                </c:pt>
                <c:pt idx="107">
                  <c:v>42424</c:v>
                </c:pt>
                <c:pt idx="108">
                  <c:v>42459</c:v>
                </c:pt>
                <c:pt idx="109">
                  <c:v>42487</c:v>
                </c:pt>
                <c:pt idx="110">
                  <c:v>42515</c:v>
                </c:pt>
                <c:pt idx="111">
                  <c:v>42550</c:v>
                </c:pt>
                <c:pt idx="112">
                  <c:v>42578</c:v>
                </c:pt>
                <c:pt idx="113">
                  <c:v>42613</c:v>
                </c:pt>
                <c:pt idx="114">
                  <c:v>42641</c:v>
                </c:pt>
                <c:pt idx="115">
                  <c:v>42669</c:v>
                </c:pt>
                <c:pt idx="116">
                  <c:v>42704</c:v>
                </c:pt>
                <c:pt idx="117">
                  <c:v>42732</c:v>
                </c:pt>
                <c:pt idx="118">
                  <c:v>42760</c:v>
                </c:pt>
                <c:pt idx="119">
                  <c:v>42788</c:v>
                </c:pt>
                <c:pt idx="120">
                  <c:v>42823</c:v>
                </c:pt>
                <c:pt idx="121">
                  <c:v>42851</c:v>
                </c:pt>
                <c:pt idx="122">
                  <c:v>42886</c:v>
                </c:pt>
                <c:pt idx="123">
                  <c:v>42914</c:v>
                </c:pt>
                <c:pt idx="124">
                  <c:v>42942</c:v>
                </c:pt>
                <c:pt idx="125">
                  <c:v>42977</c:v>
                </c:pt>
                <c:pt idx="126">
                  <c:v>43005</c:v>
                </c:pt>
                <c:pt idx="127">
                  <c:v>43033</c:v>
                </c:pt>
                <c:pt idx="128">
                  <c:v>43068</c:v>
                </c:pt>
                <c:pt idx="129">
                  <c:v>43096</c:v>
                </c:pt>
                <c:pt idx="130">
                  <c:v>43131</c:v>
                </c:pt>
                <c:pt idx="131">
                  <c:v>43159</c:v>
                </c:pt>
                <c:pt idx="132">
                  <c:v>43187</c:v>
                </c:pt>
                <c:pt idx="133">
                  <c:v>43215</c:v>
                </c:pt>
                <c:pt idx="134">
                  <c:v>43250</c:v>
                </c:pt>
                <c:pt idx="135">
                  <c:v>43278</c:v>
                </c:pt>
                <c:pt idx="136">
                  <c:v>43306</c:v>
                </c:pt>
                <c:pt idx="137">
                  <c:v>43341</c:v>
                </c:pt>
                <c:pt idx="138">
                  <c:v>43369</c:v>
                </c:pt>
                <c:pt idx="139">
                  <c:v>43404</c:v>
                </c:pt>
                <c:pt idx="140">
                  <c:v>43432</c:v>
                </c:pt>
                <c:pt idx="141">
                  <c:v>43460</c:v>
                </c:pt>
                <c:pt idx="142">
                  <c:v>43495</c:v>
                </c:pt>
                <c:pt idx="143">
                  <c:v>43523</c:v>
                </c:pt>
                <c:pt idx="144">
                  <c:v>43551</c:v>
                </c:pt>
                <c:pt idx="145">
                  <c:v>43579</c:v>
                </c:pt>
                <c:pt idx="146">
                  <c:v>43614</c:v>
                </c:pt>
                <c:pt idx="147">
                  <c:v>43642</c:v>
                </c:pt>
                <c:pt idx="148">
                  <c:v>43677</c:v>
                </c:pt>
                <c:pt idx="149">
                  <c:v>43705</c:v>
                </c:pt>
                <c:pt idx="150">
                  <c:v>43733</c:v>
                </c:pt>
                <c:pt idx="151">
                  <c:v>43768</c:v>
                </c:pt>
                <c:pt idx="152">
                  <c:v>43796</c:v>
                </c:pt>
                <c:pt idx="153">
                  <c:v>43824</c:v>
                </c:pt>
                <c:pt idx="154">
                  <c:v>43859</c:v>
                </c:pt>
                <c:pt idx="155">
                  <c:v>43887</c:v>
                </c:pt>
                <c:pt idx="156">
                  <c:v>43915</c:v>
                </c:pt>
                <c:pt idx="157">
                  <c:v>43950</c:v>
                </c:pt>
                <c:pt idx="158">
                  <c:v>43978</c:v>
                </c:pt>
                <c:pt idx="159">
                  <c:v>44006</c:v>
                </c:pt>
                <c:pt idx="160">
                  <c:v>44041</c:v>
                </c:pt>
                <c:pt idx="161">
                  <c:v>44069</c:v>
                </c:pt>
                <c:pt idx="162">
                  <c:v>44104</c:v>
                </c:pt>
                <c:pt idx="163">
                  <c:v>44118</c:v>
                </c:pt>
              </c:numCache>
            </c:numRef>
          </c:cat>
          <c:val>
            <c:numRef>
              <c:f>Forecast_1m!$M$5:$M$168</c:f>
              <c:numCache>
                <c:formatCode>General</c:formatCode>
                <c:ptCount val="164"/>
                <c:pt idx="0">
                  <c:v>1.6012603868092119E-2</c:v>
                </c:pt>
                <c:pt idx="1">
                  <c:v>1.3967746002796759E-2</c:v>
                </c:pt>
                <c:pt idx="2">
                  <c:v>1.241420557023588E-2</c:v>
                </c:pt>
                <c:pt idx="3">
                  <c:v>1.4150858727704633E-2</c:v>
                </c:pt>
                <c:pt idx="4">
                  <c:v>1.7531274473653644E-2</c:v>
                </c:pt>
                <c:pt idx="5">
                  <c:v>2.5467196471953904E-2</c:v>
                </c:pt>
                <c:pt idx="6">
                  <c:v>2.3829452115038469E-2</c:v>
                </c:pt>
                <c:pt idx="7">
                  <c:v>1.5607573345677367E-2</c:v>
                </c:pt>
                <c:pt idx="8">
                  <c:v>2.3013241336491345E-2</c:v>
                </c:pt>
                <c:pt idx="9">
                  <c:v>2.2998425035722445E-2</c:v>
                </c:pt>
                <c:pt idx="10">
                  <c:v>2.4467684099422536E-2</c:v>
                </c:pt>
                <c:pt idx="11">
                  <c:v>2.6843491547177682E-2</c:v>
                </c:pt>
                <c:pt idx="12">
                  <c:v>2.0583241582866882E-2</c:v>
                </c:pt>
                <c:pt idx="13">
                  <c:v>2.6479507899089247E-2</c:v>
                </c:pt>
                <c:pt idx="14">
                  <c:v>2.3839384701076032E-2</c:v>
                </c:pt>
                <c:pt idx="15">
                  <c:v>2.4853582198884783E-2</c:v>
                </c:pt>
                <c:pt idx="16">
                  <c:v>2.7416682710392118E-2</c:v>
                </c:pt>
                <c:pt idx="17">
                  <c:v>3.3372488598078051E-2</c:v>
                </c:pt>
                <c:pt idx="18">
                  <c:v>3.0488708048255403E-2</c:v>
                </c:pt>
                <c:pt idx="19">
                  <c:v>2.6232895842072161E-2</c:v>
                </c:pt>
                <c:pt idx="20">
                  <c:v>3.711345182182061E-2</c:v>
                </c:pt>
                <c:pt idx="21">
                  <c:v>8.7022101436037211E-2</c:v>
                </c:pt>
                <c:pt idx="22">
                  <c:v>4.6373622246143338E-2</c:v>
                </c:pt>
                <c:pt idx="23">
                  <c:v>5.901901159807902E-2</c:v>
                </c:pt>
                <c:pt idx="24">
                  <c:v>4.7853578632176749E-2</c:v>
                </c:pt>
                <c:pt idx="25">
                  <c:v>5.4420611876133021E-2</c:v>
                </c:pt>
                <c:pt idx="26">
                  <c:v>3.3077633202254306E-2</c:v>
                </c:pt>
                <c:pt idx="27">
                  <c:v>3.7756950690032182E-2</c:v>
                </c:pt>
                <c:pt idx="28">
                  <c:v>4.9505131571509924E-2</c:v>
                </c:pt>
                <c:pt idx="29">
                  <c:v>6.1903832871704798E-2</c:v>
                </c:pt>
                <c:pt idx="30">
                  <c:v>5.1095016530597157E-2</c:v>
                </c:pt>
                <c:pt idx="31">
                  <c:v>4.4758968302878871E-2</c:v>
                </c:pt>
                <c:pt idx="32">
                  <c:v>4.1428757149853682E-2</c:v>
                </c:pt>
                <c:pt idx="33">
                  <c:v>3.7607875727026507E-2</c:v>
                </c:pt>
                <c:pt idx="34">
                  <c:v>2.0706482833181189E-2</c:v>
                </c:pt>
                <c:pt idx="35">
                  <c:v>4.6760284115658357E-2</c:v>
                </c:pt>
                <c:pt idx="36">
                  <c:v>3.535034552100684E-2</c:v>
                </c:pt>
                <c:pt idx="37">
                  <c:v>3.7140743440314435E-2</c:v>
                </c:pt>
                <c:pt idx="38">
                  <c:v>3.4501563465449053E-2</c:v>
                </c:pt>
                <c:pt idx="39">
                  <c:v>3.3976454023988731E-2</c:v>
                </c:pt>
                <c:pt idx="40">
                  <c:v>1.499208883017506E-2</c:v>
                </c:pt>
                <c:pt idx="41">
                  <c:v>8.9643230419870577E-3</c:v>
                </c:pt>
                <c:pt idx="42">
                  <c:v>1.6519632383838999E-3</c:v>
                </c:pt>
                <c:pt idx="43">
                  <c:v>-1.2867784514657263E-2</c:v>
                </c:pt>
                <c:pt idx="44">
                  <c:v>-2.3586672435994584E-2</c:v>
                </c:pt>
                <c:pt idx="45">
                  <c:v>-2.5429850203094812E-2</c:v>
                </c:pt>
                <c:pt idx="46">
                  <c:v>-1.8271524175818083E-2</c:v>
                </c:pt>
                <c:pt idx="47">
                  <c:v>1.3385810804322001E-2</c:v>
                </c:pt>
                <c:pt idx="48">
                  <c:v>9.9326401019074681E-3</c:v>
                </c:pt>
                <c:pt idx="49">
                  <c:v>1.2491684002733316E-2</c:v>
                </c:pt>
                <c:pt idx="50">
                  <c:v>1.3485075408047626E-2</c:v>
                </c:pt>
                <c:pt idx="51">
                  <c:v>7.1179775252869582E-3</c:v>
                </c:pt>
                <c:pt idx="52">
                  <c:v>-4.8502262633486949E-4</c:v>
                </c:pt>
                <c:pt idx="53">
                  <c:v>-5.5896892212206374E-3</c:v>
                </c:pt>
                <c:pt idx="54">
                  <c:v>-1.2417064414900548E-2</c:v>
                </c:pt>
                <c:pt idx="55">
                  <c:v>-4.0257528743096391E-2</c:v>
                </c:pt>
                <c:pt idx="56">
                  <c:v>-2.8491636237175308E-2</c:v>
                </c:pt>
                <c:pt idx="57">
                  <c:v>-1.6057724933197001E-2</c:v>
                </c:pt>
                <c:pt idx="58">
                  <c:v>-1.719065633972066E-2</c:v>
                </c:pt>
                <c:pt idx="59">
                  <c:v>-2.4014997025690182E-2</c:v>
                </c:pt>
                <c:pt idx="60">
                  <c:v>-2.8451256482706327E-2</c:v>
                </c:pt>
                <c:pt idx="61">
                  <c:v>-3.1728378963539111E-2</c:v>
                </c:pt>
                <c:pt idx="62">
                  <c:v>-2.4136084545656918E-2</c:v>
                </c:pt>
                <c:pt idx="63">
                  <c:v>-3.3018775155658243E-2</c:v>
                </c:pt>
                <c:pt idx="64">
                  <c:v>-4.4938096801362654E-2</c:v>
                </c:pt>
                <c:pt idx="65">
                  <c:v>-4.2223666044221869E-2</c:v>
                </c:pt>
                <c:pt idx="66">
                  <c:v>-4.5078525675411464E-2</c:v>
                </c:pt>
                <c:pt idx="67">
                  <c:v>-4.1602147036936515E-2</c:v>
                </c:pt>
                <c:pt idx="68">
                  <c:v>-4.5802705406445147E-2</c:v>
                </c:pt>
                <c:pt idx="69">
                  <c:v>-4.2740889410848117E-2</c:v>
                </c:pt>
                <c:pt idx="70">
                  <c:v>-4.7189663542059397E-2</c:v>
                </c:pt>
                <c:pt idx="71">
                  <c:v>-4.2771534638823022E-2</c:v>
                </c:pt>
                <c:pt idx="72">
                  <c:v>-3.5968452906315465E-2</c:v>
                </c:pt>
                <c:pt idx="73">
                  <c:v>-4.4135594932714954E-2</c:v>
                </c:pt>
                <c:pt idx="74">
                  <c:v>-4.4218834515953112E-2</c:v>
                </c:pt>
                <c:pt idx="75">
                  <c:v>-4.5176490773931322E-2</c:v>
                </c:pt>
                <c:pt idx="76">
                  <c:v>-3.2364145516382128E-2</c:v>
                </c:pt>
                <c:pt idx="77">
                  <c:v>-1.1877119651900494E-2</c:v>
                </c:pt>
                <c:pt idx="78">
                  <c:v>-6.9146770112680517E-3</c:v>
                </c:pt>
                <c:pt idx="79">
                  <c:v>1.4220524540853492E-3</c:v>
                </c:pt>
                <c:pt idx="80">
                  <c:v>-6.1392044237185044E-3</c:v>
                </c:pt>
                <c:pt idx="81">
                  <c:v>-1.2286884841981878E-2</c:v>
                </c:pt>
                <c:pt idx="82">
                  <c:v>-2.8722750227020673E-3</c:v>
                </c:pt>
                <c:pt idx="83">
                  <c:v>1.4593319212919568E-2</c:v>
                </c:pt>
                <c:pt idx="84">
                  <c:v>2.7054255045768257E-3</c:v>
                </c:pt>
                <c:pt idx="85">
                  <c:v>-5.1235180858114765E-4</c:v>
                </c:pt>
                <c:pt idx="86">
                  <c:v>5.0096396692733717E-3</c:v>
                </c:pt>
                <c:pt idx="87">
                  <c:v>7.2101879883663296E-3</c:v>
                </c:pt>
                <c:pt idx="88">
                  <c:v>-4.5828036112843581E-3</c:v>
                </c:pt>
                <c:pt idx="89">
                  <c:v>1.5452478413567549E-3</c:v>
                </c:pt>
                <c:pt idx="90">
                  <c:v>5.4557130379991612E-3</c:v>
                </c:pt>
                <c:pt idx="91">
                  <c:v>-1.7275511868151726E-3</c:v>
                </c:pt>
                <c:pt idx="92">
                  <c:v>7.4583887066299939E-3</c:v>
                </c:pt>
                <c:pt idx="93">
                  <c:v>3.1704024699954483E-4</c:v>
                </c:pt>
                <c:pt idx="94">
                  <c:v>-2.2313762217185877E-3</c:v>
                </c:pt>
                <c:pt idx="95">
                  <c:v>9.7081586196069323E-4</c:v>
                </c:pt>
                <c:pt idx="96">
                  <c:v>-7.0826739416395236E-3</c:v>
                </c:pt>
                <c:pt idx="97">
                  <c:v>-1.6191298838463474E-3</c:v>
                </c:pt>
                <c:pt idx="98">
                  <c:v>-5.1722056269836881E-3</c:v>
                </c:pt>
                <c:pt idx="99">
                  <c:v>-8.8586858634987619E-3</c:v>
                </c:pt>
                <c:pt idx="100">
                  <c:v>-9.7247742457943417E-3</c:v>
                </c:pt>
                <c:pt idx="101">
                  <c:v>-8.9666485716801934E-3</c:v>
                </c:pt>
                <c:pt idx="102">
                  <c:v>-9.9061060724206854E-3</c:v>
                </c:pt>
                <c:pt idx="103">
                  <c:v>-1.0260725220921403E-2</c:v>
                </c:pt>
                <c:pt idx="104">
                  <c:v>-2.2349734183713457E-2</c:v>
                </c:pt>
                <c:pt idx="105">
                  <c:v>-1.8567188164627185E-2</c:v>
                </c:pt>
                <c:pt idx="106">
                  <c:v>-1.709849017056761E-2</c:v>
                </c:pt>
                <c:pt idx="107">
                  <c:v>-1.322176653142918E-2</c:v>
                </c:pt>
                <c:pt idx="108">
                  <c:v>-2.5177761533075344E-2</c:v>
                </c:pt>
                <c:pt idx="109">
                  <c:v>-3.5612550292463296E-2</c:v>
                </c:pt>
                <c:pt idx="110">
                  <c:v>-3.1769411974173406E-2</c:v>
                </c:pt>
                <c:pt idx="111">
                  <c:v>-3.4797893086720454E-2</c:v>
                </c:pt>
                <c:pt idx="112">
                  <c:v>-3.4258465147472821E-2</c:v>
                </c:pt>
                <c:pt idx="113">
                  <c:v>-4.3759765147097889E-2</c:v>
                </c:pt>
                <c:pt idx="114">
                  <c:v>-3.7233566704313131E-2</c:v>
                </c:pt>
                <c:pt idx="115">
                  <c:v>-2.9785598345475978E-2</c:v>
                </c:pt>
                <c:pt idx="116">
                  <c:v>-3.3830101912346151E-2</c:v>
                </c:pt>
                <c:pt idx="117">
                  <c:v>-3.1961306181290283E-2</c:v>
                </c:pt>
                <c:pt idx="118">
                  <c:v>-7.8313741037663379E-3</c:v>
                </c:pt>
                <c:pt idx="119">
                  <c:v>-1.7878800826962157E-3</c:v>
                </c:pt>
                <c:pt idx="120">
                  <c:v>-1.6274404878285397E-3</c:v>
                </c:pt>
                <c:pt idx="121">
                  <c:v>-7.7850173187625294E-3</c:v>
                </c:pt>
                <c:pt idx="122">
                  <c:v>-1.0611486043185504E-2</c:v>
                </c:pt>
                <c:pt idx="123">
                  <c:v>-2.1607890592846908E-2</c:v>
                </c:pt>
                <c:pt idx="124">
                  <c:v>-2.3971368925142181E-2</c:v>
                </c:pt>
                <c:pt idx="125">
                  <c:v>-1.6960503864112492E-2</c:v>
                </c:pt>
                <c:pt idx="126">
                  <c:v>-1.9038587115844684E-2</c:v>
                </c:pt>
                <c:pt idx="127">
                  <c:v>-2.2886521198781862E-2</c:v>
                </c:pt>
                <c:pt idx="128">
                  <c:v>-1.6971891840154261E-2</c:v>
                </c:pt>
                <c:pt idx="129">
                  <c:v>-1.2571154050162188E-2</c:v>
                </c:pt>
                <c:pt idx="130">
                  <c:v>-1.1328395541382145E-2</c:v>
                </c:pt>
                <c:pt idx="131">
                  <c:v>-6.7338281218498166E-3</c:v>
                </c:pt>
                <c:pt idx="132">
                  <c:v>4.8716784061017086E-3</c:v>
                </c:pt>
                <c:pt idx="133">
                  <c:v>5.1870386214711781E-3</c:v>
                </c:pt>
                <c:pt idx="134">
                  <c:v>1.2898570911227141E-3</c:v>
                </c:pt>
                <c:pt idx="135">
                  <c:v>9.0267772409492603E-3</c:v>
                </c:pt>
                <c:pt idx="136">
                  <c:v>4.723798521478275E-3</c:v>
                </c:pt>
                <c:pt idx="137">
                  <c:v>2.3459543604003306E-3</c:v>
                </c:pt>
                <c:pt idx="138">
                  <c:v>6.3357180174053512E-3</c:v>
                </c:pt>
                <c:pt idx="139">
                  <c:v>-6.7114480519808229E-4</c:v>
                </c:pt>
                <c:pt idx="140">
                  <c:v>4.0257565265433776E-3</c:v>
                </c:pt>
                <c:pt idx="141">
                  <c:v>-1.8657170023252774E-3</c:v>
                </c:pt>
                <c:pt idx="142">
                  <c:v>-7.5005725151806278E-3</c:v>
                </c:pt>
                <c:pt idx="143">
                  <c:v>-1.0222833067069455E-2</c:v>
                </c:pt>
                <c:pt idx="144">
                  <c:v>-1.917582713695596E-2</c:v>
                </c:pt>
                <c:pt idx="145">
                  <c:v>-1.9807363182465686E-2</c:v>
                </c:pt>
                <c:pt idx="146">
                  <c:v>-2.8642689917193914E-2</c:v>
                </c:pt>
                <c:pt idx="147">
                  <c:v>-2.3961585432012246E-2</c:v>
                </c:pt>
                <c:pt idx="148">
                  <c:v>-2.7536991280938172E-2</c:v>
                </c:pt>
                <c:pt idx="149">
                  <c:v>-3.315279564569467E-2</c:v>
                </c:pt>
                <c:pt idx="150">
                  <c:v>-3.7258344150224894E-2</c:v>
                </c:pt>
                <c:pt idx="151">
                  <c:v>-4.1387867307229334E-2</c:v>
                </c:pt>
                <c:pt idx="152">
                  <c:v>-3.5328986660290246E-2</c:v>
                </c:pt>
                <c:pt idx="153">
                  <c:v>-3.1600018558456178E-2</c:v>
                </c:pt>
                <c:pt idx="154">
                  <c:v>-2.5694157408461954E-2</c:v>
                </c:pt>
                <c:pt idx="155">
                  <c:v>-1.976167612083049E-2</c:v>
                </c:pt>
                <c:pt idx="156">
                  <c:v>-3.2631854024772027E-2</c:v>
                </c:pt>
                <c:pt idx="157">
                  <c:v>-3.6281663968955345E-2</c:v>
                </c:pt>
                <c:pt idx="158">
                  <c:v>-3.7020411772179386E-2</c:v>
                </c:pt>
                <c:pt idx="159">
                  <c:v>-4.4921087869860862E-2</c:v>
                </c:pt>
                <c:pt idx="160">
                  <c:v>-5.1828606441782471E-2</c:v>
                </c:pt>
                <c:pt idx="161">
                  <c:v>-5.2098562641899618E-2</c:v>
                </c:pt>
                <c:pt idx="162">
                  <c:v>-4.7887245907308786E-2</c:v>
                </c:pt>
                <c:pt idx="163">
                  <c:v>-4.5518484064611398E-2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AF-415D-A9AD-70CD695158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3859727"/>
        <c:axId val="194757455"/>
      </c:lineChart>
      <c:dateAx>
        <c:axId val="6138597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m/yy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757455"/>
        <c:crosses val="autoZero"/>
        <c:auto val="1"/>
        <c:lblOffset val="100"/>
        <c:baseTimeUnit val="days"/>
      </c:dateAx>
      <c:valAx>
        <c:axId val="194757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beta</a:t>
                </a:r>
                <a:r>
                  <a:rPr lang="en-US" baseline="0"/>
                  <a:t> 4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859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0.xml"/><Relationship Id="rId3" Type="http://schemas.openxmlformats.org/officeDocument/2006/relationships/chart" Target="../charts/chart15.xml"/><Relationship Id="rId7" Type="http://schemas.openxmlformats.org/officeDocument/2006/relationships/chart" Target="../charts/chart19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8.xml"/><Relationship Id="rId5" Type="http://schemas.openxmlformats.org/officeDocument/2006/relationships/chart" Target="../charts/chart17.xml"/><Relationship Id="rId4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25</xdr:row>
      <xdr:rowOff>161921</xdr:rowOff>
    </xdr:from>
    <xdr:ext cx="4572000" cy="2743200"/>
    <xdr:graphicFrame macro="">
      <xdr:nvGraphicFramePr>
        <xdr:cNvPr id="2" name="Chart 4">
          <a:extLst>
            <a:ext uri="{FF2B5EF4-FFF2-40B4-BE49-F238E27FC236}">
              <a16:creationId xmlns:a16="http://schemas.microsoft.com/office/drawing/2014/main" id="{44F1C6BD-8B7B-4DC6-B66F-952DFDD5C5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7</xdr:col>
      <xdr:colOff>333371</xdr:colOff>
      <xdr:row>26</xdr:row>
      <xdr:rowOff>9528</xdr:rowOff>
    </xdr:from>
    <xdr:ext cx="4572000" cy="2743200"/>
    <xdr:graphicFrame macro="">
      <xdr:nvGraphicFramePr>
        <xdr:cNvPr id="3" name="Chart 5">
          <a:extLst>
            <a:ext uri="{FF2B5EF4-FFF2-40B4-BE49-F238E27FC236}">
              <a16:creationId xmlns:a16="http://schemas.microsoft.com/office/drawing/2014/main" id="{F0842A58-5467-4363-A24C-1301B6286A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  <xdr:oneCellAnchor>
    <xdr:from>
      <xdr:col>0</xdr:col>
      <xdr:colOff>34920</xdr:colOff>
      <xdr:row>41</xdr:row>
      <xdr:rowOff>60322</xdr:rowOff>
    </xdr:from>
    <xdr:ext cx="4572000" cy="2743200"/>
    <xdr:graphicFrame macro="">
      <xdr:nvGraphicFramePr>
        <xdr:cNvPr id="4" name="Chart 6">
          <a:extLst>
            <a:ext uri="{FF2B5EF4-FFF2-40B4-BE49-F238E27FC236}">
              <a16:creationId xmlns:a16="http://schemas.microsoft.com/office/drawing/2014/main" id="{C4261561-0E70-4F34-8A18-9853D77665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oneCellAnchor>
  <xdr:oneCellAnchor>
    <xdr:from>
      <xdr:col>7</xdr:col>
      <xdr:colOff>327026</xdr:colOff>
      <xdr:row>41</xdr:row>
      <xdr:rowOff>60322</xdr:rowOff>
    </xdr:from>
    <xdr:ext cx="4572000" cy="2743200"/>
    <xdr:graphicFrame macro="">
      <xdr:nvGraphicFramePr>
        <xdr:cNvPr id="5" name="Chart 7">
          <a:extLst>
            <a:ext uri="{FF2B5EF4-FFF2-40B4-BE49-F238E27FC236}">
              <a16:creationId xmlns:a16="http://schemas.microsoft.com/office/drawing/2014/main" id="{47EFA49D-1C6D-47C8-B1D7-35C9E660A1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oneCellAnchor>
  <xdr:oneCellAnchor>
    <xdr:from>
      <xdr:col>0</xdr:col>
      <xdr:colOff>9528</xdr:colOff>
      <xdr:row>57</xdr:row>
      <xdr:rowOff>22229</xdr:rowOff>
    </xdr:from>
    <xdr:ext cx="4572000" cy="2743200"/>
    <xdr:graphicFrame macro="">
      <xdr:nvGraphicFramePr>
        <xdr:cNvPr id="6" name="Chart 8">
          <a:extLst>
            <a:ext uri="{FF2B5EF4-FFF2-40B4-BE49-F238E27FC236}">
              <a16:creationId xmlns:a16="http://schemas.microsoft.com/office/drawing/2014/main" id="{5C16E3D4-C4D4-426E-B5D0-874CD12893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oneCellAnchor>
  <xdr:oneCellAnchor>
    <xdr:from>
      <xdr:col>7</xdr:col>
      <xdr:colOff>339727</xdr:colOff>
      <xdr:row>57</xdr:row>
      <xdr:rowOff>41276</xdr:rowOff>
    </xdr:from>
    <xdr:ext cx="4572000" cy="2743200"/>
    <xdr:graphicFrame macro="">
      <xdr:nvGraphicFramePr>
        <xdr:cNvPr id="7" name="Chart 9">
          <a:extLst>
            <a:ext uri="{FF2B5EF4-FFF2-40B4-BE49-F238E27FC236}">
              <a16:creationId xmlns:a16="http://schemas.microsoft.com/office/drawing/2014/main" id="{30F535DC-F393-4B31-870A-181D29F4FB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oneCellAnchor>
  <xdr:oneCellAnchor>
    <xdr:from>
      <xdr:col>0</xdr:col>
      <xdr:colOff>22229</xdr:colOff>
      <xdr:row>72</xdr:row>
      <xdr:rowOff>53977</xdr:rowOff>
    </xdr:from>
    <xdr:ext cx="4572000" cy="2743200"/>
    <xdr:graphicFrame macro="">
      <xdr:nvGraphicFramePr>
        <xdr:cNvPr id="8" name="Chart 10">
          <a:extLst>
            <a:ext uri="{FF2B5EF4-FFF2-40B4-BE49-F238E27FC236}">
              <a16:creationId xmlns:a16="http://schemas.microsoft.com/office/drawing/2014/main" id="{258DF67E-62A2-4B06-B66A-63FB6F4110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oneCellAnchor>
  <xdr:oneCellAnchor>
    <xdr:from>
      <xdr:col>7</xdr:col>
      <xdr:colOff>358773</xdr:colOff>
      <xdr:row>72</xdr:row>
      <xdr:rowOff>92070</xdr:rowOff>
    </xdr:from>
    <xdr:ext cx="4572000" cy="2743200"/>
    <xdr:graphicFrame macro="">
      <xdr:nvGraphicFramePr>
        <xdr:cNvPr id="9" name="Chart 11">
          <a:extLst>
            <a:ext uri="{FF2B5EF4-FFF2-40B4-BE49-F238E27FC236}">
              <a16:creationId xmlns:a16="http://schemas.microsoft.com/office/drawing/2014/main" id="{C5816824-1491-4DE2-8ABD-D7A9FA4993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oneCellAnchor>
  <xdr:oneCellAnchor>
    <xdr:from>
      <xdr:col>0</xdr:col>
      <xdr:colOff>0</xdr:colOff>
      <xdr:row>87</xdr:row>
      <xdr:rowOff>155576</xdr:rowOff>
    </xdr:from>
    <xdr:ext cx="4572000" cy="2743200"/>
    <xdr:graphicFrame macro="">
      <xdr:nvGraphicFramePr>
        <xdr:cNvPr id="10" name="Chart 12">
          <a:extLst>
            <a:ext uri="{FF2B5EF4-FFF2-40B4-BE49-F238E27FC236}">
              <a16:creationId xmlns:a16="http://schemas.microsoft.com/office/drawing/2014/main" id="{DA5C536F-7019-4671-B05E-5D633C0606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oneCellAnchor>
  <xdr:oneCellAnchor>
    <xdr:from>
      <xdr:col>7</xdr:col>
      <xdr:colOff>358773</xdr:colOff>
      <xdr:row>88</xdr:row>
      <xdr:rowOff>9528</xdr:rowOff>
    </xdr:from>
    <xdr:ext cx="4572000" cy="2743200"/>
    <xdr:graphicFrame macro="">
      <xdr:nvGraphicFramePr>
        <xdr:cNvPr id="11" name="Chart 13">
          <a:extLst>
            <a:ext uri="{FF2B5EF4-FFF2-40B4-BE49-F238E27FC236}">
              <a16:creationId xmlns:a16="http://schemas.microsoft.com/office/drawing/2014/main" id="{B227441E-F91C-4C01-8336-689AF71021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oneCellAnchor>
  <xdr:oneCellAnchor>
    <xdr:from>
      <xdr:col>0</xdr:col>
      <xdr:colOff>0</xdr:colOff>
      <xdr:row>105</xdr:row>
      <xdr:rowOff>9528</xdr:rowOff>
    </xdr:from>
    <xdr:ext cx="4572000" cy="2743200"/>
    <xdr:graphicFrame macro="">
      <xdr:nvGraphicFramePr>
        <xdr:cNvPr id="13" name="Chart 14">
          <a:extLst>
            <a:ext uri="{FF2B5EF4-FFF2-40B4-BE49-F238E27FC236}">
              <a16:creationId xmlns:a16="http://schemas.microsoft.com/office/drawing/2014/main" id="{53711FC5-D2AC-4103-91C6-C3D0045A2F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oneCellAnchor>
  <xdr:oneCellAnchor>
    <xdr:from>
      <xdr:col>7</xdr:col>
      <xdr:colOff>377820</xdr:colOff>
      <xdr:row>104</xdr:row>
      <xdr:rowOff>180978</xdr:rowOff>
    </xdr:from>
    <xdr:ext cx="4572000" cy="2743200"/>
    <xdr:graphicFrame macro="">
      <xdr:nvGraphicFramePr>
        <xdr:cNvPr id="12" name="Chart 15">
          <a:extLst>
            <a:ext uri="{FF2B5EF4-FFF2-40B4-BE49-F238E27FC236}">
              <a16:creationId xmlns:a16="http://schemas.microsoft.com/office/drawing/2014/main" id="{1759E671-8284-474E-AF7C-443EA769ED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125730</xdr:colOff>
      <xdr:row>12</xdr:row>
      <xdr:rowOff>123825</xdr:rowOff>
    </xdr:from>
    <xdr:to>
      <xdr:col>7</xdr:col>
      <xdr:colOff>308610</xdr:colOff>
      <xdr:row>27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01F15D-4A0D-433F-A202-15F9B29D9D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17</xdr:row>
      <xdr:rowOff>47624</xdr:rowOff>
    </xdr:from>
    <xdr:to>
      <xdr:col>8</xdr:col>
      <xdr:colOff>17146</xdr:colOff>
      <xdr:row>33</xdr:row>
      <xdr:rowOff>87630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1864B1-4852-4237-8861-D7387661A1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22</xdr:row>
      <xdr:rowOff>70485</xdr:rowOff>
    </xdr:from>
    <xdr:to>
      <xdr:col>7</xdr:col>
      <xdr:colOff>182880</xdr:colOff>
      <xdr:row>37</xdr:row>
      <xdr:rowOff>70485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313BF6B-CECE-4FAD-B748-B627E27900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83820</xdr:colOff>
      <xdr:row>25</xdr:row>
      <xdr:rowOff>45720</xdr:rowOff>
    </xdr:from>
    <xdr:to>
      <xdr:col>7</xdr:col>
      <xdr:colOff>266700</xdr:colOff>
      <xdr:row>40</xdr:row>
      <xdr:rowOff>45720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9B9B615-87B4-415A-87AF-2FB3346B42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280035</xdr:colOff>
      <xdr:row>145</xdr:row>
      <xdr:rowOff>32385</xdr:rowOff>
    </xdr:from>
    <xdr:to>
      <xdr:col>12</xdr:col>
      <xdr:colOff>325755</xdr:colOff>
      <xdr:row>160</xdr:row>
      <xdr:rowOff>32385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9EF6962-1D85-4C1A-B04F-5443AC46DC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280035</xdr:colOff>
      <xdr:row>145</xdr:row>
      <xdr:rowOff>32385</xdr:rowOff>
    </xdr:from>
    <xdr:to>
      <xdr:col>12</xdr:col>
      <xdr:colOff>325755</xdr:colOff>
      <xdr:row>160</xdr:row>
      <xdr:rowOff>32385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3D97C90-D181-47D2-B32F-C9D3EFE329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280035</xdr:colOff>
      <xdr:row>145</xdr:row>
      <xdr:rowOff>32385</xdr:rowOff>
    </xdr:from>
    <xdr:to>
      <xdr:col>12</xdr:col>
      <xdr:colOff>325755</xdr:colOff>
      <xdr:row>160</xdr:row>
      <xdr:rowOff>32385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12BF203-2A15-429B-9B5F-9A32C65980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280035</xdr:colOff>
      <xdr:row>145</xdr:row>
      <xdr:rowOff>32385</xdr:rowOff>
    </xdr:from>
    <xdr:to>
      <xdr:col>12</xdr:col>
      <xdr:colOff>325755</xdr:colOff>
      <xdr:row>160</xdr:row>
      <xdr:rowOff>32385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9D1E4C7E-2FBF-413F-A528-D383E38E0C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8"/>
  <sheetViews>
    <sheetView topLeftCell="A11" workbookViewId="0">
      <selection activeCell="B1" sqref="B1"/>
    </sheetView>
  </sheetViews>
  <sheetFormatPr defaultColWidth="8.41796875" defaultRowHeight="14.55" x14ac:dyDescent="0.55000000000000004"/>
  <cols>
    <col min="1" max="1" width="8.41796875" customWidth="1"/>
    <col min="2" max="2" width="10.1015625" bestFit="1" customWidth="1"/>
    <col min="3" max="16" width="8.41796875" customWidth="1"/>
    <col min="17" max="17" width="10.1015625" bestFit="1" customWidth="1"/>
    <col min="18" max="28" width="8.41796875" customWidth="1"/>
    <col min="29" max="30" width="8.83984375" bestFit="1" customWidth="1"/>
    <col min="31" max="31" width="8.41796875" customWidth="1"/>
  </cols>
  <sheetData>
    <row r="1" spans="1:30" ht="14.4" x14ac:dyDescent="0.55000000000000004">
      <c r="A1" t="s">
        <v>0</v>
      </c>
      <c r="B1" s="1">
        <v>43278</v>
      </c>
    </row>
    <row r="2" spans="1:30" ht="14.4" x14ac:dyDescent="0.55000000000000004">
      <c r="Q2" t="s">
        <v>0</v>
      </c>
    </row>
    <row r="3" spans="1:30" ht="14.4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Q3" s="1">
        <v>42760</v>
      </c>
    </row>
    <row r="4" spans="1:30" ht="14.4" x14ac:dyDescent="0.55000000000000004">
      <c r="A4" t="s">
        <v>14</v>
      </c>
      <c r="B4">
        <f>VLOOKUP($B$1,Forecasts!$A$3:$XFA$48,14,FALSE)</f>
        <v>3.0537376207438745E-2</v>
      </c>
      <c r="C4">
        <f>VLOOKUP($B$1,Forecasts!$A$3:$XFA$48,30,FALSE)</f>
        <v>3.1829636279696275E-2</v>
      </c>
      <c r="D4">
        <f>VLOOKUP($B$1,Forecasts!$A$3:$XFA$48,34,FALSE)</f>
        <v>3.2965896563120892E-2</v>
      </c>
      <c r="E4">
        <f>VLOOKUP($B$1,Forecasts!$A$3:$XFA$48,38,FALSE)</f>
        <v>3.3306510439631225E-2</v>
      </c>
      <c r="F4">
        <f>VLOOKUP($B$1,Forecasts!$A$3:$XFA$48,42,FALSE)</f>
        <v>3.330746930740857E-2</v>
      </c>
      <c r="G4">
        <f>VLOOKUP($B$1,Forecasts!$A$3:$XFA$48,46,FALSE)</f>
        <v>3.536104082944494E-2</v>
      </c>
      <c r="H4">
        <f>VLOOKUP($B$1,Forecasts!$A$3:$XFA$48,50,FALSE)</f>
        <v>3.7023784525007611E-2</v>
      </c>
      <c r="I4">
        <f>VLOOKUP($B$1,Forecasts!$A$3:$XFA$48,54,FALSE)</f>
        <v>3.7899918271331184E-2</v>
      </c>
      <c r="J4">
        <f>VLOOKUP($B$1,Forecasts!$A$3:$XFA$48,58,FALSE)</f>
        <v>3.8213060341390569E-2</v>
      </c>
      <c r="K4">
        <f>VLOOKUP($B$1,Forecasts!$A$3:$XFA$48,62,FALSE)</f>
        <v>3.9095679664730189E-2</v>
      </c>
      <c r="L4">
        <f>VLOOKUP($B$1,Forecasts!$A$3:$XFA$48,66,FALSE)</f>
        <v>3.9203525526204562E-2</v>
      </c>
      <c r="M4">
        <f>VLOOKUP($B$1,Forecasts!$A$3:$XFA$48,70,FALSE)</f>
        <v>3.8935741719592756E-2</v>
      </c>
      <c r="Q4" s="1">
        <v>42788</v>
      </c>
    </row>
    <row r="5" spans="1:30" ht="14.4" x14ac:dyDescent="0.55000000000000004">
      <c r="A5" t="s">
        <v>15</v>
      </c>
      <c r="B5">
        <f>VLOOKUP($B$1,Forecasts!$A$3:$XFA$48,15,FALSE)</f>
        <v>-1.1010314551035502E-2</v>
      </c>
      <c r="C5">
        <f>VLOOKUP($B$1,Forecasts!$A$3:$XFA$48,31,FALSE)</f>
        <v>-1.3462646542662547E-2</v>
      </c>
      <c r="D5">
        <f>VLOOKUP($B$1,Forecasts!$A$3:$XFA$48,35,FALSE)</f>
        <v>-1.6422310109383536E-2</v>
      </c>
      <c r="E5">
        <f>VLOOKUP($B$1,Forecasts!$A$3:$XFA$48,39,FALSE)</f>
        <v>-1.7808952039868858E-2</v>
      </c>
      <c r="F5">
        <f>VLOOKUP($B$1,Forecasts!$A$3:$XFA$48,43,FALSE)</f>
        <v>-1.8706744046827962E-2</v>
      </c>
      <c r="G5">
        <f>VLOOKUP($B$1,Forecasts!$A$3:$XFA$48,47,FALSE)</f>
        <v>-2.1821156608822383E-2</v>
      </c>
      <c r="H5">
        <f>VLOOKUP($B$1,Forecasts!$A$3:$XFA$48,51,FALSE)</f>
        <v>-2.4369346729782602E-2</v>
      </c>
      <c r="I5">
        <f>VLOOKUP($B$1,Forecasts!$A$3:$XFA$48,55,FALSE)</f>
        <v>-2.6617219497724078E-2</v>
      </c>
      <c r="J5">
        <f>VLOOKUP($B$1,Forecasts!$A$3:$XFA$48,59,FALSE)</f>
        <v>-2.7666088018643831E-2</v>
      </c>
      <c r="K5">
        <f>VLOOKUP($B$1,Forecasts!$A$3:$XFA$48,63,FALSE)</f>
        <v>-2.8830966837334299E-2</v>
      </c>
      <c r="L5">
        <f>VLOOKUP($B$1,Forecasts!$A$3:$XFA$48,67,FALSE)</f>
        <v>-2.9387783044404061E-2</v>
      </c>
      <c r="M5">
        <f>VLOOKUP($B$1,Forecasts!$A$3:$XFA$48,71,FALSE)</f>
        <v>-2.946663549841878E-2</v>
      </c>
      <c r="Q5" s="1">
        <v>42823</v>
      </c>
    </row>
    <row r="6" spans="1:30" ht="14.4" x14ac:dyDescent="0.55000000000000004">
      <c r="A6" t="s">
        <v>16</v>
      </c>
      <c r="B6">
        <f>VLOOKUP($B$1,Forecasts!$A$3:$XFA$48,16,FALSE)</f>
        <v>-6.8907525208481511E-3</v>
      </c>
      <c r="C6">
        <f>VLOOKUP($B$1,Forecasts!$A$3:$XFA$48,32,FALSE)</f>
        <v>-8.8640150191696757E-3</v>
      </c>
      <c r="D6">
        <f>VLOOKUP($B$1,Forecasts!$A$3:$XFA$48,36,FALSE)</f>
        <v>-1.4305534645928784E-2</v>
      </c>
      <c r="E6">
        <f>VLOOKUP($B$1,Forecasts!$A$3:$XFA$48,40,FALSE)</f>
        <v>-1.727159307819787E-2</v>
      </c>
      <c r="F6">
        <f>VLOOKUP($B$1,Forecasts!$A$3:$XFA$48,44,FALSE)</f>
        <v>-1.9621732731509432E-2</v>
      </c>
      <c r="G6">
        <f>VLOOKUP($B$1,Forecasts!$A$3:$XFA$48,48,FALSE)</f>
        <v>-2.505103780091774E-2</v>
      </c>
      <c r="H6">
        <f>VLOOKUP($B$1,Forecasts!$A$3:$XFA$48,52,FALSE)</f>
        <v>-3.0101453579888502E-2</v>
      </c>
      <c r="I6">
        <f>VLOOKUP($B$1,Forecasts!$A$3:$XFA$48,56,FALSE)</f>
        <v>-3.4006015692113936E-2</v>
      </c>
      <c r="J6">
        <f>VLOOKUP($B$1,Forecasts!$A$3:$XFA$48,60,FALSE)</f>
        <v>-3.5335351612588176E-2</v>
      </c>
      <c r="K6">
        <f>VLOOKUP($B$1,Forecasts!$A$3:$XFA$48,64,FALSE)</f>
        <v>-3.7640243288690992E-2</v>
      </c>
      <c r="L6">
        <f>VLOOKUP($B$1,Forecasts!$A$3:$XFA$48,68,FALSE)</f>
        <v>-3.90359048198771E-2</v>
      </c>
      <c r="M6">
        <f>VLOOKUP($B$1,Forecasts!$A$3:$XFA$48,72,FALSE)</f>
        <v>-3.8783147361210996E-2</v>
      </c>
      <c r="Q6" s="1">
        <v>42851</v>
      </c>
    </row>
    <row r="7" spans="1:30" ht="14.4" x14ac:dyDescent="0.55000000000000004">
      <c r="A7" t="s">
        <v>17</v>
      </c>
      <c r="B7">
        <f>VLOOKUP($B$1,Forecasts!$A$3:$XFA$48,17,FALSE)</f>
        <v>5.2937939748745879E-3</v>
      </c>
      <c r="C7">
        <f>VLOOKUP($B$1,Forecasts!$A$3:$XFA$48,33,FALSE)</f>
        <v>9.0267772409492603E-3</v>
      </c>
      <c r="D7">
        <f>VLOOKUP($B$1,Forecasts!$A$3:$XFA$48,37,FALSE)</f>
        <v>1.6429316953480483E-3</v>
      </c>
      <c r="E7">
        <f>VLOOKUP($B$1,Forecasts!$A$3:$XFA$48,41,FALSE)</f>
        <v>5.50067416451323E-3</v>
      </c>
      <c r="F7">
        <f>VLOOKUP($B$1,Forecasts!$A$3:$XFA$48,45,FALSE)</f>
        <v>3.1197574554845003E-3</v>
      </c>
      <c r="G7">
        <f>VLOOKUP($B$1,Forecasts!$A$3:$XFA$48,49,FALSE)</f>
        <v>-6.4972145995341544E-3</v>
      </c>
      <c r="H7">
        <f>VLOOKUP($B$1,Forecasts!$A$3:$XFA$48,53,FALSE)</f>
        <v>-8.8139130519044404E-3</v>
      </c>
      <c r="I7">
        <f>VLOOKUP($B$1,Forecasts!$A$3:$XFA$48,57,FALSE)</f>
        <v>-8.1954015566441281E-3</v>
      </c>
      <c r="J7">
        <f>VLOOKUP($B$1,Forecasts!$A$3:$XFA$48,61,FALSE)</f>
        <v>-1.0533638316410444E-2</v>
      </c>
      <c r="K7">
        <f>VLOOKUP($B$1,Forecasts!$A$3:$XFA$48,65,FALSE)</f>
        <v>-1.4077986904034265E-2</v>
      </c>
      <c r="L7">
        <f>VLOOKUP($B$1,Forecasts!$A$3:$XFA$48,69,FALSE)</f>
        <v>-1.063399927897352E-2</v>
      </c>
      <c r="M7">
        <f>VLOOKUP($B$1,Forecasts!$A$3:$XFA$48,73,FALSE)</f>
        <v>-1.0477200286158637E-2</v>
      </c>
      <c r="Q7" s="1">
        <v>42886</v>
      </c>
    </row>
    <row r="8" spans="1:30" ht="14.4" x14ac:dyDescent="0.55000000000000004">
      <c r="Q8" s="1">
        <v>42914</v>
      </c>
    </row>
    <row r="9" spans="1:30" ht="14.4" x14ac:dyDescent="0.55000000000000004">
      <c r="Q9" s="1">
        <v>42942</v>
      </c>
    </row>
    <row r="10" spans="1:30" ht="14.4" x14ac:dyDescent="0.55000000000000004">
      <c r="Q10" s="1">
        <v>42977</v>
      </c>
    </row>
    <row r="11" spans="1:30" ht="14.4" x14ac:dyDescent="0.55000000000000004">
      <c r="Q11" s="1">
        <v>43005</v>
      </c>
    </row>
    <row r="12" spans="1:30" ht="14.4" x14ac:dyDescent="0.55000000000000004">
      <c r="A12" t="s">
        <v>18</v>
      </c>
      <c r="Q12" s="1">
        <v>43033</v>
      </c>
    </row>
    <row r="13" spans="1:30" ht="14.4" x14ac:dyDescent="0.55000000000000004">
      <c r="A13" t="s">
        <v>19</v>
      </c>
      <c r="B13" t="s">
        <v>2</v>
      </c>
      <c r="C13" t="s">
        <v>3</v>
      </c>
      <c r="D13" t="s">
        <v>4</v>
      </c>
      <c r="E13" t="s">
        <v>5</v>
      </c>
      <c r="F13" t="s">
        <v>6</v>
      </c>
      <c r="G13" t="s">
        <v>7</v>
      </c>
      <c r="H13" t="s">
        <v>8</v>
      </c>
      <c r="I13" t="s">
        <v>9</v>
      </c>
      <c r="J13" t="s">
        <v>10</v>
      </c>
      <c r="K13" t="s">
        <v>11</v>
      </c>
      <c r="L13" t="s">
        <v>12</v>
      </c>
      <c r="M13" t="s">
        <v>13</v>
      </c>
      <c r="N13" t="s">
        <v>20</v>
      </c>
      <c r="O13" t="s">
        <v>21</v>
      </c>
      <c r="Q13" s="1">
        <v>43068</v>
      </c>
      <c r="S13" t="str">
        <f t="shared" ref="S13:AD13" si="0">"PREV " &amp; B13</f>
        <v>PREV 1M</v>
      </c>
      <c r="T13" t="str">
        <f t="shared" si="0"/>
        <v>PREV 2M</v>
      </c>
      <c r="U13" t="str">
        <f t="shared" si="0"/>
        <v>PREV 3M</v>
      </c>
      <c r="V13" t="str">
        <f t="shared" si="0"/>
        <v>PREV 4M</v>
      </c>
      <c r="W13" t="str">
        <f t="shared" si="0"/>
        <v>PREV 5M</v>
      </c>
      <c r="X13" t="str">
        <f t="shared" si="0"/>
        <v>PREV 6M</v>
      </c>
      <c r="Y13" t="str">
        <f t="shared" si="0"/>
        <v>PREV 7M</v>
      </c>
      <c r="Z13" t="str">
        <f t="shared" si="0"/>
        <v>PREV 8M</v>
      </c>
      <c r="AA13" t="str">
        <f t="shared" si="0"/>
        <v>PREV 9M</v>
      </c>
      <c r="AB13" t="str">
        <f t="shared" si="0"/>
        <v>PREV 10M</v>
      </c>
      <c r="AC13" t="str">
        <f t="shared" si="0"/>
        <v>PREV 11M</v>
      </c>
      <c r="AD13" t="str">
        <f t="shared" si="0"/>
        <v>PREV 12M</v>
      </c>
    </row>
    <row r="14" spans="1:30" ht="14.4" x14ac:dyDescent="0.55000000000000004">
      <c r="A14">
        <v>3</v>
      </c>
      <c r="B14">
        <f t="shared" ref="B14:B25" si="1">$B$4+$B$5*((1-EXP(-0.0597760632423479*$A14))/(0.0597760632423479*$A14))+$B$6*((1-EXP(-0.0597760632423479*$A14))/(0.0597760632423479*$A14)-EXP(-0.0597760632423479*$A14))+$B$7*((1-EXP(-0.00996267604057902*$A14))/(0.00996267604057902*$A14)-EXP(-0.00996267604057902*$A14))</f>
        <v>1.9986658292926885E-2</v>
      </c>
      <c r="C14">
        <f t="shared" ref="C14:C25" si="2">$C$4+$C$5*((1-EXP(-0.0597760632423479*$A14))/(0.0597760632423479*$A14))+$C$6*((1-EXP(-0.0597760632423479*$A14))/(0.0597760632423479*$A14)-EXP(-0.0597760632423479*$A14))+$C$7*((1-EXP(-0.00996267604057902*$A14))/(0.00996267604057902*$A14)-EXP(-0.00996267604057902*$A14))</f>
        <v>1.8931448641970685E-2</v>
      </c>
      <c r="D14">
        <f t="shared" ref="D14:D25" si="3">$D$4+$D$5*((1-EXP(-0.0597760632423479*$A14))/(0.0597760632423479*$A14))+$D$6*((1-EXP(-0.0597760632423479*$A14))/(0.0597760632423479*$A14)-EXP(-0.0597760632423479*$A14))+$D$7*((1-EXP(-0.00996267604057902*$A14))/(0.00996267604057902*$A14)-EXP(-0.00996267604057902*$A14))</f>
        <v>1.6816753915500388E-2</v>
      </c>
      <c r="E14">
        <f t="shared" ref="E14:E25" si="4">$E$4+$E$5*((1-EXP(-0.0597760632423479*$A14))/(0.0597760632423479*$A14))+$E$6*((1-EXP(-0.0597760632423479*$A14))/(0.0597760632423479*$A14)-EXP(-0.0597760632423479*$A14))+$E$7*((1-EXP(-0.00996267604057902*$A14))/(0.00996267604057902*$A14)-EXP(-0.00996267604057902*$A14))</f>
        <v>1.5708267824658725E-2</v>
      </c>
      <c r="F14">
        <f t="shared" ref="F14:F25" si="5">$F$4+$F$5*((1-EXP(-0.0597760632423479*$A14))/(0.0597760632423479*$A14))+$F$6*((1-EXP(-0.0597760632423479*$A14))/(0.0597760632423479*$A14)-EXP(-0.0597760632423479*$A14))+$F$7*((1-EXP(-0.00996267604057902*$A14))/(0.00996267604057902*$A14)-EXP(-0.00996267604057902*$A14))</f>
        <v>1.4665304466889252E-2</v>
      </c>
      <c r="G14">
        <f t="shared" ref="G14:G25" si="6">$G$4+$G$5*((1-EXP(-0.0597760632423479*$A14))/(0.0597760632423479*$A14))+$G$6*((1-EXP(-0.0597760632423479*$A14))/(0.0597760632423479*$A14)-EXP(-0.0597760632423479*$A14))+$G$7*((1-EXP(-0.00996267604057902*$A14))/(0.00996267604057902*$A14)-EXP(-0.00996267604057902*$A14))</f>
        <v>1.3294512234435688E-2</v>
      </c>
      <c r="H14">
        <f t="shared" ref="H14:H25" si="7">$H$4+$H$5*((1-EXP(-0.0597760632423479*$A14))/(0.0597760632423479*$A14))+$H$6*((1-EXP(-0.0597760632423479*$A14))/(0.0597760632423479*$A14)-EXP(-0.0597760632423479*$A14))+$H$7*((1-EXP(-0.00996267604057902*$A14))/(0.00996267604057902*$A14)-EXP(-0.00996267604057902*$A14))</f>
        <v>1.2188365882439366E-2</v>
      </c>
      <c r="I14">
        <f t="shared" ref="I14:I25" si="8">$I$4+$I$5*((1-EXP(-0.0597760632423479*$A14))/(0.0597760632423479*$A14))+$I$6*((1-EXP(-0.0597760632423479*$A14))/(0.0597760632423479*$A14)-EXP(-0.0597760632423479*$A14))+$I$7*((1-EXP(-0.00996267604057902*$A14))/(0.00996267604057902*$A14)-EXP(-0.00996267604057902*$A14))</f>
        <v>1.0704785621823608E-2</v>
      </c>
      <c r="J14">
        <f t="shared" ref="J14:J25" si="9">$J$4+$J$5*((1-EXP(-0.0597760632423479*$A14))/(0.0597760632423479*$A14))+$J$6*((1-EXP(-0.0597760632423479*$A14))/(0.0597760632423479*$A14)-EXP(-0.0597760632423479*$A14))+$J$7*((1-EXP(-0.00996267604057902*$A14))/(0.00996267604057902*$A14)-EXP(-0.00996267604057902*$A14))</f>
        <v>9.9176144904306318E-3</v>
      </c>
      <c r="K14">
        <f t="shared" ref="K14:K25" si="10">$K$4+$K$5*((1-EXP(-0.0597760632423479*$A14))/(0.0597760632423479*$A14))+$K$6*((1-EXP(-0.0597760632423479*$A14))/(0.0597760632423479*$A14)-EXP(-0.0597760632423479*$A14))+$K$7*((1-EXP(-0.00996267604057902*$A14))/(0.00996267604057902*$A14)-EXP(-0.00996267604057902*$A14))</f>
        <v>9.498362725005597E-3</v>
      </c>
      <c r="L14">
        <f t="shared" ref="L14:L25" si="11">$L$4+$L$5*((1-EXP(-0.0597760632423479*$A14))/(0.0597760632423479*$A14))+$L$6*((1-EXP(-0.0597760632423479*$A14))/(0.0597760632423479*$A14)-EXP(-0.0597760632423479*$A14))+$L$7*((1-EXP(-0.00996267604057902*$A14))/(0.00996267604057902*$A14)-EXP(-0.00996267604057902*$A14))</f>
        <v>9.0357768308812446E-3</v>
      </c>
      <c r="M14">
        <f t="shared" ref="M14:M25" si="12">$M$4+$M$5*((1-EXP(-0.0597760632423479*$A14))/(0.0597760632423479*$A14))+$M$6*((1-EXP(-0.0597760632423479*$A14))/(0.0597760632423479*$A14)-EXP(-0.0597760632423479*$A14))+$M$7*((1-EXP(-0.00996267604057902*$A14))/(0.00996267604057902*$A14)-EXP(-0.00996267604057902*$A14))</f>
        <v>8.7182311314681314E-3</v>
      </c>
      <c r="N14">
        <v>2</v>
      </c>
      <c r="O14">
        <f>VLOOKUP($B$1,Forecasts!$A$3:$M$48,Forecast_vs_Actual!N14,FALSE)</f>
        <v>2.1649000000000002E-2</v>
      </c>
      <c r="Q14" s="1">
        <v>43096</v>
      </c>
      <c r="S14">
        <f t="array" ref="S14">INDEX(Monthly_Spot_Curve!$B$2:$B$167,MATCH(VLOOKUP($B$1,Monthly_Spot_Curve!$A$1:$M$167,2,0),Monthly_Spot_Curve!$B$2:$B$167,0)-1)</f>
        <v>2.0750000000000001E-2</v>
      </c>
      <c r="T14">
        <f t="array" ref="T14">INDEX(Monthly_Spot_Curve!$B$2:$B$167,MATCH(VLOOKUP($B$1,Monthly_Spot_Curve!$A$1:$M$167,2,0),Monthly_Spot_Curve!$B$2:$B$167,0)-2)</f>
        <v>2.0374E-2</v>
      </c>
      <c r="U14">
        <f t="array" ref="U14">INDEX(Monthly_Spot_Curve!$B$2:$B$167,MATCH(VLOOKUP($B$1,Monthly_Spot_Curve!$A$1:$M$167,2,0),Monthly_Spot_Curve!$B$2:$B$167,0)-3)</f>
        <v>1.8367000000000001E-2</v>
      </c>
      <c r="V14">
        <f t="array" ref="V14">INDEX(Monthly_Spot_Curve!$B$2:$B$167,MATCH(VLOOKUP($B$1,Monthly_Spot_Curve!$A$1:$M$167,2,0),Monthly_Spot_Curve!$B$2:$B$167,0)-4)</f>
        <v>1.7756000000000001E-2</v>
      </c>
      <c r="W14">
        <f t="array" ref="W14">INDEX(Monthly_Spot_Curve!$B$2:$B$167,MATCH(VLOOKUP($B$1,Monthly_Spot_Curve!$A$1:$M$167,2,0),Monthly_Spot_Curve!$B$2:$B$167,0)-5)</f>
        <v>1.7430000000000001E-2</v>
      </c>
      <c r="X14">
        <f t="array" ref="X14">INDEX(Monthly_Spot_Curve!$B$2:$B$167,MATCH(VLOOKUP($B$1,Monthly_Spot_Curve!$A$1:$M$167,2,0),Monthly_Spot_Curve!$B$2:$B$167,0)-6)</f>
        <v>1.5717999999999999E-2</v>
      </c>
      <c r="Y14">
        <f t="array" ref="Y14">INDEX(Monthly_Spot_Curve!$B$2:$B$167,MATCH(VLOOKUP($B$1,Monthly_Spot_Curve!$A$1:$M$167,2,0),Monthly_Spot_Curve!$B$2:$B$167,0)-7)</f>
        <v>1.455E-2</v>
      </c>
      <c r="Z14">
        <f t="array" ref="Z14">INDEX(Monthly_Spot_Curve!$B$2:$B$167,MATCH(VLOOKUP($B$1,Monthly_Spot_Curve!$A$1:$M$167,2,0),Monthly_Spot_Curve!$B$2:$B$167,0)-8)</f>
        <v>1.2707E-2</v>
      </c>
      <c r="AA14">
        <f t="array" ref="AA14">INDEX(Monthly_Spot_Curve!$B$2:$B$167,MATCH(VLOOKUP($B$1,Monthly_Spot_Curve!$A$1:$M$167,2,0),Monthly_Spot_Curve!$B$2:$B$167,0)-9)</f>
        <v>1.1454000000000001E-2</v>
      </c>
      <c r="AB14">
        <f t="array" ref="AB14">INDEX(Monthly_Spot_Curve!$B$2:$B$167,MATCH(VLOOKUP($B$1,Monthly_Spot_Curve!$A$1:$M$167,2,0),Monthly_Spot_Curve!$B$2:$B$167,0)-10)</f>
        <v>1.1072E-2</v>
      </c>
      <c r="AC14">
        <f t="array" ref="AC14">INDEX(Monthly_Spot_Curve!$B$2:$B$167,MATCH(VLOOKUP($B$1,Monthly_Spot_Curve!$A$1:$M$167,2,0),Monthly_Spot_Curve!$B$2:$B$167,0)-11)</f>
        <v>1.1122999999999999E-2</v>
      </c>
      <c r="AD14">
        <f t="array" ref="AD14">INDEX(Monthly_Spot_Curve!$B$2:$B$167,MATCH(VLOOKUP($B$1,Monthly_Spot_Curve!$A$1:$M$167,2,0),Monthly_Spot_Curve!$B$2:$B$167,0)-12)</f>
        <v>1.1223E-2</v>
      </c>
    </row>
    <row r="15" spans="1:30" ht="14.4" x14ac:dyDescent="0.55000000000000004">
      <c r="A15">
        <v>6</v>
      </c>
      <c r="B15">
        <f t="shared" si="1"/>
        <v>2.0460810013918872E-2</v>
      </c>
      <c r="C15">
        <f t="shared" si="2"/>
        <v>1.9519933595426215E-2</v>
      </c>
      <c r="D15">
        <f t="shared" si="3"/>
        <v>1.718595903586333E-2</v>
      </c>
      <c r="E15">
        <f t="shared" si="4"/>
        <v>1.6051855707336901E-2</v>
      </c>
      <c r="F15">
        <f t="shared" si="5"/>
        <v>1.4896970813691089E-2</v>
      </c>
      <c r="G15">
        <f t="shared" si="6"/>
        <v>1.3287857240476398E-2</v>
      </c>
      <c r="H15">
        <f t="shared" si="7"/>
        <v>1.2027100884975436E-2</v>
      </c>
      <c r="I15">
        <f t="shared" si="8"/>
        <v>1.0478777933485197E-2</v>
      </c>
      <c r="J15">
        <f t="shared" si="9"/>
        <v>9.6550019648433544E-3</v>
      </c>
      <c r="K15">
        <f t="shared" si="10"/>
        <v>9.1303337958792748E-3</v>
      </c>
      <c r="L15">
        <f t="shared" si="11"/>
        <v>8.6714279791398428E-3</v>
      </c>
      <c r="M15">
        <f t="shared" si="12"/>
        <v>8.3777035689431862E-3</v>
      </c>
      <c r="N15">
        <f t="shared" ref="N15:N25" si="13">N14+1</f>
        <v>3</v>
      </c>
      <c r="O15">
        <f>VLOOKUP($B$1,Forecasts!$A$3:$M$48,Forecast_vs_Actual!N15,FALSE)</f>
        <v>2.2186999999999998E-2</v>
      </c>
      <c r="Q15" s="1">
        <v>43131</v>
      </c>
      <c r="S15">
        <f t="array" ref="S15">INDEX(Monthly_Spot_Curve!$C$2:$C$167,MATCH(VLOOKUP($B$1,Monthly_Spot_Curve!$A$1:$M$167,3,0),Monthly_Spot_Curve!$C$2:$C$167,0)-1)</f>
        <v>2.1225000000000001E-2</v>
      </c>
      <c r="T15">
        <f t="array" ref="T15">INDEX(Monthly_Spot_Curve!$C$2:$C$167,MATCH(VLOOKUP($B$1,Monthly_Spot_Curve!$A$1:$M$167,3,0),Monthly_Spot_Curve!$C$2:$C$167,0)-2)</f>
        <v>2.0891E-2</v>
      </c>
      <c r="U15">
        <f t="array" ref="U15">INDEX(Monthly_Spot_Curve!$C$2:$C$167,MATCH(VLOOKUP($B$1,Monthly_Spot_Curve!$A$1:$M$167,3,0),Monthly_Spot_Curve!$C$2:$C$167,0)-3)</f>
        <v>1.8921E-2</v>
      </c>
      <c r="V15">
        <f t="array" ref="V15">INDEX(Monthly_Spot_Curve!$C$2:$C$167,MATCH(VLOOKUP($B$1,Monthly_Spot_Curve!$A$1:$M$167,3,0),Monthly_Spot_Curve!$C$2:$C$167,0)-4)</f>
        <v>1.8367000000000001E-2</v>
      </c>
      <c r="W15">
        <f t="array" ref="W15">INDEX(Monthly_Spot_Curve!$C$2:$C$167,MATCH(VLOOKUP($B$1,Monthly_Spot_Curve!$A$1:$M$167,3,0),Monthly_Spot_Curve!$C$2:$C$167,0)-5)</f>
        <v>1.796E-2</v>
      </c>
      <c r="X15">
        <f t="array" ref="X15">INDEX(Monthly_Spot_Curve!$C$2:$C$167,MATCH(VLOOKUP($B$1,Monthly_Spot_Curve!$A$1:$M$167,3,0),Monthly_Spot_Curve!$C$2:$C$167,0)-6)</f>
        <v>1.6174999999999998E-2</v>
      </c>
      <c r="Y15">
        <f t="array" ref="Y15">INDEX(Monthly_Spot_Curve!$C$2:$C$167,MATCH(VLOOKUP($B$1,Monthly_Spot_Curve!$A$1:$M$167,3,0),Monthly_Spot_Curve!$C$2:$C$167,0)-7)</f>
        <v>1.4968E-2</v>
      </c>
      <c r="Z15">
        <f t="array" ref="Z15">INDEX(Monthly_Spot_Curve!$C$2:$C$167,MATCH(VLOOKUP($B$1,Monthly_Spot_Curve!$A$1:$M$167,3,0),Monthly_Spot_Curve!$C$2:$C$167,0)-8)</f>
        <v>1.3174999999999999E-2</v>
      </c>
      <c r="AA15">
        <f t="array" ref="AA15">INDEX(Monthly_Spot_Curve!$C$2:$C$167,MATCH(VLOOKUP($B$1,Monthly_Spot_Curve!$A$1:$M$167,3,0),Monthly_Spot_Curve!$C$2:$C$167,0)-9)</f>
        <v>1.1938000000000001E-2</v>
      </c>
      <c r="AB15">
        <f t="array" ref="AB15">INDEX(Monthly_Spot_Curve!$C$2:$C$167,MATCH(VLOOKUP($B$1,Monthly_Spot_Curve!$A$1:$M$167,3,0),Monthly_Spot_Curve!$C$2:$C$167,0)-10)</f>
        <v>1.1436E-2</v>
      </c>
      <c r="AC15">
        <f t="array" ref="AC15">INDEX(Monthly_Spot_Curve!$C$2:$C$167,MATCH(VLOOKUP($B$1,Monthly_Spot_Curve!$A$1:$M$167,3,0),Monthly_Spot_Curve!$C$2:$C$167,0)-11)</f>
        <v>1.1531E-2</v>
      </c>
      <c r="AD15">
        <f t="array" ref="AD15">INDEX(Monthly_Spot_Curve!$C$2:$C$167,MATCH(VLOOKUP($B$1,Monthly_Spot_Curve!$A$1:$M$167,3,0),Monthly_Spot_Curve!$C$2:$C$167,0)-12)</f>
        <v>1.1547999999999999E-2</v>
      </c>
    </row>
    <row r="16" spans="1:30" ht="14.4" x14ac:dyDescent="0.55000000000000004">
      <c r="A16">
        <v>12</v>
      </c>
      <c r="B16">
        <f t="shared" si="1"/>
        <v>2.141701955221113E-2</v>
      </c>
      <c r="C16">
        <f t="shared" si="2"/>
        <v>2.0719988377807034E-2</v>
      </c>
      <c r="D16">
        <f t="shared" si="3"/>
        <v>1.8108491984182098E-2</v>
      </c>
      <c r="E16">
        <f t="shared" si="4"/>
        <v>1.7003273378204002E-2</v>
      </c>
      <c r="F16">
        <f t="shared" si="5"/>
        <v>1.5701762987227422E-2</v>
      </c>
      <c r="G16">
        <f t="shared" si="6"/>
        <v>1.3776580668193834E-2</v>
      </c>
      <c r="H16">
        <f t="shared" si="7"/>
        <v>1.2353276658052834E-2</v>
      </c>
      <c r="I16">
        <f t="shared" si="8"/>
        <v>1.0778309523611787E-2</v>
      </c>
      <c r="J16">
        <f t="shared" si="9"/>
        <v>9.9138379535582324E-3</v>
      </c>
      <c r="K16">
        <f t="shared" si="10"/>
        <v>9.2493370685854497E-3</v>
      </c>
      <c r="L16">
        <f t="shared" si="11"/>
        <v>8.8350639170149854E-3</v>
      </c>
      <c r="M16">
        <f t="shared" si="12"/>
        <v>8.5766910632581149E-3</v>
      </c>
      <c r="N16">
        <f t="shared" si="13"/>
        <v>4</v>
      </c>
      <c r="O16">
        <f>VLOOKUP($B$1,Forecasts!$A$3:$M$48,Forecast_vs_Actual!N16,FALSE)</f>
        <v>2.3522000000000001E-2</v>
      </c>
      <c r="Q16" s="1">
        <v>43159</v>
      </c>
      <c r="S16">
        <f t="array" ref="S16">INDEX(Monthly_Spot_Curve!$D$2:$D$167,MATCH(VLOOKUP($B$1,Monthly_Spot_Curve!$A$1:$M$167,4,0),Monthly_Spot_Curve!$D$2:$D$167,0)-1)</f>
        <v>2.2404E-2</v>
      </c>
      <c r="T16">
        <f t="array" ref="T16">INDEX(Monthly_Spot_Curve!$D$2:$D$167,MATCH(VLOOKUP($B$1,Monthly_Spot_Curve!$A$1:$M$167,4,0),Monthly_Spot_Curve!$D$2:$D$167,0)-2)</f>
        <v>2.2471999999999999E-2</v>
      </c>
      <c r="U16">
        <f t="array" ref="U16">INDEX(Monthly_Spot_Curve!$D$2:$D$167,MATCH(VLOOKUP($B$1,Monthly_Spot_Curve!$A$1:$M$167,4,0),Monthly_Spot_Curve!$D$2:$D$167,0)-3)</f>
        <v>2.0667999999999999E-2</v>
      </c>
      <c r="V16">
        <f t="array" ref="V16">INDEX(Monthly_Spot_Curve!$D$2:$D$167,MATCH(VLOOKUP($B$1,Monthly_Spot_Curve!$A$1:$M$167,4,0),Monthly_Spot_Curve!$D$2:$D$167,0)-4)</f>
        <v>2.0237999999999999E-2</v>
      </c>
      <c r="W16">
        <f t="array" ref="W16">INDEX(Monthly_Spot_Curve!$D$2:$D$167,MATCH(VLOOKUP($B$1,Monthly_Spot_Curve!$A$1:$M$167,4,0),Monthly_Spot_Curve!$D$2:$D$167,0)-5)</f>
        <v>1.9906E-2</v>
      </c>
      <c r="X16">
        <f t="array" ref="X16">INDEX(Monthly_Spot_Curve!$D$2:$D$167,MATCH(VLOOKUP($B$1,Monthly_Spot_Curve!$A$1:$M$167,4,0),Monthly_Spot_Curve!$D$2:$D$167,0)-6)</f>
        <v>1.7933000000000001E-2</v>
      </c>
      <c r="Y16">
        <f t="array" ref="Y16">INDEX(Monthly_Spot_Curve!$D$2:$D$167,MATCH(VLOOKUP($B$1,Monthly_Spot_Curve!$A$1:$M$167,4,0),Monthly_Spot_Curve!$D$2:$D$167,0)-7)</f>
        <v>1.6412E-2</v>
      </c>
      <c r="Z16">
        <f t="array" ref="Z16">INDEX(Monthly_Spot_Curve!$D$2:$D$167,MATCH(VLOOKUP($B$1,Monthly_Spot_Curve!$A$1:$M$167,4,0),Monthly_Spot_Curve!$D$2:$D$167,0)-8)</f>
        <v>1.4678999999999999E-2</v>
      </c>
      <c r="AA16">
        <f t="array" ref="AA16">INDEX(Monthly_Spot_Curve!$D$2:$D$167,MATCH(VLOOKUP($B$1,Monthly_Spot_Curve!$A$1:$M$167,4,0),Monthly_Spot_Curve!$D$2:$D$167,0)-9)</f>
        <v>1.3526E-2</v>
      </c>
      <c r="AB16">
        <f t="array" ref="AB16">INDEX(Monthly_Spot_Curve!$D$2:$D$167,MATCH(VLOOKUP($B$1,Monthly_Spot_Curve!$A$1:$M$167,4,0),Monthly_Spot_Curve!$D$2:$D$167,0)-10)</f>
        <v>1.2605999999999999E-2</v>
      </c>
      <c r="AC16">
        <f t="array" ref="AC16">INDEX(Monthly_Spot_Curve!$D$2:$D$167,MATCH(VLOOKUP($B$1,Monthly_Spot_Curve!$A$1:$M$167,4,0),Monthly_Spot_Curve!$D$2:$D$167,0)-11)</f>
        <v>1.2799E-2</v>
      </c>
      <c r="AD16">
        <f t="array" ref="AD16">INDEX(Monthly_Spot_Curve!$D$2:$D$167,MATCH(VLOOKUP($B$1,Monthly_Spot_Curve!$A$1:$M$167,4,0),Monthly_Spot_Curve!$D$2:$D$167,0)-12)</f>
        <v>1.2701E-2</v>
      </c>
    </row>
    <row r="17" spans="1:30" ht="14.4" x14ac:dyDescent="0.55000000000000004">
      <c r="A17">
        <v>24</v>
      </c>
      <c r="B17">
        <f t="shared" si="1"/>
        <v>2.3213699346917232E-2</v>
      </c>
      <c r="C17">
        <f t="shared" si="2"/>
        <v>2.3007118333009502E-2</v>
      </c>
      <c r="D17">
        <f t="shared" si="3"/>
        <v>2.0224598849999359E-2</v>
      </c>
      <c r="E17">
        <f t="shared" si="4"/>
        <v>1.9354305337661831E-2</v>
      </c>
      <c r="F17">
        <f t="shared" si="5"/>
        <v>1.7947313436703499E-2</v>
      </c>
      <c r="G17">
        <f t="shared" si="6"/>
        <v>1.5775506357018527E-2</v>
      </c>
      <c r="H17">
        <f t="shared" si="7"/>
        <v>1.4369837816282257E-2</v>
      </c>
      <c r="I17">
        <f t="shared" si="8"/>
        <v>1.2972223343394053E-2</v>
      </c>
      <c r="J17">
        <f t="shared" si="9"/>
        <v>1.2100442970494688E-2</v>
      </c>
      <c r="K17">
        <f t="shared" si="10"/>
        <v>1.1327748817325876E-2</v>
      </c>
      <c r="L17">
        <f t="shared" si="11"/>
        <v>1.1082900940287533E-2</v>
      </c>
      <c r="M17">
        <f t="shared" si="12"/>
        <v>1.0863263042937145E-2</v>
      </c>
      <c r="N17">
        <f t="shared" si="13"/>
        <v>5</v>
      </c>
      <c r="O17">
        <f>VLOOKUP($B$1,Forecasts!$A$3:$M$48,Forecast_vs_Actual!N17,FALSE)</f>
        <v>2.5819000000000002E-2</v>
      </c>
      <c r="Q17" s="1">
        <v>43187</v>
      </c>
      <c r="S17">
        <f t="array" ref="S17">INDEX(Monthly_Spot_Curve!$E$2:$E$167,MATCH(VLOOKUP($B$1,Monthly_Spot_Curve!$A$1:$M$167,5,0),Monthly_Spot_Curve!$E$2:$E$167,0)-1)</f>
        <v>2.4475E-2</v>
      </c>
      <c r="T17">
        <f t="array" ref="T17">INDEX(Monthly_Spot_Curve!$E$2:$E$167,MATCH(VLOOKUP($B$1,Monthly_Spot_Curve!$A$1:$M$167,5,0),Monthly_Spot_Curve!$E$2:$E$167,0)-2)</f>
        <v>2.4919E-2</v>
      </c>
      <c r="U17">
        <f t="array" ref="U17">INDEX(Monthly_Spot_Curve!$E$2:$E$167,MATCH(VLOOKUP($B$1,Monthly_Spot_Curve!$A$1:$M$167,5,0),Monthly_Spot_Curve!$E$2:$E$167,0)-3)</f>
        <v>2.2495000000000001E-2</v>
      </c>
      <c r="V17">
        <f t="array" ref="V17">INDEX(Monthly_Spot_Curve!$E$2:$E$167,MATCH(VLOOKUP($B$1,Monthly_Spot_Curve!$A$1:$M$167,5,0),Monthly_Spot_Curve!$E$2:$E$167,0)-4)</f>
        <v>2.2608E-2</v>
      </c>
      <c r="W17">
        <f t="array" ref="W17">INDEX(Monthly_Spot_Curve!$E$2:$E$167,MATCH(VLOOKUP($B$1,Monthly_Spot_Curve!$A$1:$M$167,5,0),Monthly_Spot_Curve!$E$2:$E$167,0)-5)</f>
        <v>2.1439E-2</v>
      </c>
      <c r="X17">
        <f t="array" ref="X17">INDEX(Monthly_Spot_Curve!$E$2:$E$167,MATCH(VLOOKUP($B$1,Monthly_Spot_Curve!$A$1:$M$167,5,0),Monthly_Spot_Curve!$E$2:$E$167,0)-6)</f>
        <v>1.8874999999999999E-2</v>
      </c>
      <c r="Y17">
        <f t="array" ref="Y17">INDEX(Monthly_Spot_Curve!$E$2:$E$167,MATCH(VLOOKUP($B$1,Monthly_Spot_Curve!$A$1:$M$167,5,0),Monthly_Spot_Curve!$E$2:$E$167,0)-7)</f>
        <v>1.7634E-2</v>
      </c>
      <c r="Z17">
        <f t="array" ref="Z17">INDEX(Monthly_Spot_Curve!$E$2:$E$167,MATCH(VLOOKUP($B$1,Monthly_Spot_Curve!$A$1:$M$167,5,0),Monthly_Spot_Curve!$E$2:$E$167,0)-8)</f>
        <v>1.6302000000000001E-2</v>
      </c>
      <c r="AA17">
        <f t="array" ref="AA17">INDEX(Monthly_Spot_Curve!$E$2:$E$167,MATCH(VLOOKUP($B$1,Monthly_Spot_Curve!$A$1:$M$167,5,0),Monthly_Spot_Curve!$E$2:$E$167,0)-9)</f>
        <v>1.5121000000000001E-2</v>
      </c>
      <c r="AB17">
        <f t="array" ref="AB17">INDEX(Monthly_Spot_Curve!$E$2:$E$167,MATCH(VLOOKUP($B$1,Monthly_Spot_Curve!$A$1:$M$167,5,0),Monthly_Spot_Curve!$E$2:$E$167,0)-10)</f>
        <v>1.3735000000000001E-2</v>
      </c>
      <c r="AC17">
        <f t="array" ref="AC17">INDEX(Monthly_Spot_Curve!$E$2:$E$167,MATCH(VLOOKUP($B$1,Monthly_Spot_Curve!$A$1:$M$167,5,0),Monthly_Spot_Curve!$E$2:$E$167,0)-11)</f>
        <v>1.4086E-2</v>
      </c>
      <c r="AD17">
        <f t="array" ref="AD17">INDEX(Monthly_Spot_Curve!$E$2:$E$167,MATCH(VLOOKUP($B$1,Monthly_Spot_Curve!$A$1:$M$167,5,0),Monthly_Spot_Curve!$E$2:$E$167,0)-12)</f>
        <v>1.3932E-2</v>
      </c>
    </row>
    <row r="18" spans="1:30" ht="14.4" x14ac:dyDescent="0.55000000000000004">
      <c r="A18">
        <v>36</v>
      </c>
      <c r="B18">
        <f t="shared" si="1"/>
        <v>2.4737166389141866E-2</v>
      </c>
      <c r="C18">
        <f t="shared" si="2"/>
        <v>2.4970345735507975E-2</v>
      </c>
      <c r="D18">
        <f t="shared" si="3"/>
        <v>2.2242774222702391E-2</v>
      </c>
      <c r="E18">
        <f t="shared" si="4"/>
        <v>2.1687342941301691E-2</v>
      </c>
      <c r="F18">
        <f t="shared" si="5"/>
        <v>2.0290304268960085E-2</v>
      </c>
      <c r="G18">
        <f t="shared" si="6"/>
        <v>1.8103645525946798E-2</v>
      </c>
      <c r="H18">
        <f t="shared" si="7"/>
        <v>1.6904720679770634E-2</v>
      </c>
      <c r="I18">
        <f t="shared" si="8"/>
        <v>1.579580456961829E-2</v>
      </c>
      <c r="J18">
        <f t="shared" si="9"/>
        <v>1.4955492679697008E-2</v>
      </c>
      <c r="K18">
        <f t="shared" si="10"/>
        <v>1.4178887714471459E-2</v>
      </c>
      <c r="L18">
        <f t="shared" si="11"/>
        <v>1.4135190365106019E-2</v>
      </c>
      <c r="M18">
        <f t="shared" si="12"/>
        <v>1.3931658376764258E-2</v>
      </c>
      <c r="N18">
        <f t="shared" si="13"/>
        <v>6</v>
      </c>
      <c r="O18">
        <f>VLOOKUP($B$1,Forecasts!$A$3:$M$48,Forecast_vs_Actual!N18,FALSE)</f>
        <v>2.6520999999999999E-2</v>
      </c>
      <c r="Q18" s="1">
        <v>43215</v>
      </c>
      <c r="S18">
        <f t="array" ref="S18">INDEX(Monthly_Spot_Curve!$F$2:$F$167,MATCH(VLOOKUP($B$1,Monthly_Spot_Curve!$A$1:$M$167,6,0),Monthly_Spot_Curve!$F$2:$F$167,0)-1)</f>
        <v>2.5623E-2</v>
      </c>
      <c r="T18">
        <f t="array" ref="T18">INDEX(Monthly_Spot_Curve!$F$2:$F$167,MATCH(VLOOKUP($B$1,Monthly_Spot_Curve!$A$1:$M$167,6,0),Monthly_Spot_Curve!$F$2:$F$167,0)-2)</f>
        <v>2.6793000000000001E-2</v>
      </c>
      <c r="U18">
        <f t="array" ref="U18">INDEX(Monthly_Spot_Curve!$F$2:$F$167,MATCH(VLOOKUP($B$1,Monthly_Spot_Curve!$A$1:$M$167,6,0),Monthly_Spot_Curve!$F$2:$F$167,0)-3)</f>
        <v>2.4261000000000001E-2</v>
      </c>
      <c r="V18">
        <f t="array" ref="V18">INDEX(Monthly_Spot_Curve!$F$2:$F$167,MATCH(VLOOKUP($B$1,Monthly_Spot_Curve!$A$1:$M$167,6,0),Monthly_Spot_Curve!$F$2:$F$167,0)-4)</f>
        <v>2.4445999999999999E-2</v>
      </c>
      <c r="W18">
        <f t="array" ref="W18">INDEX(Monthly_Spot_Curve!$F$2:$F$167,MATCH(VLOOKUP($B$1,Monthly_Spot_Curve!$A$1:$M$167,6,0),Monthly_Spot_Curve!$F$2:$F$167,0)-5)</f>
        <v>2.3102000000000001E-2</v>
      </c>
      <c r="X18">
        <f t="array" ref="X18">INDEX(Monthly_Spot_Curve!$F$2:$F$167,MATCH(VLOOKUP($B$1,Monthly_Spot_Curve!$A$1:$M$167,6,0),Monthly_Spot_Curve!$F$2:$F$167,0)-6)</f>
        <v>2.0185000000000002E-2</v>
      </c>
      <c r="Y18">
        <f t="array" ref="Y18">INDEX(Monthly_Spot_Curve!$F$2:$F$167,MATCH(VLOOKUP($B$1,Monthly_Spot_Curve!$A$1:$M$167,6,0),Monthly_Spot_Curve!$F$2:$F$167,0)-7)</f>
        <v>1.8754E-2</v>
      </c>
      <c r="Z18">
        <f t="array" ref="Z18">INDEX(Monthly_Spot_Curve!$F$2:$F$167,MATCH(VLOOKUP($B$1,Monthly_Spot_Curve!$A$1:$M$167,6,0),Monthly_Spot_Curve!$F$2:$F$167,0)-8)</f>
        <v>1.7528999999999999E-2</v>
      </c>
      <c r="AA18">
        <f t="array" ref="AA18">INDEX(Monthly_Spot_Curve!$F$2:$F$167,MATCH(VLOOKUP($B$1,Monthly_Spot_Curve!$A$1:$M$167,6,0),Monthly_Spot_Curve!$F$2:$F$167,0)-9)</f>
        <v>1.6424000000000001E-2</v>
      </c>
      <c r="AB18">
        <f t="array" ref="AB18">INDEX(Monthly_Spot_Curve!$F$2:$F$167,MATCH(VLOOKUP($B$1,Monthly_Spot_Curve!$A$1:$M$167,6,0),Monthly_Spot_Curve!$F$2:$F$167,0)-10)</f>
        <v>1.4884E-2</v>
      </c>
      <c r="AC18">
        <f t="array" ref="AC18">INDEX(Monthly_Spot_Curve!$F$2:$F$167,MATCH(VLOOKUP($B$1,Monthly_Spot_Curve!$A$1:$M$167,6,0),Monthly_Spot_Curve!$F$2:$F$167,0)-11)</f>
        <v>1.554E-2</v>
      </c>
      <c r="AD18">
        <f t="array" ref="AD18">INDEX(Monthly_Spot_Curve!$F$2:$F$167,MATCH(VLOOKUP($B$1,Monthly_Spot_Curve!$A$1:$M$167,6,0),Monthly_Spot_Curve!$F$2:$F$167,0)-12)</f>
        <v>1.5433000000000001E-2</v>
      </c>
    </row>
    <row r="19" spans="1:30" ht="14.4" x14ac:dyDescent="0.55000000000000004">
      <c r="A19">
        <v>60</v>
      </c>
      <c r="B19">
        <f t="shared" si="1"/>
        <v>2.6948316867536445E-2</v>
      </c>
      <c r="C19">
        <f t="shared" si="2"/>
        <v>2.785212380061669E-2</v>
      </c>
      <c r="D19">
        <f t="shared" si="3"/>
        <v>2.5364855982924175E-2</v>
      </c>
      <c r="E19">
        <f t="shared" si="4"/>
        <v>2.5389560288803202E-2</v>
      </c>
      <c r="F19">
        <f t="shared" si="5"/>
        <v>2.4092492179094673E-2</v>
      </c>
      <c r="G19">
        <f t="shared" si="6"/>
        <v>2.2030907725388234E-2</v>
      </c>
      <c r="H19">
        <f t="shared" si="7"/>
        <v>2.1303966227885388E-2</v>
      </c>
      <c r="I19">
        <f t="shared" si="8"/>
        <v>2.074569434871483E-2</v>
      </c>
      <c r="J19">
        <f t="shared" si="9"/>
        <v>1.9976971541640572E-2</v>
      </c>
      <c r="K19">
        <f t="shared" si="10"/>
        <v>1.9264346352687339E-2</v>
      </c>
      <c r="L19">
        <f t="shared" si="11"/>
        <v>1.9579619238867921E-2</v>
      </c>
      <c r="M19">
        <f t="shared" si="12"/>
        <v>1.9383763611138787E-2</v>
      </c>
      <c r="N19">
        <f t="shared" si="13"/>
        <v>7</v>
      </c>
      <c r="O19">
        <f>VLOOKUP($B$1,Forecasts!$A$3:$M$48,Forecast_vs_Actual!N19,FALSE)</f>
        <v>2.7089999999999999E-2</v>
      </c>
      <c r="Q19" s="1">
        <v>43250</v>
      </c>
      <c r="S19">
        <f t="array" ref="S19">INDEX(Monthly_Spot_Curve!$G$2:$G$167,MATCH(VLOOKUP($B$1,Monthly_Spot_Curve!$A$1:$M$167,7,0),Monthly_Spot_Curve!$G$2:$G$167,0)-1)</f>
        <v>2.6703000000000001E-2</v>
      </c>
      <c r="T19">
        <f t="array" ref="T19">INDEX(Monthly_Spot_Curve!$G$2:$G$167,MATCH(VLOOKUP($B$1,Monthly_Spot_Curve!$A$1:$M$167,7,0),Monthly_Spot_Curve!$G$2:$G$167,0)-2)</f>
        <v>2.9128999999999999E-2</v>
      </c>
      <c r="U19">
        <f t="array" ref="U19">INDEX(Monthly_Spot_Curve!$G$2:$G$167,MATCH(VLOOKUP($B$1,Monthly_Spot_Curve!$A$1:$M$167,7,0),Monthly_Spot_Curve!$G$2:$G$167,0)-3)</f>
        <v>2.6568000000000001E-2</v>
      </c>
      <c r="V19">
        <f t="array" ref="V19">INDEX(Monthly_Spot_Curve!$G$2:$G$167,MATCH(VLOOKUP($B$1,Monthly_Spot_Curve!$A$1:$M$167,7,0),Monthly_Spot_Curve!$G$2:$G$167,0)-4)</f>
        <v>2.7258000000000001E-2</v>
      </c>
      <c r="W19">
        <f t="array" ref="W19">INDEX(Monthly_Spot_Curve!$G$2:$G$167,MATCH(VLOOKUP($B$1,Monthly_Spot_Curve!$A$1:$M$167,7,0),Monthly_Spot_Curve!$G$2:$G$167,0)-5)</f>
        <v>2.5921E-2</v>
      </c>
      <c r="X19">
        <f t="array" ref="X19">INDEX(Monthly_Spot_Curve!$G$2:$G$167,MATCH(VLOOKUP($B$1,Monthly_Spot_Curve!$A$1:$M$167,7,0),Monthly_Spot_Curve!$G$2:$G$167,0)-6)</f>
        <v>2.2728999999999999E-2</v>
      </c>
      <c r="Y19">
        <f t="array" ref="Y19">INDEX(Monthly_Spot_Curve!$G$2:$G$167,MATCH(VLOOKUP($B$1,Monthly_Spot_Curve!$A$1:$M$167,7,0),Monthly_Spot_Curve!$G$2:$G$167,0)-7)</f>
        <v>2.1777999999999999E-2</v>
      </c>
      <c r="Z19">
        <f t="array" ref="Z19">INDEX(Monthly_Spot_Curve!$G$2:$G$167,MATCH(VLOOKUP($B$1,Monthly_Spot_Curve!$A$1:$M$167,7,0),Monthly_Spot_Curve!$G$2:$G$167,0)-8)</f>
        <v>2.1378000000000001E-2</v>
      </c>
      <c r="AA19">
        <f t="array" ref="AA19">INDEX(Monthly_Spot_Curve!$G$2:$G$167,MATCH(VLOOKUP($B$1,Monthly_Spot_Curve!$A$1:$M$167,7,0),Monthly_Spot_Curve!$G$2:$G$167,0)-9)</f>
        <v>1.9983000000000001E-2</v>
      </c>
      <c r="AB19">
        <f t="array" ref="AB19">INDEX(Monthly_Spot_Curve!$G$2:$G$167,MATCH(VLOOKUP($B$1,Monthly_Spot_Curve!$A$1:$M$167,7,0),Monthly_Spot_Curve!$G$2:$G$167,0)-10)</f>
        <v>1.8234E-2</v>
      </c>
      <c r="AC19">
        <f t="array" ref="AC19">INDEX(Monthly_Spot_Curve!$G$2:$G$167,MATCH(VLOOKUP($B$1,Monthly_Spot_Curve!$A$1:$M$167,7,0),Monthly_Spot_Curve!$G$2:$G$167,0)-11)</f>
        <v>1.9347E-2</v>
      </c>
      <c r="AD19">
        <f t="array" ref="AD19">INDEX(Monthly_Spot_Curve!$G$2:$G$167,MATCH(VLOOKUP($B$1,Monthly_Spot_Curve!$A$1:$M$167,7,0),Monthly_Spot_Curve!$G$2:$G$167,0)-12)</f>
        <v>1.9136E-2</v>
      </c>
    </row>
    <row r="20" spans="1:30" ht="14.4" x14ac:dyDescent="0.55000000000000004">
      <c r="A20">
        <v>84</v>
      </c>
      <c r="B20">
        <f t="shared" si="1"/>
        <v>2.8334961594153569E-2</v>
      </c>
      <c r="C20">
        <f t="shared" si="2"/>
        <v>2.9676949044707603E-2</v>
      </c>
      <c r="D20">
        <f t="shared" si="3"/>
        <v>2.7382505592325444E-2</v>
      </c>
      <c r="E20">
        <f t="shared" si="4"/>
        <v>2.7824306641988376E-2</v>
      </c>
      <c r="F20">
        <f t="shared" si="5"/>
        <v>2.6616333543741332E-2</v>
      </c>
      <c r="G20">
        <f t="shared" si="6"/>
        <v>2.4665181911132809E-2</v>
      </c>
      <c r="H20">
        <f t="shared" si="7"/>
        <v>2.4291753256148314E-2</v>
      </c>
      <c r="I20">
        <f t="shared" si="8"/>
        <v>2.4127586729307721E-2</v>
      </c>
      <c r="J20">
        <f t="shared" si="9"/>
        <v>2.34075619793939E-2</v>
      </c>
      <c r="K20">
        <f t="shared" si="10"/>
        <v>2.2752738080222937E-2</v>
      </c>
      <c r="L20">
        <f t="shared" si="11"/>
        <v>2.3325162225365275E-2</v>
      </c>
      <c r="M20">
        <f t="shared" si="12"/>
        <v>2.3128435918063139E-2</v>
      </c>
      <c r="N20">
        <f t="shared" si="13"/>
        <v>8</v>
      </c>
      <c r="O20">
        <f>VLOOKUP($B$1,Forecasts!$A$3:$M$48,Forecast_vs_Actual!N20,FALSE)</f>
        <v>2.8413999999999998E-2</v>
      </c>
      <c r="Q20" s="1">
        <v>43278</v>
      </c>
      <c r="S20">
        <f t="array" ref="S20">INDEX(Monthly_Spot_Curve!$H$2:$H$167,MATCH(VLOOKUP($B$1,Monthly_Spot_Curve!$A$1:$M$167,8,0),Monthly_Spot_Curve!$H$2:$H$167,0)-1)</f>
        <v>2.853E-2</v>
      </c>
      <c r="T20">
        <f t="array" ref="T20">INDEX(Monthly_Spot_Curve!$H$2:$H$167,MATCH(VLOOKUP($B$1,Monthly_Spot_Curve!$A$1:$M$167,8,0),Monthly_Spot_Curve!$H$2:$H$167,0)-2)</f>
        <v>3.0353000000000002E-2</v>
      </c>
      <c r="U20">
        <f t="array" ref="U20">INDEX(Monthly_Spot_Curve!$H$2:$H$167,MATCH(VLOOKUP($B$1,Monthly_Spot_Curve!$A$1:$M$167,8,0),Monthly_Spot_Curve!$H$2:$H$167,0)-3)</f>
        <v>2.7768999999999999E-2</v>
      </c>
      <c r="V20">
        <f t="array" ref="V20">INDEX(Monthly_Spot_Curve!$H$2:$H$167,MATCH(VLOOKUP($B$1,Monthly_Spot_Curve!$A$1:$M$167,8,0),Monthly_Spot_Curve!$H$2:$H$167,0)-4)</f>
        <v>2.8732000000000001E-2</v>
      </c>
      <c r="W20">
        <f t="array" ref="W20">INDEX(Monthly_Spot_Curve!$H$2:$H$167,MATCH(VLOOKUP($B$1,Monthly_Spot_Curve!$A$1:$M$167,8,0),Monthly_Spot_Curve!$H$2:$H$167,0)-5)</f>
        <v>2.7309E-2</v>
      </c>
      <c r="X20">
        <f t="array" ref="X20">INDEX(Monthly_Spot_Curve!$H$2:$H$167,MATCH(VLOOKUP($B$1,Monthly_Spot_Curve!$A$1:$M$167,8,0),Monthly_Spot_Curve!$H$2:$H$167,0)-6)</f>
        <v>2.4313000000000001E-2</v>
      </c>
      <c r="Y20">
        <f t="array" ref="Y20">INDEX(Monthly_Spot_Curve!$H$2:$H$167,MATCH(VLOOKUP($B$1,Monthly_Spot_Curve!$A$1:$M$167,8,0),Monthly_Spot_Curve!$H$2:$H$167,0)-7)</f>
        <v>2.3522000000000001E-2</v>
      </c>
      <c r="Z20">
        <f t="array" ref="Z20">INDEX(Monthly_Spot_Curve!$H$2:$H$167,MATCH(VLOOKUP($B$1,Monthly_Spot_Curve!$A$1:$M$167,8,0),Monthly_Spot_Curve!$H$2:$H$167,0)-8)</f>
        <v>2.3716000000000001E-2</v>
      </c>
      <c r="AA20">
        <f t="array" ref="AA20">INDEX(Monthly_Spot_Curve!$H$2:$H$167,MATCH(VLOOKUP($B$1,Monthly_Spot_Curve!$A$1:$M$167,8,0),Monthly_Spot_Curve!$H$2:$H$167,0)-9)</f>
        <v>2.2275E-2</v>
      </c>
      <c r="AB20">
        <f t="array" ref="AB20">INDEX(Monthly_Spot_Curve!$H$2:$H$167,MATCH(VLOOKUP($B$1,Monthly_Spot_Curve!$A$1:$M$167,8,0),Monthly_Spot_Curve!$H$2:$H$167,0)-10)</f>
        <v>2.0452000000000001E-2</v>
      </c>
      <c r="AC20">
        <f t="array" ref="AC20">INDEX(Monthly_Spot_Curve!$H$2:$H$167,MATCH(VLOOKUP($B$1,Monthly_Spot_Curve!$A$1:$M$167,8,0),Monthly_Spot_Curve!$H$2:$H$167,0)-11)</f>
        <v>2.1805999999999999E-2</v>
      </c>
      <c r="AD20">
        <f t="array" ref="AD20">INDEX(Monthly_Spot_Curve!$H$2:$H$167,MATCH(VLOOKUP($B$1,Monthly_Spot_Curve!$A$1:$M$167,8,0),Monthly_Spot_Curve!$H$2:$H$167,0)-12)</f>
        <v>2.1314E-2</v>
      </c>
    </row>
    <row r="21" spans="1:30" ht="14.4" x14ac:dyDescent="0.55000000000000004">
      <c r="A21">
        <v>120</v>
      </c>
      <c r="B21">
        <f t="shared" si="1"/>
        <v>2.9535724402548823E-2</v>
      </c>
      <c r="C21">
        <f t="shared" si="2"/>
        <v>3.1261383284522291E-2</v>
      </c>
      <c r="D21">
        <f t="shared" si="3"/>
        <v>2.9157814002909427E-2</v>
      </c>
      <c r="E21">
        <f t="shared" si="4"/>
        <v>2.9977780108285515E-2</v>
      </c>
      <c r="F21">
        <f t="shared" si="5"/>
        <v>2.8859434081335011E-2</v>
      </c>
      <c r="G21">
        <f t="shared" si="6"/>
        <v>2.7026154132994282E-2</v>
      </c>
      <c r="H21">
        <f t="shared" si="7"/>
        <v>2.6983640183389633E-2</v>
      </c>
      <c r="I21">
        <f t="shared" si="8"/>
        <v>2.7179424573959058E-2</v>
      </c>
      <c r="J21">
        <f t="shared" si="9"/>
        <v>2.650562021497279E-2</v>
      </c>
      <c r="K21">
        <f t="shared" si="10"/>
        <v>2.5911255994189867E-2</v>
      </c>
      <c r="L21">
        <f t="shared" si="11"/>
        <v>2.6715406210111134E-2</v>
      </c>
      <c r="M21">
        <f t="shared" si="12"/>
        <v>2.651568976807115E-2</v>
      </c>
      <c r="N21">
        <f t="shared" si="13"/>
        <v>9</v>
      </c>
      <c r="O21">
        <f>VLOOKUP($B$1,Forecasts!$A$3:$M$48,Forecast_vs_Actual!N21,FALSE)</f>
        <v>2.9239999999999999E-2</v>
      </c>
      <c r="Q21" s="1">
        <v>43306</v>
      </c>
      <c r="S21">
        <f t="array" ref="S21">INDEX(Monthly_Spot_Curve!$I$2:$I$167,MATCH(VLOOKUP($B$1,Monthly_Spot_Curve!$A$1:$M$167,9,0),Monthly_Spot_Curve!$I$2:$I$167,0)-1)</f>
        <v>2.9479999999999999E-2</v>
      </c>
      <c r="T21">
        <f t="array" ref="T21">INDEX(Monthly_Spot_Curve!$I$2:$I$167,MATCH(VLOOKUP($B$1,Monthly_Spot_Curve!$A$1:$M$167,9,0),Monthly_Spot_Curve!$I$2:$I$167,0)-2)</f>
        <v>3.1335000000000002E-2</v>
      </c>
      <c r="U21">
        <f t="array" ref="U21">INDEX(Monthly_Spot_Curve!$I$2:$I$167,MATCH(VLOOKUP($B$1,Monthly_Spot_Curve!$A$1:$M$167,9,0),Monthly_Spot_Curve!$I$2:$I$167,0)-3)</f>
        <v>2.8901E-2</v>
      </c>
      <c r="V21">
        <f t="array" ref="V21">INDEX(Monthly_Spot_Curve!$I$2:$I$167,MATCH(VLOOKUP($B$1,Monthly_Spot_Curve!$A$1:$M$167,9,0),Monthly_Spot_Curve!$I$2:$I$167,0)-4)</f>
        <v>3.0023999999999999E-2</v>
      </c>
      <c r="W21">
        <f t="array" ref="W21">INDEX(Monthly_Spot_Curve!$I$2:$I$167,MATCH(VLOOKUP($B$1,Monthly_Spot_Curve!$A$1:$M$167,9,0),Monthly_Spot_Curve!$I$2:$I$167,0)-5)</f>
        <v>2.8334999999999999E-2</v>
      </c>
      <c r="X21">
        <f t="array" ref="X21">INDEX(Monthly_Spot_Curve!$I$2:$I$167,MATCH(VLOOKUP($B$1,Monthly_Spot_Curve!$A$1:$M$167,9,0),Monthly_Spot_Curve!$I$2:$I$167,0)-6)</f>
        <v>2.5415E-2</v>
      </c>
      <c r="Y21">
        <f t="array" ref="Y21">INDEX(Monthly_Spot_Curve!$I$2:$I$167,MATCH(VLOOKUP($B$1,Monthly_Spot_Curve!$A$1:$M$167,9,0),Monthly_Spot_Curve!$I$2:$I$167,0)-7)</f>
        <v>2.5170999999999999E-2</v>
      </c>
      <c r="Z21">
        <f t="array" ref="Z21">INDEX(Monthly_Spot_Curve!$I$2:$I$167,MATCH(VLOOKUP($B$1,Monthly_Spot_Curve!$A$1:$M$167,9,0),Monthly_Spot_Curve!$I$2:$I$167,0)-8)</f>
        <v>2.5495E-2</v>
      </c>
      <c r="AA21">
        <f t="array" ref="AA21">INDEX(Monthly_Spot_Curve!$I$2:$I$167,MATCH(VLOOKUP($B$1,Monthly_Spot_Curve!$A$1:$M$167,9,0),Monthly_Spot_Curve!$I$2:$I$167,0)-9)</f>
        <v>2.4309999999999998E-2</v>
      </c>
      <c r="AB21">
        <f t="array" ref="AB21">INDEX(Monthly_Spot_Curve!$I$2:$I$167,MATCH(VLOOKUP($B$1,Monthly_Spot_Curve!$A$1:$M$167,9,0),Monthly_Spot_Curve!$I$2:$I$167,0)-10)</f>
        <v>2.2811000000000001E-2</v>
      </c>
      <c r="AC21">
        <f t="array" ref="AC21">INDEX(Monthly_Spot_Curve!$I$2:$I$167,MATCH(VLOOKUP($B$1,Monthly_Spot_Curve!$A$1:$M$167,9,0),Monthly_Spot_Curve!$I$2:$I$167,0)-11)</f>
        <v>2.4441000000000001E-2</v>
      </c>
      <c r="AD21">
        <f t="array" ref="AD21">INDEX(Monthly_Spot_Curve!$I$2:$I$167,MATCH(VLOOKUP($B$1,Monthly_Spot_Curve!$A$1:$M$167,9,0),Monthly_Spot_Curve!$I$2:$I$167,0)-12)</f>
        <v>2.3734999999999999E-2</v>
      </c>
    </row>
    <row r="22" spans="1:30" ht="14.4" x14ac:dyDescent="0.55000000000000004">
      <c r="A22">
        <f>15*12</f>
        <v>180</v>
      </c>
      <c r="B22">
        <f t="shared" si="1"/>
        <v>3.0453645913357284E-2</v>
      </c>
      <c r="C22">
        <f t="shared" si="2"/>
        <v>3.2448662029309489E-2</v>
      </c>
      <c r="D22">
        <f t="shared" si="3"/>
        <v>3.0600724371147463E-2</v>
      </c>
      <c r="E22">
        <f t="shared" si="4"/>
        <v>3.1688121315464612E-2</v>
      </c>
      <c r="F22">
        <f t="shared" si="5"/>
        <v>3.0676748949894347E-2</v>
      </c>
      <c r="G22">
        <f t="shared" si="6"/>
        <v>2.9066453342094352E-2</v>
      </c>
      <c r="H22">
        <f t="shared" si="7"/>
        <v>2.9331746762302265E-2</v>
      </c>
      <c r="I22">
        <f t="shared" si="8"/>
        <v>2.9820751220356996E-2</v>
      </c>
      <c r="J22">
        <f t="shared" si="9"/>
        <v>2.9215107435272347E-2</v>
      </c>
      <c r="K22">
        <f t="shared" si="10"/>
        <v>2.8717579553559611E-2</v>
      </c>
      <c r="L22">
        <f t="shared" si="11"/>
        <v>2.9671770766678762E-2</v>
      </c>
      <c r="M22">
        <f t="shared" si="12"/>
        <v>2.9466936722004448E-2</v>
      </c>
      <c r="N22">
        <f t="shared" si="13"/>
        <v>10</v>
      </c>
      <c r="O22">
        <f>VLOOKUP($B$1,Forecasts!$A$3:$M$48,Forecast_vs_Actual!N22,FALSE)</f>
        <v>2.988E-2</v>
      </c>
      <c r="Q22" s="1">
        <v>43341</v>
      </c>
      <c r="S22">
        <f t="array" ref="S22">INDEX(Monthly_Spot_Curve!$J$2:$J$167,MATCH(VLOOKUP($B$1,Monthly_Spot_Curve!$A$1:$M$167,10,0),Monthly_Spot_Curve!$J$2:$J$167,0)-1)</f>
        <v>3.0106999999999998E-2</v>
      </c>
      <c r="T22">
        <f t="array" ref="T22">INDEX(Monthly_Spot_Curve!$J$2:$J$167,MATCH(VLOOKUP($B$1,Monthly_Spot_Curve!$A$1:$M$167,10,0),Monthly_Spot_Curve!$J$2:$J$167,0)-2)</f>
        <v>3.2152E-2</v>
      </c>
      <c r="U22">
        <f t="array" ref="U22">INDEX(Monthly_Spot_Curve!$J$2:$J$167,MATCH(VLOOKUP($B$1,Monthly_Spot_Curve!$A$1:$M$167,10,0),Monthly_Spot_Curve!$J$2:$J$167,0)-3)</f>
        <v>2.9857999999999999E-2</v>
      </c>
      <c r="V22">
        <f t="array" ref="V22">INDEX(Monthly_Spot_Curve!$J$2:$J$167,MATCH(VLOOKUP($B$1,Monthly_Spot_Curve!$A$1:$M$167,10,0),Monthly_Spot_Curve!$J$2:$J$167,0)-4)</f>
        <v>3.1144999999999999E-2</v>
      </c>
      <c r="W22">
        <f t="array" ref="W22">INDEX(Monthly_Spot_Curve!$J$2:$J$167,MATCH(VLOOKUP($B$1,Monthly_Spot_Curve!$A$1:$M$167,10,0),Monthly_Spot_Curve!$J$2:$J$167,0)-5)</f>
        <v>2.9246000000000001E-2</v>
      </c>
      <c r="X22">
        <f t="array" ref="X22">INDEX(Monthly_Spot_Curve!$J$2:$J$167,MATCH(VLOOKUP($B$1,Monthly_Spot_Curve!$A$1:$M$167,10,0),Monthly_Spot_Curve!$J$2:$J$167,0)-6)</f>
        <v>2.6575000000000001E-2</v>
      </c>
      <c r="Y22">
        <f t="array" ref="Y22">INDEX(Monthly_Spot_Curve!$J$2:$J$167,MATCH(VLOOKUP($B$1,Monthly_Spot_Curve!$A$1:$M$167,10,0),Monthly_Spot_Curve!$J$2:$J$167,0)-7)</f>
        <v>2.6991999999999999E-2</v>
      </c>
      <c r="Z22">
        <f t="array" ref="Z22">INDEX(Monthly_Spot_Curve!$J$2:$J$167,MATCH(VLOOKUP($B$1,Monthly_Spot_Curve!$A$1:$M$167,10,0),Monthly_Spot_Curve!$J$2:$J$167,0)-8)</f>
        <v>2.7931000000000001E-2</v>
      </c>
      <c r="AA22">
        <f t="array" ref="AA22">INDEX(Monthly_Spot_Curve!$J$2:$J$167,MATCH(VLOOKUP($B$1,Monthly_Spot_Curve!$A$1:$M$167,10,0),Monthly_Spot_Curve!$J$2:$J$167,0)-9)</f>
        <v>2.6745999999999999E-2</v>
      </c>
      <c r="AB22">
        <f t="array" ref="AB22">INDEX(Monthly_Spot_Curve!$J$2:$J$167,MATCH(VLOOKUP($B$1,Monthly_Spot_Curve!$A$1:$M$167,10,0),Monthly_Spot_Curve!$J$2:$J$167,0)-10)</f>
        <v>2.5343999999999998E-2</v>
      </c>
      <c r="AC22">
        <f t="array" ref="AC22">INDEX(Monthly_Spot_Curve!$J$2:$J$167,MATCH(VLOOKUP($B$1,Monthly_Spot_Curve!$A$1:$M$167,10,0),Monthly_Spot_Curve!$J$2:$J$167,0)-11)</f>
        <v>2.6976E-2</v>
      </c>
      <c r="AD22">
        <f t="array" ref="AD22">INDEX(Monthly_Spot_Curve!$J$2:$J$167,MATCH(VLOOKUP($B$1,Monthly_Spot_Curve!$A$1:$M$167,10,0),Monthly_Spot_Curve!$J$2:$J$167,0)-12)</f>
        <v>2.5996999999999999E-2</v>
      </c>
    </row>
    <row r="23" spans="1:30" ht="14.4" x14ac:dyDescent="0.55000000000000004">
      <c r="A23">
        <v>240</v>
      </c>
      <c r="B23">
        <f t="shared" si="1"/>
        <v>3.0816384131197715E-2</v>
      </c>
      <c r="C23">
        <f t="shared" si="2"/>
        <v>3.287679571806372E-2</v>
      </c>
      <c r="D23">
        <f t="shared" si="3"/>
        <v>3.129787409294215E-2</v>
      </c>
      <c r="E23">
        <f t="shared" si="4"/>
        <v>3.2447703082237461E-2</v>
      </c>
      <c r="F23">
        <f t="shared" si="5"/>
        <v>3.1535584453640748E-2</v>
      </c>
      <c r="G23">
        <f t="shared" si="6"/>
        <v>3.0219979890099159E-2</v>
      </c>
      <c r="H23">
        <f t="shared" si="7"/>
        <v>3.0684907111246031E-2</v>
      </c>
      <c r="I23">
        <f t="shared" si="8"/>
        <v>3.1310576075378065E-2</v>
      </c>
      <c r="J23">
        <f t="shared" si="9"/>
        <v>3.0783573380888423E-2</v>
      </c>
      <c r="K23">
        <f t="shared" si="10"/>
        <v>3.0402105128340483E-2</v>
      </c>
      <c r="L23">
        <f t="shared" si="11"/>
        <v>3.1367140078878829E-2</v>
      </c>
      <c r="M23">
        <f t="shared" si="12"/>
        <v>3.115670069335455E-2</v>
      </c>
      <c r="N23">
        <f t="shared" si="13"/>
        <v>11</v>
      </c>
      <c r="O23">
        <f>VLOOKUP($B$1,Forecasts!$A$3:$M$48,Forecast_vs_Actual!N23,FALSE)</f>
        <v>2.9974000000000001E-2</v>
      </c>
      <c r="Q23" s="1">
        <v>43369</v>
      </c>
      <c r="S23">
        <f t="array" ref="S23">INDEX(Monthly_Spot_Curve!$K$2:$K$167,MATCH(VLOOKUP($B$1,Monthly_Spot_Curve!$A$1:$M$167,11,0),Monthly_Spot_Curve!$K$2:$K$167,0)-1)</f>
        <v>3.0366000000000001E-2</v>
      </c>
      <c r="T23">
        <f t="array" ref="T23">INDEX(Monthly_Spot_Curve!$K$2:$K$167,MATCH(VLOOKUP($B$1,Monthly_Spot_Curve!$A$1:$M$167,11,0),Monthly_Spot_Curve!$K$2:$K$167,0)-2)</f>
        <v>3.2289999999999999E-2</v>
      </c>
      <c r="U23">
        <f t="array" ref="U23">INDEX(Monthly_Spot_Curve!$K$2:$K$167,MATCH(VLOOKUP($B$1,Monthly_Spot_Curve!$A$1:$M$167,11,0),Monthly_Spot_Curve!$K$2:$K$167,0)-3)</f>
        <v>3.0127000000000001E-2</v>
      </c>
      <c r="V23">
        <f t="array" ref="V23">INDEX(Monthly_Spot_Curve!$K$2:$K$167,MATCH(VLOOKUP($B$1,Monthly_Spot_Curve!$A$1:$M$167,11,0),Monthly_Spot_Curve!$K$2:$K$167,0)-4)</f>
        <v>3.1419000000000002E-2</v>
      </c>
      <c r="W23">
        <f t="array" ref="W23">INDEX(Monthly_Spot_Curve!$K$2:$K$167,MATCH(VLOOKUP($B$1,Monthly_Spot_Curve!$A$1:$M$167,11,0),Monthly_Spot_Curve!$K$2:$K$167,0)-5)</f>
        <v>2.9618999999999999E-2</v>
      </c>
      <c r="X23">
        <f t="array" ref="X23">INDEX(Monthly_Spot_Curve!$K$2:$K$167,MATCH(VLOOKUP($B$1,Monthly_Spot_Curve!$A$1:$M$167,11,0),Monthly_Spot_Curve!$K$2:$K$167,0)-6)</f>
        <v>2.7532999999999998E-2</v>
      </c>
      <c r="Y23">
        <f t="array" ref="Y23">INDEX(Monthly_Spot_Curve!$K$2:$K$167,MATCH(VLOOKUP($B$1,Monthly_Spot_Curve!$A$1:$M$167,11,0),Monthly_Spot_Curve!$K$2:$K$167,0)-7)</f>
        <v>2.8083E-2</v>
      </c>
      <c r="Z23">
        <f t="array" ref="Z23">INDEX(Monthly_Spot_Curve!$K$2:$K$167,MATCH(VLOOKUP($B$1,Monthly_Spot_Curve!$A$1:$M$167,11,0),Monthly_Spot_Curve!$K$2:$K$167,0)-8)</f>
        <v>2.9420999999999999E-2</v>
      </c>
      <c r="AA23">
        <f t="array" ref="AA23">INDEX(Monthly_Spot_Curve!$K$2:$K$167,MATCH(VLOOKUP($B$1,Monthly_Spot_Curve!$A$1:$M$167,11,0),Monthly_Spot_Curve!$K$2:$K$167,0)-9)</f>
        <v>2.8324999999999999E-2</v>
      </c>
      <c r="AB23">
        <f t="array" ref="AB23">INDEX(Monthly_Spot_Curve!$K$2:$K$167,MATCH(VLOOKUP($B$1,Monthly_Spot_Curve!$A$1:$M$167,11,0),Monthly_Spot_Curve!$K$2:$K$167,0)-10)</f>
        <v>2.6894000000000001E-2</v>
      </c>
      <c r="AC23">
        <f t="array" ref="AC23">INDEX(Monthly_Spot_Curve!$K$2:$K$167,MATCH(VLOOKUP($B$1,Monthly_Spot_Curve!$A$1:$M$167,11,0),Monthly_Spot_Curve!$K$2:$K$167,0)-11)</f>
        <v>2.8749E-2</v>
      </c>
      <c r="AD23">
        <f t="array" ref="AD23">INDEX(Monthly_Spot_Curve!$K$2:$K$167,MATCH(VLOOKUP($B$1,Monthly_Spot_Curve!$A$1:$M$167,11,0),Monthly_Spot_Curve!$K$2:$K$167,0)-12)</f>
        <v>2.7643000000000001E-2</v>
      </c>
    </row>
    <row r="24" spans="1:30" ht="14.4" x14ac:dyDescent="0.55000000000000004">
      <c r="A24">
        <f>25*12</f>
        <v>300</v>
      </c>
      <c r="B24">
        <f t="shared" si="1"/>
        <v>3.0954649308263252E-2</v>
      </c>
      <c r="C24">
        <f t="shared" si="2"/>
        <v>3.2998280704097632E-2</v>
      </c>
      <c r="D24">
        <f t="shared" si="3"/>
        <v>3.1691700977241277E-2</v>
      </c>
      <c r="E24">
        <f t="shared" si="4"/>
        <v>3.2821110279033068E-2</v>
      </c>
      <c r="F24">
        <f t="shared" si="5"/>
        <v>3.2004321582990929E-2</v>
      </c>
      <c r="G24">
        <f t="shared" si="6"/>
        <v>3.1009991346558085E-2</v>
      </c>
      <c r="H24">
        <f t="shared" si="7"/>
        <v>3.1629549171531011E-2</v>
      </c>
      <c r="I24">
        <f t="shared" si="8"/>
        <v>3.2327983750843267E-2</v>
      </c>
      <c r="J24">
        <f t="shared" si="9"/>
        <v>3.1883289580717712E-2</v>
      </c>
      <c r="K24">
        <f t="shared" si="10"/>
        <v>3.1624701882787223E-2</v>
      </c>
      <c r="L24">
        <f t="shared" si="11"/>
        <v>3.2544554889772558E-2</v>
      </c>
      <c r="M24">
        <f t="shared" si="12"/>
        <v>3.2328394990745996E-2</v>
      </c>
      <c r="N24">
        <f t="shared" si="13"/>
        <v>12</v>
      </c>
      <c r="O24">
        <f>VLOOKUP($B$1,Forecasts!$A$3:$M$48,Forecast_vs_Actual!N24,FALSE)</f>
        <v>3.024E-2</v>
      </c>
      <c r="Q24" s="1">
        <v>43404</v>
      </c>
      <c r="S24">
        <f t="array" ref="S24">INDEX(Monthly_Spot_Curve!$L$2:$L$167,MATCH(VLOOKUP($B$1,Monthly_Spot_Curve!$A$1:$M$167,12,0),Monthly_Spot_Curve!$L$2:$L$167,0)-1)</f>
        <v>3.0613000000000001E-2</v>
      </c>
      <c r="T24">
        <f t="array" ref="T24">INDEX(Monthly_Spot_Curve!$L$2:$L$167,MATCH(VLOOKUP($B$1,Monthly_Spot_Curve!$A$1:$M$167,12,0),Monthly_Spot_Curve!$L$2:$L$167,0)-2)</f>
        <v>3.2626000000000002E-2</v>
      </c>
      <c r="U24">
        <f t="array" ref="U24">INDEX(Monthly_Spot_Curve!$L$2:$L$167,MATCH(VLOOKUP($B$1,Monthly_Spot_Curve!$A$1:$M$167,12,0),Monthly_Spot_Curve!$L$2:$L$167,0)-3)</f>
        <v>3.0866000000000001E-2</v>
      </c>
      <c r="V24">
        <f t="array" ref="V24">INDEX(Monthly_Spot_Curve!$L$2:$L$167,MATCH(VLOOKUP($B$1,Monthly_Spot_Curve!$A$1:$M$167,12,0),Monthly_Spot_Curve!$L$2:$L$167,0)-4)</f>
        <v>3.1995999999999997E-2</v>
      </c>
      <c r="W24">
        <f t="array" ref="W24">INDEX(Monthly_Spot_Curve!$L$2:$L$167,MATCH(VLOOKUP($B$1,Monthly_Spot_Curve!$A$1:$M$167,12,0),Monthly_Spot_Curve!$L$2:$L$167,0)-5)</f>
        <v>2.9981000000000001E-2</v>
      </c>
      <c r="X24">
        <f t="array" ref="X24">INDEX(Monthly_Spot_Curve!$L$2:$L$167,MATCH(VLOOKUP($B$1,Monthly_Spot_Curve!$A$1:$M$167,12,0),Monthly_Spot_Curve!$L$2:$L$167,0)-6)</f>
        <v>2.8337000000000001E-2</v>
      </c>
      <c r="Y24">
        <f t="array" ref="Y24">INDEX(Monthly_Spot_Curve!$L$2:$L$167,MATCH(VLOOKUP($B$1,Monthly_Spot_Curve!$A$1:$M$167,12,0),Monthly_Spot_Curve!$L$2:$L$167,0)-7)</f>
        <v>2.9165E-2</v>
      </c>
      <c r="Z24">
        <f t="array" ref="Z24">INDEX(Monthly_Spot_Curve!$L$2:$L$167,MATCH(VLOOKUP($B$1,Monthly_Spot_Curve!$A$1:$M$167,12,0),Monthly_Spot_Curve!$L$2:$L$167,0)-8)</f>
        <v>3.0522000000000001E-2</v>
      </c>
      <c r="AA24">
        <f t="array" ref="AA24">INDEX(Monthly_Spot_Curve!$L$2:$L$167,MATCH(VLOOKUP($B$1,Monthly_Spot_Curve!$A$1:$M$167,12,0),Monthly_Spot_Curve!$L$2:$L$167,0)-9)</f>
        <v>2.9617999999999998E-2</v>
      </c>
      <c r="AB24">
        <f t="array" ref="AB24">INDEX(Monthly_Spot_Curve!$L$2:$L$167,MATCH(VLOOKUP($B$1,Monthly_Spot_Curve!$A$1:$M$167,12,0),Monthly_Spot_Curve!$L$2:$L$167,0)-10)</f>
        <v>2.8542000000000001E-2</v>
      </c>
      <c r="AC24">
        <f t="array" ref="AC24">INDEX(Monthly_Spot_Curve!$L$2:$L$167,MATCH(VLOOKUP($B$1,Monthly_Spot_Curve!$A$1:$M$167,12,0),Monthly_Spot_Curve!$L$2:$L$167,0)-11)</f>
        <v>3.0204999999999999E-2</v>
      </c>
      <c r="AD24">
        <f t="array" ref="AD24">INDEX(Monthly_Spot_Curve!$L$2:$L$167,MATCH(VLOOKUP($B$1,Monthly_Spot_Curve!$A$1:$M$167,12,0),Monthly_Spot_Curve!$L$2:$L$167,0)-12)</f>
        <v>2.8926E-2</v>
      </c>
    </row>
    <row r="25" spans="1:30" ht="14.4" x14ac:dyDescent="0.55000000000000004">
      <c r="A25">
        <v>360</v>
      </c>
      <c r="B25">
        <f t="shared" si="1"/>
        <v>3.0994047348628886E-2</v>
      </c>
      <c r="C25">
        <f t="shared" si="2"/>
        <v>3.2989273110013026E-2</v>
      </c>
      <c r="D25">
        <f t="shared" si="3"/>
        <v>3.1937877419291924E-2</v>
      </c>
      <c r="E25">
        <f t="shared" si="4"/>
        <v>3.3015211206046967E-2</v>
      </c>
      <c r="F25">
        <f t="shared" si="5"/>
        <v>3.2285715649556741E-2</v>
      </c>
      <c r="G25">
        <f t="shared" si="6"/>
        <v>3.1601456435343116E-2</v>
      </c>
      <c r="H25">
        <f t="shared" si="7"/>
        <v>3.2347201992308533E-2</v>
      </c>
      <c r="I25">
        <f t="shared" si="8"/>
        <v>3.3087981704239142E-2</v>
      </c>
      <c r="J25">
        <f t="shared" si="9"/>
        <v>3.272147379933419E-2</v>
      </c>
      <c r="K25">
        <f t="shared" si="10"/>
        <v>3.2580146298536325E-2</v>
      </c>
      <c r="L25">
        <f t="shared" si="11"/>
        <v>3.3435540322844362E-2</v>
      </c>
      <c r="M25">
        <f t="shared" si="12"/>
        <v>3.3214003288357032E-2</v>
      </c>
      <c r="N25">
        <f t="shared" si="13"/>
        <v>13</v>
      </c>
      <c r="O25">
        <f>VLOOKUP($B$1,Forecasts!$A$3:$M$48,Forecast_vs_Actual!N25,FALSE)</f>
        <v>2.9812000000000002E-2</v>
      </c>
      <c r="Q25" s="1">
        <v>43432</v>
      </c>
      <c r="S25">
        <f t="array" ref="S25">INDEX(Monthly_Spot_Curve!$M$2:$M$167,MATCH(VLOOKUP($B$1,Monthly_Spot_Curve!$A$1:$M$167,13,0),Monthly_Spot_Curve!$M$2:$M$167,0)-1)</f>
        <v>3.0218999999999999E-2</v>
      </c>
      <c r="T25">
        <f t="array" ref="T25">INDEX(Monthly_Spot_Curve!$M$2:$M$167,MATCH(VLOOKUP($B$1,Monthly_Spot_Curve!$A$1:$M$167,13,0),Monthly_Spot_Curve!$M$2:$M$167,0)-2)</f>
        <v>3.2356000000000003E-2</v>
      </c>
      <c r="U25">
        <f t="array" ref="U25">INDEX(Monthly_Spot_Curve!$M$2:$M$167,MATCH(VLOOKUP($B$1,Monthly_Spot_Curve!$A$1:$M$167,13,0),Monthly_Spot_Curve!$M$2:$M$167,0)-3)</f>
        <v>3.0613999999999999E-2</v>
      </c>
      <c r="V25">
        <f t="array" ref="V25">INDEX(Monthly_Spot_Curve!$M$2:$M$167,MATCH(VLOOKUP($B$1,Monthly_Spot_Curve!$A$1:$M$167,13,0),Monthly_Spot_Curve!$M$2:$M$167,0)-4)</f>
        <v>3.1816999999999998E-2</v>
      </c>
      <c r="W25">
        <f t="array" ref="W25">INDEX(Monthly_Spot_Curve!$M$2:$M$167,MATCH(VLOOKUP($B$1,Monthly_Spot_Curve!$A$1:$M$167,13,0),Monthly_Spot_Curve!$M$2:$M$167,0)-5)</f>
        <v>2.9714999999999998E-2</v>
      </c>
      <c r="X25">
        <f t="array" ref="X25">INDEX(Monthly_Spot_Curve!$M$2:$M$167,MATCH(VLOOKUP($B$1,Monthly_Spot_Curve!$A$1:$M$167,13,0),Monthly_Spot_Curve!$M$2:$M$167,0)-6)</f>
        <v>2.7917999999999998E-2</v>
      </c>
      <c r="Y25">
        <f t="array" ref="Y25">INDEX(Monthly_Spot_Curve!$M$2:$M$167,MATCH(VLOOKUP($B$1,Monthly_Spot_Curve!$A$1:$M$167,13,0),Monthly_Spot_Curve!$M$2:$M$167,0)-7)</f>
        <v>2.8851000000000002E-2</v>
      </c>
      <c r="Z25">
        <f t="array" ref="Z25">INDEX(Monthly_Spot_Curve!$M$2:$M$167,MATCH(VLOOKUP($B$1,Monthly_Spot_Curve!$A$1:$M$167,13,0),Monthly_Spot_Curve!$M$2:$M$167,0)-8)</f>
        <v>3.0346000000000001E-2</v>
      </c>
      <c r="AA25">
        <f t="array" ref="AA25">INDEX(Monthly_Spot_Curve!$M$2:$M$167,MATCH(VLOOKUP($B$1,Monthly_Spot_Curve!$A$1:$M$167,13,0),Monthly_Spot_Curve!$M$2:$M$167,0)-9)</f>
        <v>2.9496000000000001E-2</v>
      </c>
      <c r="AB25">
        <f t="array" ref="AB25">INDEX(Monthly_Spot_Curve!$M$2:$M$167,MATCH(VLOOKUP($B$1,Monthly_Spot_Curve!$A$1:$M$167,13,0),Monthly_Spot_Curve!$M$2:$M$167,0)-10)</f>
        <v>2.8452999999999999E-2</v>
      </c>
      <c r="AC25">
        <f t="array" ref="AC25">INDEX(Monthly_Spot_Curve!$M$2:$M$167,MATCH(VLOOKUP($B$1,Monthly_Spot_Curve!$A$1:$M$167,13,0),Monthly_Spot_Curve!$M$2:$M$167,0)-11)</f>
        <v>3.0138000000000002E-2</v>
      </c>
      <c r="AD25">
        <f t="array" ref="AD25">INDEX(Monthly_Spot_Curve!$M$2:$M$167,MATCH(VLOOKUP($B$1,Monthly_Spot_Curve!$A$1:$M$167,13,0),Monthly_Spot_Curve!$M$2:$M$167,0)-12)</f>
        <v>2.8795999999999999E-2</v>
      </c>
    </row>
    <row r="26" spans="1:30" ht="14.4" x14ac:dyDescent="0.55000000000000004">
      <c r="Q26" s="1">
        <v>43460</v>
      </c>
    </row>
    <row r="27" spans="1:30" ht="14.4" x14ac:dyDescent="0.55000000000000004">
      <c r="Q27" s="1">
        <v>43495</v>
      </c>
    </row>
    <row r="28" spans="1:30" ht="14.4" x14ac:dyDescent="0.55000000000000004">
      <c r="Q28" s="1">
        <v>43523</v>
      </c>
    </row>
    <row r="29" spans="1:30" ht="14.4" x14ac:dyDescent="0.55000000000000004">
      <c r="Q29" s="1">
        <v>43551</v>
      </c>
    </row>
    <row r="30" spans="1:30" ht="14.4" x14ac:dyDescent="0.55000000000000004">
      <c r="Q30" s="1">
        <v>43579</v>
      </c>
    </row>
    <row r="31" spans="1:30" ht="14.4" x14ac:dyDescent="0.55000000000000004">
      <c r="Q31" s="1">
        <v>43614</v>
      </c>
    </row>
    <row r="32" spans="1:30" ht="14.4" x14ac:dyDescent="0.55000000000000004">
      <c r="Q32" s="1">
        <v>43642</v>
      </c>
    </row>
    <row r="33" spans="17:17" x14ac:dyDescent="0.55000000000000004">
      <c r="Q33" s="1">
        <v>43677</v>
      </c>
    </row>
    <row r="34" spans="17:17" x14ac:dyDescent="0.55000000000000004">
      <c r="Q34" s="1">
        <v>43705</v>
      </c>
    </row>
    <row r="35" spans="17:17" x14ac:dyDescent="0.55000000000000004">
      <c r="Q35" s="1">
        <v>43733</v>
      </c>
    </row>
    <row r="36" spans="17:17" x14ac:dyDescent="0.55000000000000004">
      <c r="Q36" s="1">
        <v>43768</v>
      </c>
    </row>
    <row r="37" spans="17:17" x14ac:dyDescent="0.55000000000000004">
      <c r="Q37" s="1">
        <v>43796</v>
      </c>
    </row>
    <row r="38" spans="17:17" x14ac:dyDescent="0.55000000000000004">
      <c r="Q38" s="1">
        <v>43824</v>
      </c>
    </row>
    <row r="39" spans="17:17" x14ac:dyDescent="0.55000000000000004">
      <c r="Q39" s="1">
        <v>43859</v>
      </c>
    </row>
    <row r="40" spans="17:17" x14ac:dyDescent="0.55000000000000004">
      <c r="Q40" s="1">
        <v>43887</v>
      </c>
    </row>
    <row r="41" spans="17:17" x14ac:dyDescent="0.55000000000000004">
      <c r="Q41" s="1">
        <v>43915</v>
      </c>
    </row>
    <row r="42" spans="17:17" x14ac:dyDescent="0.55000000000000004">
      <c r="Q42" s="1">
        <v>43950</v>
      </c>
    </row>
    <row r="43" spans="17:17" x14ac:dyDescent="0.55000000000000004">
      <c r="Q43" s="1">
        <v>43978</v>
      </c>
    </row>
    <row r="44" spans="17:17" x14ac:dyDescent="0.55000000000000004">
      <c r="Q44" s="1">
        <v>44006</v>
      </c>
    </row>
    <row r="45" spans="17:17" x14ac:dyDescent="0.55000000000000004">
      <c r="Q45" s="1">
        <v>44041</v>
      </c>
    </row>
    <row r="46" spans="17:17" x14ac:dyDescent="0.55000000000000004">
      <c r="Q46" s="1">
        <v>44069</v>
      </c>
    </row>
    <row r="47" spans="17:17" x14ac:dyDescent="0.55000000000000004">
      <c r="Q47" s="1">
        <v>44104</v>
      </c>
    </row>
    <row r="48" spans="17:17" x14ac:dyDescent="0.55000000000000004">
      <c r="Q48" s="1">
        <v>44118</v>
      </c>
    </row>
  </sheetData>
  <pageMargins left="0.70000000000000007" right="0.70000000000000007" top="0.75" bottom="0.75" header="0.30000000000000004" footer="0.30000000000000004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7"/>
  <sheetViews>
    <sheetView workbookViewId="0"/>
  </sheetViews>
  <sheetFormatPr defaultColWidth="8.41796875" defaultRowHeight="14.55" x14ac:dyDescent="0.55000000000000004"/>
  <cols>
    <col min="1" max="1" width="10.1015625" bestFit="1" customWidth="1"/>
    <col min="2" max="2" width="8.41796875" customWidth="1"/>
  </cols>
  <sheetData>
    <row r="1" spans="1:13" ht="13.2" customHeight="1" x14ac:dyDescent="0.55000000000000004">
      <c r="A1" t="s">
        <v>0</v>
      </c>
      <c r="B1" t="s">
        <v>4</v>
      </c>
      <c r="C1" t="s">
        <v>7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</row>
    <row r="2" spans="1:13" ht="14.4" x14ac:dyDescent="0.55000000000000004">
      <c r="A2" s="1">
        <v>39113</v>
      </c>
      <c r="B2">
        <v>5.1999999999999998E-2</v>
      </c>
      <c r="C2">
        <v>5.2090999999999998E-2</v>
      </c>
      <c r="D2">
        <v>5.0410999999999997E-2</v>
      </c>
      <c r="E2">
        <v>4.9343999999999999E-2</v>
      </c>
      <c r="F2">
        <v>4.8457E-2</v>
      </c>
      <c r="G2">
        <v>4.7509000000000003E-2</v>
      </c>
      <c r="H2">
        <v>4.8010999999999998E-2</v>
      </c>
      <c r="I2">
        <v>4.8904999999999997E-2</v>
      </c>
      <c r="J2">
        <v>5.0415000000000001E-2</v>
      </c>
      <c r="K2">
        <v>5.0251999999999998E-2</v>
      </c>
      <c r="L2">
        <v>4.9430000000000002E-2</v>
      </c>
      <c r="M2">
        <v>4.9035000000000002E-2</v>
      </c>
    </row>
    <row r="3" spans="1:13" ht="14.4" x14ac:dyDescent="0.55000000000000004">
      <c r="A3" s="1">
        <v>39141</v>
      </c>
      <c r="B3">
        <v>5.0965000000000003E-2</v>
      </c>
      <c r="C3">
        <v>5.0863999999999999E-2</v>
      </c>
      <c r="D3">
        <v>4.8762E-2</v>
      </c>
      <c r="E3">
        <v>4.6309000000000003E-2</v>
      </c>
      <c r="F3">
        <v>4.5465999999999999E-2</v>
      </c>
      <c r="G3">
        <v>4.4859999999999997E-2</v>
      </c>
      <c r="H3">
        <v>4.5698999999999997E-2</v>
      </c>
      <c r="I3">
        <v>4.6623999999999999E-2</v>
      </c>
      <c r="J3">
        <v>4.8175999999999997E-2</v>
      </c>
      <c r="K3">
        <v>4.8082E-2</v>
      </c>
      <c r="L3">
        <v>4.7389000000000001E-2</v>
      </c>
      <c r="M3">
        <v>4.6868E-2</v>
      </c>
    </row>
    <row r="4" spans="1:13" ht="14.4" x14ac:dyDescent="0.55000000000000004">
      <c r="A4" s="1">
        <v>39169</v>
      </c>
      <c r="B4">
        <v>5.0235000000000002E-2</v>
      </c>
      <c r="C4">
        <v>5.0430000000000003E-2</v>
      </c>
      <c r="D4">
        <v>4.8533E-2</v>
      </c>
      <c r="E4">
        <v>4.5698000000000003E-2</v>
      </c>
      <c r="F4">
        <v>4.4965999999999999E-2</v>
      </c>
      <c r="G4">
        <v>4.4657000000000002E-2</v>
      </c>
      <c r="H4">
        <v>4.5956999999999998E-2</v>
      </c>
      <c r="I4">
        <v>4.7299000000000001E-2</v>
      </c>
      <c r="J4">
        <v>4.9417999999999997E-2</v>
      </c>
      <c r="K4">
        <v>4.9352E-2</v>
      </c>
      <c r="L4">
        <v>4.8737000000000003E-2</v>
      </c>
      <c r="M4">
        <v>4.8425000000000003E-2</v>
      </c>
    </row>
    <row r="5" spans="1:13" ht="14.4" x14ac:dyDescent="0.55000000000000004">
      <c r="A5" s="1">
        <v>39197</v>
      </c>
      <c r="B5">
        <v>5.0109000000000001E-2</v>
      </c>
      <c r="C5">
        <v>5.0318000000000002E-2</v>
      </c>
      <c r="D5">
        <v>4.8869000000000003E-2</v>
      </c>
      <c r="E5">
        <v>4.6158999999999999E-2</v>
      </c>
      <c r="F5">
        <v>4.5259000000000001E-2</v>
      </c>
      <c r="G5">
        <v>4.5127E-2</v>
      </c>
      <c r="H5">
        <v>4.6128000000000002E-2</v>
      </c>
      <c r="I5">
        <v>4.7543000000000002E-2</v>
      </c>
      <c r="J5">
        <v>4.9556999999999997E-2</v>
      </c>
      <c r="K5">
        <v>4.9485000000000001E-2</v>
      </c>
      <c r="L5">
        <v>4.8743000000000002E-2</v>
      </c>
      <c r="M5">
        <v>4.8340000000000001E-2</v>
      </c>
    </row>
    <row r="6" spans="1:13" ht="14.4" x14ac:dyDescent="0.55000000000000004">
      <c r="A6" s="1">
        <v>39232</v>
      </c>
      <c r="B6">
        <v>4.8965000000000002E-2</v>
      </c>
      <c r="C6">
        <v>4.9936000000000001E-2</v>
      </c>
      <c r="D6">
        <v>5.0264999999999997E-2</v>
      </c>
      <c r="E6">
        <v>4.8654999999999997E-2</v>
      </c>
      <c r="F6">
        <v>4.8389000000000001E-2</v>
      </c>
      <c r="G6">
        <v>4.7960999999999997E-2</v>
      </c>
      <c r="H6">
        <v>4.8557999999999997E-2</v>
      </c>
      <c r="I6">
        <v>4.9632999999999997E-2</v>
      </c>
      <c r="J6">
        <v>5.1359000000000002E-2</v>
      </c>
      <c r="K6">
        <v>5.1133999999999999E-2</v>
      </c>
      <c r="L6">
        <v>5.0245999999999999E-2</v>
      </c>
      <c r="M6">
        <v>5.0125000000000003E-2</v>
      </c>
    </row>
    <row r="7" spans="1:13" ht="14.4" x14ac:dyDescent="0.55000000000000004">
      <c r="A7" s="1">
        <v>39260</v>
      </c>
      <c r="B7">
        <v>4.9064999999999998E-2</v>
      </c>
      <c r="C7">
        <v>4.9558999999999999E-2</v>
      </c>
      <c r="D7">
        <v>5.0210999999999999E-2</v>
      </c>
      <c r="E7">
        <v>4.9355999999999997E-2</v>
      </c>
      <c r="F7">
        <v>4.9225999999999999E-2</v>
      </c>
      <c r="G7">
        <v>4.9411999999999998E-2</v>
      </c>
      <c r="H7">
        <v>5.0505000000000001E-2</v>
      </c>
      <c r="I7">
        <v>5.2123000000000003E-2</v>
      </c>
      <c r="J7">
        <v>5.3511999999999997E-2</v>
      </c>
      <c r="K7">
        <v>5.3177000000000002E-2</v>
      </c>
      <c r="L7">
        <v>5.2313999999999999E-2</v>
      </c>
      <c r="M7">
        <v>5.2132999999999999E-2</v>
      </c>
    </row>
    <row r="8" spans="1:13" ht="14.4" x14ac:dyDescent="0.55000000000000004">
      <c r="A8" s="1">
        <v>39288</v>
      </c>
      <c r="B8">
        <v>5.0298000000000002E-2</v>
      </c>
      <c r="C8">
        <v>5.0630000000000001E-2</v>
      </c>
      <c r="D8">
        <v>4.8756000000000001E-2</v>
      </c>
      <c r="E8">
        <v>4.7518999999999999E-2</v>
      </c>
      <c r="F8">
        <v>4.7352999999999999E-2</v>
      </c>
      <c r="G8">
        <v>4.7876000000000002E-2</v>
      </c>
      <c r="H8">
        <v>4.8874000000000001E-2</v>
      </c>
      <c r="I8">
        <v>5.0217999999999999E-2</v>
      </c>
      <c r="J8">
        <v>5.1816000000000001E-2</v>
      </c>
      <c r="K8">
        <v>5.1348999999999999E-2</v>
      </c>
      <c r="L8">
        <v>5.0546000000000001E-2</v>
      </c>
      <c r="M8">
        <v>5.0416999999999997E-2</v>
      </c>
    </row>
    <row r="9" spans="1:13" ht="14.4" x14ac:dyDescent="0.55000000000000004">
      <c r="A9" s="1">
        <v>39323</v>
      </c>
      <c r="B9">
        <v>3.8873999999999999E-2</v>
      </c>
      <c r="C9">
        <v>4.2672000000000002E-2</v>
      </c>
      <c r="D9">
        <v>4.3901999999999997E-2</v>
      </c>
      <c r="E9">
        <v>4.1984E-2</v>
      </c>
      <c r="F9">
        <v>4.2300999999999998E-2</v>
      </c>
      <c r="G9">
        <v>4.2939999999999999E-2</v>
      </c>
      <c r="H9">
        <v>4.4708999999999999E-2</v>
      </c>
      <c r="I9">
        <v>4.7613999999999997E-2</v>
      </c>
      <c r="J9">
        <v>4.9424000000000003E-2</v>
      </c>
      <c r="K9">
        <v>4.9583000000000002E-2</v>
      </c>
      <c r="L9">
        <v>4.8963E-2</v>
      </c>
      <c r="M9">
        <v>4.8977E-2</v>
      </c>
    </row>
    <row r="10" spans="1:13" ht="14.4" x14ac:dyDescent="0.55000000000000004">
      <c r="A10" s="1">
        <v>39351</v>
      </c>
      <c r="B10">
        <v>3.8453000000000001E-2</v>
      </c>
      <c r="C10">
        <v>4.1688000000000003E-2</v>
      </c>
      <c r="D10">
        <v>4.0772999999999997E-2</v>
      </c>
      <c r="E10">
        <v>4.0065000000000003E-2</v>
      </c>
      <c r="F10">
        <v>4.1036999999999997E-2</v>
      </c>
      <c r="G10">
        <v>4.2568000000000002E-2</v>
      </c>
      <c r="H10">
        <v>4.4650000000000002E-2</v>
      </c>
      <c r="I10">
        <v>4.7511999999999999E-2</v>
      </c>
      <c r="J10">
        <v>4.9861000000000003E-2</v>
      </c>
      <c r="K10">
        <v>4.9549000000000003E-2</v>
      </c>
      <c r="L10">
        <v>4.8968999999999999E-2</v>
      </c>
      <c r="M10">
        <v>4.8877999999999998E-2</v>
      </c>
    </row>
    <row r="11" spans="1:13" ht="14.4" x14ac:dyDescent="0.55000000000000004">
      <c r="A11" s="1">
        <v>39386</v>
      </c>
      <c r="B11">
        <v>4.0458000000000001E-2</v>
      </c>
      <c r="C11">
        <v>4.1489999999999999E-2</v>
      </c>
      <c r="D11">
        <v>4.0430000000000001E-2</v>
      </c>
      <c r="E11">
        <v>3.9292000000000001E-2</v>
      </c>
      <c r="F11">
        <v>4.0161000000000002E-2</v>
      </c>
      <c r="G11">
        <v>4.1768E-2</v>
      </c>
      <c r="H11">
        <v>4.3563999999999999E-2</v>
      </c>
      <c r="I11">
        <v>4.6621000000000003E-2</v>
      </c>
      <c r="J11">
        <v>4.8370999999999997E-2</v>
      </c>
      <c r="K11">
        <v>4.8223000000000002E-2</v>
      </c>
      <c r="L11">
        <v>4.7546999999999999E-2</v>
      </c>
      <c r="M11">
        <v>4.7511999999999999E-2</v>
      </c>
    </row>
    <row r="12" spans="1:13" ht="14.4" x14ac:dyDescent="0.55000000000000004">
      <c r="A12" s="1">
        <v>39414</v>
      </c>
      <c r="B12">
        <v>2.9515E-2</v>
      </c>
      <c r="C12">
        <v>3.3140999999999997E-2</v>
      </c>
      <c r="D12">
        <v>3.2027E-2</v>
      </c>
      <c r="E12">
        <v>3.1713999999999999E-2</v>
      </c>
      <c r="F12">
        <v>3.2146000000000001E-2</v>
      </c>
      <c r="G12">
        <v>3.5226E-2</v>
      </c>
      <c r="H12">
        <v>3.8882E-2</v>
      </c>
      <c r="I12">
        <v>4.2548999999999997E-2</v>
      </c>
      <c r="J12">
        <v>4.4970999999999997E-2</v>
      </c>
      <c r="K12">
        <v>4.4975000000000001E-2</v>
      </c>
      <c r="L12">
        <v>4.4273E-2</v>
      </c>
      <c r="M12">
        <v>4.4153999999999999E-2</v>
      </c>
    </row>
    <row r="13" spans="1:13" ht="14.4" x14ac:dyDescent="0.55000000000000004">
      <c r="A13" s="1">
        <v>39442</v>
      </c>
      <c r="B13">
        <v>3.2356000000000003E-2</v>
      </c>
      <c r="C13">
        <v>3.3895000000000002E-2</v>
      </c>
      <c r="D13">
        <v>3.4200000000000001E-2</v>
      </c>
      <c r="E13">
        <v>3.3412999999999998E-2</v>
      </c>
      <c r="F13">
        <v>3.3577999999999997E-2</v>
      </c>
      <c r="G13">
        <v>3.6802000000000001E-2</v>
      </c>
      <c r="H13">
        <v>4.054E-2</v>
      </c>
      <c r="I13">
        <v>4.5321E-2</v>
      </c>
      <c r="J13">
        <v>4.7454999999999997E-2</v>
      </c>
      <c r="K13">
        <v>4.7488000000000002E-2</v>
      </c>
      <c r="L13">
        <v>4.6919000000000002E-2</v>
      </c>
      <c r="M13">
        <v>4.6759000000000002E-2</v>
      </c>
    </row>
    <row r="14" spans="1:13" ht="14.4" x14ac:dyDescent="0.55000000000000004">
      <c r="A14" s="1">
        <v>39477</v>
      </c>
      <c r="B14">
        <v>2.1160999999999999E-2</v>
      </c>
      <c r="C14">
        <v>2.2634999999999999E-2</v>
      </c>
      <c r="D14">
        <v>2.1134E-2</v>
      </c>
      <c r="E14">
        <v>2.1717E-2</v>
      </c>
      <c r="F14">
        <v>2.2695E-2</v>
      </c>
      <c r="G14">
        <v>2.8369999999999999E-2</v>
      </c>
      <c r="H14">
        <v>3.3595E-2</v>
      </c>
      <c r="I14">
        <v>3.9524999999999998E-2</v>
      </c>
      <c r="J14">
        <v>4.3326999999999997E-2</v>
      </c>
      <c r="K14">
        <v>4.4345000000000002E-2</v>
      </c>
      <c r="L14">
        <v>4.3991000000000002E-2</v>
      </c>
      <c r="M14">
        <v>4.3857E-2</v>
      </c>
    </row>
    <row r="15" spans="1:13" ht="14.4" x14ac:dyDescent="0.55000000000000004">
      <c r="A15" s="1">
        <v>39505</v>
      </c>
      <c r="B15">
        <v>1.9594E-2</v>
      </c>
      <c r="C15">
        <v>2.0691000000000001E-2</v>
      </c>
      <c r="D15">
        <v>1.9473000000000001E-2</v>
      </c>
      <c r="E15">
        <v>2.0403000000000001E-2</v>
      </c>
      <c r="F15">
        <v>2.2513999999999999E-2</v>
      </c>
      <c r="G15">
        <v>2.9724E-2</v>
      </c>
      <c r="H15">
        <v>3.4625000000000003E-2</v>
      </c>
      <c r="I15">
        <v>4.1692E-2</v>
      </c>
      <c r="J15">
        <v>4.5841E-2</v>
      </c>
      <c r="K15">
        <v>4.6727999999999999E-2</v>
      </c>
      <c r="L15">
        <v>4.6609999999999999E-2</v>
      </c>
      <c r="M15">
        <v>4.6474000000000001E-2</v>
      </c>
    </row>
    <row r="16" spans="1:13" ht="14.4" x14ac:dyDescent="0.55000000000000004">
      <c r="A16" s="1">
        <v>39533</v>
      </c>
      <c r="B16">
        <v>1.3049E-2</v>
      </c>
      <c r="C16">
        <v>1.4584E-2</v>
      </c>
      <c r="D16">
        <v>1.5616E-2</v>
      </c>
      <c r="E16">
        <v>1.6234999999999999E-2</v>
      </c>
      <c r="F16">
        <v>1.8144E-2</v>
      </c>
      <c r="G16">
        <v>2.4920999999999999E-2</v>
      </c>
      <c r="H16">
        <v>3.0136E-2</v>
      </c>
      <c r="I16">
        <v>3.9099000000000002E-2</v>
      </c>
      <c r="J16">
        <v>4.3418999999999999E-2</v>
      </c>
      <c r="K16">
        <v>4.4296000000000002E-2</v>
      </c>
      <c r="L16">
        <v>4.3971000000000003E-2</v>
      </c>
      <c r="M16">
        <v>4.3844000000000001E-2</v>
      </c>
    </row>
    <row r="17" spans="1:13" ht="14.4" x14ac:dyDescent="0.55000000000000004">
      <c r="A17" s="1">
        <v>39568</v>
      </c>
      <c r="B17">
        <v>1.6837999999999999E-2</v>
      </c>
      <c r="C17">
        <v>1.704E-2</v>
      </c>
      <c r="D17">
        <v>2.0576000000000001E-2</v>
      </c>
      <c r="E17">
        <v>2.2603999999999999E-2</v>
      </c>
      <c r="F17">
        <v>2.5184000000000002E-2</v>
      </c>
      <c r="G17">
        <v>2.9699E-2</v>
      </c>
      <c r="H17">
        <v>3.4452999999999998E-2</v>
      </c>
      <c r="I17">
        <v>4.0941999999999999E-2</v>
      </c>
      <c r="J17">
        <v>4.4468000000000001E-2</v>
      </c>
      <c r="K17">
        <v>4.5324999999999997E-2</v>
      </c>
      <c r="L17">
        <v>4.4847999999999999E-2</v>
      </c>
      <c r="M17">
        <v>4.4665000000000003E-2</v>
      </c>
    </row>
    <row r="18" spans="1:13" ht="14.4" x14ac:dyDescent="0.55000000000000004">
      <c r="A18" s="1">
        <v>39596</v>
      </c>
      <c r="B18">
        <v>1.9682000000000002E-2</v>
      </c>
      <c r="C18">
        <v>2.0674000000000001E-2</v>
      </c>
      <c r="D18">
        <v>2.3352000000000001E-2</v>
      </c>
      <c r="E18">
        <v>2.6726E-2</v>
      </c>
      <c r="F18">
        <v>2.9028999999999999E-2</v>
      </c>
      <c r="G18">
        <v>3.3979000000000002E-2</v>
      </c>
      <c r="H18">
        <v>3.7497999999999997E-2</v>
      </c>
      <c r="I18">
        <v>4.3676E-2</v>
      </c>
      <c r="J18">
        <v>4.6530000000000002E-2</v>
      </c>
      <c r="K18">
        <v>4.7482999999999997E-2</v>
      </c>
      <c r="L18">
        <v>4.7018999999999998E-2</v>
      </c>
      <c r="M18">
        <v>4.6836000000000003E-2</v>
      </c>
    </row>
    <row r="19" spans="1:13" ht="14.4" x14ac:dyDescent="0.55000000000000004">
      <c r="A19" s="1">
        <v>39624</v>
      </c>
      <c r="B19">
        <v>2.0053000000000001E-2</v>
      </c>
      <c r="C19">
        <v>2.2238999999999998E-2</v>
      </c>
      <c r="D19">
        <v>2.5433000000000001E-2</v>
      </c>
      <c r="E19">
        <v>2.8333000000000001E-2</v>
      </c>
      <c r="F19">
        <v>3.0511E-2</v>
      </c>
      <c r="G19">
        <v>3.5492000000000003E-2</v>
      </c>
      <c r="H19">
        <v>3.8447000000000002E-2</v>
      </c>
      <c r="I19">
        <v>4.4851000000000002E-2</v>
      </c>
      <c r="J19">
        <v>4.6886999999999998E-2</v>
      </c>
      <c r="K19">
        <v>4.7455999999999998E-2</v>
      </c>
      <c r="L19">
        <v>4.6899000000000003E-2</v>
      </c>
      <c r="M19">
        <v>4.6556E-2</v>
      </c>
    </row>
    <row r="20" spans="1:13" ht="14.4" x14ac:dyDescent="0.55000000000000004">
      <c r="A20" s="1">
        <v>39659</v>
      </c>
      <c r="B20">
        <v>1.7895000000000001E-2</v>
      </c>
      <c r="C20">
        <v>1.9706000000000001E-2</v>
      </c>
      <c r="D20">
        <v>2.3258000000000001E-2</v>
      </c>
      <c r="E20">
        <v>2.6086999999999999E-2</v>
      </c>
      <c r="F20">
        <v>2.8638E-2</v>
      </c>
      <c r="G20">
        <v>3.3813999999999997E-2</v>
      </c>
      <c r="H20">
        <v>3.6986999999999999E-2</v>
      </c>
      <c r="I20">
        <v>4.3909999999999998E-2</v>
      </c>
      <c r="J20">
        <v>4.6794000000000002E-2</v>
      </c>
      <c r="K20">
        <v>4.7337999999999998E-2</v>
      </c>
      <c r="L20">
        <v>4.7100000000000003E-2</v>
      </c>
      <c r="M20">
        <v>4.6529000000000001E-2</v>
      </c>
    </row>
    <row r="21" spans="1:13" ht="14.4" x14ac:dyDescent="0.55000000000000004">
      <c r="A21" s="1">
        <v>39687</v>
      </c>
      <c r="B21">
        <v>1.7639999999999999E-2</v>
      </c>
      <c r="C21">
        <v>1.8512000000000001E-2</v>
      </c>
      <c r="D21">
        <v>2.0941000000000001E-2</v>
      </c>
      <c r="E21">
        <v>2.3036000000000001E-2</v>
      </c>
      <c r="F21">
        <v>2.5606E-2</v>
      </c>
      <c r="G21">
        <v>3.0453999999999998E-2</v>
      </c>
      <c r="H21">
        <v>3.3780999999999999E-2</v>
      </c>
      <c r="I21">
        <v>4.1274999999999999E-2</v>
      </c>
      <c r="J21">
        <v>4.3652999999999997E-2</v>
      </c>
      <c r="K21">
        <v>4.4454E-2</v>
      </c>
      <c r="L21">
        <v>4.4312999999999998E-2</v>
      </c>
      <c r="M21">
        <v>4.3756999999999997E-2</v>
      </c>
    </row>
    <row r="22" spans="1:13" ht="14.4" x14ac:dyDescent="0.55000000000000004">
      <c r="A22" s="1">
        <v>39715</v>
      </c>
      <c r="B22">
        <v>8.4209999999999997E-3</v>
      </c>
      <c r="C22">
        <v>1.2602E-2</v>
      </c>
      <c r="D22">
        <v>1.9210000000000001E-2</v>
      </c>
      <c r="E22">
        <v>2.0060000000000001E-2</v>
      </c>
      <c r="F22">
        <v>2.2710999999999999E-2</v>
      </c>
      <c r="G22">
        <v>2.9287000000000001E-2</v>
      </c>
      <c r="H22">
        <v>3.4258999999999998E-2</v>
      </c>
      <c r="I22">
        <v>4.2131000000000002E-2</v>
      </c>
      <c r="J22">
        <v>4.4982000000000001E-2</v>
      </c>
      <c r="K22">
        <v>4.5879999999999997E-2</v>
      </c>
      <c r="L22">
        <v>4.5312999999999999E-2</v>
      </c>
      <c r="M22">
        <v>4.4445999999999999E-2</v>
      </c>
    </row>
    <row r="23" spans="1:13" ht="14.4" x14ac:dyDescent="0.55000000000000004">
      <c r="A23" s="1">
        <v>39750</v>
      </c>
      <c r="B23">
        <v>6.7809999999999997E-3</v>
      </c>
      <c r="C23">
        <v>1.0857E-2</v>
      </c>
      <c r="D23">
        <v>1.3764E-2</v>
      </c>
      <c r="E23">
        <v>1.4208E-2</v>
      </c>
      <c r="F23">
        <v>1.6788000000000001E-2</v>
      </c>
      <c r="G23">
        <v>2.7906E-2</v>
      </c>
      <c r="H23">
        <v>3.5092999999999999E-2</v>
      </c>
      <c r="I23">
        <v>4.3631000000000003E-2</v>
      </c>
      <c r="J23">
        <v>4.7488000000000002E-2</v>
      </c>
      <c r="K23">
        <v>4.6668000000000001E-2</v>
      </c>
      <c r="L23">
        <v>4.4479999999999999E-2</v>
      </c>
      <c r="M23">
        <v>4.2133999999999998E-2</v>
      </c>
    </row>
    <row r="24" spans="1:13" ht="14.4" x14ac:dyDescent="0.55000000000000004">
      <c r="A24" s="1">
        <v>39778</v>
      </c>
      <c r="B24">
        <v>8.1999999999999998E-4</v>
      </c>
      <c r="C24">
        <v>4.7239999999999999E-3</v>
      </c>
      <c r="D24">
        <v>9.1680000000000008E-3</v>
      </c>
      <c r="E24">
        <v>1.0543E-2</v>
      </c>
      <c r="F24">
        <v>1.3275E-2</v>
      </c>
      <c r="G24">
        <v>2.0131E-2</v>
      </c>
      <c r="H24">
        <v>2.7238999999999999E-2</v>
      </c>
      <c r="I24">
        <v>3.3925999999999998E-2</v>
      </c>
      <c r="J24">
        <v>3.7740999999999997E-2</v>
      </c>
      <c r="K24">
        <v>3.8073999999999997E-2</v>
      </c>
      <c r="L24">
        <v>3.7539999999999997E-2</v>
      </c>
      <c r="M24">
        <v>3.5067000000000001E-2</v>
      </c>
    </row>
    <row r="25" spans="1:13" ht="14.4" x14ac:dyDescent="0.55000000000000004">
      <c r="A25" s="1">
        <v>39813</v>
      </c>
      <c r="B25">
        <v>2.2950000000000002E-3</v>
      </c>
      <c r="C25">
        <v>3.4689999999999999E-3</v>
      </c>
      <c r="D25">
        <v>3.6099999999999999E-3</v>
      </c>
      <c r="E25">
        <v>7.6899999999999998E-3</v>
      </c>
      <c r="F25">
        <v>1.0161999999999999E-2</v>
      </c>
      <c r="G25">
        <v>1.5498E-2</v>
      </c>
      <c r="H25">
        <v>2.4587999999999999E-2</v>
      </c>
      <c r="I25">
        <v>2.7546999999999999E-2</v>
      </c>
      <c r="J25">
        <v>3.1536000000000002E-2</v>
      </c>
      <c r="K25">
        <v>3.1252000000000002E-2</v>
      </c>
      <c r="L25">
        <v>2.9682E-2</v>
      </c>
      <c r="M25">
        <v>2.6637000000000001E-2</v>
      </c>
    </row>
    <row r="26" spans="1:13" ht="14.4" x14ac:dyDescent="0.55000000000000004">
      <c r="A26" s="1">
        <v>39841</v>
      </c>
      <c r="B26">
        <v>3.4120000000000001E-3</v>
      </c>
      <c r="C26">
        <v>4.4850000000000003E-3</v>
      </c>
      <c r="D26">
        <v>5.11E-3</v>
      </c>
      <c r="E26">
        <v>9.3439999999999999E-3</v>
      </c>
      <c r="F26">
        <v>1.3025E-2</v>
      </c>
      <c r="G26">
        <v>1.7420000000000001E-2</v>
      </c>
      <c r="H26">
        <v>2.8788999999999999E-2</v>
      </c>
      <c r="I26">
        <v>3.2215000000000001E-2</v>
      </c>
      <c r="J26">
        <v>3.7544000000000001E-2</v>
      </c>
      <c r="K26">
        <v>3.7997999999999997E-2</v>
      </c>
      <c r="L26">
        <v>3.7630999999999998E-2</v>
      </c>
      <c r="M26">
        <v>3.4735000000000002E-2</v>
      </c>
    </row>
    <row r="27" spans="1:13" ht="14.4" x14ac:dyDescent="0.55000000000000004">
      <c r="A27" s="1">
        <v>39869</v>
      </c>
      <c r="B27">
        <v>4.627E-3</v>
      </c>
      <c r="C27">
        <v>6.1289999999999999E-3</v>
      </c>
      <c r="D27">
        <v>7.6839999999999999E-3</v>
      </c>
      <c r="E27">
        <v>1.1305000000000001E-2</v>
      </c>
      <c r="F27">
        <v>1.5322000000000001E-2</v>
      </c>
      <c r="G27">
        <v>2.0615999999999999E-2</v>
      </c>
      <c r="H27">
        <v>3.2707E-2</v>
      </c>
      <c r="I27">
        <v>3.4428E-2</v>
      </c>
      <c r="J27">
        <v>3.8711000000000002E-2</v>
      </c>
      <c r="K27">
        <v>3.9585000000000002E-2</v>
      </c>
      <c r="L27">
        <v>3.9188000000000001E-2</v>
      </c>
      <c r="M27">
        <v>3.6373000000000003E-2</v>
      </c>
    </row>
    <row r="28" spans="1:13" ht="14.4" x14ac:dyDescent="0.55000000000000004">
      <c r="A28" s="1">
        <v>39897</v>
      </c>
      <c r="B28">
        <v>2.1419999999999998E-3</v>
      </c>
      <c r="C28">
        <v>4.3239999999999997E-3</v>
      </c>
      <c r="D28">
        <v>6.2509999999999996E-3</v>
      </c>
      <c r="E28">
        <v>9.6220000000000003E-3</v>
      </c>
      <c r="F28">
        <v>1.3701E-2</v>
      </c>
      <c r="G28">
        <v>1.8395000000000002E-2</v>
      </c>
      <c r="H28">
        <v>2.6766999999999999E-2</v>
      </c>
      <c r="I28">
        <v>3.4479000000000003E-2</v>
      </c>
      <c r="J28">
        <v>3.9510999999999998E-2</v>
      </c>
      <c r="K28">
        <v>4.1728000000000001E-2</v>
      </c>
      <c r="L28">
        <v>4.2403000000000003E-2</v>
      </c>
      <c r="M28">
        <v>3.7892000000000002E-2</v>
      </c>
    </row>
    <row r="29" spans="1:13" ht="14.4" x14ac:dyDescent="0.55000000000000004">
      <c r="A29" s="1">
        <v>39932</v>
      </c>
      <c r="B29">
        <v>1.3470000000000001E-3</v>
      </c>
      <c r="C29">
        <v>3.2230000000000002E-3</v>
      </c>
      <c r="D29">
        <v>5.195E-3</v>
      </c>
      <c r="E29">
        <v>9.9559999999999996E-3</v>
      </c>
      <c r="F29">
        <v>1.464E-2</v>
      </c>
      <c r="G29">
        <v>2.0922E-2</v>
      </c>
      <c r="H29">
        <v>2.8590000000000001E-2</v>
      </c>
      <c r="I29">
        <v>3.6452999999999999E-2</v>
      </c>
      <c r="J29">
        <v>4.1466999999999997E-2</v>
      </c>
      <c r="K29">
        <v>4.2923999999999997E-2</v>
      </c>
      <c r="L29">
        <v>4.3415000000000002E-2</v>
      </c>
      <c r="M29">
        <v>4.0447999999999998E-2</v>
      </c>
    </row>
    <row r="30" spans="1:13" ht="14.4" x14ac:dyDescent="0.55000000000000004">
      <c r="A30" s="1">
        <v>39960</v>
      </c>
      <c r="B30">
        <v>2.0730000000000002E-3</v>
      </c>
      <c r="C30">
        <v>3.4199999999999999E-3</v>
      </c>
      <c r="D30">
        <v>5.7109999999999999E-3</v>
      </c>
      <c r="E30">
        <v>9.7820000000000008E-3</v>
      </c>
      <c r="F30">
        <v>1.5472E-2</v>
      </c>
      <c r="G30">
        <v>2.494E-2</v>
      </c>
      <c r="H30">
        <v>3.3589000000000001E-2</v>
      </c>
      <c r="I30">
        <v>4.1616E-2</v>
      </c>
      <c r="J30">
        <v>4.6202E-2</v>
      </c>
      <c r="K30">
        <v>4.6864000000000003E-2</v>
      </c>
      <c r="L30">
        <v>4.7331999999999999E-2</v>
      </c>
      <c r="M30">
        <v>4.6538999999999997E-2</v>
      </c>
    </row>
    <row r="31" spans="1:13" ht="14.4" x14ac:dyDescent="0.55000000000000004">
      <c r="A31" s="1">
        <v>39988</v>
      </c>
      <c r="B31">
        <v>2.643E-3</v>
      </c>
      <c r="C31">
        <v>3.7439999999999999E-3</v>
      </c>
      <c r="D31">
        <v>5.8040000000000001E-3</v>
      </c>
      <c r="E31">
        <v>1.2222999999999999E-2</v>
      </c>
      <c r="F31">
        <v>1.8071E-2</v>
      </c>
      <c r="G31">
        <v>2.7900999999999999E-2</v>
      </c>
      <c r="H31">
        <v>3.499E-2</v>
      </c>
      <c r="I31">
        <v>4.2190999999999999E-2</v>
      </c>
      <c r="J31">
        <v>4.5443999999999998E-2</v>
      </c>
      <c r="K31">
        <v>4.4756999999999998E-2</v>
      </c>
      <c r="L31">
        <v>4.5182E-2</v>
      </c>
      <c r="M31">
        <v>4.4685999999999997E-2</v>
      </c>
    </row>
    <row r="32" spans="1:13" ht="14.4" x14ac:dyDescent="0.55000000000000004">
      <c r="A32" s="1">
        <v>40023</v>
      </c>
      <c r="B32">
        <v>2.944E-3</v>
      </c>
      <c r="C32">
        <v>3.6719999999999999E-3</v>
      </c>
      <c r="D32">
        <v>5.4250000000000001E-3</v>
      </c>
      <c r="E32">
        <v>1.1835999999999999E-2</v>
      </c>
      <c r="F32">
        <v>1.7537000000000001E-2</v>
      </c>
      <c r="G32">
        <v>2.7188E-2</v>
      </c>
      <c r="H32">
        <v>3.3782E-2</v>
      </c>
      <c r="I32">
        <v>4.1478000000000001E-2</v>
      </c>
      <c r="J32">
        <v>4.5089999999999998E-2</v>
      </c>
      <c r="K32">
        <v>4.5857000000000002E-2</v>
      </c>
      <c r="L32">
        <v>4.5686999999999998E-2</v>
      </c>
      <c r="M32">
        <v>4.5511999999999997E-2</v>
      </c>
    </row>
    <row r="33" spans="1:13" ht="14.4" x14ac:dyDescent="0.55000000000000004">
      <c r="A33" s="1">
        <v>40051</v>
      </c>
      <c r="B33">
        <v>2.8089999999999999E-3</v>
      </c>
      <c r="C33">
        <v>3.5000000000000001E-3</v>
      </c>
      <c r="D33">
        <v>4.9699999999999996E-3</v>
      </c>
      <c r="E33">
        <v>1.0796E-2</v>
      </c>
      <c r="F33">
        <v>1.6167000000000001E-2</v>
      </c>
      <c r="G33">
        <v>2.5177999999999999E-2</v>
      </c>
      <c r="H33">
        <v>3.1927999999999998E-2</v>
      </c>
      <c r="I33">
        <v>3.8473E-2</v>
      </c>
      <c r="J33">
        <v>4.1522000000000003E-2</v>
      </c>
      <c r="K33">
        <v>4.2298000000000002E-2</v>
      </c>
      <c r="L33">
        <v>4.2313000000000003E-2</v>
      </c>
      <c r="M33">
        <v>4.2387000000000001E-2</v>
      </c>
    </row>
    <row r="34" spans="1:13" ht="14.4" x14ac:dyDescent="0.55000000000000004">
      <c r="A34" s="1">
        <v>40086</v>
      </c>
      <c r="B34">
        <v>2.3909999999999999E-3</v>
      </c>
      <c r="C34">
        <v>2.6770000000000001E-3</v>
      </c>
      <c r="D34">
        <v>4.3800000000000002E-3</v>
      </c>
      <c r="E34">
        <v>9.8060000000000005E-3</v>
      </c>
      <c r="F34">
        <v>1.4958000000000001E-2</v>
      </c>
      <c r="G34">
        <v>2.3781E-2</v>
      </c>
      <c r="H34">
        <v>3.0366000000000001E-2</v>
      </c>
      <c r="I34">
        <v>3.7215999999999999E-2</v>
      </c>
      <c r="J34">
        <v>4.0058000000000003E-2</v>
      </c>
      <c r="K34">
        <v>4.1384999999999998E-2</v>
      </c>
      <c r="L34">
        <v>4.1235000000000001E-2</v>
      </c>
      <c r="M34">
        <v>4.1109E-2</v>
      </c>
    </row>
    <row r="35" spans="1:13" ht="14.4" x14ac:dyDescent="0.55000000000000004">
      <c r="A35" s="1">
        <v>40114</v>
      </c>
      <c r="B35">
        <v>1.701E-3</v>
      </c>
      <c r="C35">
        <v>2.1879999999999998E-3</v>
      </c>
      <c r="D35">
        <v>4.1180000000000001E-3</v>
      </c>
      <c r="E35">
        <v>9.502E-3</v>
      </c>
      <c r="F35">
        <v>1.504E-2</v>
      </c>
      <c r="G35">
        <v>2.4204E-2</v>
      </c>
      <c r="H35">
        <v>3.0925999999999999E-2</v>
      </c>
      <c r="I35">
        <v>3.8036E-2</v>
      </c>
      <c r="J35">
        <v>4.1467999999999998E-2</v>
      </c>
      <c r="K35">
        <v>4.3147999999999999E-2</v>
      </c>
      <c r="L35">
        <v>4.3208999999999997E-2</v>
      </c>
      <c r="M35">
        <v>4.3151000000000002E-2</v>
      </c>
    </row>
    <row r="36" spans="1:13" ht="14.4" x14ac:dyDescent="0.55000000000000004">
      <c r="A36" s="1">
        <v>40142</v>
      </c>
      <c r="B36">
        <v>1.1150000000000001E-3</v>
      </c>
      <c r="C36">
        <v>1.653E-3</v>
      </c>
      <c r="D36">
        <v>2.7299999999999998E-3</v>
      </c>
      <c r="E36">
        <v>7.4749999999999999E-3</v>
      </c>
      <c r="F36">
        <v>1.2404999999999999E-2</v>
      </c>
      <c r="G36">
        <v>2.1610000000000001E-2</v>
      </c>
      <c r="H36">
        <v>2.8309000000000001E-2</v>
      </c>
      <c r="I36">
        <v>3.6355999999999999E-2</v>
      </c>
      <c r="J36">
        <v>4.0756000000000001E-2</v>
      </c>
      <c r="K36">
        <v>4.3106999999999999E-2</v>
      </c>
      <c r="L36">
        <v>4.3671000000000001E-2</v>
      </c>
      <c r="M36">
        <v>4.3936999999999997E-2</v>
      </c>
    </row>
    <row r="37" spans="1:13" ht="14.4" x14ac:dyDescent="0.55000000000000004">
      <c r="A37" s="1">
        <v>40177</v>
      </c>
      <c r="B37">
        <v>1.175E-3</v>
      </c>
      <c r="C37">
        <v>2.647E-3</v>
      </c>
      <c r="D37">
        <v>4.9639999999999997E-3</v>
      </c>
      <c r="E37">
        <v>1.0763E-2</v>
      </c>
      <c r="F37">
        <v>1.6383999999999999E-2</v>
      </c>
      <c r="G37">
        <v>2.6924E-2</v>
      </c>
      <c r="H37">
        <v>3.3841999999999997E-2</v>
      </c>
      <c r="I37">
        <v>4.0291E-2</v>
      </c>
      <c r="J37">
        <v>4.5960000000000001E-2</v>
      </c>
      <c r="K37">
        <v>4.6563E-2</v>
      </c>
      <c r="L37">
        <v>4.6351000000000003E-2</v>
      </c>
      <c r="M37">
        <v>4.6313E-2</v>
      </c>
    </row>
    <row r="38" spans="1:13" ht="14.4" x14ac:dyDescent="0.55000000000000004">
      <c r="A38" s="1">
        <v>40205</v>
      </c>
      <c r="B38">
        <v>9.9400000000000009E-4</v>
      </c>
      <c r="C38">
        <v>1.7110000000000001E-3</v>
      </c>
      <c r="D38">
        <v>3.7490000000000002E-3</v>
      </c>
      <c r="E38">
        <v>9.3710000000000009E-3</v>
      </c>
      <c r="F38">
        <v>1.4638999999999999E-2</v>
      </c>
      <c r="G38">
        <v>2.4913999999999999E-2</v>
      </c>
      <c r="H38">
        <v>3.2063000000000001E-2</v>
      </c>
      <c r="I38">
        <v>3.8351999999999997E-2</v>
      </c>
      <c r="J38">
        <v>4.437E-2</v>
      </c>
      <c r="K38">
        <v>4.5265E-2</v>
      </c>
      <c r="L38">
        <v>4.5622000000000003E-2</v>
      </c>
      <c r="M38">
        <v>4.5759000000000001E-2</v>
      </c>
    </row>
    <row r="39" spans="1:13" ht="14.4" x14ac:dyDescent="0.55000000000000004">
      <c r="A39" s="1">
        <v>40233</v>
      </c>
      <c r="B39">
        <v>1.093E-3</v>
      </c>
      <c r="C39">
        <v>1.7390000000000001E-3</v>
      </c>
      <c r="D39">
        <v>3.271E-3</v>
      </c>
      <c r="E39">
        <v>8.4110000000000001E-3</v>
      </c>
      <c r="F39">
        <v>1.4178E-2</v>
      </c>
      <c r="G39">
        <v>2.4247000000000001E-2</v>
      </c>
      <c r="H39">
        <v>3.3112000000000003E-2</v>
      </c>
      <c r="I39">
        <v>3.9713999999999999E-2</v>
      </c>
      <c r="J39">
        <v>4.6242999999999999E-2</v>
      </c>
      <c r="K39">
        <v>4.7164999999999999E-2</v>
      </c>
      <c r="L39">
        <v>4.7495000000000002E-2</v>
      </c>
      <c r="M39">
        <v>4.7926999999999997E-2</v>
      </c>
    </row>
    <row r="40" spans="1:13" ht="14.4" x14ac:dyDescent="0.55000000000000004">
      <c r="A40" s="1">
        <v>40268</v>
      </c>
      <c r="B40">
        <v>2.1459999999999999E-3</v>
      </c>
      <c r="C40">
        <v>2.784E-3</v>
      </c>
      <c r="D40">
        <v>4.1949999999999999E-3</v>
      </c>
      <c r="E40">
        <v>1.0173E-2</v>
      </c>
      <c r="F40">
        <v>1.5928000000000001E-2</v>
      </c>
      <c r="G40">
        <v>2.5739999999999999E-2</v>
      </c>
      <c r="H40">
        <v>3.3758000000000003E-2</v>
      </c>
      <c r="I40">
        <v>4.1599999999999998E-2</v>
      </c>
      <c r="J40">
        <v>4.7875000000000001E-2</v>
      </c>
      <c r="K40">
        <v>4.9306000000000003E-2</v>
      </c>
      <c r="L40">
        <v>4.9683999999999999E-2</v>
      </c>
      <c r="M40">
        <v>4.9946999999999998E-2</v>
      </c>
    </row>
    <row r="41" spans="1:13" ht="14.4" x14ac:dyDescent="0.55000000000000004">
      <c r="A41" s="1">
        <v>40296</v>
      </c>
      <c r="B41">
        <v>2.6849999999999999E-3</v>
      </c>
      <c r="C41">
        <v>3.2030000000000001E-3</v>
      </c>
      <c r="D41">
        <v>4.8999999999999998E-3</v>
      </c>
      <c r="E41">
        <v>1.1017000000000001E-2</v>
      </c>
      <c r="F41">
        <v>1.7021000000000001E-2</v>
      </c>
      <c r="G41">
        <v>2.6211999999999999E-2</v>
      </c>
      <c r="H41">
        <v>3.3137E-2</v>
      </c>
      <c r="I41">
        <v>4.1568000000000001E-2</v>
      </c>
      <c r="J41">
        <v>4.7094999999999998E-2</v>
      </c>
      <c r="K41">
        <v>4.8453999999999997E-2</v>
      </c>
      <c r="L41">
        <v>4.8510999999999999E-2</v>
      </c>
      <c r="M41">
        <v>4.9162999999999998E-2</v>
      </c>
    </row>
    <row r="42" spans="1:13" ht="14.4" x14ac:dyDescent="0.55000000000000004">
      <c r="A42" s="1">
        <v>40324</v>
      </c>
      <c r="B42">
        <v>2.0430000000000001E-3</v>
      </c>
      <c r="C42">
        <v>2.6719999999999999E-3</v>
      </c>
      <c r="D42">
        <v>3.8349999999999999E-3</v>
      </c>
      <c r="E42">
        <v>8.3759999999999998E-3</v>
      </c>
      <c r="F42">
        <v>1.3054E-2</v>
      </c>
      <c r="G42">
        <v>2.0705999999999999E-2</v>
      </c>
      <c r="H42">
        <v>2.6967999999999999E-2</v>
      </c>
      <c r="I42">
        <v>3.3050999999999997E-2</v>
      </c>
      <c r="J42">
        <v>3.9177999999999998E-2</v>
      </c>
      <c r="K42">
        <v>4.0424000000000002E-2</v>
      </c>
      <c r="L42">
        <v>4.0473000000000002E-2</v>
      </c>
      <c r="M42">
        <v>4.1287999999999998E-2</v>
      </c>
    </row>
    <row r="43" spans="1:13" ht="14.4" x14ac:dyDescent="0.55000000000000004">
      <c r="A43" s="1">
        <v>40359</v>
      </c>
      <c r="B43">
        <v>2.4320000000000001E-3</v>
      </c>
      <c r="C43">
        <v>2.8470000000000001E-3</v>
      </c>
      <c r="D43">
        <v>3.7190000000000001E-3</v>
      </c>
      <c r="E43">
        <v>6.5360000000000001E-3</v>
      </c>
      <c r="F43">
        <v>1.0396000000000001E-2</v>
      </c>
      <c r="G43">
        <v>1.8304000000000001E-2</v>
      </c>
      <c r="H43">
        <v>2.4915E-2</v>
      </c>
      <c r="I43">
        <v>3.0811999999999999E-2</v>
      </c>
      <c r="J43">
        <v>3.7034999999999998E-2</v>
      </c>
      <c r="K43">
        <v>3.8363000000000001E-2</v>
      </c>
      <c r="L43">
        <v>3.8747999999999998E-2</v>
      </c>
      <c r="M43">
        <v>3.9428999999999999E-2</v>
      </c>
    </row>
    <row r="44" spans="1:13" ht="14.4" x14ac:dyDescent="0.55000000000000004">
      <c r="A44" s="1">
        <v>40387</v>
      </c>
      <c r="B44">
        <v>2.1749999999999999E-3</v>
      </c>
      <c r="C44">
        <v>2.4689999999999998E-3</v>
      </c>
      <c r="D44">
        <v>3.3930000000000002E-3</v>
      </c>
      <c r="E44">
        <v>6.535E-3</v>
      </c>
      <c r="F44">
        <v>9.8600000000000007E-3</v>
      </c>
      <c r="G44">
        <v>1.7673999999999999E-2</v>
      </c>
      <c r="H44">
        <v>2.4674000000000001E-2</v>
      </c>
      <c r="I44">
        <v>3.1290999999999999E-2</v>
      </c>
      <c r="J44">
        <v>3.7705000000000002E-2</v>
      </c>
      <c r="K44">
        <v>3.9463999999999999E-2</v>
      </c>
      <c r="L44">
        <v>4.0267999999999998E-2</v>
      </c>
      <c r="M44">
        <v>4.1028000000000002E-2</v>
      </c>
    </row>
    <row r="45" spans="1:13" ht="14.4" x14ac:dyDescent="0.55000000000000004">
      <c r="A45" s="1">
        <v>40415</v>
      </c>
      <c r="B45">
        <v>2.2820000000000002E-3</v>
      </c>
      <c r="C45">
        <v>2.3349999999999998E-3</v>
      </c>
      <c r="D45">
        <v>3.143E-3</v>
      </c>
      <c r="E45">
        <v>5.6969999999999998E-3</v>
      </c>
      <c r="F45">
        <v>8.1279999999999998E-3</v>
      </c>
      <c r="G45">
        <v>1.4453000000000001E-2</v>
      </c>
      <c r="H45">
        <v>2.0347000000000001E-2</v>
      </c>
      <c r="I45">
        <v>2.6669000000000002E-2</v>
      </c>
      <c r="J45">
        <v>3.2230000000000002E-2</v>
      </c>
      <c r="K45">
        <v>3.4245999999999999E-2</v>
      </c>
      <c r="L45">
        <v>3.5189999999999999E-2</v>
      </c>
      <c r="M45">
        <v>3.6180999999999998E-2</v>
      </c>
    </row>
    <row r="46" spans="1:13" ht="14.4" x14ac:dyDescent="0.55000000000000004">
      <c r="A46" s="1">
        <v>40450</v>
      </c>
      <c r="B46">
        <v>2.068E-3</v>
      </c>
      <c r="C46">
        <v>2.2910000000000001E-3</v>
      </c>
      <c r="D46">
        <v>2.7269999999999998E-3</v>
      </c>
      <c r="E46">
        <v>4.6649999999999999E-3</v>
      </c>
      <c r="F46">
        <v>7.1110000000000001E-3</v>
      </c>
      <c r="G46">
        <v>1.3231E-2</v>
      </c>
      <c r="H46">
        <v>1.9466000000000001E-2</v>
      </c>
      <c r="I46">
        <v>2.6280999999999999E-2</v>
      </c>
      <c r="J46">
        <v>3.2356000000000003E-2</v>
      </c>
      <c r="K46">
        <v>3.4854000000000003E-2</v>
      </c>
      <c r="L46">
        <v>3.6464999999999997E-2</v>
      </c>
      <c r="M46">
        <v>3.7392000000000002E-2</v>
      </c>
    </row>
    <row r="47" spans="1:13" ht="14.4" x14ac:dyDescent="0.55000000000000004">
      <c r="A47" s="1">
        <v>40478</v>
      </c>
      <c r="B47">
        <v>1.8879999999999999E-3</v>
      </c>
      <c r="C47">
        <v>2.1610000000000002E-3</v>
      </c>
      <c r="D47">
        <v>2.4120000000000001E-3</v>
      </c>
      <c r="E47">
        <v>4.6160000000000003E-3</v>
      </c>
      <c r="F47">
        <v>6.94E-3</v>
      </c>
      <c r="G47">
        <v>1.3882E-2</v>
      </c>
      <c r="H47">
        <v>2.1097000000000001E-2</v>
      </c>
      <c r="I47">
        <v>2.8563000000000002E-2</v>
      </c>
      <c r="J47">
        <v>3.5159999999999997E-2</v>
      </c>
      <c r="K47">
        <v>3.8251E-2</v>
      </c>
      <c r="L47">
        <v>4.0197999999999998E-2</v>
      </c>
      <c r="M47">
        <v>4.1090000000000002E-2</v>
      </c>
    </row>
    <row r="48" spans="1:13" ht="14.4" x14ac:dyDescent="0.55000000000000004">
      <c r="A48" s="1">
        <v>40506</v>
      </c>
      <c r="B48">
        <v>2.0370000000000002E-3</v>
      </c>
      <c r="C48">
        <v>2.3400000000000001E-3</v>
      </c>
      <c r="D48">
        <v>3.0479999999999999E-3</v>
      </c>
      <c r="E48">
        <v>5.692E-3</v>
      </c>
      <c r="F48">
        <v>8.4499999999999992E-3</v>
      </c>
      <c r="G48">
        <v>1.5876999999999999E-2</v>
      </c>
      <c r="H48">
        <v>2.2675000000000001E-2</v>
      </c>
      <c r="I48">
        <v>3.0151000000000001E-2</v>
      </c>
      <c r="J48">
        <v>3.7758E-2</v>
      </c>
      <c r="K48">
        <v>4.0644E-2</v>
      </c>
      <c r="L48">
        <v>4.2574000000000001E-2</v>
      </c>
      <c r="M48">
        <v>4.2478000000000002E-2</v>
      </c>
    </row>
    <row r="49" spans="1:13" ht="14.4" x14ac:dyDescent="0.55000000000000004">
      <c r="A49" s="1">
        <v>40541</v>
      </c>
      <c r="B49">
        <v>1.7930000000000001E-3</v>
      </c>
      <c r="C49">
        <v>2.5690000000000001E-3</v>
      </c>
      <c r="D49">
        <v>3.2039999999999998E-3</v>
      </c>
      <c r="E49">
        <v>6.8100000000000001E-3</v>
      </c>
      <c r="F49">
        <v>1.0888E-2</v>
      </c>
      <c r="G49">
        <v>2.0728E-2</v>
      </c>
      <c r="H49">
        <v>2.7942999999999999E-2</v>
      </c>
      <c r="I49">
        <v>3.4863999999999999E-2</v>
      </c>
      <c r="J49">
        <v>4.1556999999999997E-2</v>
      </c>
      <c r="K49">
        <v>4.3152999999999997E-2</v>
      </c>
      <c r="L49">
        <v>4.4311000000000003E-2</v>
      </c>
      <c r="M49">
        <v>4.4521999999999999E-2</v>
      </c>
    </row>
    <row r="50" spans="1:13" ht="14.4" x14ac:dyDescent="0.55000000000000004">
      <c r="A50" s="1">
        <v>40569</v>
      </c>
      <c r="B50">
        <v>1.9980000000000002E-3</v>
      </c>
      <c r="C50">
        <v>2.2390000000000001E-3</v>
      </c>
      <c r="D50">
        <v>3.0019999999999999E-3</v>
      </c>
      <c r="E50">
        <v>6.7120000000000001E-3</v>
      </c>
      <c r="F50">
        <v>1.0768E-2</v>
      </c>
      <c r="G50">
        <v>2.0448999999999998E-2</v>
      </c>
      <c r="H50">
        <v>2.7963999999999999E-2</v>
      </c>
      <c r="I50">
        <v>3.5464000000000002E-2</v>
      </c>
      <c r="J50">
        <v>4.2398999999999999E-2</v>
      </c>
      <c r="K50">
        <v>4.3992000000000003E-2</v>
      </c>
      <c r="L50">
        <v>4.5454000000000001E-2</v>
      </c>
      <c r="M50">
        <v>4.5844999999999997E-2</v>
      </c>
    </row>
    <row r="51" spans="1:13" ht="14.4" x14ac:dyDescent="0.55000000000000004">
      <c r="A51" s="1">
        <v>40597</v>
      </c>
      <c r="B51">
        <v>1.4959999999999999E-3</v>
      </c>
      <c r="C51">
        <v>1.918E-3</v>
      </c>
      <c r="D51">
        <v>2.8509999999999998E-3</v>
      </c>
      <c r="E51">
        <v>7.8300000000000002E-3</v>
      </c>
      <c r="F51">
        <v>1.2761E-2</v>
      </c>
      <c r="G51">
        <v>2.2110999999999999E-2</v>
      </c>
      <c r="H51">
        <v>2.921E-2</v>
      </c>
      <c r="I51">
        <v>3.5824000000000002E-2</v>
      </c>
      <c r="J51">
        <v>4.2354999999999997E-2</v>
      </c>
      <c r="K51">
        <v>4.4068999999999997E-2</v>
      </c>
      <c r="L51">
        <v>4.5475000000000002E-2</v>
      </c>
      <c r="M51">
        <v>4.5762999999999998E-2</v>
      </c>
    </row>
    <row r="52" spans="1:13" ht="14.4" x14ac:dyDescent="0.55000000000000004">
      <c r="A52" s="1">
        <v>40632</v>
      </c>
      <c r="B52">
        <v>1.1980000000000001E-3</v>
      </c>
      <c r="C52">
        <v>2.1329999999999999E-3</v>
      </c>
      <c r="D52">
        <v>3.241E-3</v>
      </c>
      <c r="E52">
        <v>8.2459999999999999E-3</v>
      </c>
      <c r="F52">
        <v>1.3025999999999999E-2</v>
      </c>
      <c r="G52">
        <v>2.2266000000000001E-2</v>
      </c>
      <c r="H52">
        <v>2.9059000000000001E-2</v>
      </c>
      <c r="I52">
        <v>3.5437999999999997E-2</v>
      </c>
      <c r="J52">
        <v>4.1965000000000002E-2</v>
      </c>
      <c r="K52">
        <v>4.3438999999999998E-2</v>
      </c>
      <c r="L52">
        <v>4.4720000000000003E-2</v>
      </c>
      <c r="M52">
        <v>4.5005999999999997E-2</v>
      </c>
    </row>
    <row r="53" spans="1:13" ht="14.4" x14ac:dyDescent="0.55000000000000004">
      <c r="A53" s="1">
        <v>40660</v>
      </c>
      <c r="B53">
        <v>8.7600000000000004E-4</v>
      </c>
      <c r="C53">
        <v>1.6069999999999999E-3</v>
      </c>
      <c r="D53">
        <v>2.5110000000000002E-3</v>
      </c>
      <c r="E53">
        <v>6.7920000000000003E-3</v>
      </c>
      <c r="F53">
        <v>1.1195E-2</v>
      </c>
      <c r="G53">
        <v>2.0691000000000001E-2</v>
      </c>
      <c r="H53">
        <v>2.76E-2</v>
      </c>
      <c r="I53">
        <v>3.4882000000000003E-2</v>
      </c>
      <c r="J53">
        <v>4.1082E-2</v>
      </c>
      <c r="K53">
        <v>4.3098999999999998E-2</v>
      </c>
      <c r="L53">
        <v>4.4337000000000001E-2</v>
      </c>
      <c r="M53">
        <v>4.5168E-2</v>
      </c>
    </row>
    <row r="54" spans="1:13" ht="14.4" x14ac:dyDescent="0.55000000000000004">
      <c r="A54" s="1">
        <v>40688</v>
      </c>
      <c r="B54">
        <v>9.3999999999999997E-4</v>
      </c>
      <c r="C54">
        <v>1.487E-3</v>
      </c>
      <c r="D54">
        <v>2.3180000000000002E-3</v>
      </c>
      <c r="E54">
        <v>5.8069999999999997E-3</v>
      </c>
      <c r="F54">
        <v>9.4249999999999994E-3</v>
      </c>
      <c r="G54">
        <v>1.8291000000000002E-2</v>
      </c>
      <c r="H54">
        <v>2.5041999999999998E-2</v>
      </c>
      <c r="I54">
        <v>3.2633000000000002E-2</v>
      </c>
      <c r="J54">
        <v>3.8906000000000003E-2</v>
      </c>
      <c r="K54">
        <v>4.1177999999999999E-2</v>
      </c>
      <c r="L54">
        <v>4.2165000000000001E-2</v>
      </c>
      <c r="M54">
        <v>4.3236999999999998E-2</v>
      </c>
    </row>
    <row r="55" spans="1:13" ht="14.4" x14ac:dyDescent="0.55000000000000004">
      <c r="A55" s="1">
        <v>40723</v>
      </c>
      <c r="B55">
        <v>7.3499999999999998E-4</v>
      </c>
      <c r="C55">
        <v>1.5139999999999999E-3</v>
      </c>
      <c r="D55">
        <v>2.5730000000000002E-3</v>
      </c>
      <c r="E55">
        <v>5.1390000000000003E-3</v>
      </c>
      <c r="F55">
        <v>8.3070000000000001E-3</v>
      </c>
      <c r="G55">
        <v>1.7357000000000001E-2</v>
      </c>
      <c r="H55">
        <v>2.4531000000000001E-2</v>
      </c>
      <c r="I55">
        <v>3.2634000000000003E-2</v>
      </c>
      <c r="J55">
        <v>3.9528000000000001E-2</v>
      </c>
      <c r="K55">
        <v>4.2202000000000003E-2</v>
      </c>
      <c r="L55">
        <v>4.3196999999999999E-2</v>
      </c>
      <c r="M55">
        <v>4.4287E-2</v>
      </c>
    </row>
    <row r="56" spans="1:13" ht="14.4" x14ac:dyDescent="0.55000000000000004">
      <c r="A56" s="1">
        <v>40751</v>
      </c>
      <c r="B56">
        <v>1.0950000000000001E-3</v>
      </c>
      <c r="C56">
        <v>1.66E-3</v>
      </c>
      <c r="D56">
        <v>2.7179999999999999E-3</v>
      </c>
      <c r="E56">
        <v>4.9170000000000004E-3</v>
      </c>
      <c r="F56">
        <v>7.4929999999999997E-3</v>
      </c>
      <c r="G56">
        <v>1.5949000000000001E-2</v>
      </c>
      <c r="H56">
        <v>2.3217999999999999E-2</v>
      </c>
      <c r="I56">
        <v>3.1491999999999999E-2</v>
      </c>
      <c r="J56">
        <v>3.8249999999999999E-2</v>
      </c>
      <c r="K56">
        <v>4.1083000000000001E-2</v>
      </c>
      <c r="L56">
        <v>4.231E-2</v>
      </c>
      <c r="M56">
        <v>4.3464000000000003E-2</v>
      </c>
    </row>
    <row r="57" spans="1:13" ht="14.4" x14ac:dyDescent="0.55000000000000004">
      <c r="A57" s="1">
        <v>40786</v>
      </c>
      <c r="B57">
        <v>5.8E-4</v>
      </c>
      <c r="C57">
        <v>1.0009999999999999E-3</v>
      </c>
      <c r="D57">
        <v>1.877E-3</v>
      </c>
      <c r="E57">
        <v>2.6979999999999999E-3</v>
      </c>
      <c r="F57">
        <v>3.7699999999999999E-3</v>
      </c>
      <c r="G57">
        <v>1.0192E-2</v>
      </c>
      <c r="H57">
        <v>1.6201E-2</v>
      </c>
      <c r="I57">
        <v>2.3852000000000002E-2</v>
      </c>
      <c r="J57">
        <v>3.0564999999999998E-2</v>
      </c>
      <c r="K57">
        <v>3.3862999999999997E-2</v>
      </c>
      <c r="L57">
        <v>3.5498000000000002E-2</v>
      </c>
      <c r="M57">
        <v>3.7013999999999998E-2</v>
      </c>
    </row>
    <row r="58" spans="1:13" ht="14.4" x14ac:dyDescent="0.55000000000000004">
      <c r="A58" s="1">
        <v>40814</v>
      </c>
      <c r="B58">
        <v>9.9099999999999991E-4</v>
      </c>
      <c r="C58">
        <v>1.5089999999999999E-3</v>
      </c>
      <c r="D58">
        <v>2.0279999999999999E-3</v>
      </c>
      <c r="E58">
        <v>3.0829999999999998E-3</v>
      </c>
      <c r="F58">
        <v>4.6039999999999996E-3</v>
      </c>
      <c r="G58">
        <v>1.0126E-2</v>
      </c>
      <c r="H58">
        <v>1.5239000000000001E-2</v>
      </c>
      <c r="I58">
        <v>2.1388000000000001E-2</v>
      </c>
      <c r="J58">
        <v>2.7555E-2</v>
      </c>
      <c r="K58">
        <v>2.9558000000000001E-2</v>
      </c>
      <c r="L58">
        <v>3.0693999999999999E-2</v>
      </c>
      <c r="M58">
        <v>3.1778000000000001E-2</v>
      </c>
    </row>
    <row r="59" spans="1:13" ht="14.4" x14ac:dyDescent="0.55000000000000004">
      <c r="A59" s="1">
        <v>40842</v>
      </c>
      <c r="B59">
        <v>4.3100000000000001E-4</v>
      </c>
      <c r="C59">
        <v>1.255E-3</v>
      </c>
      <c r="D59">
        <v>2.0230000000000001E-3</v>
      </c>
      <c r="E59">
        <v>3.248E-3</v>
      </c>
      <c r="F59">
        <v>5.1640000000000002E-3</v>
      </c>
      <c r="G59">
        <v>1.1370999999999999E-2</v>
      </c>
      <c r="H59">
        <v>1.7203E-2</v>
      </c>
      <c r="I59">
        <v>2.3220000000000001E-2</v>
      </c>
      <c r="J59">
        <v>2.945E-2</v>
      </c>
      <c r="K59">
        <v>3.1254999999999998E-2</v>
      </c>
      <c r="L59">
        <v>3.2106999999999997E-2</v>
      </c>
      <c r="M59">
        <v>3.2701000000000001E-2</v>
      </c>
    </row>
    <row r="60" spans="1:13" ht="14.4" x14ac:dyDescent="0.55000000000000004">
      <c r="A60" s="1">
        <v>40877</v>
      </c>
      <c r="B60">
        <v>5.31E-4</v>
      </c>
      <c r="C60">
        <v>8.0500000000000005E-4</v>
      </c>
      <c r="D60">
        <v>1.6949999999999999E-3</v>
      </c>
      <c r="E60">
        <v>2.8879999999999999E-3</v>
      </c>
      <c r="F60">
        <v>4.4939999999999997E-3</v>
      </c>
      <c r="G60">
        <v>1.0125E-2</v>
      </c>
      <c r="H60">
        <v>1.5907999999999999E-2</v>
      </c>
      <c r="I60">
        <v>2.2054000000000001E-2</v>
      </c>
      <c r="J60">
        <v>2.7730999999999999E-2</v>
      </c>
      <c r="K60">
        <v>2.9284000000000001E-2</v>
      </c>
      <c r="L60">
        <v>3.0335999999999998E-2</v>
      </c>
      <c r="M60">
        <v>3.0880000000000001E-2</v>
      </c>
    </row>
    <row r="61" spans="1:13" ht="14.4" x14ac:dyDescent="0.55000000000000004">
      <c r="A61" s="1">
        <v>40905</v>
      </c>
      <c r="B61">
        <v>4.1300000000000001E-4</v>
      </c>
      <c r="C61">
        <v>1.049E-3</v>
      </c>
      <c r="D61">
        <v>1.835E-3</v>
      </c>
      <c r="E61">
        <v>3.3579999999999999E-3</v>
      </c>
      <c r="F61">
        <v>4.5300000000000002E-3</v>
      </c>
      <c r="G61">
        <v>9.384E-3</v>
      </c>
      <c r="H61">
        <v>1.5004E-2</v>
      </c>
      <c r="I61">
        <v>2.0552000000000001E-2</v>
      </c>
      <c r="J61">
        <v>2.5770999999999999E-2</v>
      </c>
      <c r="K61">
        <v>2.7741999999999999E-2</v>
      </c>
      <c r="L61">
        <v>2.8805000000000001E-2</v>
      </c>
      <c r="M61">
        <v>2.9471000000000001E-2</v>
      </c>
    </row>
    <row r="62" spans="1:13" ht="14.4" x14ac:dyDescent="0.55000000000000004">
      <c r="A62" s="1">
        <v>40933</v>
      </c>
      <c r="B62">
        <v>5.6300000000000002E-4</v>
      </c>
      <c r="C62">
        <v>9.1399999999999999E-4</v>
      </c>
      <c r="D62">
        <v>1.5989999999999999E-3</v>
      </c>
      <c r="E62">
        <v>2.5049999999999998E-3</v>
      </c>
      <c r="F62">
        <v>3.4399999999999999E-3</v>
      </c>
      <c r="G62">
        <v>8.5629999999999994E-3</v>
      </c>
      <c r="H62">
        <v>1.4429000000000001E-2</v>
      </c>
      <c r="I62">
        <v>2.1371999999999999E-2</v>
      </c>
      <c r="J62">
        <v>2.7626000000000001E-2</v>
      </c>
      <c r="K62">
        <v>2.9638999999999999E-2</v>
      </c>
      <c r="L62">
        <v>3.1088000000000001E-2</v>
      </c>
      <c r="M62">
        <v>3.1549000000000001E-2</v>
      </c>
    </row>
    <row r="63" spans="1:13" ht="14.4" x14ac:dyDescent="0.55000000000000004">
      <c r="A63" s="1">
        <v>40968</v>
      </c>
      <c r="B63">
        <v>1.0460000000000001E-3</v>
      </c>
      <c r="C63">
        <v>1.469E-3</v>
      </c>
      <c r="D63">
        <v>2.111E-3</v>
      </c>
      <c r="E63">
        <v>3.2309999999999999E-3</v>
      </c>
      <c r="F63">
        <v>4.4419999999999998E-3</v>
      </c>
      <c r="G63">
        <v>8.9549999999999994E-3</v>
      </c>
      <c r="H63">
        <v>1.3968E-2</v>
      </c>
      <c r="I63">
        <v>2.0570000000000001E-2</v>
      </c>
      <c r="J63">
        <v>2.7108E-2</v>
      </c>
      <c r="K63">
        <v>2.9194999999999999E-2</v>
      </c>
      <c r="L63">
        <v>3.0411000000000001E-2</v>
      </c>
      <c r="M63">
        <v>3.0883000000000001E-2</v>
      </c>
    </row>
    <row r="64" spans="1:13" ht="14.4" x14ac:dyDescent="0.55000000000000004">
      <c r="A64" s="1">
        <v>40996</v>
      </c>
      <c r="B64">
        <v>1.291E-3</v>
      </c>
      <c r="C64">
        <v>1.6440000000000001E-3</v>
      </c>
      <c r="D64">
        <v>2.3180000000000002E-3</v>
      </c>
      <c r="E64">
        <v>3.8300000000000001E-3</v>
      </c>
      <c r="F64">
        <v>5.5030000000000001E-3</v>
      </c>
      <c r="G64">
        <v>1.1006E-2</v>
      </c>
      <c r="H64">
        <v>1.6202999999999999E-2</v>
      </c>
      <c r="I64">
        <v>2.3054000000000002E-2</v>
      </c>
      <c r="J64">
        <v>2.9545999999999999E-2</v>
      </c>
      <c r="K64">
        <v>3.1437E-2</v>
      </c>
      <c r="L64">
        <v>3.2674000000000002E-2</v>
      </c>
      <c r="M64">
        <v>3.3210000000000003E-2</v>
      </c>
    </row>
    <row r="65" spans="1:13" ht="14.4" x14ac:dyDescent="0.55000000000000004">
      <c r="A65" s="1">
        <v>41024</v>
      </c>
      <c r="B65">
        <v>1.2340000000000001E-3</v>
      </c>
      <c r="C65">
        <v>1.5740000000000001E-3</v>
      </c>
      <c r="D65">
        <v>2.2139999999999998E-3</v>
      </c>
      <c r="E65">
        <v>2.8570000000000002E-3</v>
      </c>
      <c r="F65">
        <v>4.3229999999999996E-3</v>
      </c>
      <c r="G65">
        <v>9.0930000000000004E-3</v>
      </c>
      <c r="H65">
        <v>1.3920999999999999E-2</v>
      </c>
      <c r="I65">
        <v>2.1144E-2</v>
      </c>
      <c r="J65">
        <v>2.7518999999999998E-2</v>
      </c>
      <c r="K65">
        <v>2.9283E-2</v>
      </c>
      <c r="L65">
        <v>3.0884999999999999E-2</v>
      </c>
      <c r="M65">
        <v>3.1669999999999997E-2</v>
      </c>
    </row>
    <row r="66" spans="1:13" ht="14.4" x14ac:dyDescent="0.55000000000000004">
      <c r="A66" s="1">
        <v>41059</v>
      </c>
      <c r="B66">
        <v>1.242E-3</v>
      </c>
      <c r="C66">
        <v>1.6869999999999999E-3</v>
      </c>
      <c r="D66">
        <v>2.2899999999999999E-3</v>
      </c>
      <c r="E66">
        <v>3.1740000000000002E-3</v>
      </c>
      <c r="F66">
        <v>4.2859999999999999E-3</v>
      </c>
      <c r="G66">
        <v>7.3749999999999996E-3</v>
      </c>
      <c r="H66">
        <v>1.0728E-2</v>
      </c>
      <c r="I66">
        <v>1.7365999999999999E-2</v>
      </c>
      <c r="J66">
        <v>2.2866000000000001E-2</v>
      </c>
      <c r="K66">
        <v>2.4670000000000001E-2</v>
      </c>
      <c r="L66">
        <v>2.6452E-2</v>
      </c>
      <c r="M66">
        <v>2.7399E-2</v>
      </c>
    </row>
    <row r="67" spans="1:13" ht="14.4" x14ac:dyDescent="0.55000000000000004">
      <c r="A67" s="1">
        <v>41087</v>
      </c>
      <c r="B67">
        <v>1.4189999999999999E-3</v>
      </c>
      <c r="C67">
        <v>1.7539999999999999E-3</v>
      </c>
      <c r="D67">
        <v>2.6120000000000002E-3</v>
      </c>
      <c r="E67">
        <v>3.4390000000000002E-3</v>
      </c>
      <c r="F67">
        <v>4.5129999999999997E-3</v>
      </c>
      <c r="G67">
        <v>8.2260000000000007E-3</v>
      </c>
      <c r="H67">
        <v>1.1335E-2</v>
      </c>
      <c r="I67">
        <v>1.7229999999999999E-2</v>
      </c>
      <c r="J67">
        <v>2.3165999999999999E-2</v>
      </c>
      <c r="K67">
        <v>2.4568E-2</v>
      </c>
      <c r="L67">
        <v>2.6311999999999999E-2</v>
      </c>
      <c r="M67">
        <v>2.7274E-2</v>
      </c>
    </row>
    <row r="68" spans="1:13" ht="14.4" x14ac:dyDescent="0.55000000000000004">
      <c r="A68" s="1">
        <v>41115</v>
      </c>
      <c r="B68">
        <v>1.555E-3</v>
      </c>
      <c r="C68">
        <v>1.7470000000000001E-3</v>
      </c>
      <c r="D68">
        <v>2.0279999999999999E-3</v>
      </c>
      <c r="E68">
        <v>2.4859999999999999E-3</v>
      </c>
      <c r="F68">
        <v>3.2239999999999999E-3</v>
      </c>
      <c r="G68">
        <v>6.2870000000000001E-3</v>
      </c>
      <c r="H68">
        <v>9.4680000000000007E-3</v>
      </c>
      <c r="I68">
        <v>1.5082E-2</v>
      </c>
      <c r="J68">
        <v>2.0979999999999999E-2</v>
      </c>
      <c r="K68">
        <v>2.2672000000000001E-2</v>
      </c>
      <c r="L68">
        <v>2.4126999999999999E-2</v>
      </c>
      <c r="M68">
        <v>2.4899999999999999E-2</v>
      </c>
    </row>
    <row r="69" spans="1:13" ht="14.4" x14ac:dyDescent="0.55000000000000004">
      <c r="A69" s="1">
        <v>41150</v>
      </c>
      <c r="B69">
        <v>1.9910000000000001E-3</v>
      </c>
      <c r="C69">
        <v>1.8990000000000001E-3</v>
      </c>
      <c r="D69">
        <v>2.078E-3</v>
      </c>
      <c r="E69">
        <v>2.9120000000000001E-3</v>
      </c>
      <c r="F69">
        <v>3.8080000000000002E-3</v>
      </c>
      <c r="G69">
        <v>7.5069999999999998E-3</v>
      </c>
      <c r="H69">
        <v>1.1442000000000001E-2</v>
      </c>
      <c r="I69">
        <v>1.7423999999999999E-2</v>
      </c>
      <c r="J69">
        <v>2.3404000000000001E-2</v>
      </c>
      <c r="K69">
        <v>2.5281999999999999E-2</v>
      </c>
      <c r="L69">
        <v>2.6710999999999999E-2</v>
      </c>
      <c r="M69">
        <v>2.7720999999999999E-2</v>
      </c>
    </row>
    <row r="70" spans="1:13" ht="14.4" x14ac:dyDescent="0.55000000000000004">
      <c r="A70" s="1">
        <v>41178</v>
      </c>
      <c r="B70">
        <v>1.67E-3</v>
      </c>
      <c r="C70">
        <v>1.647E-3</v>
      </c>
      <c r="D70">
        <v>1.954E-3</v>
      </c>
      <c r="E70">
        <v>2.9039999999999999E-3</v>
      </c>
      <c r="F70">
        <v>3.5490000000000001E-3</v>
      </c>
      <c r="G70">
        <v>6.7920000000000003E-3</v>
      </c>
      <c r="H70">
        <v>1.065E-2</v>
      </c>
      <c r="I70">
        <v>1.7232000000000001E-2</v>
      </c>
      <c r="J70">
        <v>2.3429999999999999E-2</v>
      </c>
      <c r="K70">
        <v>2.5322000000000001E-2</v>
      </c>
      <c r="L70">
        <v>2.6852999999999998E-2</v>
      </c>
      <c r="M70">
        <v>2.7938000000000001E-2</v>
      </c>
    </row>
    <row r="71" spans="1:13" ht="14.4" x14ac:dyDescent="0.55000000000000004">
      <c r="A71" s="1">
        <v>41213</v>
      </c>
      <c r="B71">
        <v>1.575E-3</v>
      </c>
      <c r="C71">
        <v>1.8749999999999999E-3</v>
      </c>
      <c r="D71">
        <v>2.2439999999999999E-3</v>
      </c>
      <c r="E71">
        <v>3.1649999999999998E-3</v>
      </c>
      <c r="F71">
        <v>4.0879999999999996E-3</v>
      </c>
      <c r="G71">
        <v>7.737E-3</v>
      </c>
      <c r="H71">
        <v>1.1998999999999999E-2</v>
      </c>
      <c r="I71">
        <v>1.8048999999999999E-2</v>
      </c>
      <c r="J71">
        <v>2.4018000000000001E-2</v>
      </c>
      <c r="K71">
        <v>2.5947000000000001E-2</v>
      </c>
      <c r="L71">
        <v>2.7536999999999999E-2</v>
      </c>
      <c r="M71">
        <v>2.8659E-2</v>
      </c>
    </row>
    <row r="72" spans="1:13" ht="14.4" x14ac:dyDescent="0.55000000000000004">
      <c r="A72" s="1">
        <v>41241</v>
      </c>
      <c r="B72">
        <v>1.346E-3</v>
      </c>
      <c r="C72">
        <v>1.665E-3</v>
      </c>
      <c r="D72">
        <v>1.9910000000000001E-3</v>
      </c>
      <c r="E72">
        <v>3.045E-3</v>
      </c>
      <c r="F72">
        <v>3.7910000000000001E-3</v>
      </c>
      <c r="G72">
        <v>6.8209999999999998E-3</v>
      </c>
      <c r="H72">
        <v>1.0999999999999999E-2</v>
      </c>
      <c r="I72">
        <v>1.7111999999999999E-2</v>
      </c>
      <c r="J72">
        <v>2.3104E-2</v>
      </c>
      <c r="K72">
        <v>2.4988E-2</v>
      </c>
      <c r="L72">
        <v>2.6747E-2</v>
      </c>
      <c r="M72">
        <v>2.7911999999999999E-2</v>
      </c>
    </row>
    <row r="73" spans="1:13" ht="14.4" x14ac:dyDescent="0.55000000000000004">
      <c r="A73" s="1">
        <v>41269</v>
      </c>
      <c r="B73">
        <v>9.1399999999999999E-4</v>
      </c>
      <c r="C73">
        <v>1.389E-3</v>
      </c>
      <c r="D73">
        <v>1.6869999999999999E-3</v>
      </c>
      <c r="E73">
        <v>3.0999999999999999E-3</v>
      </c>
      <c r="F73">
        <v>4.2979999999999997E-3</v>
      </c>
      <c r="G73">
        <v>7.8289999999999992E-3</v>
      </c>
      <c r="H73">
        <v>1.2238000000000001E-2</v>
      </c>
      <c r="I73">
        <v>1.831E-2</v>
      </c>
      <c r="J73">
        <v>2.4580000000000001E-2</v>
      </c>
      <c r="K73">
        <v>2.6388999999999999E-2</v>
      </c>
      <c r="L73">
        <v>2.8034E-2</v>
      </c>
      <c r="M73">
        <v>2.9245E-2</v>
      </c>
    </row>
    <row r="74" spans="1:13" ht="14.4" x14ac:dyDescent="0.55000000000000004">
      <c r="A74" s="1">
        <v>41304</v>
      </c>
      <c r="B74">
        <v>7.4200000000000004E-4</v>
      </c>
      <c r="C74">
        <v>1.175E-3</v>
      </c>
      <c r="D74">
        <v>1.49E-3</v>
      </c>
      <c r="E74">
        <v>3.0349999999999999E-3</v>
      </c>
      <c r="F74">
        <v>4.339E-3</v>
      </c>
      <c r="G74">
        <v>9.0989999999999994E-3</v>
      </c>
      <c r="H74">
        <v>1.4194E-2</v>
      </c>
      <c r="I74">
        <v>2.0834999999999999E-2</v>
      </c>
      <c r="J74">
        <v>2.6928000000000001E-2</v>
      </c>
      <c r="K74">
        <v>2.9014000000000002E-2</v>
      </c>
      <c r="L74">
        <v>3.0672000000000001E-2</v>
      </c>
      <c r="M74">
        <v>3.1766000000000003E-2</v>
      </c>
    </row>
    <row r="75" spans="1:13" ht="14.4" x14ac:dyDescent="0.55000000000000004">
      <c r="A75" s="1">
        <v>41332</v>
      </c>
      <c r="B75">
        <v>1.225E-3</v>
      </c>
      <c r="C75">
        <v>1.457E-3</v>
      </c>
      <c r="D75">
        <v>1.699E-3</v>
      </c>
      <c r="E75">
        <v>2.8779999999999999E-3</v>
      </c>
      <c r="F75">
        <v>3.9620000000000002E-3</v>
      </c>
      <c r="G75">
        <v>8.2529999999999999E-3</v>
      </c>
      <c r="H75">
        <v>1.3079E-2</v>
      </c>
      <c r="I75">
        <v>1.9817999999999999E-2</v>
      </c>
      <c r="J75">
        <v>2.5316000000000002E-2</v>
      </c>
      <c r="K75">
        <v>2.8391E-2</v>
      </c>
      <c r="L75">
        <v>3.0237E-2</v>
      </c>
      <c r="M75">
        <v>3.1014E-2</v>
      </c>
    </row>
    <row r="76" spans="1:13" ht="14.4" x14ac:dyDescent="0.55000000000000004">
      <c r="A76" s="1">
        <v>41360</v>
      </c>
      <c r="B76">
        <v>8.6700000000000004E-4</v>
      </c>
      <c r="C76">
        <v>1.1670000000000001E-3</v>
      </c>
      <c r="D76">
        <v>1.3470000000000001E-3</v>
      </c>
      <c r="E76">
        <v>2.9220000000000001E-3</v>
      </c>
      <c r="F76">
        <v>3.8110000000000002E-3</v>
      </c>
      <c r="G76">
        <v>7.8510000000000003E-3</v>
      </c>
      <c r="H76">
        <v>1.2428E-2</v>
      </c>
      <c r="I76">
        <v>1.9432999999999999E-2</v>
      </c>
      <c r="J76">
        <v>2.5773999999999998E-2</v>
      </c>
      <c r="K76">
        <v>2.8312E-2</v>
      </c>
      <c r="L76">
        <v>3.0145999999999999E-2</v>
      </c>
      <c r="M76">
        <v>3.0835000000000001E-2</v>
      </c>
    </row>
    <row r="77" spans="1:13" ht="14.4" x14ac:dyDescent="0.55000000000000004">
      <c r="A77" s="1">
        <v>41388</v>
      </c>
      <c r="B77">
        <v>8.8599999999999996E-4</v>
      </c>
      <c r="C77">
        <v>1.0759999999999999E-3</v>
      </c>
      <c r="D77">
        <v>1.341E-3</v>
      </c>
      <c r="E77">
        <v>2.4949999999999998E-3</v>
      </c>
      <c r="F77">
        <v>3.5929999999999998E-3</v>
      </c>
      <c r="G77">
        <v>7.1219999999999999E-3</v>
      </c>
      <c r="H77">
        <v>1.1243E-2</v>
      </c>
      <c r="I77">
        <v>1.7888000000000001E-2</v>
      </c>
      <c r="J77">
        <v>2.4122000000000001E-2</v>
      </c>
      <c r="K77">
        <v>2.6512999999999998E-2</v>
      </c>
      <c r="L77">
        <v>2.8056999999999999E-2</v>
      </c>
      <c r="M77">
        <v>2.8912E-2</v>
      </c>
    </row>
    <row r="78" spans="1:13" ht="14.4" x14ac:dyDescent="0.55000000000000004">
      <c r="A78" s="1">
        <v>41423</v>
      </c>
      <c r="B78">
        <v>7.6999999999999996E-4</v>
      </c>
      <c r="C78">
        <v>1.0950000000000001E-3</v>
      </c>
      <c r="D78">
        <v>1.761E-3</v>
      </c>
      <c r="E78">
        <v>2.9450000000000001E-3</v>
      </c>
      <c r="F78">
        <v>4.8999999999999998E-3</v>
      </c>
      <c r="G78">
        <v>1.0279E-2</v>
      </c>
      <c r="H78">
        <v>1.494E-2</v>
      </c>
      <c r="I78">
        <v>2.1755E-2</v>
      </c>
      <c r="J78">
        <v>2.8031E-2</v>
      </c>
      <c r="K78">
        <v>3.0450999999999999E-2</v>
      </c>
      <c r="L78">
        <v>3.1725999999999997E-2</v>
      </c>
      <c r="M78">
        <v>3.2688000000000002E-2</v>
      </c>
    </row>
    <row r="79" spans="1:13" ht="14.4" x14ac:dyDescent="0.55000000000000004">
      <c r="A79" s="1">
        <v>41451</v>
      </c>
      <c r="B79">
        <v>9.6900000000000003E-4</v>
      </c>
      <c r="C79">
        <v>1.3190000000000001E-3</v>
      </c>
      <c r="D79">
        <v>1.678E-3</v>
      </c>
      <c r="E79">
        <v>3.6640000000000002E-3</v>
      </c>
      <c r="F79">
        <v>7.1450000000000003E-3</v>
      </c>
      <c r="G79">
        <v>1.4218E-2</v>
      </c>
      <c r="H79">
        <v>1.9318999999999999E-2</v>
      </c>
      <c r="I79">
        <v>2.6079999999999999E-2</v>
      </c>
      <c r="J79">
        <v>3.1551000000000003E-2</v>
      </c>
      <c r="K79">
        <v>3.4049000000000003E-2</v>
      </c>
      <c r="L79">
        <v>3.4861999999999997E-2</v>
      </c>
      <c r="M79">
        <v>3.5579E-2</v>
      </c>
    </row>
    <row r="80" spans="1:13" ht="14.4" x14ac:dyDescent="0.55000000000000004">
      <c r="A80" s="1">
        <v>41486</v>
      </c>
      <c r="B80">
        <v>5.3799999999999996E-4</v>
      </c>
      <c r="C80">
        <v>9.3300000000000002E-4</v>
      </c>
      <c r="D80">
        <v>1.294E-3</v>
      </c>
      <c r="E80">
        <v>3.199E-3</v>
      </c>
      <c r="F80">
        <v>6.1370000000000001E-3</v>
      </c>
      <c r="G80">
        <v>1.3849999999999999E-2</v>
      </c>
      <c r="H80">
        <v>1.9963999999999999E-2</v>
      </c>
      <c r="I80">
        <v>2.6571999999999998E-2</v>
      </c>
      <c r="J80">
        <v>3.2566999999999999E-2</v>
      </c>
      <c r="K80">
        <v>3.4452000000000003E-2</v>
      </c>
      <c r="L80">
        <v>3.5276000000000002E-2</v>
      </c>
      <c r="M80">
        <v>3.6165000000000003E-2</v>
      </c>
    </row>
    <row r="81" spans="1:13" ht="14.4" x14ac:dyDescent="0.55000000000000004">
      <c r="A81" s="1">
        <v>41514</v>
      </c>
      <c r="B81">
        <v>5.4299999999999997E-4</v>
      </c>
      <c r="C81">
        <v>9.2100000000000005E-4</v>
      </c>
      <c r="D81">
        <v>1.7129999999999999E-3</v>
      </c>
      <c r="E81">
        <v>4.1149999999999997E-3</v>
      </c>
      <c r="F81">
        <v>7.9740000000000002E-3</v>
      </c>
      <c r="G81">
        <v>1.6115000000000001E-2</v>
      </c>
      <c r="H81">
        <v>2.2383E-2</v>
      </c>
      <c r="I81">
        <v>2.8308E-2</v>
      </c>
      <c r="J81">
        <v>3.4053E-2</v>
      </c>
      <c r="K81">
        <v>3.5813999999999999E-2</v>
      </c>
      <c r="L81">
        <v>3.6812999999999999E-2</v>
      </c>
      <c r="M81">
        <v>3.7225000000000001E-2</v>
      </c>
    </row>
    <row r="82" spans="1:13" ht="14.4" x14ac:dyDescent="0.55000000000000004">
      <c r="A82" s="1">
        <v>41542</v>
      </c>
      <c r="B82">
        <v>1.9699999999999999E-4</v>
      </c>
      <c r="C82">
        <v>4.86E-4</v>
      </c>
      <c r="D82">
        <v>1.2229999999999999E-3</v>
      </c>
      <c r="E82">
        <v>3.3540000000000002E-3</v>
      </c>
      <c r="F82">
        <v>6.6660000000000001E-3</v>
      </c>
      <c r="G82">
        <v>1.4363000000000001E-2</v>
      </c>
      <c r="H82">
        <v>2.0504999999999999E-2</v>
      </c>
      <c r="I82">
        <v>2.7139E-2</v>
      </c>
      <c r="J82">
        <v>3.2947999999999998E-2</v>
      </c>
      <c r="K82">
        <v>3.4627999999999999E-2</v>
      </c>
      <c r="L82">
        <v>3.5944999999999998E-2</v>
      </c>
      <c r="M82">
        <v>3.6600000000000001E-2</v>
      </c>
    </row>
    <row r="83" spans="1:13" ht="14.4" x14ac:dyDescent="0.55000000000000004">
      <c r="A83" s="1">
        <v>41577</v>
      </c>
      <c r="B83">
        <v>8.1700000000000002E-4</v>
      </c>
      <c r="C83">
        <v>1.088E-3</v>
      </c>
      <c r="D83">
        <v>1.366E-3</v>
      </c>
      <c r="E83">
        <v>3.019E-3</v>
      </c>
      <c r="F83">
        <v>6.0039999999999998E-3</v>
      </c>
      <c r="G83">
        <v>1.3336000000000001E-2</v>
      </c>
      <c r="H83">
        <v>1.9543999999999999E-2</v>
      </c>
      <c r="I83">
        <v>2.6433000000000002E-2</v>
      </c>
      <c r="J83">
        <v>3.2208000000000001E-2</v>
      </c>
      <c r="K83">
        <v>3.4285999999999997E-2</v>
      </c>
      <c r="L83">
        <v>3.5829E-2</v>
      </c>
      <c r="M83">
        <v>3.6338000000000002E-2</v>
      </c>
    </row>
    <row r="84" spans="1:13" ht="14.4" x14ac:dyDescent="0.55000000000000004">
      <c r="A84" s="1">
        <v>41605</v>
      </c>
      <c r="B84">
        <v>7.2800000000000002E-4</v>
      </c>
      <c r="C84">
        <v>1.2930000000000001E-3</v>
      </c>
      <c r="D84">
        <v>1.3270000000000001E-3</v>
      </c>
      <c r="E84">
        <v>2.9199999999999999E-3</v>
      </c>
      <c r="F84">
        <v>5.7219999999999997E-3</v>
      </c>
      <c r="G84">
        <v>1.3904E-2</v>
      </c>
      <c r="H84">
        <v>2.1215000000000001E-2</v>
      </c>
      <c r="I84">
        <v>2.8528999999999999E-2</v>
      </c>
      <c r="J84">
        <v>3.4242000000000002E-2</v>
      </c>
      <c r="K84">
        <v>3.6308E-2</v>
      </c>
      <c r="L84">
        <v>3.7218000000000001E-2</v>
      </c>
      <c r="M84">
        <v>3.8127000000000001E-2</v>
      </c>
    </row>
    <row r="85" spans="1:13" ht="14.4" x14ac:dyDescent="0.55000000000000004">
      <c r="A85" s="1">
        <v>41633</v>
      </c>
      <c r="B85">
        <v>6.4300000000000002E-4</v>
      </c>
      <c r="C85">
        <v>1.0989999999999999E-3</v>
      </c>
      <c r="D85">
        <v>1.6770000000000001E-3</v>
      </c>
      <c r="E85">
        <v>3.8639999999999998E-3</v>
      </c>
      <c r="F85">
        <v>8.0730000000000003E-3</v>
      </c>
      <c r="G85">
        <v>1.7439E-2</v>
      </c>
      <c r="H85">
        <v>2.4454E-2</v>
      </c>
      <c r="I85">
        <v>3.1012999999999999E-2</v>
      </c>
      <c r="J85">
        <v>3.5930999999999998E-2</v>
      </c>
      <c r="K85">
        <v>3.7413000000000002E-2</v>
      </c>
      <c r="L85">
        <v>3.8099000000000001E-2</v>
      </c>
      <c r="M85">
        <v>3.8857999999999997E-2</v>
      </c>
    </row>
    <row r="86" spans="1:13" ht="14.4" x14ac:dyDescent="0.55000000000000004">
      <c r="A86" s="1">
        <v>41668</v>
      </c>
      <c r="B86">
        <v>5.3200000000000003E-4</v>
      </c>
      <c r="C86">
        <v>6.4199999999999999E-4</v>
      </c>
      <c r="D86">
        <v>1.204E-3</v>
      </c>
      <c r="E86">
        <v>3.2569999999999999E-3</v>
      </c>
      <c r="F86">
        <v>7.1209999999999997E-3</v>
      </c>
      <c r="G86">
        <v>1.5474E-2</v>
      </c>
      <c r="H86">
        <v>2.1919000000000001E-2</v>
      </c>
      <c r="I86">
        <v>2.7987000000000001E-2</v>
      </c>
      <c r="J86">
        <v>3.2404000000000002E-2</v>
      </c>
      <c r="K86">
        <v>3.4745999999999999E-2</v>
      </c>
      <c r="L86">
        <v>3.5409000000000003E-2</v>
      </c>
      <c r="M86">
        <v>3.6193999999999997E-2</v>
      </c>
    </row>
    <row r="87" spans="1:13" ht="14.4" x14ac:dyDescent="0.55000000000000004">
      <c r="A87" s="1">
        <v>41696</v>
      </c>
      <c r="B87">
        <v>6.5200000000000002E-4</v>
      </c>
      <c r="C87">
        <v>9.1E-4</v>
      </c>
      <c r="D87">
        <v>1.103E-3</v>
      </c>
      <c r="E87">
        <v>3.0370000000000002E-3</v>
      </c>
      <c r="F87">
        <v>6.9100000000000003E-3</v>
      </c>
      <c r="G87">
        <v>1.5224E-2</v>
      </c>
      <c r="H87">
        <v>2.1340000000000001E-2</v>
      </c>
      <c r="I87">
        <v>2.7463000000000001E-2</v>
      </c>
      <c r="J87">
        <v>3.2517999999999998E-2</v>
      </c>
      <c r="K87">
        <v>3.4698E-2</v>
      </c>
      <c r="L87">
        <v>3.5478999999999997E-2</v>
      </c>
      <c r="M87">
        <v>3.6253000000000001E-2</v>
      </c>
    </row>
    <row r="88" spans="1:13" ht="14.4" x14ac:dyDescent="0.55000000000000004">
      <c r="A88" s="1">
        <v>41724</v>
      </c>
      <c r="B88">
        <v>4.2099999999999999E-4</v>
      </c>
      <c r="C88">
        <v>7.4399999999999998E-4</v>
      </c>
      <c r="D88">
        <v>1.1900000000000001E-3</v>
      </c>
      <c r="E88">
        <v>4.0410000000000003E-3</v>
      </c>
      <c r="F88">
        <v>9.0209999999999995E-3</v>
      </c>
      <c r="G88">
        <v>1.7208000000000001E-2</v>
      </c>
      <c r="H88">
        <v>2.2727000000000001E-2</v>
      </c>
      <c r="I88">
        <v>2.7560000000000001E-2</v>
      </c>
      <c r="J88">
        <v>3.1977999999999999E-2</v>
      </c>
      <c r="K88">
        <v>3.4122E-2</v>
      </c>
      <c r="L88">
        <v>3.4695999999999998E-2</v>
      </c>
      <c r="M88">
        <v>3.5418999999999999E-2</v>
      </c>
    </row>
    <row r="89" spans="1:13" ht="14.4" x14ac:dyDescent="0.55000000000000004">
      <c r="A89" s="1">
        <v>41759</v>
      </c>
      <c r="B89">
        <v>2.14E-4</v>
      </c>
      <c r="C89">
        <v>4.8299999999999998E-4</v>
      </c>
      <c r="D89">
        <v>1.0169999999999999E-3</v>
      </c>
      <c r="E89">
        <v>3.9690000000000003E-3</v>
      </c>
      <c r="F89">
        <v>8.8870000000000008E-3</v>
      </c>
      <c r="G89">
        <v>1.7232000000000001E-2</v>
      </c>
      <c r="H89">
        <v>2.3143E-2</v>
      </c>
      <c r="I89">
        <v>2.8341999999999999E-2</v>
      </c>
      <c r="J89">
        <v>3.3029999999999997E-2</v>
      </c>
      <c r="K89">
        <v>3.4959999999999998E-2</v>
      </c>
      <c r="L89">
        <v>3.5680999999999997E-2</v>
      </c>
      <c r="M89">
        <v>3.6267000000000001E-2</v>
      </c>
    </row>
    <row r="90" spans="1:13" ht="14.4" x14ac:dyDescent="0.55000000000000004">
      <c r="A90" s="1">
        <v>41787</v>
      </c>
      <c r="B90">
        <v>1.54E-4</v>
      </c>
      <c r="C90">
        <v>4.6799999999999999E-4</v>
      </c>
      <c r="D90">
        <v>1.2210000000000001E-3</v>
      </c>
      <c r="E90">
        <v>3.8549999999999999E-3</v>
      </c>
      <c r="F90">
        <v>8.0409999999999995E-3</v>
      </c>
      <c r="G90">
        <v>1.5650000000000001E-2</v>
      </c>
      <c r="H90">
        <v>2.1179E-2</v>
      </c>
      <c r="I90">
        <v>2.6352E-2</v>
      </c>
      <c r="J90">
        <v>3.1215E-2</v>
      </c>
      <c r="K90">
        <v>3.3551999999999998E-2</v>
      </c>
      <c r="L90">
        <v>3.4509999999999999E-2</v>
      </c>
      <c r="M90">
        <v>3.5104999999999997E-2</v>
      </c>
    </row>
    <row r="91" spans="1:13" ht="14.4" x14ac:dyDescent="0.55000000000000004">
      <c r="A91" s="1">
        <v>41815</v>
      </c>
      <c r="B91">
        <v>3.57E-4</v>
      </c>
      <c r="C91">
        <v>6.9999999999999999E-4</v>
      </c>
      <c r="D91">
        <v>1.542E-3</v>
      </c>
      <c r="E91">
        <v>4.9969999999999997E-3</v>
      </c>
      <c r="F91">
        <v>9.757E-3</v>
      </c>
      <c r="G91">
        <v>1.7288000000000001E-2</v>
      </c>
      <c r="H91">
        <v>2.2835000000000001E-2</v>
      </c>
      <c r="I91">
        <v>2.7751000000000001E-2</v>
      </c>
      <c r="J91">
        <v>3.2518999999999999E-2</v>
      </c>
      <c r="K91">
        <v>3.4660999999999997E-2</v>
      </c>
      <c r="L91">
        <v>3.5500999999999998E-2</v>
      </c>
      <c r="M91">
        <v>3.5971000000000003E-2</v>
      </c>
    </row>
    <row r="92" spans="1:13" ht="14.4" x14ac:dyDescent="0.55000000000000004">
      <c r="A92" s="1">
        <v>41850</v>
      </c>
      <c r="B92">
        <v>3.2000000000000003E-4</v>
      </c>
      <c r="C92">
        <v>7.0600000000000003E-4</v>
      </c>
      <c r="D92">
        <v>1.658E-3</v>
      </c>
      <c r="E92">
        <v>5.9550000000000002E-3</v>
      </c>
      <c r="F92">
        <v>1.1039E-2</v>
      </c>
      <c r="G92">
        <v>1.8540000000000001E-2</v>
      </c>
      <c r="H92">
        <v>2.3281E-2</v>
      </c>
      <c r="I92">
        <v>2.7726000000000001E-2</v>
      </c>
      <c r="J92">
        <v>3.1994000000000002E-2</v>
      </c>
      <c r="K92">
        <v>3.3760999999999999E-2</v>
      </c>
      <c r="L92">
        <v>3.4535000000000003E-2</v>
      </c>
      <c r="M92">
        <v>3.5032000000000001E-2</v>
      </c>
    </row>
    <row r="93" spans="1:13" ht="14.4" x14ac:dyDescent="0.55000000000000004">
      <c r="A93" s="1">
        <v>41878</v>
      </c>
      <c r="B93">
        <v>3.4299999999999999E-4</v>
      </c>
      <c r="C93">
        <v>7.2800000000000002E-4</v>
      </c>
      <c r="D93">
        <v>1.6609999999999999E-3</v>
      </c>
      <c r="E93">
        <v>5.7980000000000002E-3</v>
      </c>
      <c r="F93">
        <v>1.0548999999999999E-2</v>
      </c>
      <c r="G93">
        <v>1.7429E-2</v>
      </c>
      <c r="H93">
        <v>2.1520000000000001E-2</v>
      </c>
      <c r="I93">
        <v>2.5617000000000001E-2</v>
      </c>
      <c r="J93">
        <v>2.9645000000000001E-2</v>
      </c>
      <c r="K93">
        <v>3.1489000000000003E-2</v>
      </c>
      <c r="L93">
        <v>3.2424000000000001E-2</v>
      </c>
      <c r="M93">
        <v>3.2961999999999998E-2</v>
      </c>
    </row>
    <row r="94" spans="1:13" ht="14.4" x14ac:dyDescent="0.55000000000000004">
      <c r="A94" s="1">
        <v>41906</v>
      </c>
      <c r="B94">
        <v>1.5100000000000001E-4</v>
      </c>
      <c r="C94">
        <v>5.8900000000000001E-4</v>
      </c>
      <c r="D94">
        <v>1.6479999999999999E-3</v>
      </c>
      <c r="E94">
        <v>6.3889999999999997E-3</v>
      </c>
      <c r="F94">
        <v>1.1698999999999999E-2</v>
      </c>
      <c r="G94">
        <v>1.9140999999999998E-2</v>
      </c>
      <c r="H94">
        <v>2.3650000000000001E-2</v>
      </c>
      <c r="I94">
        <v>2.7782999999999999E-2</v>
      </c>
      <c r="J94">
        <v>3.1717000000000002E-2</v>
      </c>
      <c r="K94">
        <v>3.3300999999999997E-2</v>
      </c>
      <c r="L94">
        <v>3.4091999999999997E-2</v>
      </c>
      <c r="M94">
        <v>3.4643E-2</v>
      </c>
    </row>
    <row r="95" spans="1:13" ht="14.4" x14ac:dyDescent="0.55000000000000004">
      <c r="A95" s="1">
        <v>41941</v>
      </c>
      <c r="B95">
        <v>3.68E-4</v>
      </c>
      <c r="C95">
        <v>7.1000000000000002E-4</v>
      </c>
      <c r="D95">
        <v>1.554E-3</v>
      </c>
      <c r="E95">
        <v>5.5999999999999999E-3</v>
      </c>
      <c r="F95">
        <v>1.0204E-2</v>
      </c>
      <c r="G95">
        <v>1.7051E-2</v>
      </c>
      <c r="H95">
        <v>2.1389999999999999E-2</v>
      </c>
      <c r="I95">
        <v>2.5568E-2</v>
      </c>
      <c r="J95">
        <v>2.9281999999999999E-2</v>
      </c>
      <c r="K95">
        <v>3.0717000000000001E-2</v>
      </c>
      <c r="L95">
        <v>3.1815999999999997E-2</v>
      </c>
      <c r="M95">
        <v>3.2446999999999997E-2</v>
      </c>
    </row>
    <row r="96" spans="1:13" ht="14.4" x14ac:dyDescent="0.55000000000000004">
      <c r="A96" s="1">
        <v>41969</v>
      </c>
      <c r="B96">
        <v>5.1699999999999999E-4</v>
      </c>
      <c r="C96">
        <v>8.7299999999999997E-4</v>
      </c>
      <c r="D96">
        <v>1.7420000000000001E-3</v>
      </c>
      <c r="E96">
        <v>5.7320000000000001E-3</v>
      </c>
      <c r="F96">
        <v>1.013E-2</v>
      </c>
      <c r="G96">
        <v>1.6553999999999999E-2</v>
      </c>
      <c r="H96">
        <v>2.0716999999999999E-2</v>
      </c>
      <c r="I96">
        <v>2.4676E-2</v>
      </c>
      <c r="J96">
        <v>2.8198999999999998E-2</v>
      </c>
      <c r="K96">
        <v>2.9579000000000001E-2</v>
      </c>
      <c r="L96">
        <v>3.0811999999999999E-2</v>
      </c>
      <c r="M96">
        <v>3.1378000000000003E-2</v>
      </c>
    </row>
    <row r="97" spans="1:13" ht="14.4" x14ac:dyDescent="0.55000000000000004">
      <c r="A97" s="1">
        <v>42004</v>
      </c>
      <c r="B97">
        <v>9.8900000000000008E-4</v>
      </c>
      <c r="C97">
        <v>1.4499999999999999E-3</v>
      </c>
      <c r="D97">
        <v>2.532E-3</v>
      </c>
      <c r="E97">
        <v>7.43E-3</v>
      </c>
      <c r="F97">
        <v>1.1856E-2</v>
      </c>
      <c r="G97">
        <v>1.7323000000000002E-2</v>
      </c>
      <c r="H97">
        <v>2.0660999999999999E-2</v>
      </c>
      <c r="I97">
        <v>2.3726000000000001E-2</v>
      </c>
      <c r="J97">
        <v>2.6384000000000001E-2</v>
      </c>
      <c r="K97">
        <v>2.7369999999999998E-2</v>
      </c>
      <c r="L97">
        <v>2.8253E-2</v>
      </c>
      <c r="M97">
        <v>2.8896000000000002E-2</v>
      </c>
    </row>
    <row r="98" spans="1:13" ht="14.4" x14ac:dyDescent="0.55000000000000004">
      <c r="A98" s="1">
        <v>42032</v>
      </c>
      <c r="B98">
        <v>5.1099999999999995E-4</v>
      </c>
      <c r="C98">
        <v>8.9700000000000001E-4</v>
      </c>
      <c r="D98">
        <v>1.7899999999999999E-3</v>
      </c>
      <c r="E98">
        <v>5.4070000000000003E-3</v>
      </c>
      <c r="F98">
        <v>8.7620000000000007E-3</v>
      </c>
      <c r="G98">
        <v>1.3304E-2</v>
      </c>
      <c r="H98">
        <v>1.6258999999999999E-2</v>
      </c>
      <c r="I98">
        <v>1.9323E-2</v>
      </c>
      <c r="J98">
        <v>2.2369E-2</v>
      </c>
      <c r="K98">
        <v>2.3089999999999999E-2</v>
      </c>
      <c r="L98">
        <v>2.3904999999999999E-2</v>
      </c>
      <c r="M98">
        <v>2.4351000000000001E-2</v>
      </c>
    </row>
    <row r="99" spans="1:13" ht="14.4" x14ac:dyDescent="0.55000000000000004">
      <c r="A99" s="1">
        <v>42060</v>
      </c>
      <c r="B99">
        <v>5.3700000000000004E-4</v>
      </c>
      <c r="C99">
        <v>1.036E-3</v>
      </c>
      <c r="D99">
        <v>2.1640000000000001E-3</v>
      </c>
      <c r="E99">
        <v>6.496E-3</v>
      </c>
      <c r="F99">
        <v>1.0335E-2</v>
      </c>
      <c r="G99">
        <v>1.5365E-2</v>
      </c>
      <c r="H99">
        <v>1.8599999999999998E-2</v>
      </c>
      <c r="I99">
        <v>2.1703E-2</v>
      </c>
      <c r="J99">
        <v>2.4957E-2</v>
      </c>
      <c r="K99">
        <v>2.6183999999999999E-2</v>
      </c>
      <c r="L99">
        <v>2.6675000000000001E-2</v>
      </c>
      <c r="M99">
        <v>2.6875E-2</v>
      </c>
    </row>
    <row r="100" spans="1:13" ht="14.4" x14ac:dyDescent="0.55000000000000004">
      <c r="A100" s="1">
        <v>42088</v>
      </c>
      <c r="B100">
        <v>1.09E-3</v>
      </c>
      <c r="C100">
        <v>1.5250000000000001E-3</v>
      </c>
      <c r="D100">
        <v>2.5200000000000001E-3</v>
      </c>
      <c r="E100">
        <v>6.4660000000000004E-3</v>
      </c>
      <c r="F100">
        <v>1.0007E-2</v>
      </c>
      <c r="G100">
        <v>1.4869E-2</v>
      </c>
      <c r="H100">
        <v>1.8079000000000001E-2</v>
      </c>
      <c r="I100">
        <v>2.1128999999999998E-2</v>
      </c>
      <c r="J100">
        <v>2.4086E-2</v>
      </c>
      <c r="K100">
        <v>2.5387E-2</v>
      </c>
      <c r="L100">
        <v>2.6133E-2</v>
      </c>
      <c r="M100">
        <v>2.6336999999999999E-2</v>
      </c>
    </row>
    <row r="101" spans="1:13" ht="14.4" x14ac:dyDescent="0.55000000000000004">
      <c r="A101" s="1">
        <v>42123</v>
      </c>
      <c r="B101">
        <v>8.7600000000000004E-4</v>
      </c>
      <c r="C101">
        <v>1.323E-3</v>
      </c>
      <c r="D101">
        <v>2.3410000000000002E-3</v>
      </c>
      <c r="E101">
        <v>6.1570000000000001E-3</v>
      </c>
      <c r="F101">
        <v>9.8049999999999995E-3</v>
      </c>
      <c r="G101">
        <v>1.5214E-2</v>
      </c>
      <c r="H101">
        <v>1.8976E-2</v>
      </c>
      <c r="I101">
        <v>2.2529E-2</v>
      </c>
      <c r="J101">
        <v>2.6107000000000002E-2</v>
      </c>
      <c r="K101">
        <v>2.7951E-2</v>
      </c>
      <c r="L101">
        <v>2.9007000000000002E-2</v>
      </c>
      <c r="M101">
        <v>2.9128000000000001E-2</v>
      </c>
    </row>
    <row r="102" spans="1:13" ht="14.4" x14ac:dyDescent="0.55000000000000004">
      <c r="A102" s="1">
        <v>42151</v>
      </c>
      <c r="B102">
        <v>8.8699999999999998E-4</v>
      </c>
      <c r="C102">
        <v>1.4120000000000001E-3</v>
      </c>
      <c r="D102">
        <v>2.5860000000000002E-3</v>
      </c>
      <c r="E102">
        <v>6.9030000000000003E-3</v>
      </c>
      <c r="F102">
        <v>1.0777E-2</v>
      </c>
      <c r="G102">
        <v>1.6232E-2</v>
      </c>
      <c r="H102">
        <v>1.9935999999999999E-2</v>
      </c>
      <c r="I102">
        <v>2.3414000000000001E-2</v>
      </c>
      <c r="J102">
        <v>2.7210000000000002E-2</v>
      </c>
      <c r="K102">
        <v>2.9509000000000001E-2</v>
      </c>
      <c r="L102">
        <v>3.0509999999999999E-2</v>
      </c>
      <c r="M102">
        <v>3.0463E-2</v>
      </c>
    </row>
    <row r="103" spans="1:13" ht="14.4" x14ac:dyDescent="0.55000000000000004">
      <c r="A103" s="1">
        <v>42179</v>
      </c>
      <c r="B103">
        <v>1.1069999999999999E-3</v>
      </c>
      <c r="C103">
        <v>1.6559999999999999E-3</v>
      </c>
      <c r="D103">
        <v>2.8909999999999999E-3</v>
      </c>
      <c r="E103">
        <v>7.3839999999999999E-3</v>
      </c>
      <c r="F103">
        <v>1.1604E-2</v>
      </c>
      <c r="G103">
        <v>1.7838E-2</v>
      </c>
      <c r="H103">
        <v>2.2159999999999999E-2</v>
      </c>
      <c r="I103">
        <v>2.5846999999999998E-2</v>
      </c>
      <c r="J103">
        <v>2.9479999999999999E-2</v>
      </c>
      <c r="K103">
        <v>3.2113000000000003E-2</v>
      </c>
      <c r="L103">
        <v>3.3531999999999999E-2</v>
      </c>
      <c r="M103">
        <v>3.3582000000000001E-2</v>
      </c>
    </row>
    <row r="104" spans="1:13" ht="14.4" x14ac:dyDescent="0.55000000000000004">
      <c r="A104" s="1">
        <v>42214</v>
      </c>
      <c r="B104">
        <v>1.516E-3</v>
      </c>
      <c r="C104">
        <v>2.0309999999999998E-3</v>
      </c>
      <c r="D104">
        <v>3.2390000000000001E-3</v>
      </c>
      <c r="E104">
        <v>7.5830000000000003E-3</v>
      </c>
      <c r="F104">
        <v>1.1475000000000001E-2</v>
      </c>
      <c r="G104">
        <v>1.7305999999999998E-2</v>
      </c>
      <c r="H104">
        <v>2.1298999999999998E-2</v>
      </c>
      <c r="I104">
        <v>2.4747999999999999E-2</v>
      </c>
      <c r="J104">
        <v>2.7872000000000001E-2</v>
      </c>
      <c r="K104">
        <v>3.0054000000000001E-2</v>
      </c>
      <c r="L104">
        <v>3.1462999999999998E-2</v>
      </c>
      <c r="M104">
        <v>3.1885999999999998E-2</v>
      </c>
    </row>
    <row r="105" spans="1:13" ht="14.4" x14ac:dyDescent="0.55000000000000004">
      <c r="A105" s="1">
        <v>42242</v>
      </c>
      <c r="B105">
        <v>2.016E-3</v>
      </c>
      <c r="C105">
        <v>2.5149999999999999E-3</v>
      </c>
      <c r="D105">
        <v>3.6210000000000001E-3</v>
      </c>
      <c r="E105">
        <v>7.3249999999999999E-3</v>
      </c>
      <c r="F105">
        <v>1.0819E-2</v>
      </c>
      <c r="G105">
        <v>1.6275000000000001E-2</v>
      </c>
      <c r="H105">
        <v>2.0320000000000001E-2</v>
      </c>
      <c r="I105">
        <v>2.4143999999999999E-2</v>
      </c>
      <c r="J105">
        <v>2.7765999999999999E-2</v>
      </c>
      <c r="K105">
        <v>2.9555000000000001E-2</v>
      </c>
      <c r="L105">
        <v>3.0852999999999998E-2</v>
      </c>
      <c r="M105">
        <v>3.1220000000000001E-2</v>
      </c>
    </row>
    <row r="106" spans="1:13" ht="14.4" x14ac:dyDescent="0.55000000000000004">
      <c r="A106" s="1">
        <v>42277</v>
      </c>
      <c r="B106">
        <v>1.4610000000000001E-3</v>
      </c>
      <c r="C106">
        <v>2.065E-3</v>
      </c>
      <c r="D106">
        <v>3.3289999999999999E-3</v>
      </c>
      <c r="E106">
        <v>6.77E-3</v>
      </c>
      <c r="F106">
        <v>9.8980000000000005E-3</v>
      </c>
      <c r="G106">
        <v>1.4942E-2</v>
      </c>
      <c r="H106">
        <v>1.8838000000000001E-2</v>
      </c>
      <c r="I106">
        <v>2.2595000000000001E-2</v>
      </c>
      <c r="J106">
        <v>2.6266000000000001E-2</v>
      </c>
      <c r="K106">
        <v>2.8500000000000001E-2</v>
      </c>
      <c r="L106">
        <v>3.0293E-2</v>
      </c>
      <c r="M106">
        <v>3.0823E-2</v>
      </c>
    </row>
    <row r="107" spans="1:13" ht="14.4" x14ac:dyDescent="0.55000000000000004">
      <c r="A107" s="1">
        <v>42305</v>
      </c>
      <c r="B107">
        <v>2.3549999999999999E-3</v>
      </c>
      <c r="C107">
        <v>2.9239999999999999E-3</v>
      </c>
      <c r="D107">
        <v>4.1380000000000002E-3</v>
      </c>
      <c r="E107">
        <v>7.6490000000000004E-3</v>
      </c>
      <c r="F107">
        <v>1.0817E-2</v>
      </c>
      <c r="G107">
        <v>1.585E-2</v>
      </c>
      <c r="H107">
        <v>1.9578999999999999E-2</v>
      </c>
      <c r="I107">
        <v>2.3091E-2</v>
      </c>
      <c r="J107">
        <v>2.6508E-2</v>
      </c>
      <c r="K107">
        <v>2.8330000000000001E-2</v>
      </c>
      <c r="L107">
        <v>2.9957000000000001E-2</v>
      </c>
      <c r="M107">
        <v>3.0731999999999999E-2</v>
      </c>
    </row>
    <row r="108" spans="1:13" ht="14.4" x14ac:dyDescent="0.55000000000000004">
      <c r="A108" s="1">
        <v>42333</v>
      </c>
      <c r="B108">
        <v>4.0369999999999998E-3</v>
      </c>
      <c r="C108">
        <v>4.6709999999999998E-3</v>
      </c>
      <c r="D108">
        <v>6.0179999999999999E-3</v>
      </c>
      <c r="E108">
        <v>9.8989999999999998E-3</v>
      </c>
      <c r="F108">
        <v>1.3211000000000001E-2</v>
      </c>
      <c r="G108">
        <v>1.7887E-2</v>
      </c>
      <c r="H108">
        <v>2.1260000000000001E-2</v>
      </c>
      <c r="I108">
        <v>2.4566999999999999E-2</v>
      </c>
      <c r="J108">
        <v>2.7935999999999999E-2</v>
      </c>
      <c r="K108">
        <v>2.9853999999999999E-2</v>
      </c>
      <c r="L108">
        <v>3.1315000000000003E-2</v>
      </c>
      <c r="M108">
        <v>3.1986000000000001E-2</v>
      </c>
    </row>
    <row r="109" spans="1:13" ht="14.4" x14ac:dyDescent="0.55000000000000004">
      <c r="A109" s="1">
        <v>42368</v>
      </c>
      <c r="B109">
        <v>5.019E-3</v>
      </c>
      <c r="C109">
        <v>5.751E-3</v>
      </c>
      <c r="D109">
        <v>7.2659999999999999E-3</v>
      </c>
      <c r="E109">
        <v>1.136E-2</v>
      </c>
      <c r="F109">
        <v>1.4718999999999999E-2</v>
      </c>
      <c r="G109">
        <v>1.9354E-2</v>
      </c>
      <c r="H109">
        <v>2.2558999999999999E-2</v>
      </c>
      <c r="I109">
        <v>2.5502E-2</v>
      </c>
      <c r="J109">
        <v>2.8618000000000001E-2</v>
      </c>
      <c r="K109">
        <v>3.0505000000000001E-2</v>
      </c>
      <c r="L109">
        <v>3.1743E-2</v>
      </c>
      <c r="M109">
        <v>3.2336999999999998E-2</v>
      </c>
    </row>
    <row r="110" spans="1:13" ht="14.4" x14ac:dyDescent="0.55000000000000004">
      <c r="A110" s="1">
        <v>42396</v>
      </c>
      <c r="B110">
        <v>4.9880000000000002E-3</v>
      </c>
      <c r="C110">
        <v>5.4549999999999998E-3</v>
      </c>
      <c r="D110">
        <v>6.5110000000000003E-3</v>
      </c>
      <c r="E110">
        <v>9.018E-3</v>
      </c>
      <c r="F110">
        <v>1.1481E-2</v>
      </c>
      <c r="G110">
        <v>1.5499000000000001E-2</v>
      </c>
      <c r="H110">
        <v>1.8828000000000001E-2</v>
      </c>
      <c r="I110">
        <v>2.2266999999999999E-2</v>
      </c>
      <c r="J110">
        <v>2.5572000000000001E-2</v>
      </c>
      <c r="K110">
        <v>2.7601000000000001E-2</v>
      </c>
      <c r="L110">
        <v>2.912E-2</v>
      </c>
      <c r="M110">
        <v>2.9863000000000001E-2</v>
      </c>
    </row>
    <row r="111" spans="1:13" ht="14.4" x14ac:dyDescent="0.55000000000000004">
      <c r="A111" s="1">
        <v>42424</v>
      </c>
      <c r="B111">
        <v>4.7299999999999998E-3</v>
      </c>
      <c r="C111">
        <v>5.1960000000000001E-3</v>
      </c>
      <c r="D111">
        <v>6.1349999999999998E-3</v>
      </c>
      <c r="E111">
        <v>7.8840000000000004E-3</v>
      </c>
      <c r="F111">
        <v>9.776E-3</v>
      </c>
      <c r="G111">
        <v>1.3357000000000001E-2</v>
      </c>
      <c r="H111">
        <v>1.6417000000000001E-2</v>
      </c>
      <c r="I111">
        <v>1.9755999999999999E-2</v>
      </c>
      <c r="J111">
        <v>2.3022999999999998E-2</v>
      </c>
      <c r="K111">
        <v>2.4922E-2</v>
      </c>
      <c r="L111">
        <v>2.6863999999999999E-2</v>
      </c>
      <c r="M111">
        <v>2.7993000000000001E-2</v>
      </c>
    </row>
    <row r="112" spans="1:13" ht="14.4" x14ac:dyDescent="0.55000000000000004">
      <c r="A112" s="1">
        <v>42459</v>
      </c>
      <c r="B112">
        <v>4.0340000000000003E-3</v>
      </c>
      <c r="C112">
        <v>4.5710000000000004E-3</v>
      </c>
      <c r="D112">
        <v>5.6519999999999999E-3</v>
      </c>
      <c r="E112">
        <v>7.9760000000000005E-3</v>
      </c>
      <c r="F112">
        <v>1.0144E-2</v>
      </c>
      <c r="G112">
        <v>1.3972999999999999E-2</v>
      </c>
      <c r="H112">
        <v>1.7167000000000002E-2</v>
      </c>
      <c r="I112">
        <v>2.0382000000000001E-2</v>
      </c>
      <c r="J112">
        <v>2.3578000000000002E-2</v>
      </c>
      <c r="K112">
        <v>2.5908E-2</v>
      </c>
      <c r="L112">
        <v>2.7725E-2</v>
      </c>
      <c r="M112">
        <v>2.8330000000000001E-2</v>
      </c>
    </row>
    <row r="113" spans="1:13" ht="14.4" x14ac:dyDescent="0.55000000000000004">
      <c r="A113" s="1">
        <v>42487</v>
      </c>
      <c r="B113">
        <v>3.9509999999999997E-3</v>
      </c>
      <c r="C113">
        <v>4.5370000000000002E-3</v>
      </c>
      <c r="D113">
        <v>5.7219999999999997E-3</v>
      </c>
      <c r="E113">
        <v>8.3940000000000004E-3</v>
      </c>
      <c r="F113">
        <v>1.0630000000000001E-2</v>
      </c>
      <c r="G113">
        <v>1.4319999999999999E-2</v>
      </c>
      <c r="H113">
        <v>1.7353E-2</v>
      </c>
      <c r="I113">
        <v>2.0524000000000001E-2</v>
      </c>
      <c r="J113">
        <v>2.3945000000000001E-2</v>
      </c>
      <c r="K113">
        <v>2.6384999999999999E-2</v>
      </c>
      <c r="L113">
        <v>2.8322E-2</v>
      </c>
      <c r="M113">
        <v>2.8975999999999998E-2</v>
      </c>
    </row>
    <row r="114" spans="1:13" ht="14.4" x14ac:dyDescent="0.55000000000000004">
      <c r="A114" s="1">
        <v>42515</v>
      </c>
      <c r="B114">
        <v>5.4790000000000004E-3</v>
      </c>
      <c r="C114">
        <v>5.7879999999999997E-3</v>
      </c>
      <c r="D114">
        <v>6.8310000000000003E-3</v>
      </c>
      <c r="E114">
        <v>9.4820000000000008E-3</v>
      </c>
      <c r="F114">
        <v>1.1677E-2</v>
      </c>
      <c r="G114">
        <v>1.4963000000000001E-2</v>
      </c>
      <c r="H114">
        <v>1.7690999999999998E-2</v>
      </c>
      <c r="I114">
        <v>2.0559000000000001E-2</v>
      </c>
      <c r="J114">
        <v>2.3639E-2</v>
      </c>
      <c r="K114">
        <v>2.5829000000000001E-2</v>
      </c>
      <c r="L114">
        <v>2.7734000000000002E-2</v>
      </c>
      <c r="M114">
        <v>2.8511999999999999E-2</v>
      </c>
    </row>
    <row r="115" spans="1:13" ht="14.4" x14ac:dyDescent="0.55000000000000004">
      <c r="A115" s="1">
        <v>42550</v>
      </c>
      <c r="B115">
        <v>4.2509999999999996E-3</v>
      </c>
      <c r="C115">
        <v>4.5040000000000002E-3</v>
      </c>
      <c r="D115">
        <v>5.2259999999999997E-3</v>
      </c>
      <c r="E115">
        <v>6.7330000000000003E-3</v>
      </c>
      <c r="F115">
        <v>8.2520000000000007E-3</v>
      </c>
      <c r="G115">
        <v>1.1143E-2</v>
      </c>
      <c r="H115">
        <v>1.3785E-2</v>
      </c>
      <c r="I115">
        <v>1.6674000000000001E-2</v>
      </c>
      <c r="J115">
        <v>1.9639E-2</v>
      </c>
      <c r="K115">
        <v>2.1863E-2</v>
      </c>
      <c r="L115">
        <v>2.3959999999999999E-2</v>
      </c>
      <c r="M115">
        <v>2.494E-2</v>
      </c>
    </row>
    <row r="116" spans="1:13" ht="14.4" x14ac:dyDescent="0.55000000000000004">
      <c r="A116" s="1">
        <v>42578</v>
      </c>
      <c r="B116">
        <v>4.6829999999999997E-3</v>
      </c>
      <c r="C116">
        <v>5.0280000000000004E-3</v>
      </c>
      <c r="D116">
        <v>5.8240000000000002E-3</v>
      </c>
      <c r="E116">
        <v>7.6229999999999996E-3</v>
      </c>
      <c r="F116">
        <v>9.1640000000000003E-3</v>
      </c>
      <c r="G116">
        <v>1.175E-2</v>
      </c>
      <c r="H116">
        <v>1.4160000000000001E-2</v>
      </c>
      <c r="I116">
        <v>1.6753000000000001E-2</v>
      </c>
      <c r="J116">
        <v>1.9365E-2</v>
      </c>
      <c r="K116">
        <v>2.1284000000000001E-2</v>
      </c>
      <c r="L116">
        <v>2.2919999999999999E-2</v>
      </c>
      <c r="M116">
        <v>2.3802E-2</v>
      </c>
    </row>
    <row r="117" spans="1:13" ht="14.4" x14ac:dyDescent="0.55000000000000004">
      <c r="A117" s="1">
        <v>42613</v>
      </c>
      <c r="B117">
        <v>5.0939999999999996E-3</v>
      </c>
      <c r="C117">
        <v>5.5789999999999998E-3</v>
      </c>
      <c r="D117">
        <v>6.5449999999999996E-3</v>
      </c>
      <c r="E117">
        <v>8.5190000000000005E-3</v>
      </c>
      <c r="F117">
        <v>1.0166E-2</v>
      </c>
      <c r="G117">
        <v>1.2867999999999999E-2</v>
      </c>
      <c r="H117">
        <v>1.5117999999999999E-2</v>
      </c>
      <c r="I117">
        <v>1.7502E-2</v>
      </c>
      <c r="J117">
        <v>2.0183E-2</v>
      </c>
      <c r="K117">
        <v>2.2116E-2</v>
      </c>
      <c r="L117">
        <v>2.3297999999999999E-2</v>
      </c>
      <c r="M117">
        <v>2.3654000000000001E-2</v>
      </c>
    </row>
    <row r="118" spans="1:13" ht="14.4" x14ac:dyDescent="0.55000000000000004">
      <c r="A118" s="1">
        <v>42641</v>
      </c>
      <c r="B118">
        <v>4.6849999999999999E-3</v>
      </c>
      <c r="C118">
        <v>5.195E-3</v>
      </c>
      <c r="D118">
        <v>6.1830000000000001E-3</v>
      </c>
      <c r="E118">
        <v>8.0839999999999992E-3</v>
      </c>
      <c r="F118">
        <v>9.6989999999999993E-3</v>
      </c>
      <c r="G118">
        <v>1.226E-2</v>
      </c>
      <c r="H118">
        <v>1.4687E-2</v>
      </c>
      <c r="I118">
        <v>1.7423999999999999E-2</v>
      </c>
      <c r="J118">
        <v>2.0388E-2</v>
      </c>
      <c r="K118">
        <v>2.2588E-2</v>
      </c>
      <c r="L118">
        <v>2.3979E-2</v>
      </c>
      <c r="M118">
        <v>2.4223999999999999E-2</v>
      </c>
    </row>
    <row r="119" spans="1:13" ht="14.4" x14ac:dyDescent="0.55000000000000004">
      <c r="A119" s="1">
        <v>42669</v>
      </c>
      <c r="B119">
        <v>5.4770000000000001E-3</v>
      </c>
      <c r="C119">
        <v>6.0239999999999998E-3</v>
      </c>
      <c r="D119">
        <v>7.1089999999999999E-3</v>
      </c>
      <c r="E119">
        <v>9.3159999999999996E-3</v>
      </c>
      <c r="F119">
        <v>1.1122999999999999E-2</v>
      </c>
      <c r="G119">
        <v>1.4069E-2</v>
      </c>
      <c r="H119">
        <v>1.6657000000000002E-2</v>
      </c>
      <c r="I119">
        <v>1.9599999999999999E-2</v>
      </c>
      <c r="J119">
        <v>2.2719E-2</v>
      </c>
      <c r="K119">
        <v>2.5026E-2</v>
      </c>
      <c r="L119">
        <v>2.6584E-2</v>
      </c>
      <c r="M119">
        <v>2.6741000000000001E-2</v>
      </c>
    </row>
    <row r="120" spans="1:13" ht="14.4" x14ac:dyDescent="0.55000000000000004">
      <c r="A120" s="1">
        <v>42704</v>
      </c>
      <c r="B120">
        <v>6.4159999999999998E-3</v>
      </c>
      <c r="C120">
        <v>7.1700000000000002E-3</v>
      </c>
      <c r="D120">
        <v>8.6870000000000003E-3</v>
      </c>
      <c r="E120">
        <v>1.2125E-2</v>
      </c>
      <c r="F120">
        <v>1.5225000000000001E-2</v>
      </c>
      <c r="G120">
        <v>1.9851000000000001E-2</v>
      </c>
      <c r="H120">
        <v>2.3098E-2</v>
      </c>
      <c r="I120">
        <v>2.6152999999999999E-2</v>
      </c>
      <c r="J120">
        <v>2.8908E-2</v>
      </c>
      <c r="K120">
        <v>3.0672999999999999E-2</v>
      </c>
      <c r="L120">
        <v>3.2038999999999998E-2</v>
      </c>
      <c r="M120">
        <v>3.1824999999999999E-2</v>
      </c>
    </row>
    <row r="121" spans="1:13" ht="14.4" x14ac:dyDescent="0.55000000000000004">
      <c r="A121" s="1">
        <v>42732</v>
      </c>
      <c r="B121">
        <v>6.7359999999999998E-3</v>
      </c>
      <c r="C121">
        <v>7.5009999999999999E-3</v>
      </c>
      <c r="D121">
        <v>9.0860000000000003E-3</v>
      </c>
      <c r="E121">
        <v>1.3259999999999999E-2</v>
      </c>
      <c r="F121">
        <v>1.6705000000000001E-2</v>
      </c>
      <c r="G121">
        <v>2.1415E-2</v>
      </c>
      <c r="H121">
        <v>2.4510000000000001E-2</v>
      </c>
      <c r="I121">
        <v>2.7376000000000001E-2</v>
      </c>
      <c r="J121">
        <v>2.9794000000000001E-2</v>
      </c>
      <c r="K121">
        <v>3.1338999999999999E-2</v>
      </c>
      <c r="L121">
        <v>3.2659000000000001E-2</v>
      </c>
      <c r="M121">
        <v>3.2296999999999999E-2</v>
      </c>
    </row>
    <row r="122" spans="1:13" ht="14.4" x14ac:dyDescent="0.55000000000000004">
      <c r="A122" s="1">
        <v>42760</v>
      </c>
      <c r="B122">
        <v>6.6899999999999998E-3</v>
      </c>
      <c r="C122">
        <v>7.4029999999999999E-3</v>
      </c>
      <c r="D122">
        <v>9.0189999999999992E-3</v>
      </c>
      <c r="E122">
        <v>1.299E-2</v>
      </c>
      <c r="F122">
        <v>1.6326E-2</v>
      </c>
      <c r="G122">
        <v>2.1061E-2</v>
      </c>
      <c r="H122">
        <v>2.4354000000000001E-2</v>
      </c>
      <c r="I122">
        <v>2.7344E-2</v>
      </c>
      <c r="J122">
        <v>2.9814E-2</v>
      </c>
      <c r="K122">
        <v>3.1477999999999999E-2</v>
      </c>
      <c r="L122">
        <v>3.2589E-2</v>
      </c>
      <c r="M122">
        <v>3.2343999999999998E-2</v>
      </c>
    </row>
    <row r="123" spans="1:13" ht="14.4" x14ac:dyDescent="0.55000000000000004">
      <c r="A123" s="1">
        <v>42788</v>
      </c>
      <c r="B123">
        <v>6.9690000000000004E-3</v>
      </c>
      <c r="C123">
        <v>7.7029999999999998E-3</v>
      </c>
      <c r="D123">
        <v>9.2099999999999994E-3</v>
      </c>
      <c r="E123">
        <v>1.2902E-2</v>
      </c>
      <c r="F123">
        <v>1.5928999999999999E-2</v>
      </c>
      <c r="G123">
        <v>2.0242E-2</v>
      </c>
      <c r="H123">
        <v>2.3328000000000002E-2</v>
      </c>
      <c r="I123">
        <v>2.6231999999999998E-2</v>
      </c>
      <c r="J123">
        <v>2.8842E-2</v>
      </c>
      <c r="K123">
        <v>3.0716E-2</v>
      </c>
      <c r="L123">
        <v>3.2021000000000001E-2</v>
      </c>
      <c r="M123">
        <v>3.1641000000000002E-2</v>
      </c>
    </row>
    <row r="124" spans="1:13" ht="14.4" x14ac:dyDescent="0.55000000000000004">
      <c r="A124" s="1">
        <v>42823</v>
      </c>
      <c r="B124">
        <v>8.6060000000000008E-3</v>
      </c>
      <c r="C124">
        <v>9.2130000000000007E-3</v>
      </c>
      <c r="D124">
        <v>1.0468E-2</v>
      </c>
      <c r="E124">
        <v>1.3729999999999999E-2</v>
      </c>
      <c r="F124">
        <v>1.6517E-2</v>
      </c>
      <c r="G124">
        <v>2.0381E-2</v>
      </c>
      <c r="H124">
        <v>2.3151999999999999E-2</v>
      </c>
      <c r="I124">
        <v>2.5798000000000001E-2</v>
      </c>
      <c r="J124">
        <v>2.8393000000000002E-2</v>
      </c>
      <c r="K124">
        <v>3.0204999999999999E-2</v>
      </c>
      <c r="L124">
        <v>3.1476999999999998E-2</v>
      </c>
      <c r="M124">
        <v>3.1178000000000001E-2</v>
      </c>
    </row>
    <row r="125" spans="1:13" ht="14.4" x14ac:dyDescent="0.55000000000000004">
      <c r="A125" s="1">
        <v>42851</v>
      </c>
      <c r="B125">
        <v>9.5479999999999992E-3</v>
      </c>
      <c r="C125">
        <v>1.0041E-2</v>
      </c>
      <c r="D125">
        <v>1.1058E-2</v>
      </c>
      <c r="E125">
        <v>1.3703E-2</v>
      </c>
      <c r="F125">
        <v>1.5986E-2</v>
      </c>
      <c r="G125">
        <v>1.9383999999999998E-2</v>
      </c>
      <c r="H125">
        <v>2.2067E-2</v>
      </c>
      <c r="I125">
        <v>2.4749E-2</v>
      </c>
      <c r="J125">
        <v>2.7372E-2</v>
      </c>
      <c r="K125">
        <v>2.9530000000000001E-2</v>
      </c>
      <c r="L125">
        <v>3.1184E-2</v>
      </c>
      <c r="M125">
        <v>3.1142E-2</v>
      </c>
    </row>
    <row r="126" spans="1:13" ht="14.4" x14ac:dyDescent="0.55000000000000004">
      <c r="A126" s="1">
        <v>42886</v>
      </c>
      <c r="B126">
        <v>1.0691000000000001E-2</v>
      </c>
      <c r="C126">
        <v>1.0992999999999999E-2</v>
      </c>
      <c r="D126">
        <v>1.1743999999999999E-2</v>
      </c>
      <c r="E126">
        <v>1.3774E-2</v>
      </c>
      <c r="F126">
        <v>1.5679999999999999E-2</v>
      </c>
      <c r="G126">
        <v>1.8599999999999998E-2</v>
      </c>
      <c r="H126">
        <v>2.1128999999999998E-2</v>
      </c>
      <c r="I126">
        <v>2.3827000000000001E-2</v>
      </c>
      <c r="J126">
        <v>2.6488000000000001E-2</v>
      </c>
      <c r="K126">
        <v>2.8538000000000001E-2</v>
      </c>
      <c r="L126">
        <v>3.0064E-2</v>
      </c>
      <c r="M126">
        <v>3.0088E-2</v>
      </c>
    </row>
    <row r="127" spans="1:13" ht="14.4" x14ac:dyDescent="0.55000000000000004">
      <c r="A127" s="1">
        <v>42914</v>
      </c>
      <c r="B127">
        <v>1.1223E-2</v>
      </c>
      <c r="C127">
        <v>1.1547999999999999E-2</v>
      </c>
      <c r="D127">
        <v>1.2701E-2</v>
      </c>
      <c r="E127">
        <v>1.3932E-2</v>
      </c>
      <c r="F127">
        <v>1.5433000000000001E-2</v>
      </c>
      <c r="G127">
        <v>1.9136E-2</v>
      </c>
      <c r="H127">
        <v>2.1314E-2</v>
      </c>
      <c r="I127">
        <v>2.3734999999999999E-2</v>
      </c>
      <c r="J127">
        <v>2.5996999999999999E-2</v>
      </c>
      <c r="K127">
        <v>2.7643000000000001E-2</v>
      </c>
      <c r="L127">
        <v>2.8926E-2</v>
      </c>
      <c r="M127">
        <v>2.8795999999999999E-2</v>
      </c>
    </row>
    <row r="128" spans="1:13" ht="14.4" x14ac:dyDescent="0.55000000000000004">
      <c r="A128" s="1">
        <v>42942</v>
      </c>
      <c r="B128">
        <v>1.1122999999999999E-2</v>
      </c>
      <c r="C128">
        <v>1.1531E-2</v>
      </c>
      <c r="D128">
        <v>1.2799E-2</v>
      </c>
      <c r="E128">
        <v>1.4086E-2</v>
      </c>
      <c r="F128">
        <v>1.554E-2</v>
      </c>
      <c r="G128">
        <v>1.9347E-2</v>
      </c>
      <c r="H128">
        <v>2.1805999999999999E-2</v>
      </c>
      <c r="I128">
        <v>2.4441000000000001E-2</v>
      </c>
      <c r="J128">
        <v>2.6976E-2</v>
      </c>
      <c r="K128">
        <v>2.8749E-2</v>
      </c>
      <c r="L128">
        <v>3.0204999999999999E-2</v>
      </c>
      <c r="M128">
        <v>3.0138000000000002E-2</v>
      </c>
    </row>
    <row r="129" spans="1:13" ht="14.4" x14ac:dyDescent="0.55000000000000004">
      <c r="A129" s="1">
        <v>42977</v>
      </c>
      <c r="B129">
        <v>1.1072E-2</v>
      </c>
      <c r="C129">
        <v>1.1436E-2</v>
      </c>
      <c r="D129">
        <v>1.2605999999999999E-2</v>
      </c>
      <c r="E129">
        <v>1.3735000000000001E-2</v>
      </c>
      <c r="F129">
        <v>1.4884E-2</v>
      </c>
      <c r="G129">
        <v>1.8234E-2</v>
      </c>
      <c r="H129">
        <v>2.0452000000000001E-2</v>
      </c>
      <c r="I129">
        <v>2.2811000000000001E-2</v>
      </c>
      <c r="J129">
        <v>2.5343999999999998E-2</v>
      </c>
      <c r="K129">
        <v>2.6894000000000001E-2</v>
      </c>
      <c r="L129">
        <v>2.8542000000000001E-2</v>
      </c>
      <c r="M129">
        <v>2.8452999999999999E-2</v>
      </c>
    </row>
    <row r="130" spans="1:13" ht="14.4" x14ac:dyDescent="0.55000000000000004">
      <c r="A130" s="1">
        <v>43005</v>
      </c>
      <c r="B130">
        <v>1.1454000000000001E-2</v>
      </c>
      <c r="C130">
        <v>1.1938000000000001E-2</v>
      </c>
      <c r="D130">
        <v>1.3526E-2</v>
      </c>
      <c r="E130">
        <v>1.5121000000000001E-2</v>
      </c>
      <c r="F130">
        <v>1.6424000000000001E-2</v>
      </c>
      <c r="G130">
        <v>1.9983000000000001E-2</v>
      </c>
      <c r="H130">
        <v>2.2275E-2</v>
      </c>
      <c r="I130">
        <v>2.4309999999999998E-2</v>
      </c>
      <c r="J130">
        <v>2.6745999999999999E-2</v>
      </c>
      <c r="K130">
        <v>2.8324999999999999E-2</v>
      </c>
      <c r="L130">
        <v>2.9617999999999998E-2</v>
      </c>
      <c r="M130">
        <v>2.9496000000000001E-2</v>
      </c>
    </row>
    <row r="131" spans="1:13" ht="14.4" x14ac:dyDescent="0.55000000000000004">
      <c r="A131" s="1">
        <v>43033</v>
      </c>
      <c r="B131">
        <v>1.2707E-2</v>
      </c>
      <c r="C131">
        <v>1.3174999999999999E-2</v>
      </c>
      <c r="D131">
        <v>1.4678999999999999E-2</v>
      </c>
      <c r="E131">
        <v>1.6302000000000001E-2</v>
      </c>
      <c r="F131">
        <v>1.7528999999999999E-2</v>
      </c>
      <c r="G131">
        <v>2.1378000000000001E-2</v>
      </c>
      <c r="H131">
        <v>2.3716000000000001E-2</v>
      </c>
      <c r="I131">
        <v>2.5495E-2</v>
      </c>
      <c r="J131">
        <v>2.7931000000000001E-2</v>
      </c>
      <c r="K131">
        <v>2.9420999999999999E-2</v>
      </c>
      <c r="L131">
        <v>3.0522000000000001E-2</v>
      </c>
      <c r="M131">
        <v>3.0346000000000001E-2</v>
      </c>
    </row>
    <row r="132" spans="1:13" ht="14.4" x14ac:dyDescent="0.55000000000000004">
      <c r="A132" s="1">
        <v>43068</v>
      </c>
      <c r="B132">
        <v>1.455E-2</v>
      </c>
      <c r="C132">
        <v>1.4968E-2</v>
      </c>
      <c r="D132">
        <v>1.6412E-2</v>
      </c>
      <c r="E132">
        <v>1.7634E-2</v>
      </c>
      <c r="F132">
        <v>1.8754E-2</v>
      </c>
      <c r="G132">
        <v>2.1777999999999999E-2</v>
      </c>
      <c r="H132">
        <v>2.3522000000000001E-2</v>
      </c>
      <c r="I132">
        <v>2.5170999999999999E-2</v>
      </c>
      <c r="J132">
        <v>2.6991999999999999E-2</v>
      </c>
      <c r="K132">
        <v>2.8083E-2</v>
      </c>
      <c r="L132">
        <v>2.9165E-2</v>
      </c>
      <c r="M132">
        <v>2.8851000000000002E-2</v>
      </c>
    </row>
    <row r="133" spans="1:13" ht="14.4" x14ac:dyDescent="0.55000000000000004">
      <c r="A133" s="1">
        <v>43096</v>
      </c>
      <c r="B133">
        <v>1.5717999999999999E-2</v>
      </c>
      <c r="C133">
        <v>1.6174999999999998E-2</v>
      </c>
      <c r="D133">
        <v>1.7933000000000001E-2</v>
      </c>
      <c r="E133">
        <v>1.8874999999999999E-2</v>
      </c>
      <c r="F133">
        <v>2.0185000000000002E-2</v>
      </c>
      <c r="G133">
        <v>2.2728999999999999E-2</v>
      </c>
      <c r="H133">
        <v>2.4313000000000001E-2</v>
      </c>
      <c r="I133">
        <v>2.5415E-2</v>
      </c>
      <c r="J133">
        <v>2.6575000000000001E-2</v>
      </c>
      <c r="K133">
        <v>2.7532999999999998E-2</v>
      </c>
      <c r="L133">
        <v>2.8337000000000001E-2</v>
      </c>
      <c r="M133">
        <v>2.7917999999999998E-2</v>
      </c>
    </row>
    <row r="134" spans="1:13" ht="14.4" x14ac:dyDescent="0.55000000000000004">
      <c r="A134" s="1">
        <v>43131</v>
      </c>
      <c r="B134">
        <v>1.7430000000000001E-2</v>
      </c>
      <c r="C134">
        <v>1.796E-2</v>
      </c>
      <c r="D134">
        <v>1.9906E-2</v>
      </c>
      <c r="E134">
        <v>2.1439E-2</v>
      </c>
      <c r="F134">
        <v>2.3102000000000001E-2</v>
      </c>
      <c r="G134">
        <v>2.5921E-2</v>
      </c>
      <c r="H134">
        <v>2.7309E-2</v>
      </c>
      <c r="I134">
        <v>2.8334999999999999E-2</v>
      </c>
      <c r="J134">
        <v>2.9246000000000001E-2</v>
      </c>
      <c r="K134">
        <v>2.9618999999999999E-2</v>
      </c>
      <c r="L134">
        <v>2.9981000000000001E-2</v>
      </c>
      <c r="M134">
        <v>2.9714999999999998E-2</v>
      </c>
    </row>
    <row r="135" spans="1:13" ht="14.4" x14ac:dyDescent="0.55000000000000004">
      <c r="A135" s="1">
        <v>43159</v>
      </c>
      <c r="B135">
        <v>1.7756000000000001E-2</v>
      </c>
      <c r="C135">
        <v>1.8367000000000001E-2</v>
      </c>
      <c r="D135">
        <v>2.0237999999999999E-2</v>
      </c>
      <c r="E135">
        <v>2.2608E-2</v>
      </c>
      <c r="F135">
        <v>2.4445999999999999E-2</v>
      </c>
      <c r="G135">
        <v>2.7258000000000001E-2</v>
      </c>
      <c r="H135">
        <v>2.8732000000000001E-2</v>
      </c>
      <c r="I135">
        <v>3.0023999999999999E-2</v>
      </c>
      <c r="J135">
        <v>3.1144999999999999E-2</v>
      </c>
      <c r="K135">
        <v>3.1419000000000002E-2</v>
      </c>
      <c r="L135">
        <v>3.1995999999999997E-2</v>
      </c>
      <c r="M135">
        <v>3.1816999999999998E-2</v>
      </c>
    </row>
    <row r="136" spans="1:13" ht="14.4" x14ac:dyDescent="0.55000000000000004">
      <c r="A136" s="1">
        <v>43187</v>
      </c>
      <c r="B136">
        <v>1.8367000000000001E-2</v>
      </c>
      <c r="C136">
        <v>1.8921E-2</v>
      </c>
      <c r="D136">
        <v>2.0667999999999999E-2</v>
      </c>
      <c r="E136">
        <v>2.2495000000000001E-2</v>
      </c>
      <c r="F136">
        <v>2.4261000000000001E-2</v>
      </c>
      <c r="G136">
        <v>2.6568000000000001E-2</v>
      </c>
      <c r="H136">
        <v>2.7768999999999999E-2</v>
      </c>
      <c r="I136">
        <v>2.8901E-2</v>
      </c>
      <c r="J136">
        <v>2.9857999999999999E-2</v>
      </c>
      <c r="K136">
        <v>3.0127000000000001E-2</v>
      </c>
      <c r="L136">
        <v>3.0866000000000001E-2</v>
      </c>
      <c r="M136">
        <v>3.0613999999999999E-2</v>
      </c>
    </row>
    <row r="137" spans="1:13" ht="14.4" x14ac:dyDescent="0.55000000000000004">
      <c r="A137" s="1">
        <v>43215</v>
      </c>
      <c r="B137">
        <v>2.0374E-2</v>
      </c>
      <c r="C137">
        <v>2.0891E-2</v>
      </c>
      <c r="D137">
        <v>2.2471999999999999E-2</v>
      </c>
      <c r="E137">
        <v>2.4919E-2</v>
      </c>
      <c r="F137">
        <v>2.6793000000000001E-2</v>
      </c>
      <c r="G137">
        <v>2.9128999999999999E-2</v>
      </c>
      <c r="H137">
        <v>3.0353000000000002E-2</v>
      </c>
      <c r="I137">
        <v>3.1335000000000002E-2</v>
      </c>
      <c r="J137">
        <v>3.2152E-2</v>
      </c>
      <c r="K137">
        <v>3.2289999999999999E-2</v>
      </c>
      <c r="L137">
        <v>3.2626000000000002E-2</v>
      </c>
      <c r="M137">
        <v>3.2356000000000003E-2</v>
      </c>
    </row>
    <row r="138" spans="1:13" ht="14.4" x14ac:dyDescent="0.55000000000000004">
      <c r="A138" s="1">
        <v>43250</v>
      </c>
      <c r="B138">
        <v>2.0750000000000001E-2</v>
      </c>
      <c r="C138">
        <v>2.1225000000000001E-2</v>
      </c>
      <c r="D138">
        <v>2.2404E-2</v>
      </c>
      <c r="E138">
        <v>2.4475E-2</v>
      </c>
      <c r="F138">
        <v>2.5623E-2</v>
      </c>
      <c r="G138">
        <v>2.6703000000000001E-2</v>
      </c>
      <c r="H138">
        <v>2.853E-2</v>
      </c>
      <c r="I138">
        <v>2.9479999999999999E-2</v>
      </c>
      <c r="J138">
        <v>3.0106999999999998E-2</v>
      </c>
      <c r="K138">
        <v>3.0366000000000001E-2</v>
      </c>
      <c r="L138">
        <v>3.0613000000000001E-2</v>
      </c>
      <c r="M138">
        <v>3.0218999999999999E-2</v>
      </c>
    </row>
    <row r="139" spans="1:13" ht="14.4" x14ac:dyDescent="0.55000000000000004">
      <c r="A139" s="1">
        <v>43278</v>
      </c>
      <c r="B139">
        <v>2.1649000000000002E-2</v>
      </c>
      <c r="C139">
        <v>2.2186999999999998E-2</v>
      </c>
      <c r="D139">
        <v>2.3522000000000001E-2</v>
      </c>
      <c r="E139">
        <v>2.5819000000000002E-2</v>
      </c>
      <c r="F139">
        <v>2.6520999999999999E-2</v>
      </c>
      <c r="G139">
        <v>2.7089999999999999E-2</v>
      </c>
      <c r="H139">
        <v>2.8413999999999998E-2</v>
      </c>
      <c r="I139">
        <v>2.9239999999999999E-2</v>
      </c>
      <c r="J139">
        <v>2.988E-2</v>
      </c>
      <c r="K139">
        <v>2.9974000000000001E-2</v>
      </c>
      <c r="L139">
        <v>3.024E-2</v>
      </c>
      <c r="M139">
        <v>2.9812000000000002E-2</v>
      </c>
    </row>
    <row r="140" spans="1:13" ht="14.4" x14ac:dyDescent="0.55000000000000004">
      <c r="A140" s="1">
        <v>43306</v>
      </c>
      <c r="B140">
        <v>2.2679999999999999E-2</v>
      </c>
      <c r="C140">
        <v>2.317E-2</v>
      </c>
      <c r="D140">
        <v>2.4339E-2</v>
      </c>
      <c r="E140">
        <v>2.7008000000000001E-2</v>
      </c>
      <c r="F140">
        <v>2.7584999999999998E-2</v>
      </c>
      <c r="G140">
        <v>2.8126999999999999E-2</v>
      </c>
      <c r="H140">
        <v>2.9873E-2</v>
      </c>
      <c r="I140">
        <v>3.0703999999999999E-2</v>
      </c>
      <c r="J140">
        <v>3.1255999999999999E-2</v>
      </c>
      <c r="K140">
        <v>3.1314000000000002E-2</v>
      </c>
      <c r="L140">
        <v>3.1434999999999998E-2</v>
      </c>
      <c r="M140">
        <v>3.0998000000000001E-2</v>
      </c>
    </row>
    <row r="141" spans="1:13" ht="14.4" x14ac:dyDescent="0.55000000000000004">
      <c r="A141" s="1">
        <v>43341</v>
      </c>
      <c r="B141">
        <v>2.2537999999999999E-2</v>
      </c>
      <c r="C141">
        <v>2.3074000000000001E-2</v>
      </c>
      <c r="D141">
        <v>2.4804E-2</v>
      </c>
      <c r="E141">
        <v>2.7161000000000001E-2</v>
      </c>
      <c r="F141">
        <v>2.7541E-2</v>
      </c>
      <c r="G141">
        <v>2.7871E-2</v>
      </c>
      <c r="H141">
        <v>2.8989000000000001E-2</v>
      </c>
      <c r="I141">
        <v>2.9454999999999999E-2</v>
      </c>
      <c r="J141">
        <v>3.0380999999999998E-2</v>
      </c>
      <c r="K141">
        <v>3.0485999999999999E-2</v>
      </c>
      <c r="L141">
        <v>3.0762000000000001E-2</v>
      </c>
      <c r="M141">
        <v>3.0404E-2</v>
      </c>
    </row>
    <row r="142" spans="1:13" ht="14.4" x14ac:dyDescent="0.55000000000000004">
      <c r="A142" s="1">
        <v>43369</v>
      </c>
      <c r="B142">
        <v>2.3203000000000001E-2</v>
      </c>
      <c r="C142">
        <v>2.3831000000000001E-2</v>
      </c>
      <c r="D142">
        <v>2.5881999999999999E-2</v>
      </c>
      <c r="E142">
        <v>2.8562000000000001E-2</v>
      </c>
      <c r="F142">
        <v>2.9082E-2</v>
      </c>
      <c r="G142">
        <v>2.9668E-2</v>
      </c>
      <c r="H142">
        <v>3.0668999999999998E-2</v>
      </c>
      <c r="I142">
        <v>3.1475999999999997E-2</v>
      </c>
      <c r="J142">
        <v>3.2092000000000002E-2</v>
      </c>
      <c r="K142">
        <v>3.2277E-2</v>
      </c>
      <c r="L142">
        <v>3.2425000000000002E-2</v>
      </c>
      <c r="M142">
        <v>3.1979E-2</v>
      </c>
    </row>
    <row r="143" spans="1:13" ht="14.4" x14ac:dyDescent="0.55000000000000004">
      <c r="A143" s="1">
        <v>43404</v>
      </c>
      <c r="B143">
        <v>2.4674000000000001E-2</v>
      </c>
      <c r="C143">
        <v>2.5087999999999999E-2</v>
      </c>
      <c r="D143">
        <v>2.6533999999999999E-2</v>
      </c>
      <c r="E143">
        <v>2.9197000000000001E-2</v>
      </c>
      <c r="F143">
        <v>2.9572000000000001E-2</v>
      </c>
      <c r="G143">
        <v>3.0349000000000001E-2</v>
      </c>
      <c r="H143">
        <v>3.1319E-2</v>
      </c>
      <c r="I143">
        <v>3.2698999999999999E-2</v>
      </c>
      <c r="J143">
        <v>3.3547E-2</v>
      </c>
      <c r="K143">
        <v>3.4144000000000001E-2</v>
      </c>
      <c r="L143">
        <v>3.4778000000000003E-2</v>
      </c>
      <c r="M143">
        <v>3.4264000000000003E-2</v>
      </c>
    </row>
    <row r="144" spans="1:13" ht="14.4" x14ac:dyDescent="0.55000000000000004">
      <c r="A144" s="1">
        <v>43432</v>
      </c>
      <c r="B144">
        <v>2.4826000000000001E-2</v>
      </c>
      <c r="C144">
        <v>2.5239000000000001E-2</v>
      </c>
      <c r="D144">
        <v>2.6467999999999998E-2</v>
      </c>
      <c r="E144">
        <v>2.8608000000000001E-2</v>
      </c>
      <c r="F144">
        <v>2.8832E-2</v>
      </c>
      <c r="G144">
        <v>2.9387E-2</v>
      </c>
      <c r="H144">
        <v>3.0363000000000001E-2</v>
      </c>
      <c r="I144">
        <v>3.1906999999999998E-2</v>
      </c>
      <c r="J144">
        <v>3.2902000000000001E-2</v>
      </c>
      <c r="K144">
        <v>3.3645000000000001E-2</v>
      </c>
      <c r="L144">
        <v>3.4477000000000001E-2</v>
      </c>
      <c r="M144">
        <v>3.4053E-2</v>
      </c>
    </row>
    <row r="145" spans="1:13" ht="14.4" x14ac:dyDescent="0.55000000000000004">
      <c r="A145" s="1">
        <v>43460</v>
      </c>
      <c r="B145">
        <v>2.5100000000000001E-2</v>
      </c>
      <c r="C145">
        <v>2.5295000000000002E-2</v>
      </c>
      <c r="D145">
        <v>2.6020999999999999E-2</v>
      </c>
      <c r="E145">
        <v>2.6762999999999999E-2</v>
      </c>
      <c r="F145">
        <v>2.6599000000000001E-2</v>
      </c>
      <c r="G145">
        <v>2.6747E-2</v>
      </c>
      <c r="H145">
        <v>2.8086E-2</v>
      </c>
      <c r="I145">
        <v>2.9361999999999999E-2</v>
      </c>
      <c r="J145">
        <v>3.0131000000000002E-2</v>
      </c>
      <c r="K145">
        <v>3.0785E-2</v>
      </c>
      <c r="L145">
        <v>3.1619000000000001E-2</v>
      </c>
      <c r="M145">
        <v>3.116E-2</v>
      </c>
    </row>
    <row r="146" spans="1:13" ht="14.4" x14ac:dyDescent="0.55000000000000004">
      <c r="A146" s="1">
        <v>43495</v>
      </c>
      <c r="B146">
        <v>2.4419E-2</v>
      </c>
      <c r="C146">
        <v>2.4684999999999999E-2</v>
      </c>
      <c r="D146">
        <v>2.5713E-2</v>
      </c>
      <c r="E146">
        <v>2.5677999999999999E-2</v>
      </c>
      <c r="F146">
        <v>2.5551999999999998E-2</v>
      </c>
      <c r="G146">
        <v>2.5375999999999999E-2</v>
      </c>
      <c r="H146">
        <v>2.6627999999999999E-2</v>
      </c>
      <c r="I146">
        <v>2.8261999999999999E-2</v>
      </c>
      <c r="J146">
        <v>2.9463E-2</v>
      </c>
      <c r="K146">
        <v>3.0360000000000002E-2</v>
      </c>
      <c r="L146">
        <v>3.1642999999999998E-2</v>
      </c>
      <c r="M146">
        <v>3.1109000000000001E-2</v>
      </c>
    </row>
    <row r="147" spans="1:13" ht="14.4" x14ac:dyDescent="0.55000000000000004">
      <c r="A147" s="1">
        <v>43523</v>
      </c>
      <c r="B147">
        <v>2.4611000000000001E-2</v>
      </c>
      <c r="C147">
        <v>2.4799999999999999E-2</v>
      </c>
      <c r="D147">
        <v>2.5411E-2</v>
      </c>
      <c r="E147">
        <v>2.5579999999999999E-2</v>
      </c>
      <c r="F147">
        <v>2.5326999999999999E-2</v>
      </c>
      <c r="G147">
        <v>2.5588E-2</v>
      </c>
      <c r="H147">
        <v>2.6766999999999999E-2</v>
      </c>
      <c r="I147">
        <v>2.8240999999999999E-2</v>
      </c>
      <c r="J147">
        <v>2.9697999999999999E-2</v>
      </c>
      <c r="K147">
        <v>3.0630000000000001E-2</v>
      </c>
      <c r="L147">
        <v>3.1976999999999998E-2</v>
      </c>
      <c r="M147">
        <v>3.1454999999999997E-2</v>
      </c>
    </row>
    <row r="148" spans="1:13" ht="14.4" x14ac:dyDescent="0.55000000000000004">
      <c r="A148" s="1">
        <v>43551</v>
      </c>
      <c r="B148">
        <v>2.3852999999999999E-2</v>
      </c>
      <c r="C148">
        <v>2.3831000000000001E-2</v>
      </c>
      <c r="D148">
        <v>2.3501000000000001E-2</v>
      </c>
      <c r="E148">
        <v>2.2664E-2</v>
      </c>
      <c r="F148">
        <v>2.2221000000000001E-2</v>
      </c>
      <c r="G148">
        <v>2.2565999999999999E-2</v>
      </c>
      <c r="H148">
        <v>2.368E-2</v>
      </c>
      <c r="I148">
        <v>2.5031999999999999E-2</v>
      </c>
      <c r="J148">
        <v>2.6967000000000001E-2</v>
      </c>
      <c r="K148">
        <v>2.8051E-2</v>
      </c>
      <c r="L148">
        <v>2.9402000000000001E-2</v>
      </c>
      <c r="M148">
        <v>2.9301000000000001E-2</v>
      </c>
    </row>
    <row r="149" spans="1:13" ht="14.4" x14ac:dyDescent="0.55000000000000004">
      <c r="A149" s="1">
        <v>43579</v>
      </c>
      <c r="B149">
        <v>2.3754000000000001E-2</v>
      </c>
      <c r="C149">
        <v>2.3848999999999999E-2</v>
      </c>
      <c r="D149">
        <v>2.3910000000000001E-2</v>
      </c>
      <c r="E149">
        <v>2.3775999999999999E-2</v>
      </c>
      <c r="F149">
        <v>2.3497000000000001E-2</v>
      </c>
      <c r="G149">
        <v>2.3889000000000001E-2</v>
      </c>
      <c r="H149">
        <v>2.5038000000000001E-2</v>
      </c>
      <c r="I149">
        <v>2.6431E-2</v>
      </c>
      <c r="J149">
        <v>2.8362999999999999E-2</v>
      </c>
      <c r="K149">
        <v>2.9319999999999999E-2</v>
      </c>
      <c r="L149">
        <v>3.0504E-2</v>
      </c>
      <c r="M149">
        <v>3.0370000000000001E-2</v>
      </c>
    </row>
    <row r="150" spans="1:13" ht="14.4" x14ac:dyDescent="0.55000000000000004">
      <c r="A150" s="1">
        <v>43614</v>
      </c>
      <c r="B150">
        <v>2.3389E-2</v>
      </c>
      <c r="C150">
        <v>2.3279000000000001E-2</v>
      </c>
      <c r="D150">
        <v>2.2716E-2</v>
      </c>
      <c r="E150">
        <v>2.1520999999999998E-2</v>
      </c>
      <c r="F150">
        <v>2.0546999999999999E-2</v>
      </c>
      <c r="G150">
        <v>2.1198999999999999E-2</v>
      </c>
      <c r="H150">
        <v>2.2515E-2</v>
      </c>
      <c r="I150">
        <v>2.3768000000000001E-2</v>
      </c>
      <c r="J150">
        <v>2.5651E-2</v>
      </c>
      <c r="K150">
        <v>2.6814000000000001E-2</v>
      </c>
      <c r="L150">
        <v>2.8015000000000002E-2</v>
      </c>
      <c r="M150">
        <v>2.7696999999999999E-2</v>
      </c>
    </row>
    <row r="151" spans="1:13" ht="14.4" x14ac:dyDescent="0.55000000000000004">
      <c r="A151" s="1">
        <v>43642</v>
      </c>
      <c r="B151">
        <v>2.0563000000000001E-2</v>
      </c>
      <c r="C151">
        <v>2.0395E-2</v>
      </c>
      <c r="D151">
        <v>1.9415000000000002E-2</v>
      </c>
      <c r="E151">
        <v>1.8391999999999999E-2</v>
      </c>
      <c r="F151">
        <v>1.753E-2</v>
      </c>
      <c r="G151">
        <v>1.9028E-2</v>
      </c>
      <c r="H151">
        <v>2.0093E-2</v>
      </c>
      <c r="I151">
        <v>2.1675E-2</v>
      </c>
      <c r="J151">
        <v>2.3934E-2</v>
      </c>
      <c r="K151">
        <v>2.5479000000000002E-2</v>
      </c>
      <c r="L151">
        <v>2.6994000000000001E-2</v>
      </c>
      <c r="M151">
        <v>2.6598E-2</v>
      </c>
    </row>
    <row r="152" spans="1:13" ht="14.4" x14ac:dyDescent="0.55000000000000004">
      <c r="A152" s="1">
        <v>43677</v>
      </c>
      <c r="B152">
        <v>2.0952999999999999E-2</v>
      </c>
      <c r="C152">
        <v>2.0882999999999999E-2</v>
      </c>
      <c r="D152">
        <v>2.0313000000000001E-2</v>
      </c>
      <c r="E152">
        <v>1.9342999999999999E-2</v>
      </c>
      <c r="F152">
        <v>1.7767999999999999E-2</v>
      </c>
      <c r="G152">
        <v>1.9167E-2</v>
      </c>
      <c r="H152">
        <v>1.9848000000000001E-2</v>
      </c>
      <c r="I152">
        <v>2.1139999999999999E-2</v>
      </c>
      <c r="J152">
        <v>2.3531E-2</v>
      </c>
      <c r="K152">
        <v>2.5148E-2</v>
      </c>
      <c r="L152">
        <v>2.6672000000000001E-2</v>
      </c>
      <c r="M152">
        <v>2.6297000000000001E-2</v>
      </c>
    </row>
    <row r="153" spans="1:13" ht="14.4" x14ac:dyDescent="0.55000000000000004">
      <c r="A153" s="1">
        <v>43705</v>
      </c>
      <c r="B153">
        <v>1.7929E-2</v>
      </c>
      <c r="C153">
        <v>1.7777999999999999E-2</v>
      </c>
      <c r="D153">
        <v>1.7148E-2</v>
      </c>
      <c r="E153">
        <v>1.5514999999999999E-2</v>
      </c>
      <c r="F153">
        <v>1.3736E-2</v>
      </c>
      <c r="G153">
        <v>1.4505000000000001E-2</v>
      </c>
      <c r="H153">
        <v>1.4904000000000001E-2</v>
      </c>
      <c r="I153">
        <v>1.5691E-2</v>
      </c>
      <c r="J153">
        <v>1.7812000000000001E-2</v>
      </c>
      <c r="K153">
        <v>1.9363999999999999E-2</v>
      </c>
      <c r="L153">
        <v>2.0531000000000001E-2</v>
      </c>
      <c r="M153">
        <v>2.0205000000000001E-2</v>
      </c>
    </row>
    <row r="154" spans="1:13" ht="14.4" x14ac:dyDescent="0.55000000000000004">
      <c r="A154" s="1">
        <v>43733</v>
      </c>
      <c r="B154">
        <v>1.9148999999999999E-2</v>
      </c>
      <c r="C154">
        <v>1.8988999999999999E-2</v>
      </c>
      <c r="D154">
        <v>1.8478000000000001E-2</v>
      </c>
      <c r="E154">
        <v>1.6926E-2</v>
      </c>
      <c r="F154">
        <v>1.5372E-2</v>
      </c>
      <c r="G154">
        <v>1.7446E-2</v>
      </c>
      <c r="H154">
        <v>1.7065E-2</v>
      </c>
      <c r="I154">
        <v>1.8395000000000002E-2</v>
      </c>
      <c r="J154">
        <v>2.0264999999999998E-2</v>
      </c>
      <c r="K154">
        <v>2.1736999999999999E-2</v>
      </c>
      <c r="L154">
        <v>2.2917E-2</v>
      </c>
      <c r="M154">
        <v>2.2594E-2</v>
      </c>
    </row>
    <row r="155" spans="1:13" ht="14.4" x14ac:dyDescent="0.55000000000000004">
      <c r="A155" s="1">
        <v>43768</v>
      </c>
      <c r="B155">
        <v>1.7055000000000001E-2</v>
      </c>
      <c r="C155">
        <v>1.7084999999999999E-2</v>
      </c>
      <c r="D155">
        <v>1.7375000000000002E-2</v>
      </c>
      <c r="E155">
        <v>1.6392E-2</v>
      </c>
      <c r="F155">
        <v>1.5341E-2</v>
      </c>
      <c r="G155">
        <v>1.7604000000000002E-2</v>
      </c>
      <c r="H155">
        <v>1.7711999999999999E-2</v>
      </c>
      <c r="I155">
        <v>1.9085999999999999E-2</v>
      </c>
      <c r="J155">
        <v>2.1132000000000001E-2</v>
      </c>
      <c r="K155">
        <v>2.2787000000000002E-2</v>
      </c>
      <c r="L155">
        <v>2.3844000000000001E-2</v>
      </c>
      <c r="M155">
        <v>2.3351E-2</v>
      </c>
    </row>
    <row r="156" spans="1:13" ht="14.4" x14ac:dyDescent="0.55000000000000004">
      <c r="A156" s="1">
        <v>43796</v>
      </c>
      <c r="B156">
        <v>1.7277000000000001E-2</v>
      </c>
      <c r="C156">
        <v>1.7260999999999999E-2</v>
      </c>
      <c r="D156">
        <v>1.7180999999999998E-2</v>
      </c>
      <c r="E156">
        <v>1.6611000000000001E-2</v>
      </c>
      <c r="F156">
        <v>1.5775000000000001E-2</v>
      </c>
      <c r="G156">
        <v>1.7627E-2</v>
      </c>
      <c r="H156">
        <v>1.8096999999999999E-2</v>
      </c>
      <c r="I156">
        <v>1.9257E-2</v>
      </c>
      <c r="J156">
        <v>2.1214E-2</v>
      </c>
      <c r="K156">
        <v>2.2494E-2</v>
      </c>
      <c r="L156">
        <v>2.3337E-2</v>
      </c>
      <c r="M156">
        <v>2.2724000000000001E-2</v>
      </c>
    </row>
    <row r="157" spans="1:13" ht="14.4" x14ac:dyDescent="0.55000000000000004">
      <c r="A157" s="1">
        <v>43824</v>
      </c>
      <c r="B157">
        <v>1.6756E-2</v>
      </c>
      <c r="C157">
        <v>1.6858000000000001E-2</v>
      </c>
      <c r="D157">
        <v>1.7162E-2</v>
      </c>
      <c r="E157">
        <v>1.6941000000000001E-2</v>
      </c>
      <c r="F157">
        <v>1.6347E-2</v>
      </c>
      <c r="G157">
        <v>1.8529E-2</v>
      </c>
      <c r="H157">
        <v>1.9342000000000002E-2</v>
      </c>
      <c r="I157">
        <v>2.0641E-2</v>
      </c>
      <c r="J157">
        <v>2.2755000000000001E-2</v>
      </c>
      <c r="K157">
        <v>2.4226000000000001E-2</v>
      </c>
      <c r="L157">
        <v>2.4589E-2</v>
      </c>
      <c r="M157">
        <v>2.3938000000000001E-2</v>
      </c>
    </row>
    <row r="158" spans="1:13" ht="14.4" x14ac:dyDescent="0.55000000000000004">
      <c r="A158" s="1">
        <v>43859</v>
      </c>
      <c r="B158">
        <v>1.584E-2</v>
      </c>
      <c r="C158">
        <v>1.5783999999999999E-2</v>
      </c>
      <c r="D158">
        <v>1.5415999999999999E-2</v>
      </c>
      <c r="E158">
        <v>1.4729000000000001E-2</v>
      </c>
      <c r="F158">
        <v>1.4043999999999999E-2</v>
      </c>
      <c r="G158">
        <v>1.4855E-2</v>
      </c>
      <c r="H158">
        <v>1.5803999999999999E-2</v>
      </c>
      <c r="I158">
        <v>1.7323999999999999E-2</v>
      </c>
      <c r="J158">
        <v>1.9393000000000001E-2</v>
      </c>
      <c r="K158">
        <v>2.0580999999999999E-2</v>
      </c>
      <c r="L158">
        <v>2.1874000000000001E-2</v>
      </c>
      <c r="M158">
        <v>2.1281000000000001E-2</v>
      </c>
    </row>
    <row r="159" spans="1:13" ht="14.4" x14ac:dyDescent="0.55000000000000004">
      <c r="A159" s="1">
        <v>43887</v>
      </c>
      <c r="B159">
        <v>1.4092E-2</v>
      </c>
      <c r="C159">
        <v>1.3936E-2</v>
      </c>
      <c r="D159">
        <v>1.3029000000000001E-2</v>
      </c>
      <c r="E159">
        <v>1.1856999999999999E-2</v>
      </c>
      <c r="F159">
        <v>1.1948E-2</v>
      </c>
      <c r="G159">
        <v>1.2317E-2</v>
      </c>
      <c r="H159">
        <v>1.3436999999999999E-2</v>
      </c>
      <c r="I159">
        <v>1.5037999999999999E-2</v>
      </c>
      <c r="J159">
        <v>1.6971E-2</v>
      </c>
      <c r="K159">
        <v>1.8457000000000001E-2</v>
      </c>
      <c r="L159">
        <v>1.9782000000000001E-2</v>
      </c>
      <c r="M159">
        <v>1.9193999999999999E-2</v>
      </c>
    </row>
    <row r="160" spans="1:13" ht="14.4" x14ac:dyDescent="0.55000000000000004">
      <c r="A160" s="1">
        <v>43915</v>
      </c>
      <c r="B160">
        <v>2.271E-3</v>
      </c>
      <c r="C160">
        <v>2.4390000000000002E-3</v>
      </c>
      <c r="D160">
        <v>2.774E-3</v>
      </c>
      <c r="E160">
        <v>3.7299999999999998E-3</v>
      </c>
      <c r="F160">
        <v>4.8430000000000001E-3</v>
      </c>
      <c r="G160">
        <v>7.2309999999999996E-3</v>
      </c>
      <c r="H160">
        <v>8.7740000000000005E-3</v>
      </c>
      <c r="I160">
        <v>1.0432E-2</v>
      </c>
      <c r="J160">
        <v>1.1904E-2</v>
      </c>
      <c r="K160">
        <v>1.3697000000000001E-2</v>
      </c>
      <c r="L160">
        <v>1.5640999999999999E-2</v>
      </c>
      <c r="M160">
        <v>1.5231E-2</v>
      </c>
    </row>
    <row r="161" spans="1:13" ht="14.4" x14ac:dyDescent="0.55000000000000004">
      <c r="A161" s="1">
        <v>43950</v>
      </c>
      <c r="B161">
        <v>1.1069999999999999E-3</v>
      </c>
      <c r="C161">
        <v>1.183E-3</v>
      </c>
      <c r="D161">
        <v>1.354E-3</v>
      </c>
      <c r="E161">
        <v>2.0079999999999998E-3</v>
      </c>
      <c r="F161">
        <v>2.9740000000000001E-3</v>
      </c>
      <c r="G161">
        <v>4.6589999999999999E-3</v>
      </c>
      <c r="H161">
        <v>6.2560000000000003E-3</v>
      </c>
      <c r="I161">
        <v>7.7219999999999997E-3</v>
      </c>
      <c r="J161">
        <v>9.9050000000000006E-3</v>
      </c>
      <c r="K161">
        <v>1.2201E-2</v>
      </c>
      <c r="L161">
        <v>1.3814999999999999E-2</v>
      </c>
      <c r="M161">
        <v>1.3417E-2</v>
      </c>
    </row>
    <row r="162" spans="1:13" ht="14.4" x14ac:dyDescent="0.55000000000000004">
      <c r="A162" s="1">
        <v>43978</v>
      </c>
      <c r="B162">
        <v>1.0460000000000001E-3</v>
      </c>
      <c r="C162">
        <v>1.176E-3</v>
      </c>
      <c r="D162">
        <v>1.6169999999999999E-3</v>
      </c>
      <c r="E162">
        <v>1.8730000000000001E-3</v>
      </c>
      <c r="F162">
        <v>2.6649999999999998E-3</v>
      </c>
      <c r="G162">
        <v>4.4720000000000003E-3</v>
      </c>
      <c r="H162">
        <v>6.2909999999999997E-3</v>
      </c>
      <c r="I162">
        <v>8.2909999999999998E-3</v>
      </c>
      <c r="J162">
        <v>1.1221999999999999E-2</v>
      </c>
      <c r="K162">
        <v>1.3644999999999999E-2</v>
      </c>
      <c r="L162">
        <v>1.5789999999999998E-2</v>
      </c>
      <c r="M162">
        <v>1.5384E-2</v>
      </c>
    </row>
    <row r="163" spans="1:13" ht="14.4" x14ac:dyDescent="0.55000000000000004">
      <c r="A163" s="1">
        <v>44006</v>
      </c>
      <c r="B163">
        <v>1.5640000000000001E-3</v>
      </c>
      <c r="C163">
        <v>1.6540000000000001E-3</v>
      </c>
      <c r="D163">
        <v>1.7440000000000001E-3</v>
      </c>
      <c r="E163">
        <v>1.9859999999999999E-3</v>
      </c>
      <c r="F163">
        <v>2.49E-3</v>
      </c>
      <c r="G163">
        <v>4.3049999999999998E-3</v>
      </c>
      <c r="H163">
        <v>6.208E-3</v>
      </c>
      <c r="I163">
        <v>8.352E-3</v>
      </c>
      <c r="J163">
        <v>1.1214E-2</v>
      </c>
      <c r="K163">
        <v>1.375E-2</v>
      </c>
      <c r="L163">
        <v>1.5803000000000001E-2</v>
      </c>
      <c r="M163">
        <v>1.5426E-2</v>
      </c>
    </row>
    <row r="164" spans="1:13" ht="14.4" x14ac:dyDescent="0.55000000000000004">
      <c r="A164" s="1">
        <v>44041</v>
      </c>
      <c r="B164">
        <v>9.1399999999999999E-4</v>
      </c>
      <c r="C164">
        <v>9.7799999999999992E-4</v>
      </c>
      <c r="D164">
        <v>1.193E-3</v>
      </c>
      <c r="E164">
        <v>1.4289999999999999E-3</v>
      </c>
      <c r="F164">
        <v>1.9469999999999999E-3</v>
      </c>
      <c r="G164">
        <v>3.5100000000000001E-3</v>
      </c>
      <c r="H164">
        <v>5.2420000000000001E-3</v>
      </c>
      <c r="I164">
        <v>7.267E-3</v>
      </c>
      <c r="J164">
        <v>9.6069999999999992E-3</v>
      </c>
      <c r="K164">
        <v>1.1704000000000001E-2</v>
      </c>
      <c r="L164">
        <v>1.3475000000000001E-2</v>
      </c>
      <c r="M164">
        <v>1.3231E-2</v>
      </c>
    </row>
    <row r="165" spans="1:13" ht="14.4" x14ac:dyDescent="0.55000000000000004">
      <c r="A165" s="1">
        <v>44069</v>
      </c>
      <c r="B165">
        <v>9.7799999999999992E-4</v>
      </c>
      <c r="C165">
        <v>1.0870000000000001E-3</v>
      </c>
      <c r="D165">
        <v>1.403E-3</v>
      </c>
      <c r="E165">
        <v>1.7359999999999999E-3</v>
      </c>
      <c r="F165">
        <v>2.33E-3</v>
      </c>
      <c r="G165">
        <v>4.0679999999999996E-3</v>
      </c>
      <c r="H165">
        <v>6.0489999999999997E-3</v>
      </c>
      <c r="I165">
        <v>8.4510000000000002E-3</v>
      </c>
      <c r="J165">
        <v>1.1421000000000001E-2</v>
      </c>
      <c r="K165">
        <v>1.3519E-2</v>
      </c>
      <c r="L165">
        <v>1.5424999999999999E-2</v>
      </c>
      <c r="M165">
        <v>1.4638E-2</v>
      </c>
    </row>
    <row r="166" spans="1:13" ht="14.4" x14ac:dyDescent="0.55000000000000004">
      <c r="A166" s="1">
        <v>44104</v>
      </c>
      <c r="B166">
        <v>7.1400000000000001E-4</v>
      </c>
      <c r="C166">
        <v>8.0800000000000002E-4</v>
      </c>
      <c r="D166">
        <v>1.005E-3</v>
      </c>
      <c r="E166">
        <v>1.4660000000000001E-3</v>
      </c>
      <c r="F166">
        <v>1.9880000000000002E-3</v>
      </c>
      <c r="G166">
        <v>3.8270000000000001E-3</v>
      </c>
      <c r="H166">
        <v>5.8110000000000002E-3</v>
      </c>
      <c r="I166">
        <v>8.43E-3</v>
      </c>
      <c r="J166">
        <v>1.1535999999999999E-2</v>
      </c>
      <c r="K166">
        <v>1.3606999999999999E-2</v>
      </c>
      <c r="L166">
        <v>1.5471E-2</v>
      </c>
      <c r="M166">
        <v>1.5462E-2</v>
      </c>
    </row>
    <row r="167" spans="1:13" ht="14.4" x14ac:dyDescent="0.55000000000000004">
      <c r="A167" s="1">
        <v>44118</v>
      </c>
      <c r="B167">
        <v>7.4700000000000005E-4</v>
      </c>
      <c r="C167">
        <v>8.4500000000000005E-4</v>
      </c>
      <c r="D167">
        <v>1.091E-3</v>
      </c>
      <c r="E167">
        <v>1.49E-3</v>
      </c>
      <c r="F167">
        <v>2.1329999999999999E-3</v>
      </c>
      <c r="G167">
        <v>4.0379999999999999E-3</v>
      </c>
      <c r="H167">
        <v>6.1549999999999999E-3</v>
      </c>
      <c r="I167">
        <v>8.8199999999999997E-3</v>
      </c>
      <c r="J167">
        <v>1.1953E-2</v>
      </c>
      <c r="K167">
        <v>1.4037000000000001E-2</v>
      </c>
      <c r="L167">
        <v>1.5764E-2</v>
      </c>
      <c r="M167">
        <v>1.5899E-2</v>
      </c>
    </row>
  </sheetData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8"/>
  <sheetViews>
    <sheetView workbookViewId="0"/>
  </sheetViews>
  <sheetFormatPr defaultColWidth="8.41796875" defaultRowHeight="14.55" x14ac:dyDescent="0.55000000000000004"/>
  <cols>
    <col min="1" max="1" width="10.1015625" bestFit="1" customWidth="1"/>
    <col min="2" max="2" width="8.41796875" customWidth="1"/>
  </cols>
  <sheetData>
    <row r="1" spans="1:5" ht="14.4" x14ac:dyDescent="0.55000000000000004"/>
    <row r="2" spans="1:5" ht="14.4" thickBot="1" x14ac:dyDescent="0.55000000000000004">
      <c r="A2" t="s">
        <v>0</v>
      </c>
      <c r="B2" t="s">
        <v>14</v>
      </c>
      <c r="C2" t="s">
        <v>15</v>
      </c>
      <c r="D2" t="s">
        <v>16</v>
      </c>
      <c r="E2" t="s">
        <v>17</v>
      </c>
    </row>
    <row r="3" spans="1:5" ht="14.4" x14ac:dyDescent="0.55000000000000004">
      <c r="A3" s="2">
        <v>39113</v>
      </c>
      <c r="B3" s="3">
        <v>4.7225813529826202E-2</v>
      </c>
      <c r="C3" s="3">
        <v>6.6921401313944596E-3</v>
      </c>
      <c r="D3" s="3">
        <v>-1.0253126369633599E-2</v>
      </c>
      <c r="E3" s="3">
        <v>9.0755818411648002E-3</v>
      </c>
    </row>
    <row r="4" spans="1:5" ht="14.4" x14ac:dyDescent="0.55000000000000004">
      <c r="A4" s="4">
        <v>39141</v>
      </c>
      <c r="B4">
        <v>4.4341555260902901E-2</v>
      </c>
      <c r="C4">
        <v>9.3182806625371692E-3</v>
      </c>
      <c r="D4">
        <v>-1.5533532947156601E-2</v>
      </c>
      <c r="E4">
        <v>1.25120456599915E-2</v>
      </c>
    </row>
    <row r="5" spans="1:5" ht="14.4" x14ac:dyDescent="0.55000000000000004">
      <c r="A5" s="4">
        <v>39169</v>
      </c>
      <c r="B5">
        <v>4.6989696469333E-2</v>
      </c>
      <c r="C5">
        <v>6.46284971765406E-3</v>
      </c>
      <c r="D5">
        <v>-2.0457905528073299E-2</v>
      </c>
      <c r="E5">
        <v>9.4299747919412893E-3</v>
      </c>
    </row>
    <row r="6" spans="1:5" ht="14.4" x14ac:dyDescent="0.55000000000000004">
      <c r="A6" s="4">
        <v>39197</v>
      </c>
      <c r="B6">
        <v>4.6443703465717502E-2</v>
      </c>
      <c r="C6">
        <v>6.68130483055093E-3</v>
      </c>
      <c r="D6">
        <v>-1.8186433700389401E-2</v>
      </c>
      <c r="E6">
        <v>1.09490639486117E-2</v>
      </c>
    </row>
    <row r="7" spans="1:5" ht="14.4" x14ac:dyDescent="0.55000000000000004">
      <c r="A7" s="4">
        <v>39232</v>
      </c>
      <c r="B7">
        <v>4.8993971799909497E-2</v>
      </c>
      <c r="C7">
        <v>1.7343002477431999E-3</v>
      </c>
      <c r="D7">
        <v>-7.4194534084834601E-3</v>
      </c>
      <c r="E7">
        <v>6.3465321953203296E-3</v>
      </c>
    </row>
    <row r="8" spans="1:5" ht="14.4" x14ac:dyDescent="0.55000000000000004">
      <c r="A8" s="4">
        <v>39260</v>
      </c>
      <c r="B8">
        <v>4.8817925739681099E-2</v>
      </c>
      <c r="C8">
        <v>1.5835218377349899E-3</v>
      </c>
      <c r="D8">
        <v>-7.6806259733211901E-3</v>
      </c>
      <c r="E8">
        <v>1.49327570039514E-2</v>
      </c>
    </row>
    <row r="9" spans="1:5" ht="14.4" x14ac:dyDescent="0.55000000000000004">
      <c r="A9" s="4">
        <v>39288</v>
      </c>
      <c r="B9">
        <v>4.5848982995809903E-2</v>
      </c>
      <c r="C9">
        <v>6.5507908549831103E-3</v>
      </c>
      <c r="D9">
        <v>-1.3809793939948099E-2</v>
      </c>
      <c r="E9">
        <v>1.9951481212161601E-2</v>
      </c>
    </row>
    <row r="10" spans="1:5" ht="14.4" x14ac:dyDescent="0.55000000000000004">
      <c r="A10" s="4">
        <v>39323</v>
      </c>
      <c r="B10">
        <v>4.9179216255039702E-2</v>
      </c>
      <c r="C10">
        <v>-7.26666156361377E-3</v>
      </c>
      <c r="D10">
        <v>-1.3281861422311299E-2</v>
      </c>
      <c r="E10">
        <v>3.59383269158969E-3</v>
      </c>
    </row>
    <row r="11" spans="1:5" ht="14.4" x14ac:dyDescent="0.55000000000000004">
      <c r="A11" s="4">
        <v>39351</v>
      </c>
      <c r="B11">
        <v>4.5695913080373199E-2</v>
      </c>
      <c r="C11">
        <v>-4.3609726438250101E-3</v>
      </c>
      <c r="D11">
        <v>-1.7739264399116501E-2</v>
      </c>
      <c r="E11">
        <v>1.7319300329978998E-2</v>
      </c>
    </row>
    <row r="12" spans="1:5" ht="14.4" x14ac:dyDescent="0.55000000000000004">
      <c r="A12" s="4">
        <v>39386</v>
      </c>
      <c r="B12">
        <v>4.2952257148200203E-2</v>
      </c>
      <c r="C12" s="5">
        <v>-2.7429905603865099E-5</v>
      </c>
      <c r="D12">
        <v>-2.0378624518834799E-2</v>
      </c>
      <c r="E12">
        <v>2.22701878449535E-2</v>
      </c>
    </row>
    <row r="13" spans="1:5" ht="14.4" x14ac:dyDescent="0.55000000000000004">
      <c r="A13" s="4">
        <v>39414</v>
      </c>
      <c r="B13">
        <v>3.8672471746448299E-2</v>
      </c>
      <c r="C13">
        <v>-5.5512746444606699E-3</v>
      </c>
      <c r="D13">
        <v>-2.53320415331376E-2</v>
      </c>
      <c r="E13">
        <v>2.80050639625825E-2</v>
      </c>
    </row>
    <row r="14" spans="1:5" ht="14.4" x14ac:dyDescent="0.55000000000000004">
      <c r="A14" s="4">
        <v>39442</v>
      </c>
      <c r="B14">
        <v>4.09383078154546E-2</v>
      </c>
      <c r="C14">
        <v>-5.3075191909146002E-3</v>
      </c>
      <c r="D14">
        <v>-2.93392440651691E-2</v>
      </c>
      <c r="E14">
        <v>3.0044321162910999E-2</v>
      </c>
    </row>
    <row r="15" spans="1:5" ht="14.4" x14ac:dyDescent="0.55000000000000004">
      <c r="A15" s="4">
        <v>39477</v>
      </c>
      <c r="B15">
        <v>3.9689403599015599E-2</v>
      </c>
      <c r="C15">
        <v>-1.44104121964551E-2</v>
      </c>
      <c r="D15">
        <v>-4.9251257368786001E-2</v>
      </c>
      <c r="E15">
        <v>2.9533091509634402E-2</v>
      </c>
    </row>
    <row r="16" spans="1:5" ht="14.4" x14ac:dyDescent="0.55000000000000004">
      <c r="A16" s="4">
        <v>39505</v>
      </c>
      <c r="B16">
        <v>4.1341475339874201E-2</v>
      </c>
      <c r="C16">
        <v>-1.7930625925524999E-2</v>
      </c>
      <c r="D16">
        <v>-5.3600582570360801E-2</v>
      </c>
      <c r="E16">
        <v>3.4799152989331797E-2</v>
      </c>
    </row>
    <row r="17" spans="1:5" ht="14.4" x14ac:dyDescent="0.55000000000000004">
      <c r="A17" s="4">
        <v>39533</v>
      </c>
      <c r="B17">
        <v>3.9530216963914698E-2</v>
      </c>
      <c r="C17">
        <v>-2.23144866726562E-2</v>
      </c>
      <c r="D17">
        <v>-5.4733001336328198E-2</v>
      </c>
      <c r="E17">
        <v>3.2761219135476603E-2</v>
      </c>
    </row>
    <row r="18" spans="1:5" ht="14.4" x14ac:dyDescent="0.55000000000000004">
      <c r="A18" s="4">
        <v>39568</v>
      </c>
      <c r="B18">
        <v>4.1878762295920802E-2</v>
      </c>
      <c r="C18">
        <v>-2.3718313071229801E-2</v>
      </c>
      <c r="D18">
        <v>-3.4625828960975803E-2</v>
      </c>
      <c r="E18">
        <v>2.3312120974840499E-2</v>
      </c>
    </row>
    <row r="19" spans="1:5" ht="14.4" x14ac:dyDescent="0.55000000000000004">
      <c r="A19" s="4">
        <v>39596</v>
      </c>
      <c r="B19">
        <v>4.4280066815469997E-2</v>
      </c>
      <c r="C19">
        <v>-2.3878897894552501E-2</v>
      </c>
      <c r="D19">
        <v>-2.7951953381800301E-2</v>
      </c>
      <c r="E19">
        <v>2.1106991555516302E-2</v>
      </c>
    </row>
    <row r="20" spans="1:5" ht="14.4" x14ac:dyDescent="0.55000000000000004">
      <c r="A20" s="4">
        <v>39624</v>
      </c>
      <c r="B20">
        <v>4.1788452722102597E-2</v>
      </c>
      <c r="C20">
        <v>-2.09380211726354E-2</v>
      </c>
      <c r="D20">
        <v>-2.0810172476198902E-2</v>
      </c>
      <c r="E20">
        <v>2.7842345786205699E-2</v>
      </c>
    </row>
    <row r="21" spans="1:5" ht="14.4" x14ac:dyDescent="0.55000000000000004">
      <c r="A21" s="4">
        <v>39659</v>
      </c>
      <c r="B21">
        <v>4.3150243278122599E-2</v>
      </c>
      <c r="C21">
        <v>-2.4290197176285999E-2</v>
      </c>
      <c r="D21">
        <v>-2.61255126642716E-2</v>
      </c>
      <c r="E21">
        <v>2.4553799752414299E-2</v>
      </c>
    </row>
    <row r="22" spans="1:5" ht="14.4" x14ac:dyDescent="0.55000000000000004">
      <c r="A22" s="4">
        <v>39687</v>
      </c>
      <c r="B22">
        <v>3.9981330613593401E-2</v>
      </c>
      <c r="C22">
        <v>-2.0863104386706698E-2</v>
      </c>
      <c r="D22">
        <v>-3.2311105910753597E-2</v>
      </c>
      <c r="E22">
        <v>2.6533156277649201E-2</v>
      </c>
    </row>
    <row r="23" spans="1:5" ht="14.4" x14ac:dyDescent="0.55000000000000004">
      <c r="A23" s="4">
        <v>39715</v>
      </c>
      <c r="B23">
        <v>3.8781915116644999E-2</v>
      </c>
      <c r="C23">
        <v>-2.81343719069653E-2</v>
      </c>
      <c r="D23">
        <v>-2.7303188039955399E-2</v>
      </c>
      <c r="E23">
        <v>3.4858594485285298E-2</v>
      </c>
    </row>
    <row r="24" spans="1:5" ht="14.4" x14ac:dyDescent="0.55000000000000004">
      <c r="A24" s="4">
        <v>39750</v>
      </c>
      <c r="B24">
        <v>1.40501290438537E-2</v>
      </c>
      <c r="C24">
        <v>-3.2970771761288899E-3</v>
      </c>
      <c r="D24">
        <v>-3.7362994272535102E-2</v>
      </c>
      <c r="E24">
        <v>0.122361555623085</v>
      </c>
    </row>
    <row r="25" spans="1:5" ht="14.4" x14ac:dyDescent="0.55000000000000004">
      <c r="A25" s="4">
        <v>39778</v>
      </c>
      <c r="B25">
        <v>2.22112242878242E-2</v>
      </c>
      <c r="C25">
        <v>-1.8633568848950999E-2</v>
      </c>
      <c r="D25">
        <v>-3.1326945311046399E-2</v>
      </c>
      <c r="E25">
        <v>6.4667254732645799E-2</v>
      </c>
    </row>
    <row r="26" spans="1:5" ht="14.4" x14ac:dyDescent="0.55000000000000004">
      <c r="A26" s="4">
        <v>39813</v>
      </c>
      <c r="B26">
        <v>4.4060667294397301E-3</v>
      </c>
      <c r="C26">
        <v>-7.5042343254731704E-4</v>
      </c>
      <c r="D26">
        <v>-2.58769961074692E-2</v>
      </c>
      <c r="E26">
        <v>9.8136783393568405E-2</v>
      </c>
    </row>
    <row r="27" spans="1:5" ht="14.4" x14ac:dyDescent="0.55000000000000004">
      <c r="A27" s="4">
        <v>39841</v>
      </c>
      <c r="B27">
        <v>2.03551052276136E-2</v>
      </c>
      <c r="C27">
        <v>-1.5029967186275099E-2</v>
      </c>
      <c r="D27">
        <v>-4.0439830909847402E-2</v>
      </c>
      <c r="E27">
        <v>7.2672947917895206E-2</v>
      </c>
    </row>
    <row r="28" spans="1:5" ht="14.4" x14ac:dyDescent="0.55000000000000004">
      <c r="A28" s="4">
        <v>39869</v>
      </c>
      <c r="B28">
        <v>2.03531575230965E-2</v>
      </c>
      <c r="C28">
        <v>-1.43631873330051E-2</v>
      </c>
      <c r="D28">
        <v>-3.3923908365069401E-2</v>
      </c>
      <c r="E28">
        <v>7.7255384344296796E-2</v>
      </c>
    </row>
    <row r="29" spans="1:5" ht="14.4" x14ac:dyDescent="0.55000000000000004">
      <c r="A29" s="4">
        <v>39897</v>
      </c>
      <c r="B29">
        <v>3.221352439018E-2</v>
      </c>
      <c r="C29">
        <v>-2.7069743616807401E-2</v>
      </c>
      <c r="D29">
        <v>-4.9428258624857203E-2</v>
      </c>
      <c r="E29">
        <v>4.5742367867806701E-2</v>
      </c>
    </row>
    <row r="30" spans="1:5" ht="14.4" x14ac:dyDescent="0.55000000000000004">
      <c r="A30" s="4">
        <v>39932</v>
      </c>
      <c r="B30">
        <v>3.3736187155651201E-2</v>
      </c>
      <c r="C30">
        <v>-3.05139048530443E-2</v>
      </c>
      <c r="D30">
        <v>-4.6888271249159501E-2</v>
      </c>
      <c r="E30">
        <v>4.71692209525678E-2</v>
      </c>
    </row>
    <row r="31" spans="1:5" ht="14.4" x14ac:dyDescent="0.55000000000000004">
      <c r="A31" s="4">
        <v>39960</v>
      </c>
      <c r="B31">
        <v>3.6040168353621997E-2</v>
      </c>
      <c r="C31">
        <v>-3.2312534875560697E-2</v>
      </c>
      <c r="D31">
        <v>-5.27001767640475E-2</v>
      </c>
      <c r="E31">
        <v>5.9115618917687497E-2</v>
      </c>
    </row>
    <row r="32" spans="1:5" ht="14.4" x14ac:dyDescent="0.55000000000000004">
      <c r="A32" s="4">
        <v>39988</v>
      </c>
      <c r="B32">
        <v>2.9185793094048E-2</v>
      </c>
      <c r="C32">
        <v>-2.7088393126406901E-2</v>
      </c>
      <c r="D32">
        <v>-3.4919888663415298E-2</v>
      </c>
      <c r="E32">
        <v>7.3266471897754495E-2</v>
      </c>
    </row>
    <row r="33" spans="1:5" ht="14.4" x14ac:dyDescent="0.55000000000000004">
      <c r="A33" s="4">
        <v>40023</v>
      </c>
      <c r="B33">
        <v>3.4499487513854801E-2</v>
      </c>
      <c r="C33">
        <v>-3.1739510541654602E-2</v>
      </c>
      <c r="D33">
        <v>-4.1590205863068899E-2</v>
      </c>
      <c r="E33">
        <v>5.8055126275642799E-2</v>
      </c>
    </row>
    <row r="34" spans="1:5" ht="14.4" x14ac:dyDescent="0.55000000000000004">
      <c r="A34" s="4">
        <v>40051</v>
      </c>
      <c r="B34">
        <v>3.2244927826725299E-2</v>
      </c>
      <c r="C34">
        <v>-2.96416271974684E-2</v>
      </c>
      <c r="D34">
        <v>-3.8770289078884398E-2</v>
      </c>
      <c r="E34">
        <v>5.3036710082818198E-2</v>
      </c>
    </row>
    <row r="35" spans="1:5" ht="14.4" x14ac:dyDescent="0.55000000000000004">
      <c r="A35" s="4">
        <v>40086</v>
      </c>
      <c r="B35">
        <v>3.1771186792781597E-2</v>
      </c>
      <c r="C35">
        <v>-2.94292782306762E-2</v>
      </c>
      <c r="D35">
        <v>-4.0428918208355397E-2</v>
      </c>
      <c r="E35">
        <v>5.0684923562965799E-2</v>
      </c>
    </row>
    <row r="36" spans="1:5" ht="14.4" x14ac:dyDescent="0.55000000000000004">
      <c r="A36" s="4">
        <v>40114</v>
      </c>
      <c r="B36">
        <v>3.6373818216909402E-2</v>
      </c>
      <c r="C36">
        <v>-3.4508725011523599E-2</v>
      </c>
      <c r="D36">
        <v>-4.4939722082120603E-2</v>
      </c>
      <c r="E36">
        <v>4.25225234493554E-2</v>
      </c>
    </row>
    <row r="37" spans="1:5" ht="14.4" x14ac:dyDescent="0.55000000000000004">
      <c r="A37" s="4">
        <v>40142</v>
      </c>
      <c r="B37">
        <v>4.3425666487292E-2</v>
      </c>
      <c r="C37">
        <v>-4.0806860939135402E-2</v>
      </c>
      <c r="D37">
        <v>-5.86218526069981E-2</v>
      </c>
      <c r="E37">
        <v>2.1493262847360601E-2</v>
      </c>
    </row>
    <row r="38" spans="1:5" ht="14.4" x14ac:dyDescent="0.55000000000000004">
      <c r="A38" s="4">
        <v>40177</v>
      </c>
      <c r="B38">
        <v>3.7644174816354202E-2</v>
      </c>
      <c r="C38">
        <v>-3.61338109250217E-2</v>
      </c>
      <c r="D38">
        <v>-4.4970738348356999E-2</v>
      </c>
      <c r="E38">
        <v>5.0484929307322401E-2</v>
      </c>
    </row>
    <row r="39" spans="1:5" ht="14.4" x14ac:dyDescent="0.55000000000000004">
      <c r="A39" s="4">
        <v>40205</v>
      </c>
      <c r="B39">
        <v>4.0986728736682097E-2</v>
      </c>
      <c r="C39">
        <v>-3.9430769439591E-2</v>
      </c>
      <c r="D39">
        <v>-5.1083603261512303E-2</v>
      </c>
      <c r="E39">
        <v>3.66889473059092E-2</v>
      </c>
    </row>
    <row r="40" spans="1:5" ht="14.4" x14ac:dyDescent="0.55000000000000004">
      <c r="A40" s="4">
        <v>40233</v>
      </c>
      <c r="B40">
        <v>4.2589937871957903E-2</v>
      </c>
      <c r="C40">
        <v>-4.0162809930465698E-2</v>
      </c>
      <c r="D40">
        <v>-5.9558412074278498E-2</v>
      </c>
      <c r="E40">
        <v>4.0171698311576902E-2</v>
      </c>
    </row>
    <row r="41" spans="1:5" ht="14.4" x14ac:dyDescent="0.55000000000000004">
      <c r="A41" s="4">
        <v>40268</v>
      </c>
      <c r="B41">
        <v>4.6822177910674598E-2</v>
      </c>
      <c r="C41">
        <v>-4.3472004990641702E-2</v>
      </c>
      <c r="D41">
        <v>-6.0736442902308799E-2</v>
      </c>
      <c r="E41">
        <v>3.2854701786900802E-2</v>
      </c>
    </row>
    <row r="42" spans="1:5" ht="14.4" x14ac:dyDescent="0.55000000000000004">
      <c r="A42" s="4">
        <v>40296</v>
      </c>
      <c r="B42">
        <v>4.59545973881995E-2</v>
      </c>
      <c r="C42">
        <v>-4.2567102426525699E-2</v>
      </c>
      <c r="D42">
        <v>-5.5661012829278801E-2</v>
      </c>
      <c r="E42">
        <v>3.1407166215639999E-2</v>
      </c>
    </row>
    <row r="43" spans="1:5" ht="14.4" x14ac:dyDescent="0.55000000000000004">
      <c r="A43" s="4">
        <v>40324</v>
      </c>
      <c r="B43">
        <v>4.1820191859789302E-2</v>
      </c>
      <c r="C43">
        <v>-3.8505886388101797E-2</v>
      </c>
      <c r="D43">
        <v>-5.2178377390562698E-2</v>
      </c>
      <c r="E43">
        <v>1.5168448470212001E-2</v>
      </c>
    </row>
    <row r="44" spans="1:5" ht="14.4" x14ac:dyDescent="0.55000000000000004">
      <c r="A44" s="4">
        <v>40359</v>
      </c>
      <c r="B44">
        <v>4.06642424824947E-2</v>
      </c>
      <c r="C44">
        <v>-3.5871311384425203E-2</v>
      </c>
      <c r="D44">
        <v>-5.8356654312064701E-2</v>
      </c>
      <c r="E44">
        <v>1.31477576094983E-2</v>
      </c>
    </row>
    <row r="45" spans="1:5" ht="14.4" x14ac:dyDescent="0.55000000000000004">
      <c r="A45" s="4">
        <v>40387</v>
      </c>
      <c r="B45">
        <v>4.5734801182266999E-2</v>
      </c>
      <c r="C45">
        <v>-4.0817410780658703E-2</v>
      </c>
      <c r="D45">
        <v>-6.4510554440914705E-2</v>
      </c>
      <c r="E45">
        <v>1.55391617783767E-3</v>
      </c>
    </row>
    <row r="46" spans="1:5" ht="14.4" x14ac:dyDescent="0.55000000000000004">
      <c r="A46" s="4">
        <v>40415</v>
      </c>
      <c r="B46">
        <v>4.4350926911289598E-2</v>
      </c>
      <c r="C46">
        <v>-3.9320386573308497E-2</v>
      </c>
      <c r="D46">
        <v>-6.0675460870295302E-2</v>
      </c>
      <c r="E46">
        <v>-1.34936165366801E-2</v>
      </c>
    </row>
    <row r="47" spans="1:5" ht="14.4" x14ac:dyDescent="0.55000000000000004">
      <c r="A47" s="4">
        <v>40450</v>
      </c>
      <c r="B47">
        <v>5.00221740089839E-2</v>
      </c>
      <c r="C47">
        <v>-4.4341869057348701E-2</v>
      </c>
      <c r="D47">
        <v>-6.9593730212941796E-2</v>
      </c>
      <c r="E47">
        <v>-2.8179689436775901E-2</v>
      </c>
    </row>
    <row r="48" spans="1:5" ht="14.4" x14ac:dyDescent="0.55000000000000004">
      <c r="A48" s="4">
        <v>40478</v>
      </c>
      <c r="B48">
        <v>5.5856119411691198E-2</v>
      </c>
      <c r="C48">
        <v>-4.9758748637224799E-2</v>
      </c>
      <c r="D48">
        <v>-7.90999379736219E-2</v>
      </c>
      <c r="E48">
        <v>-3.3554033509051E-2</v>
      </c>
    </row>
    <row r="49" spans="1:5" ht="14.4" x14ac:dyDescent="0.55000000000000004">
      <c r="A49" s="4">
        <v>40506</v>
      </c>
      <c r="B49">
        <v>5.5929245997377301E-2</v>
      </c>
      <c r="C49">
        <v>-4.9961218293307699E-2</v>
      </c>
      <c r="D49">
        <v>-7.7749752410581296E-2</v>
      </c>
      <c r="E49">
        <v>-2.6668228867110101E-2</v>
      </c>
    </row>
    <row r="50" spans="1:5" ht="14.4" x14ac:dyDescent="0.55000000000000004">
      <c r="A50" s="4">
        <v>40541</v>
      </c>
      <c r="B50">
        <v>4.6454892602118901E-2</v>
      </c>
      <c r="C50">
        <v>-4.19559721856693E-2</v>
      </c>
      <c r="D50">
        <v>-6.69956683238766E-2</v>
      </c>
      <c r="E50">
        <v>1.3867616022916401E-2</v>
      </c>
    </row>
    <row r="51" spans="1:5" ht="14.4" x14ac:dyDescent="0.55000000000000004">
      <c r="A51" s="4">
        <v>40569</v>
      </c>
      <c r="B51">
        <v>4.9446725453297001E-2</v>
      </c>
      <c r="C51">
        <v>-4.4641413697599601E-2</v>
      </c>
      <c r="D51">
        <v>-7.1559033071809205E-2</v>
      </c>
      <c r="E51">
        <v>8.3742964440648993E-3</v>
      </c>
    </row>
    <row r="52" spans="1:5" ht="14.4" x14ac:dyDescent="0.55000000000000004">
      <c r="A52" s="4">
        <v>40597</v>
      </c>
      <c r="B52">
        <v>4.93551795122859E-2</v>
      </c>
      <c r="C52">
        <v>-4.6295759450750401E-2</v>
      </c>
      <c r="D52">
        <v>-6.3083739183127693E-2</v>
      </c>
      <c r="E52">
        <v>7.3113663035558798E-3</v>
      </c>
    </row>
    <row r="53" spans="1:5" ht="14.4" x14ac:dyDescent="0.55000000000000004">
      <c r="A53" s="4">
        <v>40632</v>
      </c>
      <c r="B53">
        <v>4.8110508506348001E-2</v>
      </c>
      <c r="C53">
        <v>-4.5412896679900297E-2</v>
      </c>
      <c r="D53">
        <v>-5.9333813380321697E-2</v>
      </c>
      <c r="E53">
        <v>8.3293597211049307E-3</v>
      </c>
    </row>
    <row r="54" spans="1:5" ht="14.4" x14ac:dyDescent="0.55000000000000004">
      <c r="A54" s="4">
        <v>40660</v>
      </c>
      <c r="B54">
        <v>5.0074239467275503E-2</v>
      </c>
      <c r="C54">
        <v>-4.6989996332896203E-2</v>
      </c>
      <c r="D54">
        <v>-6.6275905862058504E-2</v>
      </c>
      <c r="E54">
        <v>2.00635499941009E-3</v>
      </c>
    </row>
    <row r="55" spans="1:5" ht="14.4" x14ac:dyDescent="0.55000000000000004">
      <c r="A55" s="4">
        <v>40688</v>
      </c>
      <c r="B55">
        <v>4.9773937682204603E-2</v>
      </c>
      <c r="C55">
        <v>-4.5970448499810301E-2</v>
      </c>
      <c r="D55">
        <v>-6.9311902662414895E-2</v>
      </c>
      <c r="E55">
        <v>-4.2167377185015004E-3</v>
      </c>
    </row>
    <row r="56" spans="1:5" ht="14.4" x14ac:dyDescent="0.55000000000000004">
      <c r="A56" s="4">
        <v>40723</v>
      </c>
      <c r="B56">
        <v>5.2925176073054997E-2</v>
      </c>
      <c r="C56">
        <v>-4.8339880066312402E-2</v>
      </c>
      <c r="D56">
        <v>-7.6570457581276397E-2</v>
      </c>
      <c r="E56">
        <v>-1.04433571404154E-2</v>
      </c>
    </row>
    <row r="57" spans="1:5" ht="14.4" x14ac:dyDescent="0.55000000000000004">
      <c r="A57" s="4">
        <v>40751</v>
      </c>
      <c r="B57">
        <v>5.41326440503987E-2</v>
      </c>
      <c r="C57">
        <v>-4.8838668505349403E-2</v>
      </c>
      <c r="D57">
        <v>-7.8837026528002896E-2</v>
      </c>
      <c r="E57">
        <v>-1.8037706777156499E-2</v>
      </c>
    </row>
    <row r="58" spans="1:5" ht="14.4" x14ac:dyDescent="0.55000000000000004">
      <c r="A58" s="4">
        <v>40786</v>
      </c>
      <c r="B58">
        <v>5.5489776289907401E-2</v>
      </c>
      <c r="C58">
        <v>-5.00130146781902E-2</v>
      </c>
      <c r="D58">
        <v>-7.9427441851524005E-2</v>
      </c>
      <c r="E58">
        <v>-4.8798108630067602E-2</v>
      </c>
    </row>
    <row r="59" spans="1:5" ht="14.4" x14ac:dyDescent="0.55000000000000004">
      <c r="A59" s="4">
        <v>40814</v>
      </c>
      <c r="B59">
        <v>4.3831457754978903E-2</v>
      </c>
      <c r="C59">
        <v>-3.90154046717852E-2</v>
      </c>
      <c r="D59">
        <v>-6.3578712312338803E-2</v>
      </c>
      <c r="E59">
        <v>-2.8247411196551199E-2</v>
      </c>
    </row>
    <row r="60" spans="1:5" ht="14.4" x14ac:dyDescent="0.55000000000000004">
      <c r="A60" s="4">
        <v>40842</v>
      </c>
      <c r="B60">
        <v>4.0609363537629402E-2</v>
      </c>
      <c r="C60">
        <v>-3.6452346382402301E-2</v>
      </c>
      <c r="D60">
        <v>-6.1757690203936698E-2</v>
      </c>
      <c r="E60">
        <v>-1.20339516782118E-2</v>
      </c>
    </row>
    <row r="61" spans="1:5" ht="14.4" x14ac:dyDescent="0.55000000000000004">
      <c r="A61" s="4">
        <v>40877</v>
      </c>
      <c r="B61">
        <v>3.83209443055458E-2</v>
      </c>
      <c r="C61">
        <v>-3.42689244779215E-2</v>
      </c>
      <c r="D61">
        <v>-5.9926396461099998E-2</v>
      </c>
      <c r="E61">
        <v>-1.1120143447784E-2</v>
      </c>
    </row>
    <row r="62" spans="1:5" ht="14.4" x14ac:dyDescent="0.55000000000000004">
      <c r="A62" s="4">
        <v>40905</v>
      </c>
      <c r="B62">
        <v>3.9261876218780002E-2</v>
      </c>
      <c r="C62">
        <v>-3.5499756916020399E-2</v>
      </c>
      <c r="D62">
        <v>-5.6490861175278698E-2</v>
      </c>
      <c r="E62">
        <v>-2.0929891526957001E-2</v>
      </c>
    </row>
    <row r="63" spans="1:5" ht="14.4" x14ac:dyDescent="0.55000000000000004">
      <c r="A63" s="4">
        <v>40933</v>
      </c>
      <c r="B63">
        <v>4.3471817302335299E-2</v>
      </c>
      <c r="C63">
        <v>-3.8506273455052101E-2</v>
      </c>
      <c r="D63">
        <v>-6.7785702682695098E-2</v>
      </c>
      <c r="E63">
        <v>-2.6058785245563099E-2</v>
      </c>
    </row>
    <row r="64" spans="1:5" ht="14.4" x14ac:dyDescent="0.55000000000000004">
      <c r="A64" s="4">
        <v>40968</v>
      </c>
      <c r="B64">
        <v>4.4159148187836103E-2</v>
      </c>
      <c r="C64">
        <v>-3.9046001164700701E-2</v>
      </c>
      <c r="D64">
        <v>-6.4442335616050006E-2</v>
      </c>
      <c r="E64">
        <v>-3.1636933178151597E-2</v>
      </c>
    </row>
    <row r="65" spans="1:5" ht="14.4" x14ac:dyDescent="0.55000000000000004">
      <c r="A65" s="4">
        <v>40996</v>
      </c>
      <c r="B65">
        <v>4.4479698241005998E-2</v>
      </c>
      <c r="C65">
        <v>-3.9389584387400402E-2</v>
      </c>
      <c r="D65">
        <v>-6.4948957650545605E-2</v>
      </c>
      <c r="E65">
        <v>-2.3841128853972202E-2</v>
      </c>
    </row>
    <row r="66" spans="1:5" ht="14.4" x14ac:dyDescent="0.55000000000000004">
      <c r="A66" s="4">
        <v>41024</v>
      </c>
      <c r="B66">
        <v>4.5349596496671397E-2</v>
      </c>
      <c r="C66">
        <v>-3.9857874125557399E-2</v>
      </c>
      <c r="D66">
        <v>-6.6950895818356504E-2</v>
      </c>
      <c r="E66">
        <v>-3.3381683730917697E-2</v>
      </c>
    </row>
    <row r="67" spans="1:5" ht="14.4" x14ac:dyDescent="0.55000000000000004">
      <c r="A67" s="4">
        <v>41059</v>
      </c>
      <c r="B67">
        <v>4.4375641994631197E-2</v>
      </c>
      <c r="C67">
        <v>-3.9520306264356903E-2</v>
      </c>
      <c r="D67">
        <v>-5.80464839259201E-2</v>
      </c>
      <c r="E67">
        <v>-4.8424364087273103E-2</v>
      </c>
    </row>
    <row r="68" spans="1:5" ht="14.4" x14ac:dyDescent="0.55000000000000004">
      <c r="A68" s="4">
        <v>41087</v>
      </c>
      <c r="B68">
        <v>4.3219135559511797E-2</v>
      </c>
      <c r="C68">
        <v>-3.8469242329777498E-2</v>
      </c>
      <c r="D68">
        <v>-5.5676495894532302E-2</v>
      </c>
      <c r="E68">
        <v>-4.5079771290522298E-2</v>
      </c>
    </row>
    <row r="69" spans="1:5" ht="14.4" x14ac:dyDescent="0.55000000000000004">
      <c r="A69" s="4">
        <v>41115</v>
      </c>
      <c r="B69">
        <v>4.0732249827322098E-2</v>
      </c>
      <c r="C69">
        <v>-3.5506050292203099E-2</v>
      </c>
      <c r="D69">
        <v>-5.6344329670780402E-2</v>
      </c>
      <c r="E69">
        <v>-4.4569679391427398E-2</v>
      </c>
    </row>
    <row r="70" spans="1:5" ht="14.4" x14ac:dyDescent="0.55000000000000004">
      <c r="A70" s="4">
        <v>41150</v>
      </c>
      <c r="B70">
        <v>4.30939096473682E-2</v>
      </c>
      <c r="C70">
        <v>-3.7384950547947902E-2</v>
      </c>
      <c r="D70">
        <v>-6.07924038150537E-2</v>
      </c>
      <c r="E70">
        <v>-4.1958662695721502E-2</v>
      </c>
    </row>
    <row r="71" spans="1:5" ht="14.4" x14ac:dyDescent="0.55000000000000004">
      <c r="A71" s="4">
        <v>41178</v>
      </c>
      <c r="B71">
        <v>4.5060159313057201E-2</v>
      </c>
      <c r="C71">
        <v>-3.9443594280387899E-2</v>
      </c>
      <c r="D71">
        <v>-6.2769937799300499E-2</v>
      </c>
      <c r="E71">
        <v>-4.8098494970327997E-2</v>
      </c>
    </row>
    <row r="72" spans="1:5" ht="14.4" x14ac:dyDescent="0.55000000000000004">
      <c r="A72" s="4">
        <v>41213</v>
      </c>
      <c r="B72">
        <v>4.4979237230264098E-2</v>
      </c>
      <c r="C72">
        <v>-3.9591915745621702E-2</v>
      </c>
      <c r="D72">
        <v>-6.1304644943995901E-2</v>
      </c>
      <c r="E72">
        <v>-4.5416159221096201E-2</v>
      </c>
    </row>
    <row r="73" spans="1:5" ht="14.4" x14ac:dyDescent="0.55000000000000004">
      <c r="A73" s="4">
        <v>41241</v>
      </c>
      <c r="B73">
        <v>4.5710371175887499E-2</v>
      </c>
      <c r="C73">
        <v>-4.05320853672071E-2</v>
      </c>
      <c r="D73">
        <v>-6.1132021292872797E-2</v>
      </c>
      <c r="E73">
        <v>-5.1154235888789701E-2</v>
      </c>
    </row>
    <row r="74" spans="1:5" ht="14.4" x14ac:dyDescent="0.55000000000000004">
      <c r="A74" s="4">
        <v>41269</v>
      </c>
      <c r="B74">
        <v>4.6027086479041197E-2</v>
      </c>
      <c r="C74">
        <v>-4.1434841698409698E-2</v>
      </c>
      <c r="D74">
        <v>-6.1406559691155001E-2</v>
      </c>
      <c r="E74">
        <v>-4.6969608011512801E-2</v>
      </c>
    </row>
    <row r="75" spans="1:5" ht="14.4" x14ac:dyDescent="0.55000000000000004">
      <c r="A75" s="4">
        <v>41304</v>
      </c>
      <c r="B75">
        <v>4.6821785730132202E-2</v>
      </c>
      <c r="C75">
        <v>-4.2214037475649703E-2</v>
      </c>
      <c r="D75">
        <v>-6.5642585599057696E-2</v>
      </c>
      <c r="E75">
        <v>-3.91241055996032E-2</v>
      </c>
    </row>
    <row r="76" spans="1:5" ht="14.4" x14ac:dyDescent="0.55000000000000004">
      <c r="A76" s="4">
        <v>41332</v>
      </c>
      <c r="B76">
        <v>4.9083167005529602E-2</v>
      </c>
      <c r="C76">
        <v>-4.3818165313850403E-2</v>
      </c>
      <c r="D76">
        <v>-6.7482278715760402E-2</v>
      </c>
      <c r="E76">
        <v>-4.96316207438387E-2</v>
      </c>
    </row>
    <row r="77" spans="1:5" ht="14.4" x14ac:dyDescent="0.55000000000000004">
      <c r="A77" s="4">
        <v>41360</v>
      </c>
      <c r="B77">
        <v>4.8977405484421303E-2</v>
      </c>
      <c r="C77">
        <v>-4.3986740839109299E-2</v>
      </c>
      <c r="D77">
        <v>-6.7827157506618496E-2</v>
      </c>
      <c r="E77">
        <v>-4.9538883945729598E-2</v>
      </c>
    </row>
    <row r="78" spans="1:5" ht="14.4" x14ac:dyDescent="0.55000000000000004">
      <c r="A78" s="4">
        <v>41388</v>
      </c>
      <c r="B78">
        <v>4.6562656926903798E-2</v>
      </c>
      <c r="C78">
        <v>-4.1729841409396999E-2</v>
      </c>
      <c r="D78">
        <v>-6.4483013313228199E-2</v>
      </c>
      <c r="E78">
        <v>-4.8892254288661001E-2</v>
      </c>
    </row>
    <row r="79" spans="1:5" ht="14.4" x14ac:dyDescent="0.55000000000000004">
      <c r="A79" s="4">
        <v>41423</v>
      </c>
      <c r="B79">
        <v>4.6934038095962999E-2</v>
      </c>
      <c r="C79">
        <v>-4.24010527920652E-2</v>
      </c>
      <c r="D79">
        <v>-6.6011496852128898E-2</v>
      </c>
      <c r="E79">
        <v>-3.5343169712220901E-2</v>
      </c>
    </row>
    <row r="80" spans="1:5" ht="14.4" x14ac:dyDescent="0.55000000000000004">
      <c r="A80" s="4">
        <v>41451</v>
      </c>
      <c r="B80">
        <v>4.3326476838325398E-2</v>
      </c>
      <c r="C80">
        <v>-3.9445243873507702E-2</v>
      </c>
      <c r="D80">
        <v>-6.2524699171996906E-2</v>
      </c>
      <c r="E80">
        <v>-1.08078995486918E-2</v>
      </c>
    </row>
    <row r="81" spans="1:5" ht="14.4" x14ac:dyDescent="0.55000000000000004">
      <c r="A81" s="4">
        <v>41486</v>
      </c>
      <c r="B81">
        <v>4.1743338263211999E-2</v>
      </c>
      <c r="C81">
        <v>-3.7896464541078798E-2</v>
      </c>
      <c r="D81">
        <v>-6.5197145750935798E-2</v>
      </c>
      <c r="E81">
        <v>-2.5606220786634202E-3</v>
      </c>
    </row>
    <row r="82" spans="1:5" ht="14.4" x14ac:dyDescent="0.55000000000000004">
      <c r="A82" s="4">
        <v>41514</v>
      </c>
      <c r="B82">
        <v>4.0720936084763397E-2</v>
      </c>
      <c r="C82">
        <v>-3.7714778060441698E-2</v>
      </c>
      <c r="D82">
        <v>-6.0040339440481899E-2</v>
      </c>
      <c r="E82">
        <v>5.2189757087558403E-3</v>
      </c>
    </row>
    <row r="83" spans="1:5" ht="14.4" x14ac:dyDescent="0.55000000000000004">
      <c r="A83" s="4">
        <v>41542</v>
      </c>
      <c r="B83">
        <v>4.2424435893381601E-2</v>
      </c>
      <c r="C83">
        <v>-3.9293356106089E-2</v>
      </c>
      <c r="D83">
        <v>-6.3747129654082205E-2</v>
      </c>
      <c r="E83">
        <v>-3.3891747434047202E-3</v>
      </c>
    </row>
    <row r="84" spans="1:5" ht="14.4" x14ac:dyDescent="0.55000000000000004">
      <c r="A84" s="4">
        <v>41577</v>
      </c>
      <c r="B84">
        <v>4.41505766312583E-2</v>
      </c>
      <c r="C84">
        <v>-3.9821905032466201E-2</v>
      </c>
      <c r="D84">
        <v>-6.7981588151812905E-2</v>
      </c>
      <c r="E84">
        <v>-9.9886925919984697E-3</v>
      </c>
    </row>
    <row r="85" spans="1:5" ht="14.4" x14ac:dyDescent="0.55000000000000004">
      <c r="A85" s="4">
        <v>41605</v>
      </c>
      <c r="B85">
        <v>4.2362312863177001E-2</v>
      </c>
      <c r="C85">
        <v>-3.7614995673290103E-2</v>
      </c>
      <c r="D85">
        <v>-7.1290368877966401E-2</v>
      </c>
      <c r="E85">
        <v>3.6020002945499302E-3</v>
      </c>
    </row>
    <row r="86" spans="1:5" ht="14.4" x14ac:dyDescent="0.55000000000000004">
      <c r="A86" s="4">
        <v>41633</v>
      </c>
      <c r="B86">
        <v>3.7201669754595899E-2</v>
      </c>
      <c r="C86">
        <v>-3.3965002586401401E-2</v>
      </c>
      <c r="D86">
        <v>-6.1064157999122202E-2</v>
      </c>
      <c r="E86">
        <v>2.3978164195465699E-2</v>
      </c>
    </row>
    <row r="87" spans="1:5" ht="14.4" x14ac:dyDescent="0.55000000000000004">
      <c r="A87" s="4">
        <v>41668</v>
      </c>
      <c r="B87">
        <v>3.8290429114705801E-2</v>
      </c>
      <c r="C87">
        <v>-3.5346801717434297E-2</v>
      </c>
      <c r="D87">
        <v>-5.9592111470684501E-2</v>
      </c>
      <c r="E87">
        <v>9.4136594594363392E-3</v>
      </c>
    </row>
    <row r="88" spans="1:5" ht="14.4" x14ac:dyDescent="0.55000000000000004">
      <c r="A88" s="4">
        <v>41696</v>
      </c>
      <c r="B88">
        <v>3.95438791314437E-2</v>
      </c>
      <c r="C88">
        <v>-3.6194612415368997E-2</v>
      </c>
      <c r="D88">
        <v>-6.1782117338181203E-2</v>
      </c>
      <c r="E88">
        <v>5.4417089271227501E-3</v>
      </c>
    </row>
    <row r="89" spans="1:5" ht="14.4" x14ac:dyDescent="0.55000000000000004">
      <c r="A89" s="4">
        <v>41724</v>
      </c>
      <c r="B89">
        <v>3.7137031859021202E-2</v>
      </c>
      <c r="C89">
        <v>-3.5469347040321501E-2</v>
      </c>
      <c r="D89">
        <v>-5.0702119736386497E-2</v>
      </c>
      <c r="E89">
        <v>9.3951125514736798E-3</v>
      </c>
    </row>
    <row r="90" spans="1:5" ht="14.4" x14ac:dyDescent="0.55000000000000004">
      <c r="A90" s="4">
        <v>41759</v>
      </c>
      <c r="B90">
        <v>3.7440025154425002E-2</v>
      </c>
      <c r="C90">
        <v>-3.58116534158473E-2</v>
      </c>
      <c r="D90">
        <v>-5.2906610055947101E-2</v>
      </c>
      <c r="E90">
        <v>1.21884880813542E-2</v>
      </c>
    </row>
    <row r="91" spans="1:5" ht="14.4" x14ac:dyDescent="0.55000000000000004">
      <c r="A91" s="4">
        <v>41787</v>
      </c>
      <c r="B91">
        <v>4.0485835811610901E-2</v>
      </c>
      <c r="C91">
        <v>-3.8584310489764899E-2</v>
      </c>
      <c r="D91">
        <v>-5.4446210312002398E-2</v>
      </c>
      <c r="E91">
        <v>-3.3614424804371801E-3</v>
      </c>
    </row>
    <row r="92" spans="1:5" ht="14.4" x14ac:dyDescent="0.55000000000000004">
      <c r="A92" s="4">
        <v>41815</v>
      </c>
      <c r="B92">
        <v>3.9779301534441598E-2</v>
      </c>
      <c r="C92">
        <v>-3.834644341231E-2</v>
      </c>
      <c r="D92">
        <v>-5.0106403409335101E-2</v>
      </c>
      <c r="E92">
        <v>2.1328123881686999E-3</v>
      </c>
    </row>
    <row r="93" spans="1:5" ht="14.4" x14ac:dyDescent="0.55000000000000004">
      <c r="A93" s="4">
        <v>41850</v>
      </c>
      <c r="B93">
        <v>3.74402132838806E-2</v>
      </c>
      <c r="C93">
        <v>-3.7019521918617002E-2</v>
      </c>
      <c r="D93">
        <v>-4.1819244145310602E-2</v>
      </c>
      <c r="E93">
        <v>5.6092839634644398E-3</v>
      </c>
    </row>
    <row r="94" spans="1:5" ht="14.4" x14ac:dyDescent="0.55000000000000004">
      <c r="A94" s="4">
        <v>41878</v>
      </c>
      <c r="B94">
        <v>3.7407641856578903E-2</v>
      </c>
      <c r="C94">
        <v>-3.7068301500434497E-2</v>
      </c>
      <c r="D94">
        <v>-3.92710558285609E-2</v>
      </c>
      <c r="E94">
        <v>-2.9485361198346902E-3</v>
      </c>
    </row>
    <row r="95" spans="1:5" ht="14.4" x14ac:dyDescent="0.55000000000000004">
      <c r="A95" s="4">
        <v>41906</v>
      </c>
      <c r="B95">
        <v>3.6384387192401703E-2</v>
      </c>
      <c r="C95">
        <v>-3.6662239809581297E-2</v>
      </c>
      <c r="D95">
        <v>-3.7479183679672699E-2</v>
      </c>
      <c r="E95">
        <v>7.1174773779652499E-3</v>
      </c>
    </row>
    <row r="96" spans="1:5" ht="14.4" x14ac:dyDescent="0.55000000000000004">
      <c r="A96" s="4">
        <v>41941</v>
      </c>
      <c r="B96">
        <v>3.5589885833708E-2</v>
      </c>
      <c r="C96">
        <v>-3.5190952025915302E-2</v>
      </c>
      <c r="D96">
        <v>-3.8612442048897799E-2</v>
      </c>
      <c r="E96">
        <v>1.2392642352536099E-3</v>
      </c>
    </row>
    <row r="97" spans="1:5" ht="14.4" x14ac:dyDescent="0.55000000000000004">
      <c r="A97" s="4">
        <v>41969</v>
      </c>
      <c r="B97">
        <v>3.51319096879266E-2</v>
      </c>
      <c r="C97">
        <v>-3.4652877943407601E-2</v>
      </c>
      <c r="D97">
        <v>-3.6732333730841699E-2</v>
      </c>
      <c r="E97">
        <v>-1.5871440849285401E-3</v>
      </c>
    </row>
    <row r="98" spans="1:5" ht="14.4" x14ac:dyDescent="0.55000000000000004">
      <c r="A98" s="4">
        <v>42004</v>
      </c>
      <c r="B98">
        <v>3.0935128644875E-2</v>
      </c>
      <c r="C98">
        <v>-3.1150011475161801E-2</v>
      </c>
      <c r="D98">
        <v>-2.3915090446657902E-2</v>
      </c>
      <c r="E98">
        <v>1.7886263234882999E-3</v>
      </c>
    </row>
    <row r="99" spans="1:5" ht="14.4" x14ac:dyDescent="0.55000000000000004">
      <c r="A99" s="4">
        <v>42032</v>
      </c>
      <c r="B99">
        <v>2.7136956591740001E-2</v>
      </c>
      <c r="C99">
        <v>-2.69342406687503E-2</v>
      </c>
      <c r="D99">
        <v>-2.5433820572830501E-2</v>
      </c>
      <c r="E99">
        <v>-1.2289858170680601E-3</v>
      </c>
    </row>
    <row r="100" spans="1:5" ht="14.4" x14ac:dyDescent="0.55000000000000004">
      <c r="A100" s="4">
        <v>42060</v>
      </c>
      <c r="B100">
        <v>2.9136960643729899E-2</v>
      </c>
      <c r="C100">
        <v>-2.9218957462828699E-2</v>
      </c>
      <c r="D100">
        <v>-2.5558914199197199E-2</v>
      </c>
      <c r="E100">
        <v>1.99133407178614E-3</v>
      </c>
    </row>
    <row r="101" spans="1:5" ht="14.4" x14ac:dyDescent="0.55000000000000004">
      <c r="A101" s="4">
        <v>42088</v>
      </c>
      <c r="B101">
        <v>2.95157237140658E-2</v>
      </c>
      <c r="C101">
        <v>-2.8843834985035701E-2</v>
      </c>
      <c r="D101">
        <v>-2.6362087928784101E-2</v>
      </c>
      <c r="E101">
        <v>-1.6746033610363E-3</v>
      </c>
    </row>
    <row r="102" spans="1:5" ht="14.4" x14ac:dyDescent="0.55000000000000004">
      <c r="A102" s="4">
        <v>42123</v>
      </c>
      <c r="B102">
        <v>3.4890065237090401E-2</v>
      </c>
      <c r="C102">
        <v>-3.3897593127872203E-2</v>
      </c>
      <c r="D102">
        <v>-3.4470318375772899E-2</v>
      </c>
      <c r="E102">
        <v>-8.9967694817712999E-3</v>
      </c>
    </row>
    <row r="103" spans="1:5" ht="14.4" x14ac:dyDescent="0.55000000000000004">
      <c r="A103" s="4">
        <v>42151</v>
      </c>
      <c r="B103">
        <v>3.7607141428789202E-2</v>
      </c>
      <c r="C103">
        <v>-3.68260021720202E-2</v>
      </c>
      <c r="D103">
        <v>-3.4615616396813702E-2</v>
      </c>
      <c r="E103">
        <v>-1.3315043783138599E-2</v>
      </c>
    </row>
    <row r="104" spans="1:5" ht="14.4" x14ac:dyDescent="0.55000000000000004">
      <c r="A104" s="4">
        <v>42179</v>
      </c>
      <c r="B104">
        <v>4.1707266620288203E-2</v>
      </c>
      <c r="C104">
        <v>-4.0689616030669701E-2</v>
      </c>
      <c r="D104">
        <v>-3.8608476843055302E-2</v>
      </c>
      <c r="E104">
        <v>-1.5998800897480799E-2</v>
      </c>
    </row>
    <row r="105" spans="1:5" ht="14.4" x14ac:dyDescent="0.55000000000000004">
      <c r="A105" s="4">
        <v>42214</v>
      </c>
      <c r="B105">
        <v>3.9351550978430301E-2</v>
      </c>
      <c r="C105">
        <v>-3.8103315805559097E-2</v>
      </c>
      <c r="D105">
        <v>-3.4623558496139802E-2</v>
      </c>
      <c r="E105">
        <v>-1.55349725966354E-2</v>
      </c>
    </row>
    <row r="106" spans="1:5" ht="14.4" x14ac:dyDescent="0.55000000000000004">
      <c r="A106" s="4">
        <v>42242</v>
      </c>
      <c r="B106">
        <v>3.8090255021907098E-2</v>
      </c>
      <c r="C106">
        <v>-3.5728104321810103E-2</v>
      </c>
      <c r="D106">
        <v>-3.70244066765094E-2</v>
      </c>
      <c r="E106">
        <v>-1.30388715065185E-2</v>
      </c>
    </row>
    <row r="107" spans="1:5" ht="14.4" x14ac:dyDescent="0.55000000000000004">
      <c r="A107" s="4">
        <v>42277</v>
      </c>
      <c r="B107">
        <v>4.2331403798457699E-2</v>
      </c>
      <c r="C107">
        <v>-4.0271944452216497E-2</v>
      </c>
      <c r="D107">
        <v>-3.9710233718323898E-2</v>
      </c>
      <c r="E107">
        <v>-3.0127515050222601E-2</v>
      </c>
    </row>
    <row r="108" spans="1:5" ht="14.4" x14ac:dyDescent="0.55000000000000004">
      <c r="A108" s="4">
        <v>42305</v>
      </c>
      <c r="B108">
        <v>4.0515695674873099E-2</v>
      </c>
      <c r="C108">
        <v>-3.78409962038301E-2</v>
      </c>
      <c r="D108">
        <v>-3.6250859177556397E-2</v>
      </c>
      <c r="E108">
        <v>-2.50319310756024E-2</v>
      </c>
    </row>
    <row r="109" spans="1:5" ht="14.4" x14ac:dyDescent="0.55000000000000004">
      <c r="A109" s="4">
        <v>42333</v>
      </c>
      <c r="B109">
        <v>4.1994439409345802E-2</v>
      </c>
      <c r="C109">
        <v>-3.7997148673300403E-2</v>
      </c>
      <c r="D109">
        <v>-3.2948497608467103E-2</v>
      </c>
      <c r="E109">
        <v>-2.62070799526853E-2</v>
      </c>
    </row>
    <row r="110" spans="1:5" ht="14.4" x14ac:dyDescent="0.55000000000000004">
      <c r="A110" s="4">
        <v>42368</v>
      </c>
      <c r="B110">
        <v>4.1165722500309698E-2</v>
      </c>
      <c r="C110">
        <v>-3.6537015521682599E-2</v>
      </c>
      <c r="D110">
        <v>-2.8799778872131299E-2</v>
      </c>
      <c r="E110">
        <v>-2.25106364912438E-2</v>
      </c>
    </row>
    <row r="111" spans="1:5" ht="14.4" x14ac:dyDescent="0.55000000000000004">
      <c r="A111" s="4">
        <v>42396</v>
      </c>
      <c r="B111">
        <v>4.1322568845402301E-2</v>
      </c>
      <c r="C111">
        <v>-3.5448487374218803E-2</v>
      </c>
      <c r="D111">
        <v>-3.6798147170796901E-2</v>
      </c>
      <c r="E111">
        <v>-3.1782542275979403E-2</v>
      </c>
    </row>
    <row r="112" spans="1:5" ht="14.4" x14ac:dyDescent="0.55000000000000004">
      <c r="A112" s="4">
        <v>42424</v>
      </c>
      <c r="B112">
        <v>4.2274528072045799E-2</v>
      </c>
      <c r="C112">
        <v>-3.6223972187793198E-2</v>
      </c>
      <c r="D112">
        <v>-3.8697369875178099E-2</v>
      </c>
      <c r="E112">
        <v>-4.3173662470625901E-2</v>
      </c>
    </row>
    <row r="113" spans="1:5" ht="14.4" x14ac:dyDescent="0.55000000000000004">
      <c r="A113" s="4">
        <v>42459</v>
      </c>
      <c r="B113">
        <v>4.1917158876804597E-2</v>
      </c>
      <c r="C113">
        <v>-3.6885699021302898E-2</v>
      </c>
      <c r="D113">
        <v>-3.7271923577756202E-2</v>
      </c>
      <c r="E113">
        <v>-3.9556557454862799E-2</v>
      </c>
    </row>
    <row r="114" spans="1:5" ht="14.4" x14ac:dyDescent="0.55000000000000004">
      <c r="A114" s="4">
        <v>42487</v>
      </c>
      <c r="B114">
        <v>4.4270245598214499E-2</v>
      </c>
      <c r="C114">
        <v>-3.9477546823605103E-2</v>
      </c>
      <c r="D114">
        <v>-3.7323759876347298E-2</v>
      </c>
      <c r="E114">
        <v>-4.57452746067597E-2</v>
      </c>
    </row>
    <row r="115" spans="1:5" ht="14.4" x14ac:dyDescent="0.55000000000000004">
      <c r="A115" s="4">
        <v>42515</v>
      </c>
      <c r="B115">
        <v>4.3176047384200798E-2</v>
      </c>
      <c r="C115">
        <v>-3.7138395885979399E-2</v>
      </c>
      <c r="D115">
        <v>-3.4211055815614497E-2</v>
      </c>
      <c r="E115">
        <v>-4.4635389355262303E-2</v>
      </c>
    </row>
    <row r="116" spans="1:5" ht="14.4" x14ac:dyDescent="0.55000000000000004">
      <c r="A116" s="4">
        <v>42550</v>
      </c>
      <c r="B116">
        <v>4.12235414630861E-2</v>
      </c>
      <c r="C116">
        <v>-3.5667459707940101E-2</v>
      </c>
      <c r="D116">
        <v>-3.7465001591329102E-2</v>
      </c>
      <c r="E116">
        <v>-5.1090208300908102E-2</v>
      </c>
    </row>
    <row r="117" spans="1:5" ht="14.4" x14ac:dyDescent="0.55000000000000004">
      <c r="A117" s="4">
        <v>42578</v>
      </c>
      <c r="B117">
        <v>3.7228147156907698E-2</v>
      </c>
      <c r="C117">
        <v>-3.166069106924E-2</v>
      </c>
      <c r="D117">
        <v>-3.1189074490741899E-2</v>
      </c>
      <c r="E117">
        <v>-4.1673581221003897E-2</v>
      </c>
    </row>
    <row r="118" spans="1:5" ht="14.4" x14ac:dyDescent="0.55000000000000004">
      <c r="A118" s="4">
        <v>42613</v>
      </c>
      <c r="B118">
        <v>3.45250500158579E-2</v>
      </c>
      <c r="C118">
        <v>-2.8755960735606399E-2</v>
      </c>
      <c r="D118">
        <v>-2.7478877811003999E-2</v>
      </c>
      <c r="E118">
        <v>-3.1833759763943502E-2</v>
      </c>
    </row>
    <row r="119" spans="1:5" ht="14.4" x14ac:dyDescent="0.55000000000000004">
      <c r="A119" s="4">
        <v>42641</v>
      </c>
      <c r="B119">
        <v>3.6978139172955303E-2</v>
      </c>
      <c r="C119">
        <v>-3.1312438227212198E-2</v>
      </c>
      <c r="D119">
        <v>-3.1165860215383201E-2</v>
      </c>
      <c r="E119">
        <v>-3.7750691554084198E-2</v>
      </c>
    </row>
    <row r="120" spans="1:5" ht="14.4" x14ac:dyDescent="0.55000000000000004">
      <c r="A120" s="4">
        <v>42669</v>
      </c>
      <c r="B120">
        <v>3.9936634128740302E-2</v>
      </c>
      <c r="C120">
        <v>-3.3532763629017998E-2</v>
      </c>
      <c r="D120">
        <v>-3.2833055946422503E-2</v>
      </c>
      <c r="E120">
        <v>-3.85897892369573E-2</v>
      </c>
    </row>
    <row r="121" spans="1:5" ht="14.4" x14ac:dyDescent="0.55000000000000004">
      <c r="A121" s="4">
        <v>42704</v>
      </c>
      <c r="B121">
        <v>3.8281222395338398E-2</v>
      </c>
      <c r="C121">
        <v>-3.1942557823032597E-2</v>
      </c>
      <c r="D121">
        <v>-2.7764925864035599E-2</v>
      </c>
      <c r="E121">
        <v>-1.30871456335488E-2</v>
      </c>
    </row>
    <row r="122" spans="1:5" ht="14.4" thickBot="1" x14ac:dyDescent="0.55000000000000004">
      <c r="A122" s="6">
        <v>42732</v>
      </c>
      <c r="B122" s="7">
        <v>3.6972173047363402E-2</v>
      </c>
      <c r="C122" s="7">
        <v>-3.0961514666616199E-2</v>
      </c>
      <c r="D122" s="7">
        <v>-2.2993008807461201E-2</v>
      </c>
      <c r="E122" s="7">
        <v>-7.0540348055155803E-3</v>
      </c>
    </row>
    <row r="123" spans="1:5" ht="14.4" x14ac:dyDescent="0.55000000000000004">
      <c r="A123" s="1">
        <v>42760</v>
      </c>
      <c r="B123">
        <v>3.6788029974677103E-2</v>
      </c>
      <c r="C123">
        <v>-3.0626389551929499E-2</v>
      </c>
      <c r="D123">
        <v>-2.4422414984739901E-2</v>
      </c>
      <c r="E123">
        <v>-6.0465804532164802E-3</v>
      </c>
    </row>
    <row r="124" spans="1:5" ht="14.4" x14ac:dyDescent="0.55000000000000004">
      <c r="A124" s="1">
        <v>42788</v>
      </c>
      <c r="B124">
        <v>3.8197342344677102E-2</v>
      </c>
      <c r="C124">
        <v>-3.14981047171254E-2</v>
      </c>
      <c r="D124">
        <v>-2.57237086627486E-2</v>
      </c>
      <c r="E124">
        <v>-1.3619536507237301E-2</v>
      </c>
    </row>
    <row r="125" spans="1:5" ht="14.4" x14ac:dyDescent="0.55000000000000004">
      <c r="A125" s="1">
        <v>42823</v>
      </c>
      <c r="B125">
        <v>3.8293980188769498E-2</v>
      </c>
      <c r="C125">
        <v>-2.9811931130246001E-2</v>
      </c>
      <c r="D125">
        <v>-2.5236464254791199E-2</v>
      </c>
      <c r="E125">
        <v>-1.6346952230173E-2</v>
      </c>
    </row>
    <row r="126" spans="1:5" ht="14.4" x14ac:dyDescent="0.55000000000000004">
      <c r="A126" s="1">
        <v>42851</v>
      </c>
      <c r="B126">
        <v>4.2078362721222798E-2</v>
      </c>
      <c r="C126">
        <v>-3.2133028190651801E-2</v>
      </c>
      <c r="D126">
        <v>-2.9579062437202101E-2</v>
      </c>
      <c r="E126">
        <v>-3.0504159206895101E-2</v>
      </c>
    </row>
    <row r="127" spans="1:5" ht="14.4" x14ac:dyDescent="0.55000000000000004">
      <c r="A127" s="1">
        <v>42886</v>
      </c>
      <c r="B127">
        <v>4.1006227734247697E-2</v>
      </c>
      <c r="C127">
        <v>-2.9546092684003399E-2</v>
      </c>
      <c r="D127">
        <v>-3.0466537010882502E-2</v>
      </c>
      <c r="E127">
        <v>-3.08288702510012E-2</v>
      </c>
    </row>
    <row r="128" spans="1:5" ht="14.4" x14ac:dyDescent="0.55000000000000004">
      <c r="A128" s="1">
        <v>42914</v>
      </c>
      <c r="B128">
        <v>3.6208980288204198E-2</v>
      </c>
      <c r="C128">
        <v>-2.4183871878813601E-2</v>
      </c>
      <c r="D128">
        <v>-2.65998659496464E-2</v>
      </c>
      <c r="E128">
        <v>-1.8779446778098698E-2</v>
      </c>
    </row>
    <row r="129" spans="1:5" ht="14.4" x14ac:dyDescent="0.55000000000000004">
      <c r="A129" s="1">
        <v>42942</v>
      </c>
      <c r="B129">
        <v>3.8927345022142602E-2</v>
      </c>
      <c r="C129">
        <v>-2.6810023673683701E-2</v>
      </c>
      <c r="D129">
        <v>-2.9496746998309099E-2</v>
      </c>
      <c r="E129">
        <v>-2.3202360510637898E-2</v>
      </c>
    </row>
    <row r="130" spans="1:5" ht="14.4" x14ac:dyDescent="0.55000000000000004">
      <c r="A130" s="1">
        <v>42977</v>
      </c>
      <c r="B130">
        <v>3.7990595108383797E-2</v>
      </c>
      <c r="C130">
        <v>-2.59034656251101E-2</v>
      </c>
      <c r="D130">
        <v>-2.8168581244324101E-2</v>
      </c>
      <c r="E130">
        <v>-2.6619208029861001E-2</v>
      </c>
    </row>
    <row r="131" spans="1:5" ht="14.4" x14ac:dyDescent="0.55000000000000004">
      <c r="A131" s="1">
        <v>43005</v>
      </c>
      <c r="B131">
        <v>3.7513411821951399E-2</v>
      </c>
      <c r="C131">
        <v>-2.5498940699152699E-2</v>
      </c>
      <c r="D131">
        <v>-2.4271801056171102E-2</v>
      </c>
      <c r="E131">
        <v>-2.13374934123963E-2</v>
      </c>
    </row>
    <row r="132" spans="1:5" ht="14.4" x14ac:dyDescent="0.55000000000000004">
      <c r="A132" s="1">
        <v>43033</v>
      </c>
      <c r="B132">
        <v>3.6878518855383902E-2</v>
      </c>
      <c r="C132">
        <v>-2.3673291626641901E-2</v>
      </c>
      <c r="D132">
        <v>-2.3112000733552501E-2</v>
      </c>
      <c r="E132">
        <v>-1.5981855864028002E-2</v>
      </c>
    </row>
    <row r="133" spans="1:5" ht="14.4" x14ac:dyDescent="0.55000000000000004">
      <c r="A133" s="1">
        <v>43068</v>
      </c>
      <c r="B133">
        <v>3.40899829954227E-2</v>
      </c>
      <c r="C133">
        <v>-1.9196711979483E-2</v>
      </c>
      <c r="D133">
        <v>-1.7820867264482902E-2</v>
      </c>
      <c r="E133">
        <v>-1.27269735668285E-2</v>
      </c>
    </row>
    <row r="134" spans="1:5" ht="14.4" x14ac:dyDescent="0.55000000000000004">
      <c r="A134" s="1">
        <v>43096</v>
      </c>
      <c r="B134">
        <v>3.1061909427072001E-2</v>
      </c>
      <c r="C134">
        <v>-1.53964009392859E-2</v>
      </c>
      <c r="D134">
        <v>-1.1319776873787201E-2</v>
      </c>
      <c r="E134">
        <v>-6.4030775782370399E-3</v>
      </c>
    </row>
    <row r="135" spans="1:5" ht="14.4" x14ac:dyDescent="0.55000000000000004">
      <c r="A135" s="1">
        <v>43131</v>
      </c>
      <c r="B135">
        <v>2.9102550570945102E-2</v>
      </c>
      <c r="C135">
        <v>-1.2355285708798701E-2</v>
      </c>
      <c r="D135">
        <v>-5.2920708976137302E-3</v>
      </c>
      <c r="E135">
        <v>6.2610495454638497E-3</v>
      </c>
    </row>
    <row r="136" spans="1:5" ht="14.4" x14ac:dyDescent="0.55000000000000004">
      <c r="A136" s="1">
        <v>43159</v>
      </c>
      <c r="B136">
        <v>3.2157952993671302E-2</v>
      </c>
      <c r="C136">
        <v>-1.5321978416049599E-2</v>
      </c>
      <c r="D136">
        <v>-5.8950612118208803E-3</v>
      </c>
      <c r="E136">
        <v>3.0401265460420698E-3</v>
      </c>
    </row>
    <row r="137" spans="1:5" ht="14.4" x14ac:dyDescent="0.55000000000000004">
      <c r="A137" s="1">
        <v>43187</v>
      </c>
      <c r="B137">
        <v>3.18166733235343E-2</v>
      </c>
      <c r="C137">
        <v>-1.4220633080133599E-2</v>
      </c>
      <c r="D137">
        <v>-5.4569856971406101E-3</v>
      </c>
      <c r="E137">
        <v>-5.7355290999821997E-4</v>
      </c>
    </row>
    <row r="138" spans="1:5" ht="14.4" x14ac:dyDescent="0.55000000000000004">
      <c r="A138" s="1">
        <v>43215</v>
      </c>
      <c r="B138">
        <v>3.1254906161661197E-2</v>
      </c>
      <c r="C138">
        <v>-1.2034848543085201E-2</v>
      </c>
      <c r="D138">
        <v>-2.19951892822706E-3</v>
      </c>
      <c r="E138">
        <v>7.5230563150345204E-3</v>
      </c>
    </row>
    <row r="139" spans="1:5" ht="14.4" x14ac:dyDescent="0.55000000000000004">
      <c r="A139" s="1">
        <v>43250</v>
      </c>
      <c r="B139">
        <v>2.9507211670019701E-2</v>
      </c>
      <c r="C139">
        <v>-9.3520555415721792E-3</v>
      </c>
      <c r="D139">
        <v>-3.42917595299747E-3</v>
      </c>
      <c r="E139">
        <v>5.9481659593298899E-3</v>
      </c>
    </row>
    <row r="140" spans="1:5" ht="14.4" x14ac:dyDescent="0.55000000000000004">
      <c r="A140" s="1">
        <v>43278</v>
      </c>
      <c r="B140">
        <v>3.0002494129235401E-2</v>
      </c>
      <c r="C140">
        <v>-9.1055586915143993E-3</v>
      </c>
      <c r="D140">
        <v>-3.7584719418454199E-4</v>
      </c>
      <c r="E140">
        <v>1.85999757482202E-3</v>
      </c>
    </row>
    <row r="141" spans="1:5" ht="14.4" x14ac:dyDescent="0.55000000000000004">
      <c r="A141" s="1">
        <v>43306</v>
      </c>
      <c r="B141">
        <v>2.9994851301705899E-2</v>
      </c>
      <c r="C141">
        <v>-8.1119485344443298E-3</v>
      </c>
      <c r="D141">
        <v>-2.2079105131945999E-4</v>
      </c>
      <c r="E141">
        <v>6.3275949566066704E-3</v>
      </c>
    </row>
    <row r="142" spans="1:5" ht="14.4" x14ac:dyDescent="0.55000000000000004">
      <c r="A142" s="1">
        <v>43341</v>
      </c>
      <c r="B142">
        <v>3.2161107975715801E-2</v>
      </c>
      <c r="C142">
        <v>-1.0491134725706199E-2</v>
      </c>
      <c r="D142">
        <v>9.5873865618418402E-4</v>
      </c>
      <c r="E142">
        <v>-4.2968915693938903E-3</v>
      </c>
    </row>
    <row r="143" spans="1:5" ht="14.4" x14ac:dyDescent="0.55000000000000004">
      <c r="A143" s="1">
        <v>43369</v>
      </c>
      <c r="B143">
        <v>3.2771672074705799E-2</v>
      </c>
      <c r="C143">
        <v>-1.06840064512098E-2</v>
      </c>
      <c r="D143">
        <v>2.7299158009159502E-3</v>
      </c>
      <c r="E143">
        <v>-6.697231323049E-4</v>
      </c>
    </row>
    <row r="144" spans="1:5" ht="14.4" x14ac:dyDescent="0.55000000000000004">
      <c r="A144" s="1">
        <v>43404</v>
      </c>
      <c r="B144">
        <v>3.7979702061328703E-2</v>
      </c>
      <c r="C144">
        <v>-1.39570573225135E-2</v>
      </c>
      <c r="D144">
        <v>-4.3206880460148504E-3</v>
      </c>
      <c r="E144">
        <v>-1.00124130160547E-2</v>
      </c>
    </row>
    <row r="145" spans="1:5" ht="14.4" x14ac:dyDescent="0.55000000000000004">
      <c r="A145" s="1">
        <v>43432</v>
      </c>
      <c r="B145">
        <v>3.9576578808668897E-2</v>
      </c>
      <c r="C145">
        <v>-1.49484397275791E-2</v>
      </c>
      <c r="D145">
        <v>-7.8253015865020793E-3</v>
      </c>
      <c r="E145">
        <v>-1.6383308389605701E-2</v>
      </c>
    </row>
    <row r="146" spans="1:5" ht="14.4" x14ac:dyDescent="0.55000000000000004">
      <c r="A146" s="1">
        <v>43460</v>
      </c>
      <c r="B146">
        <v>3.5716231832911297E-2</v>
      </c>
      <c r="C146">
        <v>-1.0071152479175E-2</v>
      </c>
      <c r="D146">
        <v>-1.03134170501343E-2</v>
      </c>
      <c r="E146">
        <v>-1.3132376195156101E-2</v>
      </c>
    </row>
    <row r="147" spans="1:5" ht="14.4" x14ac:dyDescent="0.55000000000000004">
      <c r="A147" s="1">
        <v>43495</v>
      </c>
      <c r="B147">
        <v>3.9161405419912303E-2</v>
      </c>
      <c r="C147">
        <v>-1.3666906596897401E-2</v>
      </c>
      <c r="D147">
        <v>-1.50242777365689E-2</v>
      </c>
      <c r="E147">
        <v>-2.50778406444516E-2</v>
      </c>
    </row>
    <row r="148" spans="1:5" ht="14.4" x14ac:dyDescent="0.55000000000000004">
      <c r="A148" s="1">
        <v>43523</v>
      </c>
      <c r="B148">
        <v>3.9798370983463803E-2</v>
      </c>
      <c r="C148">
        <v>-1.4064586534152801E-2</v>
      </c>
      <c r="D148">
        <v>-1.6724364832843199E-2</v>
      </c>
      <c r="E148">
        <v>-2.5797363058568799E-2</v>
      </c>
    </row>
    <row r="149" spans="1:5" ht="14.4" x14ac:dyDescent="0.55000000000000004">
      <c r="A149" s="1">
        <v>43551</v>
      </c>
      <c r="B149">
        <v>3.93607217796643E-2</v>
      </c>
      <c r="C149">
        <v>-1.35846271061606E-2</v>
      </c>
      <c r="D149">
        <v>-2.34145677130056E-2</v>
      </c>
      <c r="E149">
        <v>-3.1929874304795297E-2</v>
      </c>
    </row>
    <row r="150" spans="1:5" ht="14.4" x14ac:dyDescent="0.55000000000000004">
      <c r="A150" s="1">
        <v>43579</v>
      </c>
      <c r="B150">
        <v>3.94586717946242E-2</v>
      </c>
      <c r="C150">
        <v>-1.42266172390295E-2</v>
      </c>
      <c r="D150">
        <v>-2.03373813173147E-2</v>
      </c>
      <c r="E150">
        <v>-2.8495339766012699E-2</v>
      </c>
    </row>
    <row r="151" spans="1:5" ht="14.4" x14ac:dyDescent="0.55000000000000004">
      <c r="A151" s="1">
        <v>43614</v>
      </c>
      <c r="B151">
        <v>3.6431022519423602E-2</v>
      </c>
      <c r="C151">
        <v>-1.0767377195917201E-2</v>
      </c>
      <c r="D151">
        <v>-2.4645334065017999E-2</v>
      </c>
      <c r="E151">
        <v>-2.6656317863978998E-2</v>
      </c>
    </row>
    <row r="152" spans="1:5" ht="14.4" x14ac:dyDescent="0.55000000000000004">
      <c r="A152" s="1">
        <v>43642</v>
      </c>
      <c r="B152">
        <v>3.7284407872310202E-2</v>
      </c>
      <c r="C152">
        <v>-1.4248949337298899E-2</v>
      </c>
      <c r="D152">
        <v>-2.9915051982951999E-2</v>
      </c>
      <c r="E152">
        <v>-3.2409951519656997E-2</v>
      </c>
    </row>
    <row r="153" spans="1:5" ht="14.4" x14ac:dyDescent="0.55000000000000004">
      <c r="A153" s="1">
        <v>43677</v>
      </c>
      <c r="B153">
        <v>3.8638200715777601E-2</v>
      </c>
      <c r="C153">
        <v>-1.5244242009962701E-2</v>
      </c>
      <c r="D153">
        <v>-2.8162720377318901E-2</v>
      </c>
      <c r="E153">
        <v>-3.9003814300393597E-2</v>
      </c>
    </row>
    <row r="154" spans="1:5" ht="14.4" x14ac:dyDescent="0.55000000000000004">
      <c r="A154" s="1">
        <v>43705</v>
      </c>
      <c r="B154">
        <v>3.1625379377212499E-2</v>
      </c>
      <c r="C154">
        <v>-1.12017785740543E-2</v>
      </c>
      <c r="D154">
        <v>-2.4865757470347898E-2</v>
      </c>
      <c r="E154">
        <v>-3.6827917055787002E-2</v>
      </c>
    </row>
    <row r="155" spans="1:5" ht="14.4" x14ac:dyDescent="0.55000000000000004">
      <c r="A155" s="1">
        <v>43733</v>
      </c>
      <c r="B155">
        <v>3.2618368546892602E-2</v>
      </c>
      <c r="C155">
        <v>-1.1194154132890899E-2</v>
      </c>
      <c r="D155">
        <v>-2.4454713778779499E-2</v>
      </c>
      <c r="E155">
        <v>-3.1524793809401798E-2</v>
      </c>
    </row>
    <row r="156" spans="1:5" ht="14.4" x14ac:dyDescent="0.55000000000000004">
      <c r="A156" s="1">
        <v>43768</v>
      </c>
      <c r="B156">
        <v>3.30035346416271E-2</v>
      </c>
      <c r="C156">
        <v>-1.40607992517596E-2</v>
      </c>
      <c r="D156">
        <v>-2.3169796004744E-2</v>
      </c>
      <c r="E156">
        <v>-2.9363841677216201E-2</v>
      </c>
    </row>
    <row r="157" spans="1:5" ht="14.4" x14ac:dyDescent="0.55000000000000004">
      <c r="A157" s="1">
        <v>43796</v>
      </c>
      <c r="B157">
        <v>2.978143619704E-2</v>
      </c>
      <c r="C157">
        <v>-1.08425897450488E-2</v>
      </c>
      <c r="D157">
        <v>-2.04866620183402E-2</v>
      </c>
      <c r="E157">
        <v>-2.0163854689138099E-2</v>
      </c>
    </row>
    <row r="158" spans="1:5" ht="14.4" x14ac:dyDescent="0.55000000000000004">
      <c r="A158" s="1">
        <v>43824</v>
      </c>
      <c r="B158">
        <v>2.9471351475377501E-2</v>
      </c>
      <c r="C158">
        <v>-1.1196901981507299E-2</v>
      </c>
      <c r="D158">
        <v>-1.9974530235247999E-2</v>
      </c>
      <c r="E158">
        <v>-1.39325449686723E-2</v>
      </c>
    </row>
    <row r="159" spans="1:5" ht="14.4" x14ac:dyDescent="0.55000000000000004">
      <c r="A159" s="1">
        <v>43859</v>
      </c>
      <c r="B159">
        <v>3.0347396272640499E-2</v>
      </c>
      <c r="C159">
        <v>-1.2517931525808001E-2</v>
      </c>
      <c r="D159">
        <v>-2.3803755958913E-2</v>
      </c>
      <c r="E159">
        <v>-2.7236709719603899E-2</v>
      </c>
    </row>
    <row r="160" spans="1:5" ht="14.4" x14ac:dyDescent="0.55000000000000004">
      <c r="A160" s="1">
        <v>43887</v>
      </c>
      <c r="B160">
        <v>2.8721160012569399E-2</v>
      </c>
      <c r="C160">
        <v>-1.24434154277108E-2</v>
      </c>
      <c r="D160">
        <v>-2.64145498142354E-2</v>
      </c>
      <c r="E160">
        <v>-2.8520614042161999E-2</v>
      </c>
    </row>
    <row r="161" spans="1:5" ht="14.4" x14ac:dyDescent="0.55000000000000004">
      <c r="A161" s="1">
        <v>43915</v>
      </c>
      <c r="B161">
        <v>2.5467700385861099E-2</v>
      </c>
      <c r="C161">
        <v>-2.2473714453093901E-2</v>
      </c>
      <c r="D161">
        <v>-2.3561766660479301E-2</v>
      </c>
      <c r="E161">
        <v>-3.0558501560194601E-2</v>
      </c>
    </row>
    <row r="162" spans="1:5" ht="14.4" x14ac:dyDescent="0.55000000000000004">
      <c r="A162" s="1">
        <v>43950</v>
      </c>
      <c r="B162">
        <v>2.6028885658681101E-2</v>
      </c>
      <c r="C162">
        <v>-2.37958858440711E-2</v>
      </c>
      <c r="D162">
        <v>-2.6822789695408501E-2</v>
      </c>
      <c r="E162">
        <v>-3.8552390814115697E-2</v>
      </c>
    </row>
    <row r="163" spans="1:5" ht="14.4" x14ac:dyDescent="0.55000000000000004">
      <c r="A163" s="1">
        <v>43978</v>
      </c>
      <c r="B163">
        <v>3.1424149785147397E-2</v>
      </c>
      <c r="C163">
        <v>-2.8649139735687501E-2</v>
      </c>
      <c r="D163">
        <v>-3.3715840256950999E-2</v>
      </c>
      <c r="E163">
        <v>-4.9703136121395999E-2</v>
      </c>
    </row>
    <row r="164" spans="1:5" ht="14.4" x14ac:dyDescent="0.55000000000000004">
      <c r="A164" s="1">
        <v>44006</v>
      </c>
      <c r="B164">
        <v>3.1324372873389197E-2</v>
      </c>
      <c r="C164">
        <v>-2.7805280445508399E-2</v>
      </c>
      <c r="D164">
        <v>-3.52398572579131E-2</v>
      </c>
      <c r="E164">
        <v>-4.90300137995799E-2</v>
      </c>
    </row>
    <row r="165" spans="1:5" ht="14.4" x14ac:dyDescent="0.55000000000000004">
      <c r="A165" s="1">
        <v>44041</v>
      </c>
      <c r="B165">
        <v>2.6526449838418301E-2</v>
      </c>
      <c r="C165">
        <v>-2.39793132589716E-2</v>
      </c>
      <c r="D165">
        <v>-3.01257840884692E-2</v>
      </c>
      <c r="E165">
        <v>-4.0907149059917498E-2</v>
      </c>
    </row>
    <row r="166" spans="1:5" ht="14.4" x14ac:dyDescent="0.55000000000000004">
      <c r="A166" s="1">
        <v>44069</v>
      </c>
      <c r="B166">
        <v>2.7857293003651001E-2</v>
      </c>
      <c r="C166">
        <v>-2.4991751975240999E-2</v>
      </c>
      <c r="D166">
        <v>-3.3111652606674299E-2</v>
      </c>
      <c r="E166">
        <v>-3.8801180439221997E-2</v>
      </c>
    </row>
    <row r="167" spans="1:5" ht="14.4" x14ac:dyDescent="0.55000000000000004">
      <c r="A167" s="1">
        <v>44104</v>
      </c>
      <c r="B167">
        <v>3.0295230280463499E-2</v>
      </c>
      <c r="C167">
        <v>-2.7616011314390398E-2</v>
      </c>
      <c r="D167">
        <v>-3.5544350460783601E-2</v>
      </c>
      <c r="E167">
        <v>-4.5460783980513501E-2</v>
      </c>
    </row>
    <row r="168" spans="1:5" ht="14.4" x14ac:dyDescent="0.55000000000000004">
      <c r="A168" s="1">
        <v>44118</v>
      </c>
      <c r="B168">
        <v>3.0384496259996101E-2</v>
      </c>
      <c r="C168">
        <v>-2.76490366922264E-2</v>
      </c>
      <c r="D168">
        <v>-3.5957268223908802E-2</v>
      </c>
      <c r="E168">
        <v>-4.4219809623390303E-2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68"/>
  <sheetViews>
    <sheetView tabSelected="1" workbookViewId="0">
      <selection activeCell="J11" sqref="J11"/>
    </sheetView>
  </sheetViews>
  <sheetFormatPr defaultColWidth="8.41796875" defaultRowHeight="14.55" x14ac:dyDescent="0.55000000000000004"/>
  <cols>
    <col min="1" max="1" width="10.1015625" bestFit="1" customWidth="1"/>
    <col min="2" max="9" width="8.41796875" customWidth="1"/>
    <col min="10" max="10" width="12" bestFit="1" customWidth="1"/>
    <col min="11" max="56" width="8.41796875" customWidth="1"/>
    <col min="57" max="57" width="11.3671875" bestFit="1" customWidth="1"/>
    <col min="58" max="64" width="8.41796875" customWidth="1"/>
    <col min="65" max="65" width="12" bestFit="1" customWidth="1"/>
    <col min="66" max="66" width="8.41796875" customWidth="1"/>
  </cols>
  <sheetData>
    <row r="1" spans="1:77" ht="14.4" x14ac:dyDescent="0.55000000000000004">
      <c r="F1" s="9" t="s">
        <v>32</v>
      </c>
      <c r="G1" s="9"/>
      <c r="H1" s="9"/>
      <c r="I1" s="9"/>
      <c r="J1" s="9" t="s">
        <v>33</v>
      </c>
      <c r="K1" s="9"/>
      <c r="L1" s="9"/>
      <c r="M1" s="9"/>
      <c r="N1" s="8" t="s">
        <v>34</v>
      </c>
      <c r="O1" s="8"/>
      <c r="P1" s="8"/>
      <c r="Q1" s="8"/>
      <c r="R1" s="8" t="s">
        <v>35</v>
      </c>
      <c r="S1" s="8"/>
      <c r="T1" s="8"/>
      <c r="U1" s="8"/>
      <c r="V1" s="8" t="s">
        <v>36</v>
      </c>
      <c r="W1" s="8"/>
      <c r="X1" s="8"/>
      <c r="Y1" s="8"/>
      <c r="Z1" s="8" t="s">
        <v>37</v>
      </c>
      <c r="AA1" s="8"/>
      <c r="AB1" s="8"/>
      <c r="AC1" s="8"/>
      <c r="AD1" s="8" t="s">
        <v>38</v>
      </c>
      <c r="AE1" s="8"/>
      <c r="AF1" s="8"/>
      <c r="AG1" s="8"/>
      <c r="AH1" s="8" t="s">
        <v>39</v>
      </c>
      <c r="AI1" s="8"/>
      <c r="AJ1" s="8"/>
      <c r="AK1" s="8"/>
      <c r="AL1" s="8" t="s">
        <v>40</v>
      </c>
      <c r="AM1" s="8"/>
      <c r="AN1" s="8"/>
      <c r="AO1" s="8"/>
      <c r="AP1" s="8" t="s">
        <v>41</v>
      </c>
      <c r="AQ1" s="8"/>
      <c r="AR1" s="8"/>
      <c r="AS1" s="8"/>
      <c r="AT1" s="8" t="s">
        <v>42</v>
      </c>
      <c r="AU1" s="8"/>
      <c r="AV1" s="8"/>
      <c r="AW1" s="8"/>
      <c r="AX1" s="8" t="s">
        <v>43</v>
      </c>
      <c r="AY1" s="8"/>
      <c r="AZ1" s="8"/>
      <c r="BA1" s="8"/>
      <c r="BB1" s="8"/>
      <c r="BD1" t="s">
        <v>14</v>
      </c>
      <c r="BE1" t="s">
        <v>15</v>
      </c>
      <c r="BF1" t="s">
        <v>16</v>
      </c>
      <c r="BG1" t="s">
        <v>17</v>
      </c>
      <c r="BH1" s="8"/>
      <c r="BI1" s="8"/>
      <c r="BJ1" s="8"/>
      <c r="BK1" s="8"/>
      <c r="BL1" s="8"/>
      <c r="BM1" s="8"/>
      <c r="BN1" s="8"/>
      <c r="BO1" s="8"/>
      <c r="BP1" s="8"/>
      <c r="BV1" t="s">
        <v>14</v>
      </c>
      <c r="BW1" t="s">
        <v>15</v>
      </c>
      <c r="BX1" t="s">
        <v>16</v>
      </c>
      <c r="BY1" t="s">
        <v>17</v>
      </c>
    </row>
    <row r="2" spans="1:77" ht="14.4" thickBot="1" x14ac:dyDescent="0.55000000000000004">
      <c r="A2" t="s">
        <v>0</v>
      </c>
      <c r="B2" t="s">
        <v>14</v>
      </c>
      <c r="C2" t="s">
        <v>15</v>
      </c>
      <c r="D2" t="s">
        <v>16</v>
      </c>
      <c r="E2" t="s">
        <v>17</v>
      </c>
      <c r="F2" t="s">
        <v>14</v>
      </c>
      <c r="G2" t="s">
        <v>15</v>
      </c>
      <c r="H2" t="s">
        <v>16</v>
      </c>
      <c r="I2" t="s">
        <v>17</v>
      </c>
      <c r="J2" t="s">
        <v>14</v>
      </c>
      <c r="K2" t="s">
        <v>15</v>
      </c>
      <c r="L2" t="s">
        <v>16</v>
      </c>
      <c r="M2" t="s">
        <v>17</v>
      </c>
      <c r="N2" t="s">
        <v>14</v>
      </c>
      <c r="O2" t="s">
        <v>15</v>
      </c>
      <c r="P2" t="s">
        <v>16</v>
      </c>
      <c r="Q2" t="s">
        <v>17</v>
      </c>
      <c r="R2" t="s">
        <v>14</v>
      </c>
      <c r="S2" t="s">
        <v>15</v>
      </c>
      <c r="T2" t="s">
        <v>16</v>
      </c>
      <c r="U2" t="s">
        <v>17</v>
      </c>
      <c r="V2" t="s">
        <v>14</v>
      </c>
      <c r="W2" t="s">
        <v>15</v>
      </c>
      <c r="X2" t="s">
        <v>16</v>
      </c>
      <c r="Y2" t="s">
        <v>17</v>
      </c>
      <c r="Z2" t="s">
        <v>14</v>
      </c>
      <c r="AA2" t="s">
        <v>15</v>
      </c>
      <c r="AB2" t="s">
        <v>16</v>
      </c>
      <c r="AC2" t="s">
        <v>17</v>
      </c>
      <c r="AD2" t="s">
        <v>14</v>
      </c>
      <c r="AE2" t="s">
        <v>15</v>
      </c>
      <c r="AF2" t="s">
        <v>16</v>
      </c>
      <c r="AG2" t="s">
        <v>17</v>
      </c>
      <c r="AH2" t="s">
        <v>14</v>
      </c>
      <c r="AI2" t="s">
        <v>15</v>
      </c>
      <c r="AJ2" t="s">
        <v>16</v>
      </c>
      <c r="AK2" t="s">
        <v>17</v>
      </c>
      <c r="AL2" t="s">
        <v>14</v>
      </c>
      <c r="AM2" t="s">
        <v>15</v>
      </c>
      <c r="AN2" t="s">
        <v>16</v>
      </c>
      <c r="AO2" t="s">
        <v>17</v>
      </c>
      <c r="AP2" t="s">
        <v>14</v>
      </c>
      <c r="AQ2" t="s">
        <v>15</v>
      </c>
      <c r="AR2" t="s">
        <v>16</v>
      </c>
      <c r="AS2" t="s">
        <v>17</v>
      </c>
      <c r="AT2" t="s">
        <v>14</v>
      </c>
      <c r="AU2" t="s">
        <v>15</v>
      </c>
      <c r="AV2" t="s">
        <v>16</v>
      </c>
      <c r="AW2" t="s">
        <v>17</v>
      </c>
      <c r="AX2" t="s">
        <v>14</v>
      </c>
      <c r="AY2" t="s">
        <v>15</v>
      </c>
      <c r="AZ2" t="s">
        <v>16</v>
      </c>
      <c r="BA2" t="s">
        <v>17</v>
      </c>
      <c r="BC2" t="s">
        <v>44</v>
      </c>
      <c r="BD2">
        <v>8.9574845369292094E-3</v>
      </c>
      <c r="BE2">
        <v>-9.5734223128004104E-3</v>
      </c>
      <c r="BF2">
        <v>-5.2721974738024098E-3</v>
      </c>
      <c r="BG2">
        <v>-1.7141454061996301E-2</v>
      </c>
    </row>
    <row r="3" spans="1:77" ht="14.4" x14ac:dyDescent="0.55000000000000004">
      <c r="A3" s="2">
        <v>39113</v>
      </c>
      <c r="B3" s="3">
        <v>4.7225813529826202E-2</v>
      </c>
      <c r="C3" s="3">
        <v>6.6921401313944596E-3</v>
      </c>
      <c r="D3" s="3">
        <v>-1.0253126369633599E-2</v>
      </c>
      <c r="E3" s="3">
        <v>9.0755818411648002E-3</v>
      </c>
      <c r="BC3" t="s">
        <v>45</v>
      </c>
      <c r="BD3">
        <v>0.75654503544162799</v>
      </c>
      <c r="BE3">
        <v>0.218978306599377</v>
      </c>
      <c r="BF3">
        <v>5.4260737396219699E-2</v>
      </c>
      <c r="BG3">
        <v>0.526978773822116</v>
      </c>
    </row>
    <row r="4" spans="1:77" ht="14.4" x14ac:dyDescent="0.55000000000000004">
      <c r="A4" s="4">
        <v>39141</v>
      </c>
      <c r="B4">
        <v>4.4341555260902901E-2</v>
      </c>
      <c r="C4">
        <v>9.3182806625371692E-3</v>
      </c>
      <c r="D4">
        <v>-1.5533532947156601E-2</v>
      </c>
      <c r="E4">
        <v>1.25120456599915E-2</v>
      </c>
      <c r="F4">
        <f t="shared" ref="F4:F35" si="0">BD$2+BD$3*$B3+BD$4*$C3+BD$5*$D3+BD$6*$E3</f>
        <v>4.6106299557608831E-2</v>
      </c>
      <c r="G4">
        <f t="shared" ref="G4:G35" si="1">BE$2+BE$3*$B3+BE$4*$C3+BE$5*$D3+BE$6*$E3</f>
        <v>5.0204472738583188E-3</v>
      </c>
      <c r="H4">
        <f t="shared" ref="H4:H35" si="2">BF$2+BF$3*$B3+BF$4*$C3+BF$5*$D3+BF$6*$E3</f>
        <v>-1.243761972937911E-2</v>
      </c>
      <c r="I4">
        <f t="shared" ref="I4:I35" si="3">BG$2+BG$3*$B3+BG$4*$C3+BG$5*$D3+BG$6*$E3</f>
        <v>1.296370755145056E-2</v>
      </c>
      <c r="BC4" t="s">
        <v>46</v>
      </c>
      <c r="BD4">
        <v>0.100800611072855</v>
      </c>
      <c r="BE4">
        <v>0.80751372820696699</v>
      </c>
      <c r="BF4">
        <v>-4.6099355139381602E-3</v>
      </c>
      <c r="BG4">
        <v>-0.197046781260686</v>
      </c>
    </row>
    <row r="5" spans="1:77" ht="14.4" x14ac:dyDescent="0.55000000000000004">
      <c r="A5" s="4">
        <v>39169</v>
      </c>
      <c r="B5">
        <v>4.6989696469333E-2</v>
      </c>
      <c r="C5">
        <v>6.46284971765406E-3</v>
      </c>
      <c r="D5">
        <v>-2.0457905528073299E-2</v>
      </c>
      <c r="E5">
        <v>9.4299747919412893E-3</v>
      </c>
      <c r="F5">
        <f t="shared" si="0"/>
        <v>4.4594433109322047E-2</v>
      </c>
      <c r="G5">
        <f t="shared" si="1"/>
        <v>5.8999957293603186E-3</v>
      </c>
      <c r="H5">
        <f t="shared" si="2"/>
        <v>-1.7591964109950502E-2</v>
      </c>
      <c r="I5">
        <f t="shared" si="3"/>
        <v>1.3079200504084197E-2</v>
      </c>
      <c r="J5">
        <f t="shared" ref="J5:J36" si="4">BD$2+BD$3*$F4+BD$4*$G4+BD$5*$H4+BD$6*$I4</f>
        <v>4.5215918801960402E-2</v>
      </c>
      <c r="K5">
        <f t="shared" ref="K5:K36" si="5">BE$2+BE$3*$F4+BE$4*$G4+BE$5*$H4+BE$6*$I4</f>
        <v>3.2060191623193499E-3</v>
      </c>
      <c r="L5">
        <f t="shared" ref="L5:L36" si="6">BF$2+BF$3*$F4+BF$4*$G4+BF$5*$H4+BF$6*$I4</f>
        <v>-1.4569798076398764E-2</v>
      </c>
      <c r="M5">
        <f t="shared" ref="M5:M36" si="7">BG$2+BG$3*$F4+BG$4*$G4+BG$5*$H4+BG$6*$I4</f>
        <v>1.6012603868092119E-2</v>
      </c>
      <c r="BC5" t="s">
        <v>47</v>
      </c>
      <c r="BD5">
        <v>-8.8047257967239195E-2</v>
      </c>
      <c r="BE5">
        <v>0.124079091185489</v>
      </c>
      <c r="BF5">
        <v>0.93982856656276204</v>
      </c>
      <c r="BG5">
        <v>0.230501690274907</v>
      </c>
    </row>
    <row r="6" spans="1:77" ht="14.4" x14ac:dyDescent="0.55000000000000004">
      <c r="A6" s="4">
        <v>39197</v>
      </c>
      <c r="B6">
        <v>4.6443703465717502E-2</v>
      </c>
      <c r="C6">
        <v>6.68130483055093E-3</v>
      </c>
      <c r="D6">
        <v>-1.8186433700389401E-2</v>
      </c>
      <c r="E6">
        <v>1.09490639486117E-2</v>
      </c>
      <c r="F6">
        <f t="shared" si="0"/>
        <v>4.6796926997900189E-2</v>
      </c>
      <c r="G6">
        <f t="shared" si="1"/>
        <v>3.5220989331674292E-3</v>
      </c>
      <c r="H6">
        <f t="shared" si="2"/>
        <v>-2.2042495592299649E-2</v>
      </c>
      <c r="I6">
        <f t="shared" si="3"/>
        <v>1.0879784949056661E-2</v>
      </c>
      <c r="J6">
        <f t="shared" si="4"/>
        <v>4.4612611091724381E-2</v>
      </c>
      <c r="K6">
        <f t="shared" si="5"/>
        <v>2.9471895768739126E-3</v>
      </c>
      <c r="L6">
        <f t="shared" si="6"/>
        <v>-1.9500862789810013E-2</v>
      </c>
      <c r="M6">
        <f t="shared" si="7"/>
        <v>1.3967746002796759E-2</v>
      </c>
      <c r="N6">
        <f t="shared" ref="N6:N37" si="8">BD$2+BD$3*$J5+BD$4*$K5+BD$5*$L5+BD$6*$M5</f>
        <v>4.4494408957737291E-2</v>
      </c>
      <c r="O6">
        <f t="shared" ref="O6:O37" si="9">BE$2+BE$3*$J5+BE$4*$K5+BE$5*$L5+BE$6*$M5</f>
        <v>1.3218406435109816E-3</v>
      </c>
      <c r="P6">
        <f t="shared" ref="P6:P37" si="10">BF$2+BF$3*$J5+BF$4*$K5+BF$5*$L5+BF$6*$M5</f>
        <v>-1.6634087004552961E-2</v>
      </c>
      <c r="Q6">
        <f t="shared" ref="Q6:Q37" si="11">BG$2+BG$3*$J5+BG$4*$K5+BG$5*$L5+BG$6*$M5</f>
        <v>1.8399422227886267E-2</v>
      </c>
      <c r="BC6" t="s">
        <v>48</v>
      </c>
      <c r="BD6">
        <v>-1.7295995983204301E-2</v>
      </c>
      <c r="BE6">
        <v>1.32933060159879E-2</v>
      </c>
      <c r="BF6">
        <v>-6.7101294100670398E-3</v>
      </c>
      <c r="BG6">
        <v>0.98067408723233696</v>
      </c>
    </row>
    <row r="7" spans="1:77" ht="14.4" x14ac:dyDescent="0.55000000000000004">
      <c r="A7" s="4">
        <v>39232</v>
      </c>
      <c r="B7">
        <v>4.8993971799909497E-2</v>
      </c>
      <c r="C7">
        <v>1.7343002477431999E-3</v>
      </c>
      <c r="D7">
        <v>-7.4194534084834601E-3</v>
      </c>
      <c r="E7">
        <v>6.3465321953203296E-3</v>
      </c>
      <c r="F7">
        <f t="shared" si="0"/>
        <v>4.6179608084571715E-2</v>
      </c>
      <c r="G7">
        <f t="shared" si="1"/>
        <v>3.8809796895394729E-3</v>
      </c>
      <c r="H7">
        <f t="shared" si="2"/>
        <v>-1.9948527812298979E-2</v>
      </c>
      <c r="I7">
        <f t="shared" si="3"/>
        <v>1.2562321816484912E-2</v>
      </c>
      <c r="J7">
        <f t="shared" si="4"/>
        <v>4.6469101634717146E-2</v>
      </c>
      <c r="K7">
        <f t="shared" si="5"/>
        <v>9.2784824605351426E-4</v>
      </c>
      <c r="L7">
        <f t="shared" si="6"/>
        <v>-2.3538370156913745E-2</v>
      </c>
      <c r="M7">
        <f t="shared" si="7"/>
        <v>1.241420557023588E-2</v>
      </c>
      <c r="N7">
        <f t="shared" si="8"/>
        <v>4.4481423904637184E-2</v>
      </c>
      <c r="O7">
        <f t="shared" si="9"/>
        <v>3.4169594967236813E-4</v>
      </c>
      <c r="P7">
        <f t="shared" si="10"/>
        <v>-2.1286263958421377E-2</v>
      </c>
      <c r="Q7">
        <f t="shared" si="11"/>
        <v>1.4990535535351086E-2</v>
      </c>
      <c r="R7">
        <f t="shared" ref="R7:R38" si="12">BD$2+BD$3*$N6+BD$4*$O6+BD$5*$P6+BD$6*$Q6</f>
        <v>4.3899100500014269E-2</v>
      </c>
      <c r="S7">
        <f t="shared" ref="S7:S38" si="13">BE$2+BE$3*$N6+BE$4*$O6+BE$5*$P6+BE$6*$Q6</f>
        <v>-5.820607679905207E-4</v>
      </c>
      <c r="T7">
        <f t="shared" ref="T7:T38" si="14">BF$2+BF$3*$N6+BF$4*$O6+BF$5*$P6+BF$6*$Q6</f>
        <v>-1.8620644283661766E-2</v>
      </c>
      <c r="U7">
        <f t="shared" ref="U7:U38" si="15">BG$2+BG$3*$N6+BG$4*$O6+BG$5*$P6+BG$6*$Q6</f>
        <v>2.0255341996553895E-2</v>
      </c>
    </row>
    <row r="8" spans="1:77" ht="14.4" x14ac:dyDescent="0.55000000000000004">
      <c r="A8" s="4">
        <v>39260</v>
      </c>
      <c r="B8">
        <v>4.8817925739681099E-2</v>
      </c>
      <c r="C8">
        <v>1.5835218377349899E-3</v>
      </c>
      <c r="D8">
        <v>-7.6806259733211901E-3</v>
      </c>
      <c r="E8">
        <v>1.49327570039514E-2</v>
      </c>
      <c r="F8">
        <f t="shared" si="0"/>
        <v>4.6741942126349294E-2</v>
      </c>
      <c r="G8">
        <f t="shared" si="1"/>
        <v>1.7194332830017861E-3</v>
      </c>
      <c r="H8">
        <f t="shared" si="2"/>
        <v>-9.6373437621835954E-3</v>
      </c>
      <c r="I8">
        <f t="shared" si="3"/>
        <v>1.2849273956402976E-2</v>
      </c>
      <c r="J8">
        <f t="shared" si="4"/>
        <v>4.5824778202897418E-2</v>
      </c>
      <c r="K8">
        <f t="shared" si="5"/>
        <v>1.3646540299168876E-3</v>
      </c>
      <c r="L8">
        <f t="shared" si="6"/>
        <v>-2.1616840056514663E-2</v>
      </c>
      <c r="M8">
        <f t="shared" si="7"/>
        <v>1.4150858727704633E-2</v>
      </c>
      <c r="N8">
        <f t="shared" si="8"/>
        <v>4.6064753249948652E-2</v>
      </c>
      <c r="O8">
        <f t="shared" si="9"/>
        <v>-1.404040674721705E-3</v>
      </c>
      <c r="P8">
        <f t="shared" si="10"/>
        <v>-2.4960360683239206E-2</v>
      </c>
      <c r="Q8">
        <f t="shared" si="11"/>
        <v>1.3912602236519626E-2</v>
      </c>
      <c r="R8">
        <f t="shared" si="12"/>
        <v>4.4259049053385478E-2</v>
      </c>
      <c r="S8">
        <f t="shared" si="13"/>
        <v>-1.9989377712811493E-3</v>
      </c>
      <c r="T8">
        <f t="shared" si="14"/>
        <v>-2.2966205185484489E-2</v>
      </c>
      <c r="U8">
        <f t="shared" si="15"/>
        <v>1.6026292009278784E-2</v>
      </c>
      <c r="V8">
        <f t="shared" ref="V8:V39" si="16">BD$2+BD$3*$R7+BD$4*$S7+BD$5*$T7+BD$6*$U7</f>
        <v>4.3399619356422052E-2</v>
      </c>
      <c r="W8">
        <f t="shared" ref="W8:W39" si="17">BE$2+BE$3*$R7+BE$4*$S7+BE$5*$T7+BE$6*$U7</f>
        <v>-2.4716658452607976E-3</v>
      </c>
      <c r="X8">
        <f t="shared" ref="X8:X39" si="18">BF$2+BF$3*$R7+BF$4*$S7+BF$5*$T7+BF$6*$U7</f>
        <v>-2.0523646038666216E-2</v>
      </c>
      <c r="Y8">
        <f t="shared" ref="Y8:Y39" si="19">BG$2+BG$3*$R7+BG$4*$S7+BG$5*$T7+BG$6*$U7</f>
        <v>2.1678932334883206E-2</v>
      </c>
    </row>
    <row r="9" spans="1:77" ht="14.4" x14ac:dyDescent="0.55000000000000004">
      <c r="A9" s="4">
        <v>39288</v>
      </c>
      <c r="B9">
        <v>4.5848982995809903E-2</v>
      </c>
      <c r="C9">
        <v>6.5507908549831103E-3</v>
      </c>
      <c r="D9">
        <v>-1.3809793939948099E-2</v>
      </c>
      <c r="E9">
        <v>1.9951481212161601E-2</v>
      </c>
      <c r="F9">
        <f t="shared" si="0"/>
        <v>4.6468045015998286E-2</v>
      </c>
      <c r="G9">
        <f t="shared" si="1"/>
        <v>1.6408606382661826E-3</v>
      </c>
      <c r="H9">
        <f t="shared" si="2"/>
        <v>-9.9492731893270625E-3</v>
      </c>
      <c r="I9">
        <f t="shared" si="3"/>
        <v>2.1146299279150713E-2</v>
      </c>
      <c r="J9">
        <f t="shared" si="4"/>
        <v>4.5119489426755158E-2</v>
      </c>
      <c r="K9">
        <f t="shared" si="5"/>
        <v>1.0255314772854053E-3</v>
      </c>
      <c r="L9">
        <f t="shared" si="6"/>
        <v>-1.1887542967808883E-2</v>
      </c>
      <c r="M9">
        <f t="shared" si="7"/>
        <v>1.7531274473653644E-2</v>
      </c>
      <c r="N9">
        <f t="shared" si="8"/>
        <v>4.5422101243842855E-2</v>
      </c>
      <c r="O9">
        <f t="shared" si="9"/>
        <v>-9.3089929128506649E-4</v>
      </c>
      <c r="P9">
        <f t="shared" si="10"/>
        <v>-2.3203080081828881E-2</v>
      </c>
      <c r="Q9">
        <f t="shared" si="11"/>
        <v>1.5632992976824009E-2</v>
      </c>
      <c r="R9">
        <f t="shared" si="12"/>
        <v>4.5623075762672105E-2</v>
      </c>
      <c r="S9">
        <f t="shared" si="13"/>
        <v>-3.5321371622368146E-3</v>
      </c>
      <c r="T9">
        <f t="shared" si="14"/>
        <v>-2.6318032820771935E-2</v>
      </c>
      <c r="U9">
        <f t="shared" si="15"/>
        <v>1.5300677989760449E-2</v>
      </c>
      <c r="V9">
        <f t="shared" si="16"/>
        <v>4.3984874933070482E-2</v>
      </c>
      <c r="W9">
        <f t="shared" si="17"/>
        <v>-4.1324038549457208E-3</v>
      </c>
      <c r="X9">
        <f t="shared" si="18"/>
        <v>-2.4553288053694219E-2</v>
      </c>
      <c r="Y9">
        <f t="shared" si="19"/>
        <v>1.6998829765924879E-2</v>
      </c>
      <c r="Z9">
        <f t="shared" ref="Z9:Z40" si="20">BD$2+BD$3*$V8+BD$4*$W8+BD$5*$X8+BD$6*$Y8</f>
        <v>4.2974197704126957E-2</v>
      </c>
      <c r="AA9">
        <f t="shared" ref="AA9:AA40" si="21">BE$2+BE$3*$V8+BE$4*$W8+BE$5*$X8+BE$6*$Y8</f>
        <v>-4.324121927324804E-3</v>
      </c>
      <c r="AB9">
        <f t="shared" ref="AB9:AB40" si="22">BF$2+BF$3*$V8+BF$4*$W8+BF$5*$X8+BF$6*$Y8</f>
        <v>-2.2340085183249373E-2</v>
      </c>
      <c r="AC9">
        <f t="shared" ref="AC9:AC40" si="23">BG$2+BG$3*$V8+BG$4*$W8+BG$5*$X8+BG$6*$Y8</f>
        <v>2.2745490007124895E-2</v>
      </c>
    </row>
    <row r="10" spans="1:77" ht="14.4" x14ac:dyDescent="0.55000000000000004">
      <c r="A10" s="4">
        <v>39323</v>
      </c>
      <c r="B10">
        <v>4.9179216255039702E-2</v>
      </c>
      <c r="C10">
        <v>-7.26666156361377E-3</v>
      </c>
      <c r="D10">
        <v>-1.3281861422311299E-2</v>
      </c>
      <c r="E10">
        <v>3.59383269158969E-3</v>
      </c>
      <c r="F10">
        <f t="shared" si="0"/>
        <v>4.5175462474250083E-2</v>
      </c>
      <c r="G10">
        <f t="shared" si="1"/>
        <v>4.308078352635053E-3</v>
      </c>
      <c r="H10">
        <f t="shared" si="2"/>
        <v>-1.592731243495446E-2</v>
      </c>
      <c r="I10">
        <f t="shared" si="3"/>
        <v>2.2111894306603781E-2</v>
      </c>
      <c r="J10">
        <f t="shared" si="4"/>
        <v>4.4788312971178808E-2</v>
      </c>
      <c r="K10">
        <f t="shared" si="5"/>
        <v>9.7369643939646487E-4</v>
      </c>
      <c r="L10">
        <f t="shared" si="6"/>
        <v>-1.2250876912177059E-2</v>
      </c>
      <c r="M10">
        <f t="shared" si="7"/>
        <v>2.5467196471953904E-2</v>
      </c>
      <c r="N10">
        <f t="shared" si="8"/>
        <v>4.3939229173393213E-2</v>
      </c>
      <c r="O10">
        <f t="shared" si="9"/>
        <v>-1.0704910833035579E-4</v>
      </c>
      <c r="P10">
        <f t="shared" si="10"/>
        <v>-1.411859792837422E-2</v>
      </c>
      <c r="Q10">
        <f t="shared" si="11"/>
        <v>2.0885849320088776E-2</v>
      </c>
      <c r="R10">
        <f t="shared" si="12"/>
        <v>4.5000093908743384E-2</v>
      </c>
      <c r="S10">
        <f t="shared" si="13"/>
        <v>-3.0498843871998118E-3</v>
      </c>
      <c r="T10">
        <f t="shared" si="14"/>
        <v>-2.4715086279610325E-2</v>
      </c>
      <c r="U10">
        <f t="shared" si="15"/>
        <v>1.6960981804744427E-2</v>
      </c>
      <c r="V10">
        <f t="shared" si="16"/>
        <v>4.5169944582319016E-2</v>
      </c>
      <c r="W10">
        <f t="shared" si="17"/>
        <v>-5.4973286882728963E-3</v>
      </c>
      <c r="X10">
        <f t="shared" si="18"/>
        <v>-2.7617481406162794E-2</v>
      </c>
      <c r="Y10">
        <f t="shared" si="19"/>
        <v>1.6535562091945989E-2</v>
      </c>
      <c r="Z10">
        <f t="shared" si="20"/>
        <v>4.3685312464143179E-2</v>
      </c>
      <c r="AA10">
        <f t="shared" si="21"/>
        <v>-6.099240748661092E-3</v>
      </c>
      <c r="AB10">
        <f t="shared" si="22"/>
        <v>-2.605644147381974E-2</v>
      </c>
      <c r="AC10">
        <f t="shared" si="23"/>
        <v>1.7862655741971677E-2</v>
      </c>
      <c r="AD10">
        <f t="shared" ref="AD10:AD41" si="24">BD$2+BD$3*$Z9+BD$4*$AA9+BD$5*$AB9+BD$6*$AC9</f>
        <v>4.2607103668786006E-2</v>
      </c>
      <c r="AE10">
        <f t="shared" ref="AE10:AE41" si="25">BE$2+BE$3*$Z9+BE$4*$AA9+BE$5*$AB9+BE$6*$AC9</f>
        <v>-6.1243677982350869E-3</v>
      </c>
      <c r="AF10">
        <f t="shared" ref="AF10:AF41" si="26">BF$2+BF$3*$Z9+BF$4*$AA9+BF$5*$AB9+BF$6*$AC9</f>
        <v>-2.4068927310232628E-2</v>
      </c>
      <c r="AG10">
        <f t="shared" ref="AG10:AG41" si="27">BG$2+BG$3*$Z9+BG$4*$AA9+BG$5*$AB9+BG$6*$AC9</f>
        <v>2.3513575513436885E-2</v>
      </c>
    </row>
    <row r="11" spans="1:77" ht="14.4" x14ac:dyDescent="0.55000000000000004">
      <c r="A11" s="4">
        <v>39351</v>
      </c>
      <c r="B11">
        <v>4.5695913080373199E-2</v>
      </c>
      <c r="C11">
        <v>-4.3609726438250101E-3</v>
      </c>
      <c r="D11">
        <v>-1.7739264399116501E-2</v>
      </c>
      <c r="E11">
        <v>1.7319300329978998E-2</v>
      </c>
      <c r="F11">
        <f t="shared" si="0"/>
        <v>4.6538565078655135E-2</v>
      </c>
      <c r="G11">
        <f t="shared" si="1"/>
        <v>-6.2723971650317139E-3</v>
      </c>
      <c r="H11">
        <f t="shared" si="2"/>
        <v>-1.5076985958280701E-2</v>
      </c>
      <c r="I11">
        <f t="shared" si="3"/>
        <v>1.0669708375888652E-2</v>
      </c>
      <c r="J11">
        <f t="shared" si="4"/>
        <v>4.4588922277675219E-2</v>
      </c>
      <c r="K11">
        <f t="shared" si="5"/>
        <v>2.115550097253012E-3</v>
      </c>
      <c r="L11">
        <f t="shared" si="6"/>
        <v>-1.7958120418368528E-2</v>
      </c>
      <c r="M11">
        <f t="shared" si="7"/>
        <v>2.3829452115038469E-2</v>
      </c>
      <c r="N11">
        <f t="shared" si="8"/>
        <v>4.3578185149099995E-2</v>
      </c>
      <c r="O11">
        <f t="shared" si="9"/>
        <v>-1.610145784271236E-4</v>
      </c>
      <c r="P11">
        <f t="shared" si="10"/>
        <v>-1.4531051534595961E-2</v>
      </c>
      <c r="Q11">
        <f t="shared" si="11"/>
        <v>2.8420344258701956E-2</v>
      </c>
      <c r="R11">
        <f t="shared" si="12"/>
        <v>4.307056188164652E-2</v>
      </c>
      <c r="S11">
        <f t="shared" si="13"/>
        <v>-1.5123087530481459E-3</v>
      </c>
      <c r="T11">
        <f t="shared" si="14"/>
        <v>-1.629673741342326E-2</v>
      </c>
      <c r="U11">
        <f t="shared" si="15"/>
        <v>2.3262531263968853E-2</v>
      </c>
      <c r="V11">
        <f t="shared" si="16"/>
        <v>4.4577390472242129E-2</v>
      </c>
      <c r="W11">
        <f t="shared" si="17"/>
        <v>-5.0233593866417124E-3</v>
      </c>
      <c r="X11">
        <f t="shared" si="18"/>
        <v>-2.6158153918537687E-2</v>
      </c>
      <c r="Y11">
        <f t="shared" si="19"/>
        <v>1.8109936336819975E-2</v>
      </c>
      <c r="Z11">
        <f t="shared" si="20"/>
        <v>4.4722092265061401E-2</v>
      </c>
      <c r="AA11">
        <f t="shared" si="21"/>
        <v>-7.3282924298970634E-3</v>
      </c>
      <c r="AB11">
        <f t="shared" si="22"/>
        <v>-2.886255436540041E-2</v>
      </c>
      <c r="AC11">
        <f t="shared" si="23"/>
        <v>1.7595499987299732E-2</v>
      </c>
      <c r="AD11">
        <f t="shared" si="24"/>
        <v>4.3377829411038689E-2</v>
      </c>
      <c r="AE11">
        <f t="shared" si="25"/>
        <v>-7.9281130308840146E-3</v>
      </c>
      <c r="AF11">
        <f t="shared" si="26"/>
        <v>-2.7482131871281037E-2</v>
      </c>
      <c r="AG11">
        <f t="shared" si="27"/>
        <v>1.8593003905090458E-2</v>
      </c>
      <c r="AH11">
        <f t="shared" ref="AH11:AH42" si="28">BD$2+BD$3*$AD10+BD$4*$AE10+BD$5*$AF10+BD$6*$AG10</f>
        <v>4.2286849619846627E-2</v>
      </c>
      <c r="AI11">
        <f t="shared" ref="AI11:AI42" si="29">BE$2+BE$3*$AD10+BE$4*$AE10+BE$5*$AF10+BE$6*$AG10</f>
        <v>-7.8627794476021622E-3</v>
      </c>
      <c r="AJ11">
        <f t="shared" ref="AJ11:AJ42" si="30">BF$2+BF$3*$AD10+BF$4*$AE10+BF$5*$AF10+BF$6*$AG10</f>
        <v>-2.5710516257071193E-2</v>
      </c>
      <c r="AK11">
        <f t="shared" ref="AK11:AK42" si="31">BG$2+BG$3*$AD10+BG$4*$AE10+BG$5*$AF10+BG$6*$AG10</f>
        <v>2.4029597923487002E-2</v>
      </c>
    </row>
    <row r="12" spans="1:77" ht="14.4" x14ac:dyDescent="0.55000000000000004">
      <c r="A12" s="4">
        <v>39386</v>
      </c>
      <c r="B12">
        <v>4.2952257148200203E-2</v>
      </c>
      <c r="C12" s="5">
        <v>-2.7429905603865099E-5</v>
      </c>
      <c r="D12">
        <v>-2.0378624518834799E-2</v>
      </c>
      <c r="E12">
        <v>2.22701878449535E-2</v>
      </c>
      <c r="F12">
        <f t="shared" si="0"/>
        <v>4.4351251050246981E-2</v>
      </c>
      <c r="G12">
        <f t="shared" si="1"/>
        <v>-5.0593949718439578E-3</v>
      </c>
      <c r="H12">
        <f t="shared" si="2"/>
        <v>-1.9560681910007191E-2</v>
      </c>
      <c r="I12">
        <f t="shared" si="3"/>
        <v>2.0694296418787408E-2</v>
      </c>
      <c r="J12">
        <f t="shared" si="4"/>
        <v>4.4676687475461885E-2</v>
      </c>
      <c r="K12">
        <f t="shared" si="5"/>
        <v>-6.1764359768189869E-3</v>
      </c>
      <c r="L12">
        <f t="shared" si="6"/>
        <v>-1.6959442494051749E-2</v>
      </c>
      <c r="M12">
        <f t="shared" si="7"/>
        <v>1.5607573345677367E-2</v>
      </c>
      <c r="N12">
        <f t="shared" si="8"/>
        <v>4.4073270217374519E-2</v>
      </c>
      <c r="O12">
        <f t="shared" si="9"/>
        <v>-1.2534934854666903E-5</v>
      </c>
      <c r="P12">
        <f t="shared" si="10"/>
        <v>-1.9899975499257535E-2</v>
      </c>
      <c r="Q12">
        <f t="shared" si="11"/>
        <v>2.5168648280250946E-2</v>
      </c>
      <c r="R12">
        <f t="shared" si="12"/>
        <v>4.2697974880001821E-2</v>
      </c>
      <c r="S12">
        <f t="shared" si="13"/>
        <v>-1.5859659417692565E-3</v>
      </c>
      <c r="T12">
        <f t="shared" si="14"/>
        <v>-1.6754272268663391E-2</v>
      </c>
      <c r="U12">
        <f t="shared" si="15"/>
        <v>3.0376715142219849E-2</v>
      </c>
      <c r="V12">
        <f t="shared" si="16"/>
        <v>4.2422397051495496E-2</v>
      </c>
      <c r="W12">
        <f t="shared" si="17"/>
        <v>-3.0759621077954065E-3</v>
      </c>
      <c r="X12">
        <f t="shared" si="18"/>
        <v>-1.840041933830032E-2</v>
      </c>
      <c r="Y12">
        <f t="shared" si="19"/>
        <v>2.4910349492529828E-2</v>
      </c>
      <c r="Z12">
        <f t="shared" si="20"/>
        <v>4.4165854635709392E-2</v>
      </c>
      <c r="AA12">
        <f t="shared" si="21"/>
        <v>-6.8733115406470263E-3</v>
      </c>
      <c r="AB12">
        <f t="shared" si="22"/>
        <v>-2.7535938350359085E-2</v>
      </c>
      <c r="AC12">
        <f t="shared" si="23"/>
        <v>1.9070167901761477E-2</v>
      </c>
      <c r="AD12">
        <f t="shared" si="24"/>
        <v>4.4290002132270717E-2</v>
      </c>
      <c r="AE12">
        <f t="shared" si="25"/>
        <v>-9.0452881715884052E-3</v>
      </c>
      <c r="AF12">
        <f t="shared" si="26"/>
        <v>-3.0055681992592967E-2</v>
      </c>
      <c r="AG12">
        <f t="shared" si="27"/>
        <v>1.8472739040619135E-2</v>
      </c>
      <c r="AH12">
        <f t="shared" si="28"/>
        <v>4.3073749221418815E-2</v>
      </c>
      <c r="AI12">
        <f t="shared" si="29"/>
        <v>-9.6394742513913837E-3</v>
      </c>
      <c r="AJ12">
        <f t="shared" si="30"/>
        <v>-2.8835190438492329E-2</v>
      </c>
      <c r="AK12">
        <f t="shared" si="31"/>
        <v>1.9178949731148077E-2</v>
      </c>
      <c r="AL12">
        <f t="shared" ref="AL12:AL43" si="32">BD$2+BD$3*$AH11+BD$4*$AI11+BD$5*$AJ11+BD$6*$AK11</f>
        <v>4.2004942336436091E-2</v>
      </c>
      <c r="AM12">
        <f t="shared" ref="AM12:AM43" si="33">BE$2+BE$3*$AH11+BE$4*$AI11+BE$5*$AJ11+BE$6*$AK11</f>
        <v>-9.5335266298753E-3</v>
      </c>
      <c r="AN12">
        <f t="shared" ref="AN12:AN43" si="34">BF$2+BF$3*$AH11+BF$4*$AI11+BF$5*$AJ11+BF$6*$AK11</f>
        <v>-2.7266154276262999E-2</v>
      </c>
      <c r="AO12">
        <f t="shared" ref="AO12:AO43" si="35">BG$2+BG$3*$AH11+BG$4*$AI11+BG$5*$AJ11+BG$6*$AK11</f>
        <v>2.4331040036463657E-2</v>
      </c>
    </row>
    <row r="13" spans="1:77" ht="14.4" x14ac:dyDescent="0.55000000000000004">
      <c r="A13" s="4">
        <v>39414</v>
      </c>
      <c r="B13">
        <v>3.8672471746448299E-2</v>
      </c>
      <c r="C13">
        <v>-5.5512746444606699E-3</v>
      </c>
      <c r="D13">
        <v>-2.53320415331376E-2</v>
      </c>
      <c r="E13">
        <v>2.80050639625825E-2</v>
      </c>
      <c r="F13">
        <f t="shared" si="0"/>
        <v>4.285913342268155E-2</v>
      </c>
      <c r="G13">
        <f t="shared" si="1"/>
        <v>-2.4224765910559297E-3</v>
      </c>
      <c r="H13">
        <f t="shared" si="2"/>
        <v>-2.2243299190496439E-2</v>
      </c>
      <c r="I13">
        <f t="shared" si="3"/>
        <v>2.2641367457737357E-2</v>
      </c>
      <c r="J13">
        <f t="shared" si="4"/>
        <v>4.3365549168208978E-2</v>
      </c>
      <c r="K13">
        <f t="shared" si="5"/>
        <v>-6.0989673777204073E-3</v>
      </c>
      <c r="L13">
        <f t="shared" si="6"/>
        <v>-2.1364891450303965E-2</v>
      </c>
      <c r="M13">
        <f t="shared" si="7"/>
        <v>2.3013241336491345E-2</v>
      </c>
      <c r="N13">
        <f t="shared" si="8"/>
        <v>4.3358106008111269E-2</v>
      </c>
      <c r="O13">
        <f t="shared" si="9"/>
        <v>-6.6745897506503499E-3</v>
      </c>
      <c r="P13">
        <f t="shared" si="10"/>
        <v>-1.8863231861219153E-2</v>
      </c>
      <c r="Q13">
        <f t="shared" si="11"/>
        <v>1.9016021334836264E-2</v>
      </c>
      <c r="R13">
        <f t="shared" si="12"/>
        <v>4.3616456223235116E-2</v>
      </c>
      <c r="S13">
        <f t="shared" si="13"/>
        <v>-2.067050697243535E-3</v>
      </c>
      <c r="T13">
        <f t="shared" si="14"/>
        <v>-2.1752141882241706E-2</v>
      </c>
      <c r="U13">
        <f t="shared" si="15"/>
        <v>2.6181956994151656E-2</v>
      </c>
      <c r="V13">
        <f t="shared" si="16"/>
        <v>4.2050331309144443E-2</v>
      </c>
      <c r="W13">
        <f t="shared" si="17"/>
        <v>-3.1792292552262126E-3</v>
      </c>
      <c r="X13">
        <f t="shared" si="18"/>
        <v>-1.8898038050486572E-2</v>
      </c>
      <c r="Y13">
        <f t="shared" si="19"/>
        <v>3.1599751186929523E-2</v>
      </c>
      <c r="Z13">
        <f t="shared" si="20"/>
        <v>4.1931136721090653E-2</v>
      </c>
      <c r="AA13">
        <f t="shared" si="21"/>
        <v>-4.7196856842255447E-3</v>
      </c>
      <c r="AB13">
        <f t="shared" si="22"/>
        <v>-2.0416538340326185E-2</v>
      </c>
      <c r="AC13">
        <f t="shared" si="23"/>
        <v>2.6007963643396553E-2</v>
      </c>
      <c r="AD13">
        <f t="shared" si="24"/>
        <v>4.3772734914096598E-2</v>
      </c>
      <c r="AE13">
        <f t="shared" si="25"/>
        <v>-8.6154803102321993E-3</v>
      </c>
      <c r="AF13">
        <f t="shared" si="26"/>
        <v>-2.8851064873836072E-2</v>
      </c>
      <c r="AG13">
        <f t="shared" si="27"/>
        <v>1.9841916941786018E-2</v>
      </c>
      <c r="AH13">
        <f t="shared" si="28"/>
        <v>4.3879911160309364E-2</v>
      </c>
      <c r="AI13">
        <f t="shared" si="29"/>
        <v>-1.0662784954319271E-2</v>
      </c>
      <c r="AJ13">
        <f t="shared" si="30"/>
        <v>-3.1198434097335068E-2</v>
      </c>
      <c r="AK13">
        <f t="shared" si="31"/>
        <v>1.9168632869716037E-2</v>
      </c>
      <c r="AL13">
        <f t="shared" si="32"/>
        <v>4.2780191186850391E-2</v>
      </c>
      <c r="AM13">
        <f t="shared" si="33"/>
        <v>-1.1248106016031234E-2</v>
      </c>
      <c r="AN13">
        <f t="shared" si="34"/>
        <v>-3.0119375654958883E-2</v>
      </c>
      <c r="AO13">
        <f t="shared" si="35"/>
        <v>1.961866374710744E-2</v>
      </c>
      <c r="AP13">
        <f t="shared" ref="AP13:AP44" si="36">BD$2+BD$3*$AL12+BD$4*$AM12+BD$5*$AN12+BD$6*$AO12</f>
        <v>4.1755010364199839E-2</v>
      </c>
      <c r="AQ13">
        <f t="shared" ref="AQ13:AQ44" si="37">BE$2+BE$3*$AL12+BE$4*$AM12+BE$5*$AN12+BE$6*$AO12</f>
        <v>-1.1133424484844244E-2</v>
      </c>
      <c r="AR13">
        <f t="shared" ref="AR13:AR44" si="38">BF$2+BF$3*$AL12+BF$4*$AM12+BF$5*$AN12+BF$6*$AO12</f>
        <v>-2.8737804501823137E-2</v>
      </c>
      <c r="AS13">
        <f t="shared" ref="AS13:AS44" si="39">BG$2+BG$3*$AL12+BG$4*$AM12+BG$5*$AN12+BG$6*$AO12</f>
        <v>2.4448735512604881E-2</v>
      </c>
    </row>
    <row r="14" spans="1:77" ht="14.4" x14ac:dyDescent="0.55000000000000004">
      <c r="A14" s="4">
        <v>39442</v>
      </c>
      <c r="B14">
        <v>4.09383078154546E-2</v>
      </c>
      <c r="C14">
        <v>-5.3075191909146002E-3</v>
      </c>
      <c r="D14">
        <v>-2.93392440651691E-2</v>
      </c>
      <c r="E14">
        <v>3.0044321162910999E-2</v>
      </c>
      <c r="F14">
        <f t="shared" si="0"/>
        <v>3.9401420490465196E-2</v>
      </c>
      <c r="G14">
        <f t="shared" si="1"/>
        <v>-8.358617228253002E-3</v>
      </c>
      <c r="H14">
        <f t="shared" si="2"/>
        <v>-2.7143903507297729E-2</v>
      </c>
      <c r="I14">
        <f t="shared" si="3"/>
        <v>2.5956740628088927E-2</v>
      </c>
      <c r="J14">
        <f t="shared" si="4"/>
        <v>4.2705018531766011E-2</v>
      </c>
      <c r="K14">
        <f t="shared" si="5"/>
        <v>-4.6033346794101104E-3</v>
      </c>
      <c r="L14">
        <f t="shared" si="6"/>
        <v>-2.3992276328749163E-2</v>
      </c>
      <c r="M14">
        <f t="shared" si="7"/>
        <v>2.2998425035722445E-2</v>
      </c>
      <c r="N14">
        <f t="shared" si="8"/>
        <v>4.2633779010000414E-2</v>
      </c>
      <c r="O14">
        <f t="shared" si="9"/>
        <v>-7.3473219315142394E-3</v>
      </c>
      <c r="P14">
        <f t="shared" si="10"/>
        <v>-2.3124792086051612E-2</v>
      </c>
      <c r="Q14">
        <f t="shared" si="11"/>
        <v>2.4556897605669044E-2</v>
      </c>
      <c r="R14">
        <f t="shared" si="12"/>
        <v>4.2418996471148204E-2</v>
      </c>
      <c r="S14">
        <f t="shared" si="13"/>
        <v>-7.5565074109383047E-3</v>
      </c>
      <c r="T14">
        <f t="shared" si="14"/>
        <v>-2.0744589366258302E-2</v>
      </c>
      <c r="U14">
        <f t="shared" si="15"/>
        <v>2.1323066441281416E-2</v>
      </c>
      <c r="V14">
        <f t="shared" si="16"/>
        <v>4.3209311407416566E-2</v>
      </c>
      <c r="W14">
        <f t="shared" si="17"/>
        <v>-4.0424776337601321E-3</v>
      </c>
      <c r="X14">
        <f t="shared" si="18"/>
        <v>-2.3514976070598013E-2</v>
      </c>
      <c r="Y14">
        <f t="shared" si="19"/>
        <v>2.6912859549824301E-2</v>
      </c>
      <c r="Z14">
        <f t="shared" si="20"/>
        <v>4.1567356937577099E-2</v>
      </c>
      <c r="AA14">
        <f t="shared" si="21"/>
        <v>-4.8573694634298078E-3</v>
      </c>
      <c r="AB14">
        <f t="shared" si="22"/>
        <v>-2.0948813878989815E-2</v>
      </c>
      <c r="AC14">
        <f t="shared" si="23"/>
        <v>3.227766230023691E-2</v>
      </c>
      <c r="AD14">
        <f t="shared" si="24"/>
        <v>4.1552317235993973E-2</v>
      </c>
      <c r="AE14">
        <f t="shared" si="25"/>
        <v>-6.3901576855200518E-3</v>
      </c>
      <c r="AF14">
        <f t="shared" si="26"/>
        <v>-2.2337788393105931E-2</v>
      </c>
      <c r="AG14">
        <f t="shared" si="27"/>
        <v>2.6684653234642426E-2</v>
      </c>
      <c r="AH14">
        <f t="shared" si="28"/>
        <v>4.3402155579785849E-2</v>
      </c>
      <c r="AI14">
        <f t="shared" si="29"/>
        <v>-1.0261310807125619E-2</v>
      </c>
      <c r="AJ14">
        <f t="shared" si="30"/>
        <v>-3.0105536565472296E-2</v>
      </c>
      <c r="AK14">
        <f t="shared" si="31"/>
        <v>2.0431735340196558E-2</v>
      </c>
      <c r="AL14">
        <f t="shared" si="32"/>
        <v>4.3495194219770973E-2</v>
      </c>
      <c r="AM14">
        <f t="shared" si="33"/>
        <v>-1.2191277751278718E-2</v>
      </c>
      <c r="AN14">
        <f t="shared" si="34"/>
        <v>-3.2291889990196089E-2</v>
      </c>
      <c r="AO14">
        <f t="shared" si="35"/>
        <v>1.9690284920844913E-2</v>
      </c>
      <c r="AP14">
        <f t="shared" si="36"/>
        <v>4.2501413943494895E-2</v>
      </c>
      <c r="AQ14">
        <f t="shared" si="37"/>
        <v>-1.276487637250549E-2</v>
      </c>
      <c r="AR14">
        <f t="shared" si="38"/>
        <v>-3.1337753130825846E-2</v>
      </c>
      <c r="AS14">
        <f t="shared" si="39"/>
        <v>1.9916149883683544E-2</v>
      </c>
      <c r="AT14">
        <f t="shared" ref="AT14:AT45" si="40">BD$2+BD$3*$AP13+BD$4*$AQ13+BD$5*$AR13+BD$6*$AS13</f>
        <v>4.153219399653621E-2</v>
      </c>
      <c r="AU14">
        <f t="shared" ref="AU14:AU45" si="41">BE$2+BE$3*$AP13+BE$4*$AQ13+BE$5*$AR13+BE$6*$AS13</f>
        <v>-1.2661130107055262E-2</v>
      </c>
      <c r="AV14">
        <f t="shared" ref="AV14:AV45" si="42">BF$2+BF$3*$AP13+BF$4*$AQ13+BF$5*$AR13+BF$6*$AS13</f>
        <v>-3.0127879242841108E-2</v>
      </c>
      <c r="AW14">
        <f t="shared" ref="AW14:AW45" si="43">BG$2+BG$3*$AP13+BG$4*$AQ13+BG$5*$AR13+BG$6*$AS13</f>
        <v>2.4408484430155492E-2</v>
      </c>
    </row>
    <row r="15" spans="1:77" ht="14.4" x14ac:dyDescent="0.55000000000000004">
      <c r="A15" s="4">
        <v>39477</v>
      </c>
      <c r="B15">
        <v>3.9689403599015599E-2</v>
      </c>
      <c r="C15">
        <v>-1.44104121964551E-2</v>
      </c>
      <c r="D15">
        <v>-4.9251257368786001E-2</v>
      </c>
      <c r="E15">
        <v>2.9533091509634402E-2</v>
      </c>
      <c r="F15">
        <f t="shared" si="0"/>
        <v>4.1457750428985418E-2</v>
      </c>
      <c r="G15">
        <f t="shared" si="1"/>
        <v>-8.1357139861278314E-3</v>
      </c>
      <c r="H15">
        <f t="shared" si="2"/>
        <v>-3.0801848359616964E-2</v>
      </c>
      <c r="I15">
        <f t="shared" si="3"/>
        <v>2.8178936650536772E-2</v>
      </c>
      <c r="J15">
        <f t="shared" si="4"/>
        <v>3.9864878466711086E-2</v>
      </c>
      <c r="K15">
        <f t="shared" si="5"/>
        <v>-1.0718004118895211E-2</v>
      </c>
      <c r="L15">
        <f t="shared" si="6"/>
        <v>-2.8780503669982888E-2</v>
      </c>
      <c r="M15">
        <f t="shared" si="7"/>
        <v>2.4467684099422536E-2</v>
      </c>
      <c r="N15">
        <f t="shared" si="8"/>
        <v>4.2516408823022885E-2</v>
      </c>
      <c r="O15">
        <f t="shared" si="9"/>
        <v>-6.6104203610308585E-3</v>
      </c>
      <c r="P15">
        <f t="shared" si="10"/>
        <v>-2.5636719680571837E-2</v>
      </c>
      <c r="Q15">
        <f t="shared" si="11"/>
        <v>2.3293955753937064E-2</v>
      </c>
      <c r="R15">
        <f t="shared" si="12"/>
        <v>4.2082582380506633E-2</v>
      </c>
      <c r="S15">
        <f t="shared" si="13"/>
        <v>-8.7134737377275659E-3</v>
      </c>
      <c r="T15">
        <f t="shared" si="14"/>
        <v>-2.4823106665567484E-2</v>
      </c>
      <c r="U15">
        <f t="shared" si="15"/>
        <v>2.5525418143194471E-2</v>
      </c>
      <c r="V15">
        <f t="shared" si="16"/>
        <v>4.1745365700830574E-2</v>
      </c>
      <c r="W15">
        <f t="shared" si="17"/>
        <v>-8.6770815177120864E-3</v>
      </c>
      <c r="X15">
        <f t="shared" si="18"/>
        <v>-2.2575114657059359E-2</v>
      </c>
      <c r="Y15">
        <f t="shared" si="19"/>
        <v>2.2830757954348684E-2</v>
      </c>
      <c r="Z15">
        <f t="shared" si="20"/>
        <v>4.2844734804841252E-2</v>
      </c>
      <c r="AA15">
        <f t="shared" si="21"/>
        <v>-5.9358326390373155E-3</v>
      </c>
      <c r="AB15">
        <f t="shared" si="22"/>
        <v>-2.5189627836806991E-2</v>
      </c>
      <c r="AC15">
        <f t="shared" si="23"/>
        <v>2.7397995330021994E-2</v>
      </c>
      <c r="AD15">
        <f t="shared" si="24"/>
        <v>4.12016475565819E-2</v>
      </c>
      <c r="AE15">
        <f t="shared" si="25"/>
        <v>-6.5636983505720408E-3</v>
      </c>
      <c r="AF15">
        <f t="shared" si="26"/>
        <v>-2.2899210884933949E-2</v>
      </c>
      <c r="AG15">
        <f t="shared" si="27"/>
        <v>3.2545919752073958E-2</v>
      </c>
      <c r="AH15">
        <f t="shared" si="28"/>
        <v>4.1254795415269545E-2</v>
      </c>
      <c r="AI15">
        <f t="shared" si="29"/>
        <v>-8.0514315271787724E-3</v>
      </c>
      <c r="AJ15">
        <f t="shared" si="30"/>
        <v>-2.4160829007343849E-2</v>
      </c>
      <c r="AK15">
        <f t="shared" si="31"/>
        <v>2.7034945100555614E-2</v>
      </c>
      <c r="AL15">
        <f t="shared" si="32"/>
        <v>4.3056146200362952E-2</v>
      </c>
      <c r="AM15">
        <f t="shared" si="33"/>
        <v>-1.1819303433709056E-2</v>
      </c>
      <c r="AN15">
        <f t="shared" si="34"/>
        <v>-3.1301003390484063E-2</v>
      </c>
      <c r="AO15">
        <f t="shared" si="35"/>
        <v>2.0850015273081109E-2</v>
      </c>
      <c r="AP15">
        <f t="shared" si="36"/>
        <v>4.3137318821695955E-2</v>
      </c>
      <c r="AQ15">
        <f t="shared" si="37"/>
        <v>-1.3638541865536214E-2</v>
      </c>
      <c r="AR15">
        <f t="shared" si="38"/>
        <v>-3.3336880199008295E-2</v>
      </c>
      <c r="AS15">
        <f t="shared" si="39"/>
        <v>2.004825906262056E-2</v>
      </c>
      <c r="AT15">
        <f t="shared" si="40"/>
        <v>4.2239744502146258E-2</v>
      </c>
      <c r="AU15">
        <f t="shared" si="41"/>
        <v>-1.4197956022241677E-2</v>
      </c>
      <c r="AV15">
        <f t="shared" si="42"/>
        <v>-3.249294970323733E-2</v>
      </c>
      <c r="AW15">
        <f t="shared" si="43"/>
        <v>2.0079013788336268E-2</v>
      </c>
      <c r="AX15">
        <f t="shared" ref="AX15:AX46" si="44">BD$2+BD$3*$AT14+BD$4*$AU14+BD$5*$AV14+BD$6*$AW14</f>
        <v>4.1332718171383363E-2</v>
      </c>
      <c r="AY15">
        <f t="shared" ref="AY15:AY46" si="45">BE$2+BE$3*$AT14+BE$4*$AU14+BE$5*$AV14+BE$6*$AW14</f>
        <v>-1.4116579601025119E-2</v>
      </c>
      <c r="AZ15">
        <f t="shared" ref="AZ15:AZ46" si="46">BF$2+BF$3*$AT14+BF$4*$AU14+BF$5*$AV14+BF$6*$AW14</f>
        <v>-3.1439088660145699E-2</v>
      </c>
      <c r="BA15">
        <f t="shared" ref="BA15:BA46" si="47">BG$2+BG$3*$AT14+BG$4*$AU14+BG$5*$AV14+BG$6*$AW14</f>
        <v>2.4232206638552887E-2</v>
      </c>
    </row>
    <row r="16" spans="1:77" ht="14.4" x14ac:dyDescent="0.55000000000000004">
      <c r="A16" s="4">
        <v>39505</v>
      </c>
      <c r="B16">
        <v>4.1341475339874201E-2</v>
      </c>
      <c r="C16">
        <v>-1.7930625925524999E-2</v>
      </c>
      <c r="D16">
        <v>-5.3600582570360801E-2</v>
      </c>
      <c r="E16">
        <v>3.4799152989331797E-2</v>
      </c>
      <c r="F16">
        <f t="shared" si="0"/>
        <v>4.1357361364827303E-2</v>
      </c>
      <c r="G16">
        <f t="shared" si="1"/>
        <v>-1.8237368431533202E-2</v>
      </c>
      <c r="H16">
        <f t="shared" si="2"/>
        <v>-4.9538099576977544E-2</v>
      </c>
      <c r="I16">
        <f t="shared" si="3"/>
        <v>2.4223384007985384E-2</v>
      </c>
      <c r="J16">
        <f t="shared" si="4"/>
        <v>4.1726690376508821E-2</v>
      </c>
      <c r="K16">
        <f t="shared" si="5"/>
        <v>-1.0512049184199034E-2</v>
      </c>
      <c r="L16">
        <f t="shared" si="6"/>
        <v>-3.2122705550766885E-2</v>
      </c>
      <c r="M16">
        <f t="shared" si="7"/>
        <v>2.6843491547177682E-2</v>
      </c>
      <c r="N16">
        <f t="shared" si="8"/>
        <v>4.0147530529893463E-2</v>
      </c>
      <c r="O16">
        <f t="shared" si="9"/>
        <v>-1.2744616525352711E-2</v>
      </c>
      <c r="P16">
        <f t="shared" si="10"/>
        <v>-3.0272611299947849E-2</v>
      </c>
      <c r="Q16">
        <f t="shared" si="11"/>
        <v>2.3339307952121999E-2</v>
      </c>
      <c r="R16">
        <f t="shared" si="12"/>
        <v>4.2311078850949528E-2</v>
      </c>
      <c r="S16">
        <f t="shared" si="13"/>
        <v>-8.4725834935818478E-3</v>
      </c>
      <c r="T16">
        <f t="shared" si="14"/>
        <v>-2.7185179134386145E-2</v>
      </c>
      <c r="U16">
        <f t="shared" si="15"/>
        <v>2.3500824559348217E-2</v>
      </c>
      <c r="V16">
        <f t="shared" si="16"/>
        <v>4.1660648784591837E-2</v>
      </c>
      <c r="W16">
        <f t="shared" si="17"/>
        <v>-1.0135210670274704E-2</v>
      </c>
      <c r="X16">
        <f t="shared" si="18"/>
        <v>-2.6449340584387377E-2</v>
      </c>
      <c r="Y16">
        <f t="shared" si="19"/>
        <v>2.6062483648283362E-2</v>
      </c>
      <c r="Z16">
        <f t="shared" si="20"/>
        <v>4.1257874837251629E-2</v>
      </c>
      <c r="AA16">
        <f t="shared" si="21"/>
        <v>-9.9365587275763011E-3</v>
      </c>
      <c r="AB16">
        <f t="shared" si="22"/>
        <v>-2.4336997350292343E-2</v>
      </c>
      <c r="AC16">
        <f t="shared" si="23"/>
        <v>2.375318918268627E-2</v>
      </c>
      <c r="AD16">
        <f t="shared" si="24"/>
        <v>4.2517122434174007E-2</v>
      </c>
      <c r="AE16">
        <f t="shared" si="25"/>
        <v>-7.7459173760436231E-3</v>
      </c>
      <c r="AF16">
        <f t="shared" si="26"/>
        <v>-2.6777822680415377E-2</v>
      </c>
      <c r="AG16">
        <f t="shared" si="27"/>
        <v>2.7668700734302394E-2</v>
      </c>
      <c r="AH16">
        <f t="shared" si="28"/>
        <v>4.0920060273971805E-2</v>
      </c>
      <c r="AI16">
        <f t="shared" si="29"/>
        <v>-8.260102232283453E-3</v>
      </c>
      <c r="AJ16">
        <f t="shared" si="30"/>
        <v>-2.4746027344025989E-2</v>
      </c>
      <c r="AK16">
        <f t="shared" si="31"/>
        <v>3.2502928611031698E-2</v>
      </c>
      <c r="AL16">
        <f t="shared" si="32"/>
        <v>4.1016704421007154E-2</v>
      </c>
      <c r="AM16">
        <f t="shared" si="33"/>
        <v>-9.6796284707482937E-3</v>
      </c>
      <c r="AN16">
        <f t="shared" si="34"/>
        <v>-2.5885010546463274E-2</v>
      </c>
      <c r="AO16">
        <f t="shared" si="35"/>
        <v>2.7128814292424037E-2</v>
      </c>
      <c r="AP16">
        <f t="shared" si="36"/>
        <v>4.2735350921231777E-2</v>
      </c>
      <c r="AQ16">
        <f t="shared" si="37"/>
        <v>-1.329594453013562E-2</v>
      </c>
      <c r="AR16">
        <f t="shared" si="38"/>
        <v>-3.2438936454021246E-2</v>
      </c>
      <c r="AS16">
        <f t="shared" si="39"/>
        <v>2.11093122744344E-2</v>
      </c>
      <c r="AT16">
        <f t="shared" si="40"/>
        <v>4.2806501862044932E-2</v>
      </c>
      <c r="AU16">
        <f t="shared" si="41"/>
        <v>-1.5010497230379201E-2</v>
      </c>
      <c r="AV16">
        <f t="shared" si="42"/>
        <v>-3.4334140690602317E-2</v>
      </c>
      <c r="AW16">
        <f t="shared" si="43"/>
        <v>2.0255029014797095E-2</v>
      </c>
      <c r="AX16">
        <f t="shared" si="44"/>
        <v>4.1996219478130974E-2</v>
      </c>
      <c r="AY16">
        <f t="shared" si="45"/>
        <v>-1.5553658185294913E-2</v>
      </c>
      <c r="AZ16">
        <f t="shared" si="46"/>
        <v>-3.3587321251931493E-2</v>
      </c>
      <c r="BA16">
        <f t="shared" si="47"/>
        <v>2.011694492775613E-2</v>
      </c>
    </row>
    <row r="17" spans="1:53" ht="14.4" x14ac:dyDescent="0.55000000000000004">
      <c r="A17" s="4">
        <v>39533</v>
      </c>
      <c r="B17">
        <v>3.9530216963914698E-2</v>
      </c>
      <c r="C17">
        <v>-2.23144866726562E-2</v>
      </c>
      <c r="D17">
        <v>-5.4733001336328198E-2</v>
      </c>
      <c r="E17">
        <v>3.2761219135476603E-2</v>
      </c>
      <c r="F17">
        <f t="shared" si="0"/>
        <v>4.2544252723376308E-2</v>
      </c>
      <c r="G17">
        <f t="shared" si="1"/>
        <v>-2.1187878423318807E-2</v>
      </c>
      <c r="H17">
        <f t="shared" si="2"/>
        <v>-5.3555185011522288E-2</v>
      </c>
      <c r="I17">
        <f t="shared" si="3"/>
        <v>2.994940075730549E-2</v>
      </c>
      <c r="J17">
        <f t="shared" si="4"/>
        <v>4.2350579354354552E-2</v>
      </c>
      <c r="K17">
        <f t="shared" si="5"/>
        <v>-2.1068616248750147E-2</v>
      </c>
      <c r="L17">
        <f t="shared" si="6"/>
        <v>-4.9663906614089155E-2</v>
      </c>
      <c r="M17">
        <f t="shared" si="7"/>
        <v>2.0583241582866882E-2</v>
      </c>
      <c r="N17">
        <f t="shared" si="8"/>
        <v>4.1830015225550618E-2</v>
      </c>
      <c r="O17">
        <f t="shared" si="9"/>
        <v>-1.2553723705467555E-2</v>
      </c>
      <c r="P17">
        <f t="shared" si="10"/>
        <v>-3.3329576230005313E-2</v>
      </c>
      <c r="Q17">
        <f t="shared" si="11"/>
        <v>2.5839370169974368E-2</v>
      </c>
      <c r="R17">
        <f t="shared" si="12"/>
        <v>4.0307978150794337E-2</v>
      </c>
      <c r="S17">
        <f t="shared" si="13"/>
        <v>-1.4519378403273395E-2</v>
      </c>
      <c r="T17">
        <f t="shared" si="14"/>
        <v>-3.1642685663123206E-2</v>
      </c>
      <c r="U17">
        <f t="shared" si="15"/>
        <v>2.2437094462263857E-2</v>
      </c>
      <c r="V17">
        <f t="shared" si="16"/>
        <v>4.2100789905225929E-2</v>
      </c>
      <c r="W17">
        <f t="shared" si="17"/>
        <v>-1.0210650068287749E-2</v>
      </c>
      <c r="X17">
        <f t="shared" si="18"/>
        <v>-2.8644410583436971E-2</v>
      </c>
      <c r="Y17">
        <f t="shared" si="19"/>
        <v>2.3605501629384629E-2</v>
      </c>
      <c r="Z17">
        <f t="shared" si="20"/>
        <v>4.1332021420277539E-2</v>
      </c>
      <c r="AA17">
        <f t="shared" si="21"/>
        <v>-1.1570319316128602E-2</v>
      </c>
      <c r="AB17">
        <f t="shared" si="22"/>
        <v>-2.7997665768718198E-2</v>
      </c>
      <c r="AC17">
        <f t="shared" si="23"/>
        <v>2.627211884254833E-2</v>
      </c>
      <c r="AD17">
        <f t="shared" si="24"/>
        <v>4.0901284545380168E-2</v>
      </c>
      <c r="AE17">
        <f t="shared" si="25"/>
        <v>-1.1266704431449441E-2</v>
      </c>
      <c r="AF17">
        <f t="shared" si="26"/>
        <v>-2.601970017425223E-2</v>
      </c>
      <c r="AG17">
        <f t="shared" si="27"/>
        <v>2.4242955239451143E-2</v>
      </c>
      <c r="AH17">
        <f t="shared" si="28"/>
        <v>4.2221965355524929E-2</v>
      </c>
      <c r="AI17">
        <f t="shared" si="29"/>
        <v>-9.4727888555849599E-3</v>
      </c>
      <c r="AJ17">
        <f t="shared" si="30"/>
        <v>-2.8281702146901105E-2</v>
      </c>
      <c r="AK17">
        <f t="shared" si="31"/>
        <v>2.775211951946932E-2</v>
      </c>
      <c r="AL17">
        <f t="shared" si="32"/>
        <v>4.0699378965161362E-2</v>
      </c>
      <c r="AM17">
        <f t="shared" si="33"/>
        <v>-9.9213559638792782E-3</v>
      </c>
      <c r="AN17">
        <f t="shared" si="34"/>
        <v>-2.648888855445463E-2</v>
      </c>
      <c r="AO17">
        <f t="shared" si="35"/>
        <v>3.2220954401278368E-2</v>
      </c>
      <c r="AP17">
        <f t="shared" si="36"/>
        <v>4.0822640510047511E-2</v>
      </c>
      <c r="AQ17">
        <f t="shared" si="37"/>
        <v>-1.1259243664165201E-2</v>
      </c>
      <c r="AR17">
        <f t="shared" si="38"/>
        <v>-2.7511488595295144E-2</v>
      </c>
      <c r="AS17">
        <f t="shared" si="39"/>
        <v>2.7018804684145404E-2</v>
      </c>
      <c r="AT17">
        <f t="shared" si="40"/>
        <v>4.2439515606657735E-2</v>
      </c>
      <c r="AU17">
        <f t="shared" si="41"/>
        <v>-1.4696346480089474E-2</v>
      </c>
      <c r="AV17">
        <f t="shared" si="42"/>
        <v>-3.3520737738571615E-2</v>
      </c>
      <c r="AW17">
        <f t="shared" si="43"/>
        <v>2.1223217702277232E-2</v>
      </c>
      <c r="AX17">
        <f t="shared" si="44"/>
        <v>4.2502159753941823E-2</v>
      </c>
      <c r="AY17">
        <f t="shared" si="45"/>
        <v>-1.6311802278818836E-2</v>
      </c>
      <c r="AZ17">
        <f t="shared" si="46"/>
        <v>-3.5284407788457928E-2</v>
      </c>
      <c r="BA17">
        <f t="shared" si="47"/>
        <v>2.0323938592877271E-2</v>
      </c>
    </row>
    <row r="18" spans="1:53" ht="14.4" x14ac:dyDescent="0.55000000000000004">
      <c r="A18" s="4">
        <v>39568</v>
      </c>
      <c r="B18">
        <v>4.1878762295920802E-2</v>
      </c>
      <c r="C18">
        <v>-2.3718313071229801E-2</v>
      </c>
      <c r="D18">
        <v>-3.4625828960975803E-2</v>
      </c>
      <c r="E18">
        <v>2.3312120974840499E-2</v>
      </c>
      <c r="F18">
        <f t="shared" si="0"/>
        <v>4.0867012811937331E-2</v>
      </c>
      <c r="G18">
        <f t="shared" si="1"/>
        <v>-2.5292132820838715E-2</v>
      </c>
      <c r="H18">
        <f t="shared" si="2"/>
        <v>-5.468386061694995E-2</v>
      </c>
      <c r="I18">
        <f t="shared" si="3"/>
        <v>2.7599158327360748E-2</v>
      </c>
      <c r="J18">
        <f t="shared" si="4"/>
        <v>4.3205759103960621E-2</v>
      </c>
      <c r="K18">
        <f t="shared" si="5"/>
        <v>-2.3613608729547743E-2</v>
      </c>
      <c r="L18">
        <f t="shared" si="6"/>
        <v>-5.3399697312070213E-2</v>
      </c>
      <c r="M18">
        <f t="shared" si="7"/>
        <v>2.6479507899089247E-2</v>
      </c>
      <c r="N18">
        <f t="shared" si="8"/>
        <v>4.2890638836782347E-2</v>
      </c>
      <c r="O18">
        <f t="shared" si="9"/>
        <v>-2.320139408570655E-2</v>
      </c>
      <c r="P18">
        <f t="shared" si="10"/>
        <v>-4.9690773224329361E-2</v>
      </c>
      <c r="Q18">
        <f t="shared" si="11"/>
        <v>1.8065742565608469E-2</v>
      </c>
      <c r="R18">
        <f t="shared" si="12"/>
        <v>4.1826012021109964E-2</v>
      </c>
      <c r="S18">
        <f t="shared" si="13"/>
        <v>-1.434287351925214E-2</v>
      </c>
      <c r="T18">
        <f t="shared" si="14"/>
        <v>-3.4442071515732288E-2</v>
      </c>
      <c r="U18">
        <f t="shared" si="15"/>
        <v>2.5033224018458661E-2</v>
      </c>
      <c r="V18">
        <f t="shared" si="16"/>
        <v>4.0386702891817478E-2</v>
      </c>
      <c r="W18">
        <f t="shared" si="17"/>
        <v>-1.6099379417521726E-2</v>
      </c>
      <c r="X18">
        <f t="shared" si="18"/>
        <v>-3.2907379174644875E-2</v>
      </c>
      <c r="Y18">
        <f t="shared" si="19"/>
        <v>2.1670776221167747E-2</v>
      </c>
      <c r="Z18">
        <f t="shared" si="20"/>
        <v>4.1893169508160438E-2</v>
      </c>
      <c r="AA18">
        <f t="shared" si="21"/>
        <v>-1.1839880012834203E-2</v>
      </c>
      <c r="AB18">
        <f t="shared" si="22"/>
        <v>-3.0019938439600831E-2</v>
      </c>
      <c r="AC18">
        <f t="shared" si="23"/>
        <v>2.3603463017385036E-2</v>
      </c>
      <c r="AD18">
        <f t="shared" si="24"/>
        <v>4.1071440128281275E-2</v>
      </c>
      <c r="AE18">
        <f t="shared" si="25"/>
        <v>-1.2990479549806181E-2</v>
      </c>
      <c r="AF18">
        <f t="shared" si="26"/>
        <v>-2.9465448491366671E-2</v>
      </c>
      <c r="AG18">
        <f t="shared" si="27"/>
        <v>2.6230414967186588E-2</v>
      </c>
      <c r="AH18">
        <f t="shared" si="28"/>
        <v>4.063711480848467E-2</v>
      </c>
      <c r="AI18">
        <f t="shared" si="29"/>
        <v>-1.2621178513169691E-2</v>
      </c>
      <c r="AJ18">
        <f t="shared" si="30"/>
        <v>-2.7617655717133396E-2</v>
      </c>
      <c r="AK18">
        <f t="shared" si="31"/>
        <v>2.4409575689761941E-2</v>
      </c>
      <c r="AL18">
        <f t="shared" si="32"/>
        <v>4.1955565684979594E-2</v>
      </c>
      <c r="AM18">
        <f t="shared" si="33"/>
        <v>-1.1117385365442423E-2</v>
      </c>
      <c r="AN18">
        <f t="shared" si="34"/>
        <v>-2.9703705455588928E-2</v>
      </c>
      <c r="AO18">
        <f t="shared" si="35"/>
        <v>2.7672012352779329E-2</v>
      </c>
      <c r="AP18">
        <f t="shared" si="36"/>
        <v>4.0523299400669108E-2</v>
      </c>
      <c r="AQ18">
        <f t="shared" si="37"/>
        <v>-1.1531166581990699E-2</v>
      </c>
      <c r="AR18">
        <f t="shared" si="38"/>
        <v>-2.8129303282102551E-2</v>
      </c>
      <c r="AS18">
        <f t="shared" si="39"/>
        <v>3.1753747480732959E-2</v>
      </c>
      <c r="AT18">
        <f t="shared" si="40"/>
        <v>4.0661705902982667E-2</v>
      </c>
      <c r="AU18">
        <f t="shared" si="41"/>
        <v>-1.2780574714247407E-2</v>
      </c>
      <c r="AV18">
        <f t="shared" si="42"/>
        <v>-2.9042609076498877E-2</v>
      </c>
      <c r="AW18">
        <f t="shared" si="43"/>
        <v>2.6745005700161827E-2</v>
      </c>
      <c r="AX18">
        <f t="shared" si="44"/>
        <v>4.2167821024753117E-2</v>
      </c>
      <c r="AY18">
        <f t="shared" si="45"/>
        <v>-1.6024686536423843E-2</v>
      </c>
      <c r="AZ18">
        <f t="shared" si="46"/>
        <v>-3.4547806288931435E-2</v>
      </c>
      <c r="BA18">
        <f t="shared" si="47"/>
        <v>2.1205610544509472E-2</v>
      </c>
    </row>
    <row r="19" spans="1:53" ht="14.4" x14ac:dyDescent="0.55000000000000004">
      <c r="A19" s="4">
        <v>39596</v>
      </c>
      <c r="B19">
        <v>4.4280066815469997E-2</v>
      </c>
      <c r="C19">
        <v>-2.3878897894552501E-2</v>
      </c>
      <c r="D19">
        <v>-2.7951953381800301E-2</v>
      </c>
      <c r="E19">
        <v>2.1106991555516302E-2</v>
      </c>
      <c r="F19">
        <f t="shared" si="0"/>
        <v>4.0895336735266602E-2</v>
      </c>
      <c r="G19">
        <f t="shared" si="1"/>
        <v>-2.3542191508712427E-2</v>
      </c>
      <c r="H19">
        <f t="shared" si="2"/>
        <v>-3.5589255603632554E-2</v>
      </c>
      <c r="I19">
        <f t="shared" si="3"/>
        <v>2.4481662845291768E-2</v>
      </c>
      <c r="J19">
        <f t="shared" si="4"/>
        <v>4.1663166800268742E-2</v>
      </c>
      <c r="K19">
        <f t="shared" si="5"/>
        <v>-2.7466417190364394E-2</v>
      </c>
      <c r="L19">
        <f t="shared" si="6"/>
        <v>-5.4516776383863375E-2</v>
      </c>
      <c r="M19">
        <f t="shared" si="7"/>
        <v>2.3839384701076032E-2</v>
      </c>
      <c r="N19">
        <f t="shared" si="8"/>
        <v>4.3508028362292284E-2</v>
      </c>
      <c r="O19">
        <f t="shared" si="9"/>
        <v>-2.5454397280898686E-2</v>
      </c>
      <c r="P19">
        <f t="shared" si="10"/>
        <v>-5.3183205815969595E-2</v>
      </c>
      <c r="Q19">
        <f t="shared" si="11"/>
        <v>2.3939096235469422E-2</v>
      </c>
      <c r="R19">
        <f t="shared" si="12"/>
        <v>4.313014103206117E-2</v>
      </c>
      <c r="S19">
        <f t="shared" si="13"/>
        <v>-2.4842179626752642E-2</v>
      </c>
      <c r="T19">
        <f t="shared" si="14"/>
        <v>-4.9659994493876015E-2</v>
      </c>
      <c r="U19">
        <f t="shared" si="15"/>
        <v>1.6295560607435138E-2</v>
      </c>
      <c r="V19">
        <f t="shared" si="16"/>
        <v>4.175453128214239E-2</v>
      </c>
      <c r="W19">
        <f t="shared" si="17"/>
        <v>-1.593726692211837E-2</v>
      </c>
      <c r="X19">
        <f t="shared" si="18"/>
        <v>-3.5474186371983379E-2</v>
      </c>
      <c r="Y19">
        <f t="shared" si="19"/>
        <v>2.4336661941594118E-2</v>
      </c>
      <c r="Z19">
        <f t="shared" si="20"/>
        <v>4.0411603669151301E-2</v>
      </c>
      <c r="AA19">
        <f t="shared" si="21"/>
        <v>-1.752512184105378E-2</v>
      </c>
      <c r="AB19">
        <f t="shared" si="22"/>
        <v>-3.4079276804865576E-2</v>
      </c>
      <c r="AC19">
        <f t="shared" si="23"/>
        <v>2.0980574169205971E-2</v>
      </c>
      <c r="AD19">
        <f t="shared" si="24"/>
        <v>4.1693014669333374E-2</v>
      </c>
      <c r="AE19">
        <f t="shared" si="25"/>
        <v>-1.3371671268612526E-2</v>
      </c>
      <c r="AF19">
        <f t="shared" si="26"/>
        <v>-3.1316440124437656E-2</v>
      </c>
      <c r="AG19">
        <f t="shared" si="27"/>
        <v>2.3496025281797502E-2</v>
      </c>
      <c r="AH19">
        <f t="shared" si="28"/>
        <v>4.0861101180198096E-2</v>
      </c>
      <c r="AI19">
        <f t="shared" si="29"/>
        <v>-1.4377015613468481E-2</v>
      </c>
      <c r="AJ19">
        <f t="shared" si="30"/>
        <v>-3.0852225271177057E-2</v>
      </c>
      <c r="AK19">
        <f t="shared" si="31"/>
        <v>2.5993707851938802E-2</v>
      </c>
      <c r="AL19">
        <f t="shared" si="32"/>
        <v>4.0438540427667646E-2</v>
      </c>
      <c r="AM19">
        <f t="shared" si="33"/>
        <v>-1.3968840305180502E-2</v>
      </c>
      <c r="AN19">
        <f t="shared" si="34"/>
        <v>-2.9128668035764055E-2</v>
      </c>
      <c r="AO19">
        <f t="shared" si="35"/>
        <v>2.433232750824036E-2</v>
      </c>
      <c r="AP19">
        <f t="shared" si="36"/>
        <v>4.1714835029006914E-2</v>
      </c>
      <c r="AQ19">
        <f t="shared" si="37"/>
        <v>-1.2681261140533867E-2</v>
      </c>
      <c r="AR19">
        <f t="shared" si="38"/>
        <v>-3.1046480816094357E-2</v>
      </c>
      <c r="AS19">
        <f t="shared" si="39"/>
        <v>2.7449354640985173E-2</v>
      </c>
      <c r="AT19">
        <f t="shared" si="40"/>
        <v>4.0380332214012125E-2</v>
      </c>
      <c r="AU19">
        <f t="shared" si="41"/>
        <v>-1.3079420253929728E-2</v>
      </c>
      <c r="AV19">
        <f t="shared" si="42"/>
        <v>-2.9670009969128806E-2</v>
      </c>
      <c r="AW19">
        <f t="shared" si="43"/>
        <v>3.1141869200650638E-2</v>
      </c>
      <c r="AX19">
        <f t="shared" si="44"/>
        <v>4.0526147111599263E-2</v>
      </c>
      <c r="AY19">
        <f t="shared" si="45"/>
        <v>-1.4237931341548812E-2</v>
      </c>
      <c r="AZ19">
        <f t="shared" si="46"/>
        <v>-3.0481481809384273E-2</v>
      </c>
      <c r="BA19">
        <f t="shared" si="47"/>
        <v>2.6338536537280667E-2</v>
      </c>
    </row>
    <row r="20" spans="1:53" ht="14.4" x14ac:dyDescent="0.55000000000000004">
      <c r="A20" s="4">
        <v>39624</v>
      </c>
      <c r="B20">
        <v>4.1788452722102597E-2</v>
      </c>
      <c r="C20">
        <v>-2.09380211726354E-2</v>
      </c>
      <c r="D20">
        <v>-2.0810172476198902E-2</v>
      </c>
      <c r="E20">
        <v>2.7842345786205699E-2</v>
      </c>
      <c r="F20">
        <f t="shared" si="0"/>
        <v>4.2146368164613292E-2</v>
      </c>
      <c r="G20">
        <f t="shared" si="1"/>
        <v>-2.2347257404393694E-2</v>
      </c>
      <c r="H20">
        <f t="shared" si="2"/>
        <v>-2.9171123141244561E-2</v>
      </c>
      <c r="I20">
        <f t="shared" si="3"/>
        <v>2.5154568400291809E-2</v>
      </c>
      <c r="J20">
        <f t="shared" si="4"/>
        <v>4.0233682853397124E-2</v>
      </c>
      <c r="K20">
        <f t="shared" si="5"/>
        <v>-2.3719313817347303E-2</v>
      </c>
      <c r="L20">
        <f t="shared" si="6"/>
        <v>-3.6556732566631459E-2</v>
      </c>
      <c r="M20">
        <f t="shared" si="7"/>
        <v>2.4853582198884783E-2</v>
      </c>
      <c r="N20">
        <f t="shared" si="8"/>
        <v>4.2096641675458728E-2</v>
      </c>
      <c r="O20">
        <f t="shared" si="9"/>
        <v>-2.9077089377197288E-2</v>
      </c>
      <c r="P20">
        <f t="shared" si="10"/>
        <v>-5.4281294067781177E-2</v>
      </c>
      <c r="Q20">
        <f t="shared" si="11"/>
        <v>2.1038777319168728E-2</v>
      </c>
      <c r="R20">
        <f t="shared" si="12"/>
        <v>4.3576033525542408E-2</v>
      </c>
      <c r="S20">
        <f t="shared" si="13"/>
        <v>-2.6881577298079801E-2</v>
      </c>
      <c r="T20">
        <f t="shared" si="14"/>
        <v>-5.2937807163132782E-2</v>
      </c>
      <c r="U20">
        <f t="shared" si="15"/>
        <v>2.201969294398097E-2</v>
      </c>
      <c r="V20">
        <f t="shared" si="16"/>
        <v>4.3173850120917769E-2</v>
      </c>
      <c r="W20">
        <f t="shared" si="17"/>
        <v>-2.6134403264613342E-2</v>
      </c>
      <c r="X20">
        <f t="shared" si="18"/>
        <v>-4.9598630132474453E-2</v>
      </c>
      <c r="Y20">
        <f t="shared" si="19"/>
        <v>1.5016207663560309E-2</v>
      </c>
      <c r="Z20">
        <f t="shared" si="20"/>
        <v>4.1642659672530995E-2</v>
      </c>
      <c r="AA20">
        <f t="shared" si="21"/>
        <v>-1.7377737700478638E-2</v>
      </c>
      <c r="AB20">
        <f t="shared" si="22"/>
        <v>-3.6436051923019019E-2</v>
      </c>
      <c r="AC20">
        <f t="shared" si="23"/>
        <v>2.3692158599665634E-2</v>
      </c>
      <c r="AD20">
        <f t="shared" si="24"/>
        <v>4.0401846625974895E-2</v>
      </c>
      <c r="AE20">
        <f t="shared" si="25"/>
        <v>-1.882555875089922E-2</v>
      </c>
      <c r="AF20">
        <f t="shared" si="26"/>
        <v>-3.5168104614574598E-2</v>
      </c>
      <c r="AG20">
        <f t="shared" si="27"/>
        <v>2.0327646653867836E-2</v>
      </c>
      <c r="AH20">
        <f t="shared" si="28"/>
        <v>4.1503194686023585E-2</v>
      </c>
      <c r="AI20">
        <f t="shared" si="29"/>
        <v>-1.4814740257536771E-2</v>
      </c>
      <c r="AJ20">
        <f t="shared" si="30"/>
        <v>-3.2538007613572964E-2</v>
      </c>
      <c r="AK20">
        <f t="shared" si="31"/>
        <v>2.3288175233691467E-2</v>
      </c>
      <c r="AL20">
        <f t="shared" si="32"/>
        <v>4.0688402588963508E-2</v>
      </c>
      <c r="AM20">
        <f t="shared" si="33"/>
        <v>-1.5717938808828148E-2</v>
      </c>
      <c r="AN20">
        <f t="shared" si="34"/>
        <v>-3.2158990673498082E-2</v>
      </c>
      <c r="AO20">
        <f t="shared" si="35"/>
        <v>2.5604289233470103E-2</v>
      </c>
      <c r="AP20">
        <f t="shared" si="36"/>
        <v>4.0286841409187868E-2</v>
      </c>
      <c r="AQ20">
        <f t="shared" si="37"/>
        <v>-1.5289091103836481E-2</v>
      </c>
      <c r="AR20">
        <f t="shared" si="38"/>
        <v>-3.0552804390322041E-2</v>
      </c>
      <c r="AS20">
        <f t="shared" si="39"/>
        <v>2.4069189259494049E-2</v>
      </c>
      <c r="AT20">
        <f t="shared" si="40"/>
        <v>4.149715058802822E-2</v>
      </c>
      <c r="AU20">
        <f t="shared" si="41"/>
        <v>-1.4166397293019453E-2</v>
      </c>
      <c r="AV20">
        <f t="shared" si="42"/>
        <v>-3.2312818252745651E-2</v>
      </c>
      <c r="AW20">
        <f t="shared" si="43"/>
        <v>2.710278474431765E-2</v>
      </c>
      <c r="AX20">
        <f t="shared" si="44"/>
        <v>4.0262344225887453E-2</v>
      </c>
      <c r="AY20">
        <f t="shared" si="45"/>
        <v>-1.4560266431932057E-2</v>
      </c>
      <c r="AZ20">
        <f t="shared" si="46"/>
        <v>-3.1114524499232406E-2</v>
      </c>
      <c r="BA20">
        <f t="shared" si="47"/>
        <v>3.0416418261165538E-2</v>
      </c>
    </row>
    <row r="21" spans="1:53" ht="14.4" x14ac:dyDescent="0.55000000000000004">
      <c r="A21" s="4">
        <v>39659</v>
      </c>
      <c r="B21">
        <v>4.3150243278122599E-2</v>
      </c>
      <c r="C21">
        <v>-2.4290197176285999E-2</v>
      </c>
      <c r="D21">
        <v>-2.61255126642716E-2</v>
      </c>
      <c r="E21">
        <v>2.4553799752414299E-2</v>
      </c>
      <c r="F21">
        <f t="shared" si="0"/>
        <v>3.9812483177238518E-2</v>
      </c>
      <c r="G21">
        <f t="shared" si="1"/>
        <v>-1.9542387704218532E-2</v>
      </c>
      <c r="H21">
        <f t="shared" si="2"/>
        <v>-2.2653022598593871E-2</v>
      </c>
      <c r="I21">
        <f t="shared" si="3"/>
        <v>3.1513430301074868E-2</v>
      </c>
      <c r="J21">
        <f t="shared" si="4"/>
        <v>4.0723857021997781E-2</v>
      </c>
      <c r="K21">
        <f t="shared" si="5"/>
        <v>-2.1675138197402632E-2</v>
      </c>
      <c r="L21">
        <f t="shared" si="6"/>
        <v>-3.0466930299152335E-2</v>
      </c>
      <c r="M21">
        <f t="shared" si="7"/>
        <v>2.7416682710392118E-2</v>
      </c>
      <c r="N21">
        <f t="shared" si="8"/>
        <v>3.9794008835035755E-2</v>
      </c>
      <c r="O21">
        <f t="shared" si="9"/>
        <v>-2.4122329984279579E-2</v>
      </c>
      <c r="P21">
        <f t="shared" si="10"/>
        <v>-3.7503575986052348E-2</v>
      </c>
      <c r="Q21">
        <f t="shared" si="11"/>
        <v>2.468153262566411E-2</v>
      </c>
      <c r="R21">
        <f t="shared" si="12"/>
        <v>4.2289933921398772E-2</v>
      </c>
      <c r="S21">
        <f t="shared" si="13"/>
        <v>-3.0290818584772103E-2</v>
      </c>
      <c r="T21">
        <f t="shared" si="14"/>
        <v>-5.4010242860961441E-2</v>
      </c>
      <c r="U21">
        <f t="shared" si="15"/>
        <v>1.8892383131399279E-2</v>
      </c>
      <c r="V21">
        <f t="shared" si="16"/>
        <v>4.3495213189469459E-2</v>
      </c>
      <c r="W21">
        <f t="shared" si="17"/>
        <v>-2.8014219472587396E-2</v>
      </c>
      <c r="X21">
        <f t="shared" si="18"/>
        <v>-5.2684025836374049E-2</v>
      </c>
      <c r="Y21">
        <f t="shared" si="19"/>
        <v>2.0511007183548091E-2</v>
      </c>
      <c r="Z21">
        <f t="shared" si="20"/>
        <v>4.3093385802376795E-2</v>
      </c>
      <c r="AA21">
        <f t="shared" si="21"/>
        <v>-2.7177713045830089E-2</v>
      </c>
      <c r="AB21">
        <f t="shared" si="22"/>
        <v>-4.9524044773813426E-2</v>
      </c>
      <c r="AC21">
        <f t="shared" si="23"/>
        <v>1.4053386242663517E-2</v>
      </c>
      <c r="AD21">
        <f t="shared" si="24"/>
        <v>4.1508660378496313E-2</v>
      </c>
      <c r="AE21">
        <f t="shared" si="25"/>
        <v>-1.8693350068282488E-2</v>
      </c>
      <c r="AF21">
        <f t="shared" si="26"/>
        <v>-3.7335145702878644E-2</v>
      </c>
      <c r="AG21">
        <f t="shared" si="27"/>
        <v>2.3063285404488251E-2</v>
      </c>
      <c r="AH21">
        <f t="shared" si="28"/>
        <v>4.0370541482951043E-2</v>
      </c>
      <c r="AI21">
        <f t="shared" si="29"/>
        <v>-2.0021596319412478E-2</v>
      </c>
      <c r="AJ21">
        <f t="shared" si="30"/>
        <v>-3.6181569360147013E-2</v>
      </c>
      <c r="AK21">
        <f t="shared" si="31"/>
        <v>1.9687466060846884E-2</v>
      </c>
      <c r="AL21">
        <f t="shared" si="32"/>
        <v>4.132527572555654E-2</v>
      </c>
      <c r="AM21">
        <f t="shared" si="33"/>
        <v>-1.6175938733515305E-2</v>
      </c>
      <c r="AN21">
        <f t="shared" si="34"/>
        <v>-3.3688324252411819E-2</v>
      </c>
      <c r="AO21">
        <f t="shared" si="35"/>
        <v>2.2987089703806429E-2</v>
      </c>
      <c r="AP21">
        <f t="shared" si="36"/>
        <v>4.054437494298483E-2</v>
      </c>
      <c r="AQ21">
        <f t="shared" si="37"/>
        <v>-1.7005888866989144E-2</v>
      </c>
      <c r="AR21">
        <f t="shared" si="38"/>
        <v>-3.3387702262518582E-2</v>
      </c>
      <c r="AS21">
        <f t="shared" si="39"/>
        <v>2.5094400958938074E-2</v>
      </c>
      <c r="AT21">
        <f t="shared" si="40"/>
        <v>4.0168934721685312E-2</v>
      </c>
      <c r="AU21">
        <f t="shared" si="41"/>
        <v>-1.6568634064469755E-2</v>
      </c>
      <c r="AV21">
        <f t="shared" si="42"/>
        <v>-3.1891627756875339E-2</v>
      </c>
      <c r="AW21">
        <f t="shared" si="43"/>
        <v>2.36630795682648E-2</v>
      </c>
      <c r="AX21">
        <f t="shared" si="44"/>
        <v>4.1300251683715032E-2</v>
      </c>
      <c r="AY21">
        <f t="shared" si="45"/>
        <v>-1.557506635263277E-2</v>
      </c>
      <c r="AZ21">
        <f t="shared" si="46"/>
        <v>-3.3505598158156936E-2</v>
      </c>
      <c r="BA21">
        <f t="shared" si="47"/>
        <v>2.664894592642857E-2</v>
      </c>
    </row>
    <row r="22" spans="1:53" ht="14.4" x14ac:dyDescent="0.55000000000000004">
      <c r="A22" s="4">
        <v>39687</v>
      </c>
      <c r="B22">
        <v>3.9981330613593401E-2</v>
      </c>
      <c r="C22">
        <v>-2.0863104386706698E-2</v>
      </c>
      <c r="D22">
        <v>-3.2311105910753597E-2</v>
      </c>
      <c r="E22">
        <v>2.6533156277649201E-2</v>
      </c>
      <c r="F22">
        <f t="shared" si="0"/>
        <v>4.1029717479828913E-2</v>
      </c>
      <c r="G22">
        <f t="shared" si="1"/>
        <v>-2.2654351485284694E-2</v>
      </c>
      <c r="H22">
        <f t="shared" si="2"/>
        <v>-2.7537119503928922E-2</v>
      </c>
      <c r="I22">
        <f t="shared" si="3"/>
        <v>2.8441413732480693E-2</v>
      </c>
      <c r="J22">
        <f t="shared" si="4"/>
        <v>3.8557016771436185E-2</v>
      </c>
      <c r="K22">
        <f t="shared" si="5"/>
        <v>-1.9027947302264207E-2</v>
      </c>
      <c r="L22">
        <f t="shared" si="6"/>
        <v>-2.4523270584551705E-2</v>
      </c>
      <c r="M22">
        <f t="shared" si="7"/>
        <v>3.3372488598078051E-2</v>
      </c>
      <c r="N22">
        <f t="shared" si="8"/>
        <v>3.9790380053057177E-2</v>
      </c>
      <c r="O22">
        <f t="shared" si="9"/>
        <v>-2.1574603388631996E-2</v>
      </c>
      <c r="P22">
        <f t="shared" si="10"/>
        <v>-3.1780230892426264E-2</v>
      </c>
      <c r="Q22">
        <f t="shared" si="11"/>
        <v>2.8454321752451987E-2</v>
      </c>
      <c r="R22">
        <f t="shared" si="12"/>
        <v>3.9507094098864458E-2</v>
      </c>
      <c r="S22">
        <f t="shared" si="13"/>
        <v>-2.4663820722366704E-2</v>
      </c>
      <c r="T22">
        <f t="shared" si="14"/>
        <v>-3.8414291162694424E-2</v>
      </c>
      <c r="U22">
        <f t="shared" si="15"/>
        <v>2.4142273222297533E-2</v>
      </c>
      <c r="V22">
        <f t="shared" si="16"/>
        <v>4.2327082274374407E-2</v>
      </c>
      <c r="W22">
        <f t="shared" si="17"/>
        <v>-3.1223495660881822E-2</v>
      </c>
      <c r="X22">
        <f t="shared" si="18"/>
        <v>-5.3725015217850003E-2</v>
      </c>
      <c r="Y22">
        <f t="shared" si="19"/>
        <v>1.7190970076220197E-2</v>
      </c>
      <c r="Z22">
        <f t="shared" si="20"/>
        <v>4.3323647415041459E-2</v>
      </c>
      <c r="AA22">
        <f t="shared" si="21"/>
        <v>-2.8935107943091846E-2</v>
      </c>
      <c r="AB22">
        <f t="shared" si="22"/>
        <v>-5.2434555382781446E-2</v>
      </c>
      <c r="AC22">
        <f t="shared" si="23"/>
        <v>1.9270568070496465E-2</v>
      </c>
      <c r="AD22">
        <f t="shared" si="24"/>
        <v>4.2937430577283262E-2</v>
      </c>
      <c r="AE22">
        <f t="shared" si="25"/>
        <v>-2.804136455341932E-2</v>
      </c>
      <c r="AF22">
        <f t="shared" si="26"/>
        <v>-4.9447043129209112E-2</v>
      </c>
      <c r="AG22">
        <f t="shared" si="27"/>
        <v>1.3289542122124336E-2</v>
      </c>
      <c r="AH22">
        <f t="shared" si="28"/>
        <v>4.1364709077461828E-2</v>
      </c>
      <c r="AI22">
        <f t="shared" si="29"/>
        <v>-1.9904986597700455E-2</v>
      </c>
      <c r="AJ22">
        <f t="shared" si="30"/>
        <v>-3.8177125913015426E-2</v>
      </c>
      <c r="AK22">
        <f t="shared" si="31"/>
        <v>2.242794552064856E-2</v>
      </c>
      <c r="AL22">
        <f t="shared" si="32"/>
        <v>4.0326601767499852E-2</v>
      </c>
      <c r="AM22">
        <f t="shared" si="33"/>
        <v>-2.1128528123753113E-2</v>
      </c>
      <c r="AN22">
        <f t="shared" si="34"/>
        <v>-3.7125941768696921E-2</v>
      </c>
      <c r="AO22">
        <f t="shared" si="35"/>
        <v>1.9045230412491093E-2</v>
      </c>
      <c r="AP22">
        <f t="shared" si="36"/>
        <v>4.1159952181093543E-2</v>
      </c>
      <c r="AQ22">
        <f t="shared" si="37"/>
        <v>-1.746081824756579E-2</v>
      </c>
      <c r="AR22">
        <f t="shared" si="38"/>
        <v>-3.4770783344111787E-2</v>
      </c>
      <c r="AS22">
        <f t="shared" si="39"/>
        <v>2.2601133259725743E-2</v>
      </c>
      <c r="AT22">
        <f t="shared" si="40"/>
        <v>4.0422589101353386E-2</v>
      </c>
      <c r="AU22">
        <f t="shared" si="41"/>
        <v>-1.8236700668381074E-2</v>
      </c>
      <c r="AV22">
        <f t="shared" si="42"/>
        <v>-3.4540936777202935E-2</v>
      </c>
      <c r="AW22">
        <f t="shared" si="43"/>
        <v>2.4489033543702122E-2</v>
      </c>
      <c r="AX22">
        <f t="shared" si="44"/>
        <v>4.0075658088199809E-2</v>
      </c>
      <c r="AY22">
        <f t="shared" si="45"/>
        <v>-1.7799220104759161E-2</v>
      </c>
      <c r="AZ22">
        <f t="shared" si="46"/>
        <v>-3.3147666247033018E-2</v>
      </c>
      <c r="BA22">
        <f t="shared" si="47"/>
        <v>2.3146212768804308E-2</v>
      </c>
    </row>
    <row r="23" spans="1:53" ht="14.4" x14ac:dyDescent="0.55000000000000004">
      <c r="A23" s="4">
        <v>39715</v>
      </c>
      <c r="B23">
        <v>3.8781915116644999E-2</v>
      </c>
      <c r="C23">
        <v>-2.81343719069653E-2</v>
      </c>
      <c r="D23">
        <v>-2.7303188039955399E-2</v>
      </c>
      <c r="E23">
        <v>3.4858594485285298E-2</v>
      </c>
      <c r="F23">
        <f t="shared" si="0"/>
        <v>3.948813496486784E-2</v>
      </c>
      <c r="G23">
        <f t="shared" si="1"/>
        <v>-2.1322040735362119E-2</v>
      </c>
      <c r="H23">
        <f t="shared" si="2"/>
        <v>-3.3551544691225198E-2</v>
      </c>
      <c r="I23">
        <f t="shared" si="3"/>
        <v>2.6611480373934369E-2</v>
      </c>
      <c r="J23">
        <f t="shared" si="4"/>
        <v>3.96473864156539E-2</v>
      </c>
      <c r="K23">
        <f t="shared" si="5"/>
        <v>-2.1921204432450419E-2</v>
      </c>
      <c r="L23">
        <f t="shared" si="6"/>
        <v>-2.9012476766126276E-2</v>
      </c>
      <c r="M23">
        <f t="shared" si="7"/>
        <v>3.0488708048255403E-2</v>
      </c>
      <c r="N23">
        <f t="shared" si="8"/>
        <v>3.7791571743885068E-2</v>
      </c>
      <c r="O23">
        <f t="shared" si="9"/>
        <v>-1.9094795162422296E-2</v>
      </c>
      <c r="P23">
        <f t="shared" si="10"/>
        <v>-2.6363951660098889E-2</v>
      </c>
      <c r="Q23">
        <f t="shared" si="11"/>
        <v>3.4001550602146706E-2</v>
      </c>
      <c r="R23">
        <f t="shared" si="12"/>
        <v>3.919198217208527E-2</v>
      </c>
      <c r="S23">
        <f t="shared" si="13"/>
        <v>-2.1846990847041736E-2</v>
      </c>
      <c r="T23">
        <f t="shared" si="14"/>
        <v>-3.3072585606384534E-2</v>
      </c>
      <c r="U23">
        <f t="shared" si="15"/>
        <v>2.8657456857355587E-2</v>
      </c>
      <c r="V23">
        <f t="shared" si="16"/>
        <v>3.9324960584896561E-2</v>
      </c>
      <c r="W23">
        <f t="shared" si="17"/>
        <v>-2.528407928185171E-2</v>
      </c>
      <c r="X23">
        <f t="shared" si="18"/>
        <v>-3.9279660769093235E-2</v>
      </c>
      <c r="Y23">
        <f t="shared" si="19"/>
        <v>2.3359015142708051E-2</v>
      </c>
      <c r="Z23">
        <f t="shared" si="20"/>
        <v>4.226548637868318E-2</v>
      </c>
      <c r="AA23">
        <f t="shared" si="21"/>
        <v>-3.1955737138060644E-2</v>
      </c>
      <c r="AB23">
        <f t="shared" si="22"/>
        <v>-5.3439218150898575E-2</v>
      </c>
      <c r="AC23">
        <f t="shared" si="23"/>
        <v>1.579154124448124E-2</v>
      </c>
      <c r="AD23">
        <f t="shared" si="24"/>
        <v>4.310051350012354E-2</v>
      </c>
      <c r="AE23">
        <f t="shared" si="25"/>
        <v>-2.9701842677490955E-2</v>
      </c>
      <c r="AF23">
        <f t="shared" si="26"/>
        <v>-5.2196836465975713E-2</v>
      </c>
      <c r="AG23">
        <f t="shared" si="27"/>
        <v>1.8202651524339079E-2</v>
      </c>
      <c r="AH23">
        <f t="shared" si="28"/>
        <v>4.2738818487442848E-2</v>
      </c>
      <c r="AI23">
        <f t="shared" si="29"/>
        <v>-2.8773525532841123E-2</v>
      </c>
      <c r="AJ23">
        <f t="shared" si="30"/>
        <v>-4.9374030158797599E-2</v>
      </c>
      <c r="AK23">
        <f t="shared" si="31"/>
        <v>1.2646203652072483E-2</v>
      </c>
      <c r="AL23">
        <f t="shared" si="32"/>
        <v>4.1218792617599385E-2</v>
      </c>
      <c r="AM23">
        <f t="shared" si="33"/>
        <v>-2.1027839847705794E-2</v>
      </c>
      <c r="AN23">
        <f t="shared" si="34"/>
        <v>-3.8966405091618875E-2</v>
      </c>
      <c r="AO23">
        <f t="shared" si="35"/>
        <v>2.1773696096437652E-2</v>
      </c>
      <c r="AP23">
        <f t="shared" si="36"/>
        <v>4.0276037497890001E-2</v>
      </c>
      <c r="AQ23">
        <f t="shared" si="37"/>
        <v>-2.2157726901630537E-2</v>
      </c>
      <c r="AR23">
        <f t="shared" si="38"/>
        <v>-3.8006461768538599E-2</v>
      </c>
      <c r="AS23">
        <f t="shared" si="39"/>
        <v>1.8392689169581818E-2</v>
      </c>
      <c r="AT23">
        <f t="shared" si="40"/>
        <v>4.1007343890109557E-2</v>
      </c>
      <c r="AU23">
        <f t="shared" si="41"/>
        <v>-1.8674019541524579E-2</v>
      </c>
      <c r="AV23">
        <f t="shared" si="42"/>
        <v>-3.5788566868669131E-2</v>
      </c>
      <c r="AW23">
        <f t="shared" si="43"/>
        <v>2.2139186499731602E-2</v>
      </c>
      <c r="AX23">
        <f t="shared" si="44"/>
        <v>4.0318395614977486E-2</v>
      </c>
      <c r="AY23">
        <f t="shared" si="45"/>
        <v>-1.940840617702105E-2</v>
      </c>
      <c r="AZ23">
        <f t="shared" si="46"/>
        <v>-3.5621651650889687E-2</v>
      </c>
      <c r="BA23">
        <f t="shared" si="47"/>
        <v>2.3807891851717413E-2</v>
      </c>
    </row>
    <row r="24" spans="1:53" ht="14.4" x14ac:dyDescent="0.55000000000000004">
      <c r="A24" s="4">
        <v>39750</v>
      </c>
      <c r="B24">
        <v>1.40501290438537E-2</v>
      </c>
      <c r="C24">
        <v>-3.2970771761288899E-3</v>
      </c>
      <c r="D24">
        <v>-3.7362994272535102E-2</v>
      </c>
      <c r="E24">
        <v>0.122361555623085</v>
      </c>
      <c r="F24">
        <f t="shared" si="0"/>
        <v>3.7262844733456903E-2</v>
      </c>
      <c r="G24">
        <f t="shared" si="1"/>
        <v>-2.6724284557915666E-2</v>
      </c>
      <c r="H24">
        <f t="shared" si="2"/>
        <v>-2.8932386279953537E-2</v>
      </c>
      <c r="I24">
        <f t="shared" si="3"/>
        <v>3.6731068775661242E-2</v>
      </c>
      <c r="J24">
        <f t="shared" si="4"/>
        <v>3.9176611720977098E-2</v>
      </c>
      <c r="K24">
        <f t="shared" si="5"/>
        <v>-2.1953508615626463E-2</v>
      </c>
      <c r="L24">
        <f t="shared" si="6"/>
        <v>-3.4742515549614834E-2</v>
      </c>
      <c r="M24">
        <f t="shared" si="7"/>
        <v>2.6232895842072161E-2</v>
      </c>
      <c r="N24">
        <f t="shared" si="8"/>
        <v>3.876998354984397E-2</v>
      </c>
      <c r="O24">
        <f t="shared" si="9"/>
        <v>-2.1787724316507991E-2</v>
      </c>
      <c r="P24">
        <f t="shared" si="10"/>
        <v>-3.0491183340328156E-2</v>
      </c>
      <c r="Q24">
        <f t="shared" si="11"/>
        <v>3.1283440793810943E-2</v>
      </c>
      <c r="R24">
        <f t="shared" si="12"/>
        <v>3.7356926470833503E-2</v>
      </c>
      <c r="S24">
        <f t="shared" si="13"/>
        <v>-1.9536419304422379E-2</v>
      </c>
      <c r="T24">
        <f t="shared" si="14"/>
        <v>-2.8139322851590477E-2</v>
      </c>
      <c r="U24">
        <f t="shared" si="15"/>
        <v>3.3803974183259811E-2</v>
      </c>
      <c r="V24">
        <f t="shared" si="16"/>
        <v>3.8822085268687502E-2</v>
      </c>
      <c r="W24">
        <f t="shared" si="17"/>
        <v>-2.2355637475032039E-2</v>
      </c>
      <c r="X24">
        <f t="shared" si="18"/>
        <v>-3.4319754369195987E-2</v>
      </c>
      <c r="Y24">
        <f t="shared" si="19"/>
        <v>2.8297106335302739E-2</v>
      </c>
      <c r="Z24">
        <f t="shared" si="20"/>
        <v>3.9214386586867357E-2</v>
      </c>
      <c r="AA24">
        <f t="shared" si="21"/>
        <v>-2.5942616235780404E-2</v>
      </c>
      <c r="AB24">
        <f t="shared" si="22"/>
        <v>-4.0094727429557754E-2</v>
      </c>
      <c r="AC24">
        <f t="shared" si="23"/>
        <v>2.2417664540285015E-2</v>
      </c>
      <c r="AD24">
        <f t="shared" si="24"/>
        <v>4.2144116788614273E-2</v>
      </c>
      <c r="AE24">
        <f t="shared" si="25"/>
        <v>-3.2543661943554118E-2</v>
      </c>
      <c r="AF24">
        <f t="shared" si="26"/>
        <v>-5.3161194207306986E-2</v>
      </c>
      <c r="AG24">
        <f t="shared" si="27"/>
        <v>1.4596860455876756E-2</v>
      </c>
      <c r="AH24">
        <f t="shared" si="28"/>
        <v>4.2851955496296577E-2</v>
      </c>
      <c r="AI24">
        <f t="shared" si="29"/>
        <v>-3.035455318253772E-2</v>
      </c>
      <c r="AJ24">
        <f t="shared" si="30"/>
        <v>-5.1974828392005144E-2</v>
      </c>
      <c r="AK24">
        <f t="shared" si="31"/>
        <v>1.7243663826942458E-2</v>
      </c>
      <c r="AL24">
        <f t="shared" si="32"/>
        <v>4.2519455810519059E-2</v>
      </c>
      <c r="AM24">
        <f t="shared" si="33"/>
        <v>-2.9407740026225947E-2</v>
      </c>
      <c r="AN24">
        <f t="shared" si="34"/>
        <v>-4.930849522263632E-2</v>
      </c>
      <c r="AO24">
        <f t="shared" si="35"/>
        <v>1.2071733507054171E-2</v>
      </c>
      <c r="AP24">
        <f t="shared" si="36"/>
        <v>4.1076025713415391E-2</v>
      </c>
      <c r="AQ24">
        <f t="shared" si="37"/>
        <v>-2.2073141982112136E-2</v>
      </c>
      <c r="AR24">
        <f t="shared" si="38"/>
        <v>-3.970654336599691E-2</v>
      </c>
      <c r="AS24">
        <f t="shared" si="39"/>
        <v>2.109452019640333E-2</v>
      </c>
      <c r="AT24">
        <f t="shared" si="40"/>
        <v>4.0222853207308062E-2</v>
      </c>
      <c r="AU24">
        <f t="shared" si="41"/>
        <v>-2.311782007373504E-2</v>
      </c>
      <c r="AV24">
        <f t="shared" si="42"/>
        <v>-3.8827620096192214E-2</v>
      </c>
      <c r="AW24">
        <f t="shared" si="43"/>
        <v>1.772595154318591E-2</v>
      </c>
      <c r="AX24">
        <f t="shared" si="44"/>
        <v>4.0867200291259786E-2</v>
      </c>
      <c r="AY24">
        <f t="shared" si="45"/>
        <v>-1.981954060100179E-2</v>
      </c>
      <c r="AZ24">
        <f t="shared" si="46"/>
        <v>-3.6744697035755919E-2</v>
      </c>
      <c r="BA24">
        <f t="shared" si="47"/>
        <v>2.161020253971804E-2</v>
      </c>
    </row>
    <row r="25" spans="1:53" ht="14.4" x14ac:dyDescent="0.55000000000000004">
      <c r="A25" s="4">
        <v>39778</v>
      </c>
      <c r="B25">
        <v>2.22112242878242E-2</v>
      </c>
      <c r="C25">
        <v>-1.8633568848950999E-2</v>
      </c>
      <c r="D25">
        <v>-3.1326945311046399E-2</v>
      </c>
      <c r="E25">
        <v>6.4667254732645799E-2</v>
      </c>
      <c r="F25">
        <f t="shared" si="0"/>
        <v>2.0428036738849669E-2</v>
      </c>
      <c r="G25">
        <f t="shared" si="1"/>
        <v>-1.2168560699771335E-2</v>
      </c>
      <c r="H25">
        <f t="shared" si="2"/>
        <v>-4.0430499020901803E-2</v>
      </c>
      <c r="I25">
        <f t="shared" si="3"/>
        <v>0.10229691769814719</v>
      </c>
      <c r="J25">
        <f t="shared" si="4"/>
        <v>3.6366797372931726E-2</v>
      </c>
      <c r="K25">
        <f t="shared" si="5"/>
        <v>-2.6095521188933841E-2</v>
      </c>
      <c r="L25">
        <f t="shared" si="6"/>
        <v>-3.0565044162199684E-2</v>
      </c>
      <c r="M25">
        <f t="shared" si="7"/>
        <v>3.711345182182061E-2</v>
      </c>
      <c r="N25">
        <f t="shared" si="8"/>
        <v>3.8988687724125851E-2</v>
      </c>
      <c r="O25">
        <f t="shared" si="9"/>
        <v>-2.2684451652047563E-2</v>
      </c>
      <c r="P25">
        <f t="shared" si="10"/>
        <v>-3.5873276087794177E-2</v>
      </c>
      <c r="Q25">
        <f t="shared" si="11"/>
        <v>2.5547369582113906E-2</v>
      </c>
      <c r="R25">
        <f t="shared" si="12"/>
        <v>3.8236094009708045E-2</v>
      </c>
      <c r="S25">
        <f t="shared" si="13"/>
        <v>-2.2044981426471703E-2</v>
      </c>
      <c r="T25">
        <f t="shared" si="14"/>
        <v>-3.1934470641115625E-2</v>
      </c>
      <c r="U25">
        <f t="shared" si="15"/>
        <v>3.1233295725296838E-2</v>
      </c>
      <c r="V25">
        <f t="shared" si="16"/>
        <v>3.7143315610182345E-2</v>
      </c>
      <c r="W25">
        <f t="shared" si="17"/>
        <v>-2.0211127635414307E-2</v>
      </c>
      <c r="X25">
        <f t="shared" si="18"/>
        <v>-2.9828089964473271E-2</v>
      </c>
      <c r="Y25">
        <f t="shared" si="19"/>
        <v>3.305896183117292E-2</v>
      </c>
      <c r="Z25">
        <f t="shared" si="20"/>
        <v>3.8607012122845029E-2</v>
      </c>
      <c r="AA25">
        <f t="shared" si="21"/>
        <v>-2.3006913823870032E-2</v>
      </c>
      <c r="AB25">
        <f t="shared" si="22"/>
        <v>-3.5507187251759498E-2</v>
      </c>
      <c r="AC25">
        <f t="shared" si="23"/>
        <v>2.7561544772370199E-2</v>
      </c>
      <c r="AD25">
        <f t="shared" si="24"/>
        <v>3.9152397430992067E-2</v>
      </c>
      <c r="AE25">
        <f t="shared" si="25"/>
        <v>-2.661225356556415E-2</v>
      </c>
      <c r="AF25">
        <f t="shared" si="26"/>
        <v>-4.0857397790131471E-2</v>
      </c>
      <c r="AG25">
        <f t="shared" si="27"/>
        <v>2.1378124591779228E-2</v>
      </c>
      <c r="AH25">
        <f t="shared" si="28"/>
        <v>4.1989215996373848E-2</v>
      </c>
      <c r="AI25">
        <f t="shared" si="29"/>
        <v>-3.3026380901515148E-2</v>
      </c>
      <c r="AJ25">
        <f t="shared" si="30"/>
        <v>-5.2895758208250168E-2</v>
      </c>
      <c r="AK25">
        <f t="shared" si="31"/>
        <v>1.35412424457048E-2</v>
      </c>
      <c r="AL25">
        <f t="shared" si="32"/>
        <v>4.2595155999922037E-2</v>
      </c>
      <c r="AM25">
        <f t="shared" si="33"/>
        <v>-3.0921256243550591E-2</v>
      </c>
      <c r="AN25">
        <f t="shared" si="34"/>
        <v>-5.1770221917763683E-2</v>
      </c>
      <c r="AO25">
        <f t="shared" si="35"/>
        <v>1.6352012390469971E-2</v>
      </c>
      <c r="AP25">
        <f t="shared" si="36"/>
        <v>4.2293734719737373E-2</v>
      </c>
      <c r="AQ25">
        <f t="shared" si="37"/>
        <v>-2.9967417695900885E-2</v>
      </c>
      <c r="AR25">
        <f t="shared" si="38"/>
        <v>-4.9252027941199372E-2</v>
      </c>
      <c r="AS25">
        <f t="shared" si="39"/>
        <v>1.1532841885546062E-2</v>
      </c>
      <c r="AT25">
        <f t="shared" si="40"/>
        <v>4.0939563196140172E-2</v>
      </c>
      <c r="AU25">
        <f t="shared" si="41"/>
        <v>-2.3049364838200213E-2</v>
      </c>
      <c r="AV25">
        <f t="shared" si="42"/>
        <v>-4.0400516963347032E-2</v>
      </c>
      <c r="AW25">
        <f t="shared" si="43"/>
        <v>2.0388605160206116E-2</v>
      </c>
      <c r="AX25">
        <f t="shared" si="44"/>
        <v>4.0169671548284658E-2</v>
      </c>
      <c r="AY25">
        <f t="shared" si="45"/>
        <v>-2.4015506422771227E-2</v>
      </c>
      <c r="AZ25">
        <f t="shared" si="46"/>
        <v>-3.9593354105650409E-2</v>
      </c>
      <c r="BA25">
        <f t="shared" si="47"/>
        <v>1.7043977124525257E-2</v>
      </c>
    </row>
    <row r="26" spans="1:53" ht="14.4" x14ac:dyDescent="0.55000000000000004">
      <c r="A26" s="4">
        <v>39813</v>
      </c>
      <c r="B26">
        <v>4.4060667294397301E-3</v>
      </c>
      <c r="C26">
        <v>-7.5042343254731704E-4</v>
      </c>
      <c r="D26">
        <v>-2.58769961074692E-2</v>
      </c>
      <c r="E26">
        <v>9.8136783393568405E-2</v>
      </c>
      <c r="F26">
        <f t="shared" si="0"/>
        <v>2.5522767933547345E-2</v>
      </c>
      <c r="G26">
        <f t="shared" si="1"/>
        <v>-2.2783885979208589E-2</v>
      </c>
      <c r="H26">
        <f t="shared" si="2"/>
        <v>-3.3856984269004652E-2</v>
      </c>
      <c r="I26">
        <f t="shared" si="3"/>
        <v>5.4431661606787148E-2</v>
      </c>
      <c r="J26">
        <f t="shared" si="4"/>
        <v>2.4976083460547246E-2</v>
      </c>
      <c r="K26">
        <f t="shared" si="5"/>
        <v>-1.8583120581397879E-2</v>
      </c>
      <c r="L26">
        <f t="shared" si="6"/>
        <v>-4.2791824352908805E-2</v>
      </c>
      <c r="M26">
        <f t="shared" si="7"/>
        <v>8.7022101436037211E-2</v>
      </c>
      <c r="N26">
        <f t="shared" si="8"/>
        <v>3.5889414276719378E-2</v>
      </c>
      <c r="O26">
        <f t="shared" si="9"/>
        <v>-2.5981496641726009E-2</v>
      </c>
      <c r="P26">
        <f t="shared" si="10"/>
        <v>-3.2153547268190988E-2</v>
      </c>
      <c r="Q26">
        <f t="shared" si="11"/>
        <v>3.6516020827719091E-2</v>
      </c>
      <c r="R26">
        <f t="shared" si="12"/>
        <v>3.8884252476779867E-2</v>
      </c>
      <c r="S26">
        <f t="shared" si="13"/>
        <v>-2.346526611737609E-2</v>
      </c>
      <c r="T26">
        <f t="shared" si="14"/>
        <v>-3.6938224467980015E-2</v>
      </c>
      <c r="U26">
        <f t="shared" si="15"/>
        <v>2.4659447542688312E-2</v>
      </c>
      <c r="V26">
        <f t="shared" si="16"/>
        <v>3.7934195652953681E-2</v>
      </c>
      <c r="W26">
        <f t="shared" si="17"/>
        <v>-2.2549378672198559E-2</v>
      </c>
      <c r="X26">
        <f t="shared" si="18"/>
        <v>-3.3318360097702414E-2</v>
      </c>
      <c r="Y26">
        <f t="shared" si="19"/>
        <v>3.0620782823876237E-2</v>
      </c>
      <c r="Z26">
        <f t="shared" si="20"/>
        <v>3.7075275406264076E-2</v>
      </c>
      <c r="AA26">
        <f t="shared" si="21"/>
        <v>-2.1022184385534944E-2</v>
      </c>
      <c r="AB26">
        <f t="shared" si="22"/>
        <v>-3.1418722731055823E-2</v>
      </c>
      <c r="AC26">
        <f t="shared" si="23"/>
        <v>3.1959464564303833E-2</v>
      </c>
      <c r="AD26">
        <f t="shared" si="24"/>
        <v>3.8495923027328668E-2</v>
      </c>
      <c r="AE26">
        <f t="shared" si="25"/>
        <v>-2.3737038407546714E-2</v>
      </c>
      <c r="AF26">
        <f t="shared" si="26"/>
        <v>-3.6626902567909937E-2</v>
      </c>
      <c r="AG26">
        <f t="shared" si="27"/>
        <v>2.6581486247090849E-2</v>
      </c>
      <c r="AH26">
        <f t="shared" si="28"/>
        <v>3.9123130903579141E-2</v>
      </c>
      <c r="AI26">
        <f t="shared" si="29"/>
        <v>-2.7275019550530907E-2</v>
      </c>
      <c r="AJ26">
        <f t="shared" si="30"/>
        <v>-4.1567478326688299E-2</v>
      </c>
      <c r="AK26">
        <f t="shared" si="31"/>
        <v>2.0282160805494411E-2</v>
      </c>
      <c r="AL26">
        <f t="shared" si="32"/>
        <v>4.1818255258060454E-2</v>
      </c>
      <c r="AM26">
        <f t="shared" si="33"/>
        <v>-3.3431200595824474E-2</v>
      </c>
      <c r="AN26">
        <f t="shared" si="34"/>
        <v>-5.2645390268229258E-2</v>
      </c>
      <c r="AO26">
        <f t="shared" si="35"/>
        <v>1.2580697450916603E-2</v>
      </c>
      <c r="AP26">
        <f t="shared" si="36"/>
        <v>4.2341158561633348E-2</v>
      </c>
      <c r="AQ26">
        <f t="shared" si="37"/>
        <v>-3.1421575874017137E-2</v>
      </c>
      <c r="AR26">
        <f t="shared" si="38"/>
        <v>-5.158326547730991E-2</v>
      </c>
      <c r="AS26">
        <f t="shared" si="39"/>
        <v>1.550109420041733E-2</v>
      </c>
      <c r="AT26">
        <f t="shared" si="40"/>
        <v>4.2070899576030552E-2</v>
      </c>
      <c r="AU26">
        <f t="shared" si="41"/>
        <v>-3.0468950362029162E-2</v>
      </c>
      <c r="AV26">
        <f t="shared" si="42"/>
        <v>-4.9205010059376372E-2</v>
      </c>
      <c r="AW26">
        <f t="shared" si="43"/>
        <v>1.100871310002989E-2</v>
      </c>
      <c r="AX26">
        <f t="shared" si="44"/>
        <v>4.0811231271713655E-2</v>
      </c>
      <c r="AY26">
        <f t="shared" si="45"/>
        <v>-2.3963052085091349E-2</v>
      </c>
      <c r="AZ26">
        <f t="shared" si="46"/>
        <v>-4.1050900625732106E-2</v>
      </c>
      <c r="BA26">
        <f t="shared" si="47"/>
        <v>1.9656819210783362E-2</v>
      </c>
    </row>
    <row r="27" spans="1:53" ht="14.4" x14ac:dyDescent="0.55000000000000004">
      <c r="A27" s="4">
        <v>39841</v>
      </c>
      <c r="B27">
        <v>2.03551052276136E-2</v>
      </c>
      <c r="C27">
        <v>-1.5029967186275099E-2</v>
      </c>
      <c r="D27">
        <v>-4.0439830909847402E-2</v>
      </c>
      <c r="E27">
        <v>7.2672947917895206E-2</v>
      </c>
      <c r="F27">
        <f t="shared" si="0"/>
        <v>1.2796254446659043E-2</v>
      </c>
      <c r="G27">
        <f t="shared" si="1"/>
        <v>-1.1120798371923786E-2</v>
      </c>
      <c r="H27">
        <f t="shared" si="2"/>
        <v>-3.0008112315505382E-2</v>
      </c>
      <c r="I27">
        <f t="shared" si="3"/>
        <v>7.5603827238824722E-2</v>
      </c>
      <c r="J27">
        <f t="shared" si="4"/>
        <v>2.8009543105880434E-2</v>
      </c>
      <c r="K27">
        <f t="shared" si="5"/>
        <v>-2.5860157624778272E-2</v>
      </c>
      <c r="L27">
        <f t="shared" si="6"/>
        <v>-3.596728550727761E-2</v>
      </c>
      <c r="M27">
        <f t="shared" si="7"/>
        <v>4.6373622246143338E-2</v>
      </c>
      <c r="N27">
        <f t="shared" si="8"/>
        <v>2.8242395454338178E-2</v>
      </c>
      <c r="O27">
        <f t="shared" si="9"/>
        <v>-2.3263086084863709E-2</v>
      </c>
      <c r="P27">
        <f t="shared" si="10"/>
        <v>-4.4632218284807179E-2</v>
      </c>
      <c r="Q27">
        <f t="shared" si="11"/>
        <v>7.5158887922798595E-2</v>
      </c>
      <c r="R27">
        <f t="shared" si="12"/>
        <v>3.5689942716141225E-2</v>
      </c>
      <c r="S27">
        <f t="shared" si="13"/>
        <v>-2.6198998651275601E-2</v>
      </c>
      <c r="T27">
        <f t="shared" si="14"/>
        <v>-3.3668887830621892E-2</v>
      </c>
      <c r="U27">
        <f t="shared" si="15"/>
        <v>3.5289944153258937E-2</v>
      </c>
      <c r="V27">
        <f t="shared" si="16"/>
        <v>3.8835659214414821E-2</v>
      </c>
      <c r="W27">
        <f t="shared" si="17"/>
        <v>-2.4262594817485907E-2</v>
      </c>
      <c r="X27">
        <f t="shared" si="18"/>
        <v>-3.7935202535000448E-2</v>
      </c>
      <c r="Y27">
        <f t="shared" si="19"/>
        <v>2.3642034824017361E-2</v>
      </c>
      <c r="Z27">
        <f t="shared" si="20"/>
        <v>3.7787394092015321E-2</v>
      </c>
      <c r="AA27">
        <f t="shared" si="21"/>
        <v>-2.3202649631031771E-2</v>
      </c>
      <c r="AB27">
        <f t="shared" si="22"/>
        <v>-3.4628924889813818E-2</v>
      </c>
      <c r="AC27">
        <f t="shared" si="23"/>
        <v>2.9641414262346587E-2</v>
      </c>
      <c r="AD27">
        <f t="shared" si="24"/>
        <v>3.7101112665594106E-2</v>
      </c>
      <c r="AE27">
        <f t="shared" si="25"/>
        <v>-2.1904003395966647E-2</v>
      </c>
      <c r="AF27">
        <f t="shared" si="26"/>
        <v>-3.2906220067375147E-2</v>
      </c>
      <c r="AG27">
        <f t="shared" si="27"/>
        <v>3.0638532923198174E-2</v>
      </c>
      <c r="AH27">
        <f t="shared" si="28"/>
        <v>3.845382107103764E-2</v>
      </c>
      <c r="AI27">
        <f t="shared" si="29"/>
        <v>-2.4502911610889397E-2</v>
      </c>
      <c r="AJ27">
        <f t="shared" si="30"/>
        <v>-3.7675328637903426E-2</v>
      </c>
      <c r="AK27">
        <f t="shared" si="31"/>
        <v>2.5447599078171446E-2</v>
      </c>
      <c r="AL27">
        <f t="shared" si="32"/>
        <v>3.9115658670702373E-2</v>
      </c>
      <c r="AM27">
        <f t="shared" si="33"/>
        <v>-2.7919296046231105E-2</v>
      </c>
      <c r="AN27">
        <f t="shared" si="34"/>
        <v>-4.2226010955576827E-2</v>
      </c>
      <c r="AO27">
        <f t="shared" si="35"/>
        <v>1.9158875821168861E-2</v>
      </c>
      <c r="AP27">
        <f t="shared" si="36"/>
        <v>4.1642679059443098E-2</v>
      </c>
      <c r="AQ27">
        <f t="shared" si="37"/>
        <v>-3.3777238141496718E-2</v>
      </c>
      <c r="AR27">
        <f t="shared" si="38"/>
        <v>-5.2411052207868063E-2</v>
      </c>
      <c r="AS27">
        <f t="shared" si="39"/>
        <v>1.1686101835779037E-2</v>
      </c>
      <c r="AT27">
        <f t="shared" si="40"/>
        <v>4.2096822011854294E-2</v>
      </c>
      <c r="AU27">
        <f t="shared" si="41"/>
        <v>-3.1869324903699509E-2</v>
      </c>
      <c r="AV27">
        <f t="shared" si="42"/>
        <v>-5.1413324349761411E-2</v>
      </c>
      <c r="AW27">
        <f t="shared" si="43"/>
        <v>1.4674449670812079E-2</v>
      </c>
      <c r="AX27">
        <f t="shared" si="44"/>
        <v>4.1856685488917536E-2</v>
      </c>
      <c r="AY27">
        <f t="shared" si="45"/>
        <v>-3.0923874405783331E-2</v>
      </c>
      <c r="AZ27">
        <f t="shared" si="46"/>
        <v>-4.9167083504887833E-2</v>
      </c>
      <c r="BA27">
        <f t="shared" si="47"/>
        <v>1.0486947289697545E-2</v>
      </c>
    </row>
    <row r="28" spans="1:53" ht="14.4" x14ac:dyDescent="0.55000000000000004">
      <c r="A28" s="4">
        <v>39869</v>
      </c>
      <c r="B28">
        <v>2.03531575230965E-2</v>
      </c>
      <c r="C28">
        <v>-1.43631873330051E-2</v>
      </c>
      <c r="D28">
        <v>-3.3923908365069401E-2</v>
      </c>
      <c r="E28">
        <v>7.7255384344296796E-2</v>
      </c>
      <c r="F28">
        <f t="shared" si="0"/>
        <v>2.5145673674986057E-2</v>
      </c>
      <c r="G28">
        <f t="shared" si="1"/>
        <v>-2.1304674408055019E-2</v>
      </c>
      <c r="H28">
        <f t="shared" si="2"/>
        <v>-4.2592580476051613E-2</v>
      </c>
      <c r="I28">
        <f t="shared" si="3"/>
        <v>5.849388847509468E-2</v>
      </c>
      <c r="J28">
        <f t="shared" si="4"/>
        <v>1.885193255320464E-2</v>
      </c>
      <c r="K28">
        <f t="shared" si="5"/>
        <v>-1.8469872030040819E-2</v>
      </c>
      <c r="L28">
        <f t="shared" si="6"/>
        <v>-3.3236389755663613E-2</v>
      </c>
      <c r="M28">
        <f t="shared" si="7"/>
        <v>5.901901159807902E-2</v>
      </c>
      <c r="N28">
        <f t="shared" si="8"/>
        <v>2.9905988508998019E-2</v>
      </c>
      <c r="O28">
        <f t="shared" si="9"/>
        <v>-2.8168701637021197E-2</v>
      </c>
      <c r="P28">
        <f t="shared" si="10"/>
        <v>-3.7747420739659136E-2</v>
      </c>
      <c r="Q28">
        <f t="shared" si="11"/>
        <v>3.9901531005980977E-2</v>
      </c>
      <c r="R28">
        <f t="shared" si="12"/>
        <v>3.060899192745099E-2</v>
      </c>
      <c r="S28">
        <f t="shared" si="13"/>
        <v>-2.6713026741279542E-2</v>
      </c>
      <c r="T28">
        <f t="shared" si="14"/>
        <v>-4.6083462541313291E-2</v>
      </c>
      <c r="U28">
        <f t="shared" si="15"/>
        <v>6.5744177155264136E-2</v>
      </c>
      <c r="V28">
        <f t="shared" si="16"/>
        <v>3.5671736960446995E-2</v>
      </c>
      <c r="W28">
        <f t="shared" si="17"/>
        <v>-2.6622635146705237E-2</v>
      </c>
      <c r="X28">
        <f t="shared" si="18"/>
        <v>-3.5094641849841818E-2</v>
      </c>
      <c r="Y28">
        <f t="shared" si="19"/>
        <v>3.3676014761167029E-2</v>
      </c>
      <c r="Z28">
        <f t="shared" si="20"/>
        <v>3.8823903354169666E-2</v>
      </c>
      <c r="AA28">
        <f t="shared" si="21"/>
        <v>-2.5054318470124452E-2</v>
      </c>
      <c r="AB28">
        <f t="shared" si="22"/>
        <v>-3.8864325103974542E-2</v>
      </c>
      <c r="AC28">
        <f t="shared" si="23"/>
        <v>2.2545982841327191E-2</v>
      </c>
      <c r="AD28">
        <f t="shared" si="24"/>
        <v>3.7742812779085887E-2</v>
      </c>
      <c r="AE28">
        <f t="shared" si="25"/>
        <v>-2.3937953990084682E-2</v>
      </c>
      <c r="AF28">
        <f t="shared" si="26"/>
        <v>-3.585901345393757E-2</v>
      </c>
      <c r="AG28">
        <f t="shared" si="27"/>
        <v>2.8430249125558686E-2</v>
      </c>
      <c r="AH28">
        <f t="shared" si="28"/>
        <v>3.7185588710817626E-2</v>
      </c>
      <c r="AI28">
        <f t="shared" si="29"/>
        <v>-2.2812553419551622E-2</v>
      </c>
      <c r="AJ28">
        <f t="shared" si="30"/>
        <v>-3.42898818569638E-2</v>
      </c>
      <c r="AK28">
        <f t="shared" si="31"/>
        <v>2.918763412636026E-2</v>
      </c>
      <c r="AL28">
        <f t="shared" si="32"/>
        <v>3.8456691306685345E-2</v>
      </c>
      <c r="AM28">
        <f t="shared" si="33"/>
        <v>-2.5275745014811599E-2</v>
      </c>
      <c r="AN28">
        <f t="shared" si="34"/>
        <v>-3.8651814735887483E-2</v>
      </c>
      <c r="AO28">
        <f t="shared" si="35"/>
        <v>2.4222687344775902E-2</v>
      </c>
      <c r="AP28">
        <f t="shared" si="36"/>
        <v>3.9122472450381807E-2</v>
      </c>
      <c r="AQ28">
        <f t="shared" si="37"/>
        <v>-2.8537836719320243E-2</v>
      </c>
      <c r="AR28">
        <f t="shared" si="38"/>
        <v>-4.283481672037829E-2</v>
      </c>
      <c r="AS28">
        <f t="shared" si="39"/>
        <v>1.8028521362004155E-2</v>
      </c>
      <c r="AT28">
        <f t="shared" si="40"/>
        <v>4.1469807060493372E-2</v>
      </c>
      <c r="AU28">
        <f t="shared" si="41"/>
        <v>-3.4077931268467275E-2</v>
      </c>
      <c r="AV28">
        <f t="shared" si="42"/>
        <v>-5.2192743435395698E-2</v>
      </c>
      <c r="AW28">
        <f t="shared" si="43"/>
        <v>1.0838471071181296E-2</v>
      </c>
      <c r="AX28">
        <f t="shared" si="44"/>
        <v>4.1866171822509839E-2</v>
      </c>
      <c r="AY28">
        <f t="shared" si="45"/>
        <v>-3.2274295493907562E-2</v>
      </c>
      <c r="AZ28">
        <f t="shared" si="46"/>
        <v>-5.1259255718898271E-2</v>
      </c>
      <c r="BA28">
        <f t="shared" si="47"/>
        <v>1.3862419848132013E-2</v>
      </c>
    </row>
    <row r="29" spans="1:53" ht="14.4" x14ac:dyDescent="0.55000000000000004">
      <c r="A29" s="4">
        <v>39897</v>
      </c>
      <c r="B29">
        <v>3.221352439018E-2</v>
      </c>
      <c r="C29">
        <v>-2.7069743616807401E-2</v>
      </c>
      <c r="D29">
        <v>-4.9428258624857203E-2</v>
      </c>
      <c r="E29">
        <v>4.5742367867806701E-2</v>
      </c>
      <c r="F29">
        <f t="shared" si="0"/>
        <v>2.4558445050244872E-2</v>
      </c>
      <c r="G29">
        <f t="shared" si="1"/>
        <v>-1.989726155057852E-2</v>
      </c>
      <c r="H29">
        <f t="shared" si="2"/>
        <v>-3.6502658568402374E-2</v>
      </c>
      <c r="I29">
        <f t="shared" si="3"/>
        <v>6.4357283072293464E-2</v>
      </c>
      <c r="J29">
        <f t="shared" si="4"/>
        <v>2.857224478009306E-2</v>
      </c>
      <c r="K29">
        <f t="shared" si="5"/>
        <v>-2.5778153849784283E-2</v>
      </c>
      <c r="L29">
        <f t="shared" si="6"/>
        <v>-4.423178691908896E-2</v>
      </c>
      <c r="M29">
        <f t="shared" si="7"/>
        <v>4.7853578632176749E-2</v>
      </c>
      <c r="N29">
        <f t="shared" si="8"/>
        <v>2.3263626526654604E-2</v>
      </c>
      <c r="O29">
        <f t="shared" si="9"/>
        <v>-2.3699316521892867E-2</v>
      </c>
      <c r="P29">
        <f t="shared" si="10"/>
        <v>-3.5796666540376505E-2</v>
      </c>
      <c r="Q29">
        <f t="shared" si="11"/>
        <v>4.6649914383869819E-2</v>
      </c>
      <c r="R29">
        <f t="shared" si="12"/>
        <v>3.1376709506704896E-2</v>
      </c>
      <c r="S29">
        <f t="shared" si="13"/>
        <v>-2.9924515267384526E-2</v>
      </c>
      <c r="T29">
        <f t="shared" si="14"/>
        <v>-3.9263469348588528E-2</v>
      </c>
      <c r="U29">
        <f t="shared" si="15"/>
        <v>3.4598472296735086E-2</v>
      </c>
      <c r="V29">
        <f t="shared" si="16"/>
        <v>3.2342287490790718E-2</v>
      </c>
      <c r="W29">
        <f t="shared" si="17"/>
        <v>-2.9285889594468671E-2</v>
      </c>
      <c r="X29">
        <f t="shared" si="18"/>
        <v>-4.7239892149325981E-2</v>
      </c>
      <c r="Y29">
        <f t="shared" si="19"/>
        <v>5.8103845822049277E-2</v>
      </c>
      <c r="Z29">
        <f t="shared" si="20"/>
        <v>3.5768708916958873E-2</v>
      </c>
      <c r="AA29">
        <f t="shared" si="21"/>
        <v>-2.7167074818342584E-2</v>
      </c>
      <c r="AB29">
        <f t="shared" si="22"/>
        <v>-3.6422811451720265E-2</v>
      </c>
      <c r="AC29">
        <f t="shared" si="23"/>
        <v>3.1838519477410142E-2</v>
      </c>
      <c r="AD29">
        <f t="shared" si="24"/>
        <v>3.8835967293680683E-2</v>
      </c>
      <c r="AE29">
        <f t="shared" si="25"/>
        <v>-2.5826075305318903E-2</v>
      </c>
      <c r="AF29">
        <f t="shared" si="26"/>
        <v>-3.9727174472152675E-2</v>
      </c>
      <c r="AG29">
        <f t="shared" si="27"/>
        <v>2.1406760249605385E-2</v>
      </c>
      <c r="AH29">
        <f t="shared" si="28"/>
        <v>3.7764220111867426E-2</v>
      </c>
      <c r="AI29">
        <f t="shared" si="29"/>
        <v>-2.4710213354754953E-2</v>
      </c>
      <c r="AJ29">
        <f t="shared" si="30"/>
        <v>-3.7005988060333728E-2</v>
      </c>
      <c r="AK29">
        <f t="shared" si="31"/>
        <v>2.7080349318908618E-2</v>
      </c>
      <c r="AL29">
        <f t="shared" si="32"/>
        <v>3.7304838612167067E-2</v>
      </c>
      <c r="AM29">
        <f t="shared" si="33"/>
        <v>-2.3718692354092838E-2</v>
      </c>
      <c r="AN29">
        <f t="shared" si="34"/>
        <v>-3.557177892506682E-2</v>
      </c>
      <c r="AO29">
        <f t="shared" si="35"/>
        <v>2.7669382832326728E-2</v>
      </c>
      <c r="AP29">
        <f t="shared" si="36"/>
        <v>3.8488123681633506E-2</v>
      </c>
      <c r="AQ29">
        <f t="shared" si="37"/>
        <v>-2.6036634712861755E-2</v>
      </c>
      <c r="AR29">
        <f t="shared" si="38"/>
        <v>-3.9557606496119453E-2</v>
      </c>
      <c r="AS29">
        <f t="shared" si="39"/>
        <v>2.2950163340528591E-2</v>
      </c>
      <c r="AT29">
        <f t="shared" si="40"/>
        <v>3.913843238816081E-2</v>
      </c>
      <c r="AU29">
        <f t="shared" si="41"/>
        <v>-2.9126390948095621E-2</v>
      </c>
      <c r="AV29">
        <f t="shared" si="42"/>
        <v>-4.3396183791601005E-2</v>
      </c>
      <c r="AW29">
        <f t="shared" si="43"/>
        <v>1.6905153442649555E-2</v>
      </c>
      <c r="AX29">
        <f t="shared" si="44"/>
        <v>4.1304150686470378E-2</v>
      </c>
      <c r="AY29">
        <f t="shared" si="45"/>
        <v>-3.4342780575118123E-2</v>
      </c>
      <c r="AZ29">
        <f t="shared" si="46"/>
        <v>-5.1989876888785869E-2</v>
      </c>
      <c r="BA29">
        <f t="shared" si="47"/>
        <v>1.002569282463813E-2</v>
      </c>
    </row>
    <row r="30" spans="1:53" ht="14.4" x14ac:dyDescent="0.55000000000000004">
      <c r="A30" s="4">
        <v>39932</v>
      </c>
      <c r="B30">
        <v>3.3736187155651201E-2</v>
      </c>
      <c r="C30">
        <v>-3.05139048530443E-2</v>
      </c>
      <c r="D30">
        <v>-4.6888271249159501E-2</v>
      </c>
      <c r="E30">
        <v>4.71692209525678E-2</v>
      </c>
      <c r="F30">
        <f t="shared" si="0"/>
        <v>3.4160682617348365E-2</v>
      </c>
      <c r="G30">
        <f t="shared" si="1"/>
        <v>-2.9903494996946899E-2</v>
      </c>
      <c r="H30">
        <f t="shared" si="2"/>
        <v>-5.0160504772816715E-2</v>
      </c>
      <c r="I30">
        <f t="shared" si="3"/>
        <v>3.8633453067105764E-2</v>
      </c>
      <c r="J30">
        <f t="shared" si="4"/>
        <v>2.7632233780837099E-2</v>
      </c>
      <c r="K30">
        <f t="shared" si="5"/>
        <v>-2.3936663101584748E-2</v>
      </c>
      <c r="L30">
        <f t="shared" si="6"/>
        <v>-3.8586000019386391E-2</v>
      </c>
      <c r="M30">
        <f t="shared" si="7"/>
        <v>5.4420611876133021E-2</v>
      </c>
      <c r="N30">
        <f t="shared" si="8"/>
        <v>3.1042033065756168E-2</v>
      </c>
      <c r="O30">
        <f t="shared" si="9"/>
        <v>-2.8985041314357925E-2</v>
      </c>
      <c r="P30">
        <f t="shared" si="10"/>
        <v>-4.5494411378087025E-2</v>
      </c>
      <c r="Q30">
        <f t="shared" si="11"/>
        <v>3.9728277597686525E-2</v>
      </c>
      <c r="R30">
        <f t="shared" si="12"/>
        <v>2.6513501706069639E-2</v>
      </c>
      <c r="S30">
        <f t="shared" si="13"/>
        <v>-2.743820247545942E-2</v>
      </c>
      <c r="T30">
        <f t="shared" si="14"/>
        <v>-3.7856400387917093E-2</v>
      </c>
      <c r="U30">
        <f t="shared" si="15"/>
        <v>3.7285027422497188E-2</v>
      </c>
      <c r="V30">
        <f t="shared" si="16"/>
        <v>3.2537594694264219E-2</v>
      </c>
      <c r="W30">
        <f t="shared" si="17"/>
        <v>-3.1278908000349569E-2</v>
      </c>
      <c r="X30">
        <f t="shared" si="18"/>
        <v>-4.0564814335899736E-2</v>
      </c>
      <c r="Y30">
        <f t="shared" si="19"/>
        <v>3.0169464442971472E-2</v>
      </c>
      <c r="Z30">
        <f t="shared" si="20"/>
        <v>3.3628225092447561E-2</v>
      </c>
      <c r="AA30">
        <f t="shared" si="21"/>
        <v>-3.122901153917446E-2</v>
      </c>
      <c r="AB30">
        <f t="shared" si="22"/>
        <v>-4.8169559490941809E-2</v>
      </c>
      <c r="AC30">
        <f t="shared" si="23"/>
        <v>5.1764996200851482E-2</v>
      </c>
      <c r="AD30">
        <f t="shared" si="24"/>
        <v>3.5935915720249505E-2</v>
      </c>
      <c r="AE30">
        <f t="shared" si="25"/>
        <v>-2.7774707036796818E-2</v>
      </c>
      <c r="AF30">
        <f t="shared" si="26"/>
        <v>-3.7650961752016966E-2</v>
      </c>
      <c r="AG30">
        <f t="shared" si="27"/>
        <v>2.988877237663793E-2</v>
      </c>
      <c r="AH30">
        <f t="shared" si="28"/>
        <v>3.8862976156915606E-2</v>
      </c>
      <c r="AI30">
        <f t="shared" si="29"/>
        <v>-2.6568843403496547E-2</v>
      </c>
      <c r="AJ30">
        <f t="shared" si="30"/>
        <v>-4.052624827849332E-2</v>
      </c>
      <c r="AK30">
        <f t="shared" si="31"/>
        <v>2.0249095576838429E-2</v>
      </c>
      <c r="AL30">
        <f t="shared" si="32"/>
        <v>3.7826907338024636E-2</v>
      </c>
      <c r="AM30">
        <f t="shared" si="33"/>
        <v>-2.5489395849976469E-2</v>
      </c>
      <c r="AN30">
        <f t="shared" si="34"/>
        <v>-3.807016791462009E-2</v>
      </c>
      <c r="AO30">
        <f t="shared" si="35"/>
        <v>2.5655610404776964E-2</v>
      </c>
      <c r="AP30">
        <f t="shared" si="36"/>
        <v>3.7442844364817041E-2</v>
      </c>
      <c r="AQ30">
        <f t="shared" si="37"/>
        <v>-2.4603538044202383E-2</v>
      </c>
      <c r="AR30">
        <f t="shared" si="38"/>
        <v>-3.6755706916766565E-2</v>
      </c>
      <c r="AS30">
        <f t="shared" si="39"/>
        <v>2.6126387616622757E-2</v>
      </c>
      <c r="AT30">
        <f t="shared" si="40"/>
        <v>3.8536967593173918E-2</v>
      </c>
      <c r="AU30">
        <f t="shared" si="41"/>
        <v>-2.6773486450863998E-2</v>
      </c>
      <c r="AV30">
        <f t="shared" si="42"/>
        <v>-4.0395143470712692E-2</v>
      </c>
      <c r="AW30">
        <f t="shared" si="43"/>
        <v>2.1659940552715265E-2</v>
      </c>
      <c r="AX30">
        <f t="shared" si="44"/>
        <v>3.9160036772298477E-2</v>
      </c>
      <c r="AY30">
        <f t="shared" si="45"/>
        <v>-2.9682748877017023E-2</v>
      </c>
      <c r="AZ30">
        <f t="shared" si="46"/>
        <v>-4.3912655462316E-2</v>
      </c>
      <c r="BA30">
        <f t="shared" si="47"/>
        <v>1.5798482839747496E-2</v>
      </c>
    </row>
    <row r="31" spans="1:53" ht="14.4" x14ac:dyDescent="0.55000000000000004">
      <c r="A31" s="4">
        <v>39960</v>
      </c>
      <c r="B31">
        <v>3.6040168353621997E-2</v>
      </c>
      <c r="C31">
        <v>-3.2312534875560697E-2</v>
      </c>
      <c r="D31">
        <v>-5.27001767640475E-2</v>
      </c>
      <c r="E31">
        <v>5.9115618917687497E-2</v>
      </c>
      <c r="F31">
        <f t="shared" si="0"/>
        <v>3.4717154247047063E-2</v>
      </c>
      <c r="G31">
        <f t="shared" si="1"/>
        <v>-3.2017145443566902E-2</v>
      </c>
      <c r="H31">
        <f t="shared" si="2"/>
        <v>-4.7684428281616238E-2</v>
      </c>
      <c r="I31">
        <f t="shared" si="3"/>
        <v>4.2099274139829654E-2</v>
      </c>
      <c r="J31">
        <f t="shared" si="4"/>
        <v>3.5535579663908086E-2</v>
      </c>
      <c r="K31">
        <f t="shared" si="5"/>
        <v>-3.1950760143918802E-2</v>
      </c>
      <c r="L31">
        <f t="shared" si="6"/>
        <v>-5.0682271229788516E-2</v>
      </c>
      <c r="M31">
        <f t="shared" si="7"/>
        <v>3.3077633202254306E-2</v>
      </c>
      <c r="N31">
        <f t="shared" si="8"/>
        <v>2.9905816367516852E-2</v>
      </c>
      <c r="O31">
        <f t="shared" si="9"/>
        <v>-2.6916032581551425E-2</v>
      </c>
      <c r="P31">
        <f t="shared" si="10"/>
        <v>-4.0291900055506785E-2</v>
      </c>
      <c r="Q31">
        <f t="shared" si="11"/>
        <v>4.661153468491986E-2</v>
      </c>
      <c r="R31">
        <f t="shared" si="12"/>
        <v>3.2838988711307589E-2</v>
      </c>
      <c r="S31">
        <f t="shared" si="13"/>
        <v>-3.129849431886704E-2</v>
      </c>
      <c r="T31">
        <f t="shared" si="14"/>
        <v>-4.6477744014052309E-2</v>
      </c>
      <c r="U31">
        <f t="shared" si="15"/>
        <v>3.3402401205356813E-2</v>
      </c>
      <c r="V31">
        <f t="shared" si="16"/>
        <v>2.8938625614695151E-2</v>
      </c>
      <c r="W31">
        <f t="shared" si="17"/>
        <v>-3.0125812259786444E-2</v>
      </c>
      <c r="X31">
        <f t="shared" si="18"/>
        <v>-3.9535780847109854E-2</v>
      </c>
      <c r="Y31">
        <f t="shared" si="19"/>
        <v>3.0075703996018669E-2</v>
      </c>
      <c r="Z31">
        <f t="shared" si="20"/>
        <v>3.3470516964364878E-2</v>
      </c>
      <c r="AA31">
        <f t="shared" si="21"/>
        <v>-3.233873591316621E-2</v>
      </c>
      <c r="AB31">
        <f t="shared" si="22"/>
        <v>-4.1688902164602276E-2</v>
      </c>
      <c r="AC31">
        <f t="shared" si="23"/>
        <v>2.6404729570712871E-2</v>
      </c>
      <c r="AD31">
        <f t="shared" si="24"/>
        <v>3.4596718299290688E-2</v>
      </c>
      <c r="AE31">
        <f t="shared" si="25"/>
        <v>-3.2716133293357763E-2</v>
      </c>
      <c r="AF31">
        <f t="shared" si="26"/>
        <v>-4.8922019325351396E-2</v>
      </c>
      <c r="AG31">
        <f t="shared" si="27"/>
        <v>4.6394908486178617E-2</v>
      </c>
      <c r="AH31">
        <f t="shared" si="28"/>
        <v>3.6143023582579342E-2</v>
      </c>
      <c r="AI31">
        <f t="shared" si="29"/>
        <v>-2.8407070090227343E-2</v>
      </c>
      <c r="AJ31">
        <f t="shared" si="30"/>
        <v>-3.8780255523117875E-2</v>
      </c>
      <c r="AK31">
        <f t="shared" si="31"/>
        <v>2.7901461607133728E-2</v>
      </c>
      <c r="AL31">
        <f t="shared" si="32"/>
        <v>3.8898917321218987E-2</v>
      </c>
      <c r="AM31">
        <f t="shared" si="33"/>
        <v>-2.7277262026954682E-2</v>
      </c>
      <c r="AN31">
        <f t="shared" si="34"/>
        <v>-4.1264582954846814E-2</v>
      </c>
      <c r="AO31">
        <f t="shared" si="35"/>
        <v>1.9090209128134545E-2</v>
      </c>
      <c r="AP31">
        <f t="shared" si="36"/>
        <v>3.7914131372793702E-2</v>
      </c>
      <c r="AQ31">
        <f t="shared" si="37"/>
        <v>-2.6255851228573279E-2</v>
      </c>
      <c r="AR31">
        <f t="shared" si="38"/>
        <v>-3.9053760922976459E-2</v>
      </c>
      <c r="AS31">
        <f t="shared" si="39"/>
        <v>2.4199680855719708E-2</v>
      </c>
      <c r="AT31">
        <f t="shared" si="40"/>
        <v>3.7588988197931279E-2</v>
      </c>
      <c r="AU31">
        <f t="shared" si="41"/>
        <v>-2.5455255037117069E-2</v>
      </c>
      <c r="AV31">
        <f t="shared" si="42"/>
        <v>-3.7846475191067881E-2</v>
      </c>
      <c r="AW31">
        <f t="shared" si="43"/>
        <v>2.4587396886068195E-2</v>
      </c>
      <c r="AX31">
        <f t="shared" si="44"/>
        <v>3.8595703628715214E-2</v>
      </c>
      <c r="AY31">
        <f t="shared" si="45"/>
        <v>-2.7478880740906143E-2</v>
      </c>
      <c r="AZ31">
        <f t="shared" si="46"/>
        <v>-4.1167579937460896E-2</v>
      </c>
      <c r="BA31">
        <f t="shared" si="47"/>
        <v>2.0372532777490526E-2</v>
      </c>
    </row>
    <row r="32" spans="1:53" ht="14.4" x14ac:dyDescent="0.55000000000000004">
      <c r="A32" s="4">
        <v>39988</v>
      </c>
      <c r="B32">
        <v>2.9185793094048E-2</v>
      </c>
      <c r="C32">
        <v>-2.7088393126406901E-2</v>
      </c>
      <c r="D32">
        <v>-3.4919888663415298E-2</v>
      </c>
      <c r="E32">
        <v>7.3266471897754495E-2</v>
      </c>
      <c r="F32">
        <f t="shared" si="0"/>
        <v>3.6584014271691188E-2</v>
      </c>
      <c r="G32">
        <f t="shared" si="1"/>
        <v>-3.352737080794977E-2</v>
      </c>
      <c r="H32">
        <f t="shared" si="2"/>
        <v>-5.3093477699835592E-2</v>
      </c>
      <c r="I32">
        <f t="shared" si="3"/>
        <v>5.4043706458319477E-2</v>
      </c>
      <c r="J32">
        <f t="shared" si="4"/>
        <v>3.5465561683187347E-2</v>
      </c>
      <c r="K32">
        <f t="shared" si="5"/>
        <v>-3.3182405140202945E-2</v>
      </c>
      <c r="L32">
        <f t="shared" si="6"/>
        <v>-4.8338501565048479E-2</v>
      </c>
      <c r="M32">
        <f t="shared" si="7"/>
        <v>3.7756950690032182E-2</v>
      </c>
      <c r="N32">
        <f t="shared" si="8"/>
        <v>3.6511419164784793E-2</v>
      </c>
      <c r="O32">
        <f t="shared" si="9"/>
        <v>-3.3441477749799442E-2</v>
      </c>
      <c r="P32">
        <f t="shared" si="10"/>
        <v>-5.105132129295499E-2</v>
      </c>
      <c r="Q32">
        <f t="shared" si="11"/>
        <v>2.8636865144528758E-2</v>
      </c>
      <c r="R32">
        <f t="shared" si="12"/>
        <v>3.1610827310221877E-2</v>
      </c>
      <c r="S32">
        <f t="shared" si="13"/>
        <v>-2.9139524052220783E-2</v>
      </c>
      <c r="T32">
        <f t="shared" si="14"/>
        <v>-4.1705652753767655E-2</v>
      </c>
      <c r="U32">
        <f t="shared" si="15"/>
        <v>4.0345367126459829E-2</v>
      </c>
      <c r="V32">
        <f t="shared" si="16"/>
        <v>3.4161261182253891E-2</v>
      </c>
      <c r="W32">
        <f t="shared" si="17"/>
        <v>-3.2979247905778913E-2</v>
      </c>
      <c r="X32">
        <f t="shared" si="18"/>
        <v>-4.7251291658980094E-2</v>
      </c>
      <c r="Y32">
        <f t="shared" si="19"/>
        <v>2.8374934264513603E-2</v>
      </c>
      <c r="Z32">
        <f t="shared" si="20"/>
        <v>3.0774985633052712E-2</v>
      </c>
      <c r="AA32">
        <f t="shared" si="21"/>
        <v>-3.2069256273497125E-2</v>
      </c>
      <c r="AB32">
        <f t="shared" si="22"/>
        <v>-4.0921756364284211E-2</v>
      </c>
      <c r="AC32">
        <f t="shared" si="23"/>
        <v>2.4426180971756101E-2</v>
      </c>
      <c r="AD32">
        <f t="shared" si="24"/>
        <v>3.4233571065278502E-2</v>
      </c>
      <c r="AE32">
        <f t="shared" si="25"/>
        <v>-3.3179793332331169E-2</v>
      </c>
      <c r="AF32">
        <f t="shared" si="26"/>
        <v>-4.2664583370512009E-2</v>
      </c>
      <c r="AG32">
        <f t="shared" si="27"/>
        <v>2.3154113404535274E-2</v>
      </c>
      <c r="AH32">
        <f t="shared" si="28"/>
        <v>3.5338657285918056E-2</v>
      </c>
      <c r="AI32">
        <f t="shared" si="29"/>
        <v>-3.3869676274719471E-2</v>
      </c>
      <c r="AJ32">
        <f t="shared" si="30"/>
        <v>-4.953376189845704E-2</v>
      </c>
      <c r="AK32">
        <f t="shared" si="31"/>
        <v>4.175856727214064E-2</v>
      </c>
      <c r="AL32">
        <f t="shared" si="32"/>
        <v>3.6369771164491853E-2</v>
      </c>
      <c r="AM32">
        <f t="shared" si="33"/>
        <v>-2.9038899483114479E-2</v>
      </c>
      <c r="AN32">
        <f t="shared" si="34"/>
        <v>-3.9814109978570218E-2</v>
      </c>
      <c r="AO32">
        <f t="shared" si="35"/>
        <v>2.5925999860753682E-2</v>
      </c>
      <c r="AP32">
        <f t="shared" si="36"/>
        <v>3.8939751839577562E-2</v>
      </c>
      <c r="AQ32">
        <f t="shared" si="37"/>
        <v>-2.794846678325132E-2</v>
      </c>
      <c r="AR32">
        <f t="shared" si="38"/>
        <v>-4.1945498739076319E-2</v>
      </c>
      <c r="AS32">
        <f t="shared" si="39"/>
        <v>1.794206366718977E-2</v>
      </c>
      <c r="AT32">
        <f t="shared" si="40"/>
        <v>3.8014645531720639E-2</v>
      </c>
      <c r="AU32">
        <f t="shared" si="41"/>
        <v>-2.699707174102637E-2</v>
      </c>
      <c r="AV32">
        <f t="shared" si="42"/>
        <v>-3.9960134104100181E-2</v>
      </c>
      <c r="AW32">
        <f t="shared" si="43"/>
        <v>2.2742161403377537E-2</v>
      </c>
      <c r="AX32">
        <f t="shared" si="44"/>
        <v>3.7736356529111087E-2</v>
      </c>
      <c r="AY32">
        <f t="shared" si="45"/>
        <v>-2.6266825683253836E-2</v>
      </c>
      <c r="AZ32">
        <f t="shared" si="46"/>
        <v>-3.8849427315229564E-2</v>
      </c>
      <c r="BA32">
        <f t="shared" si="47"/>
        <v>2.3071567415172949E-2</v>
      </c>
    </row>
    <row r="33" spans="1:53" ht="14.4" x14ac:dyDescent="0.55000000000000004">
      <c r="A33" s="4">
        <v>40023</v>
      </c>
      <c r="B33">
        <v>3.4499487513854801E-2</v>
      </c>
      <c r="C33">
        <v>-3.1739510541654602E-2</v>
      </c>
      <c r="D33">
        <v>-4.1590205863068899E-2</v>
      </c>
      <c r="E33">
        <v>5.8055126275642799E-2</v>
      </c>
      <c r="F33">
        <f t="shared" si="0"/>
        <v>3.0114708669222119E-2</v>
      </c>
      <c r="G33">
        <f t="shared" si="1"/>
        <v>-2.8415490506953207E-2</v>
      </c>
      <c r="H33">
        <f t="shared" si="2"/>
        <v>-3.6874015488458742E-2</v>
      </c>
      <c r="I33">
        <f t="shared" si="3"/>
        <v>6.7377957162748928E-2</v>
      </c>
      <c r="J33">
        <f t="shared" si="4"/>
        <v>3.6995354843190026E-2</v>
      </c>
      <c r="K33">
        <f t="shared" si="5"/>
        <v>-3.4505499949766948E-2</v>
      </c>
      <c r="L33">
        <f t="shared" si="6"/>
        <v>-5.3393970169733539E-2</v>
      </c>
      <c r="M33">
        <f t="shared" si="7"/>
        <v>4.9505131571509924E-2</v>
      </c>
      <c r="N33">
        <f t="shared" si="8"/>
        <v>3.6047000892068699E-2</v>
      </c>
      <c r="O33">
        <f t="shared" si="9"/>
        <v>-3.4098364002165989E-2</v>
      </c>
      <c r="P33">
        <f t="shared" si="10"/>
        <v>-4.8878099857738826E-2</v>
      </c>
      <c r="Q33">
        <f t="shared" si="11"/>
        <v>3.3971787112611174E-2</v>
      </c>
      <c r="R33">
        <f t="shared" si="12"/>
        <v>3.7208721801554274E-2</v>
      </c>
      <c r="S33">
        <f t="shared" si="13"/>
        <v>-3.4536388885190138E-2</v>
      </c>
      <c r="T33">
        <f t="shared" si="14"/>
        <v>-5.130854507353267E-2</v>
      </c>
      <c r="U33">
        <f t="shared" si="15"/>
        <v>2.5004840129178911E-2</v>
      </c>
      <c r="V33">
        <f t="shared" si="16"/>
        <v>3.2909472232787118E-2</v>
      </c>
      <c r="W33">
        <f t="shared" si="17"/>
        <v>-3.0820378763233743E-2</v>
      </c>
      <c r="X33">
        <f t="shared" si="18"/>
        <v>-4.28895258271106E-2</v>
      </c>
      <c r="Y33">
        <f t="shared" si="19"/>
        <v>3.5211063002438286E-2</v>
      </c>
      <c r="Z33">
        <f t="shared" si="20"/>
        <v>3.5147262664083266E-2</v>
      </c>
      <c r="AA33">
        <f t="shared" si="21"/>
        <v>-3.4209743259693767E-2</v>
      </c>
      <c r="AB33">
        <f t="shared" si="22"/>
        <v>-4.7865063234539922E-2</v>
      </c>
      <c r="AC33">
        <f t="shared" si="23"/>
        <v>2.4294320281338773E-2</v>
      </c>
      <c r="AD33">
        <f t="shared" si="24"/>
        <v>3.2188119815488303E-2</v>
      </c>
      <c r="AE33">
        <f t="shared" si="25"/>
        <v>-3.3483562408425635E-2</v>
      </c>
      <c r="AF33">
        <f t="shared" si="26"/>
        <v>-4.2077825316984133E-2</v>
      </c>
      <c r="AG33">
        <f t="shared" si="27"/>
        <v>1.9917042575483074E-2</v>
      </c>
      <c r="AH33">
        <f t="shared" si="28"/>
        <v>3.4868205454282555E-2</v>
      </c>
      <c r="AI33">
        <f t="shared" si="29"/>
        <v>-3.3856139522408984E-2</v>
      </c>
      <c r="AJ33">
        <f t="shared" si="30"/>
        <v>-4.3514463285892223E-2</v>
      </c>
      <c r="AK33">
        <f t="shared" si="31"/>
        <v>2.0309263167456001E-2</v>
      </c>
      <c r="AL33">
        <f t="shared" si="32"/>
        <v>3.5917742100590067E-2</v>
      </c>
      <c r="AM33">
        <f t="shared" si="33"/>
        <v>-3.4776246290417277E-2</v>
      </c>
      <c r="AN33">
        <f t="shared" si="34"/>
        <v>-5.0032008679234879E-2</v>
      </c>
      <c r="AO33">
        <f t="shared" si="35"/>
        <v>3.7689107915799207E-2</v>
      </c>
      <c r="AP33">
        <f t="shared" si="36"/>
        <v>3.6602822761359496E-2</v>
      </c>
      <c r="AQ33">
        <f t="shared" si="37"/>
        <v>-2.9653997729010916E-2</v>
      </c>
      <c r="AR33">
        <f t="shared" si="38"/>
        <v>-4.0757284141755272E-2</v>
      </c>
      <c r="AS33">
        <f t="shared" si="39"/>
        <v>2.3994401627137708E-2</v>
      </c>
      <c r="AT33">
        <f t="shared" si="40"/>
        <v>3.8982798229115344E-2</v>
      </c>
      <c r="AU33">
        <f t="shared" si="41"/>
        <v>-2.8581282025361966E-2</v>
      </c>
      <c r="AV33">
        <f t="shared" si="42"/>
        <v>-4.2572428718173641E-2</v>
      </c>
      <c r="AW33">
        <f t="shared" si="43"/>
        <v>1.6812932587277375E-2</v>
      </c>
      <c r="AX33">
        <f t="shared" si="44"/>
        <v>3.8120986462939536E-2</v>
      </c>
      <c r="AY33">
        <f t="shared" si="45"/>
        <v>-2.7705444272842737E-2</v>
      </c>
      <c r="AZ33">
        <f t="shared" si="46"/>
        <v>-4.0793318416397557E-2</v>
      </c>
      <c r="BA33">
        <f t="shared" si="47"/>
        <v>2.1302913238965996E-2</v>
      </c>
    </row>
    <row r="34" spans="1:53" ht="14.4" x14ac:dyDescent="0.55000000000000004">
      <c r="A34" s="4">
        <v>40051</v>
      </c>
      <c r="B34">
        <v>3.2244927826725299E-2</v>
      </c>
      <c r="C34">
        <v>-2.96416271974684E-2</v>
      </c>
      <c r="D34">
        <v>-3.8770289078884398E-2</v>
      </c>
      <c r="E34">
        <v>5.3036710082818198E-2</v>
      </c>
      <c r="F34">
        <f t="shared" si="0"/>
        <v>3.4516320836732658E-2</v>
      </c>
      <c r="G34">
        <f t="shared" si="1"/>
        <v>-3.2037603833754022E-2</v>
      </c>
      <c r="H34">
        <f t="shared" si="2"/>
        <v>-4.2731133714233552E-2</v>
      </c>
      <c r="I34">
        <f t="shared" si="3"/>
        <v>5.4639757175774288E-2</v>
      </c>
      <c r="J34">
        <f t="shared" si="4"/>
        <v>3.0957606144921254E-2</v>
      </c>
      <c r="K34">
        <f t="shared" si="5"/>
        <v>-2.9604471609651094E-2</v>
      </c>
      <c r="L34">
        <f t="shared" si="6"/>
        <v>-3.8614525527983376E-2</v>
      </c>
      <c r="M34">
        <f t="shared" si="7"/>
        <v>6.1903832871704798E-2</v>
      </c>
      <c r="N34">
        <f t="shared" si="8"/>
        <v>3.7312913206255897E-2</v>
      </c>
      <c r="O34">
        <f t="shared" si="9"/>
        <v>-3.5302895495381036E-2</v>
      </c>
      <c r="P34">
        <f t="shared" si="10"/>
        <v>-5.3619098397154258E-2</v>
      </c>
      <c r="Q34">
        <f t="shared" si="11"/>
        <v>4.5394509713870101E-2</v>
      </c>
      <c r="R34">
        <f t="shared" si="12"/>
        <v>3.6507534950061558E-2</v>
      </c>
      <c r="S34">
        <f t="shared" si="13"/>
        <v>-3.4827960987840141E-2</v>
      </c>
      <c r="T34">
        <f t="shared" si="14"/>
        <v>-4.9324058978722884E-2</v>
      </c>
      <c r="U34">
        <f t="shared" si="15"/>
        <v>3.0622289824629573E-2</v>
      </c>
      <c r="V34">
        <f t="shared" si="16"/>
        <v>3.7711362276724947E-2</v>
      </c>
      <c r="W34">
        <f t="shared" si="17"/>
        <v>-3.5348048220509874E-2</v>
      </c>
      <c r="X34">
        <f t="shared" si="18"/>
        <v>-5.1483036347658162E-2</v>
      </c>
      <c r="Y34">
        <f t="shared" si="19"/>
        <v>2.1966929199746559E-2</v>
      </c>
      <c r="Z34">
        <f t="shared" si="20"/>
        <v>3.3915564101155253E-2</v>
      </c>
      <c r="AA34">
        <f t="shared" si="21"/>
        <v>-3.2108462722399977E-2</v>
      </c>
      <c r="AB34">
        <f t="shared" si="22"/>
        <v>-4.3889497652579615E-2</v>
      </c>
      <c r="AC34">
        <f t="shared" si="23"/>
        <v>3.0918664567059443E-2</v>
      </c>
      <c r="AD34">
        <f t="shared" si="24"/>
        <v>3.589380169381072E-2</v>
      </c>
      <c r="AE34">
        <f t="shared" si="25"/>
        <v>-3.5117873285381837E-2</v>
      </c>
      <c r="AF34">
        <f t="shared" si="26"/>
        <v>-4.8355348174986081E-2</v>
      </c>
      <c r="AG34">
        <f t="shared" si="27"/>
        <v>2.0913159503158436E-2</v>
      </c>
      <c r="AH34">
        <f t="shared" si="28"/>
        <v>3.3294435283873859E-2</v>
      </c>
      <c r="AI34">
        <f t="shared" si="29"/>
        <v>-3.4519573639569159E-2</v>
      </c>
      <c r="AJ34">
        <f t="shared" si="30"/>
        <v>-4.3050877478623177E-2</v>
      </c>
      <c r="AK34">
        <f t="shared" si="31"/>
        <v>1.6251947737152994E-2</v>
      </c>
      <c r="AL34">
        <f t="shared" si="32"/>
        <v>3.5404192955771463E-2</v>
      </c>
      <c r="AM34">
        <f t="shared" si="33"/>
        <v>-3.4406596984391788E-2</v>
      </c>
      <c r="AN34">
        <f t="shared" si="34"/>
        <v>-4.4256561753025711E-2</v>
      </c>
      <c r="AO34">
        <f t="shared" si="35"/>
        <v>1.7791204192785223E-2</v>
      </c>
      <c r="AP34">
        <f t="shared" si="36"/>
        <v>3.6378717646186741E-2</v>
      </c>
      <c r="AQ34">
        <f t="shared" si="37"/>
        <v>-3.549742558786826E-2</v>
      </c>
      <c r="AR34">
        <f t="shared" si="38"/>
        <v>-5.0437367839727472E-2</v>
      </c>
      <c r="AS34">
        <f t="shared" si="39"/>
        <v>3.4067249960002211E-2</v>
      </c>
      <c r="AT34">
        <f t="shared" si="40"/>
        <v>3.6833587325059029E-2</v>
      </c>
      <c r="AU34">
        <f t="shared" si="41"/>
        <v>-3.0242370282152993E-2</v>
      </c>
      <c r="AV34">
        <f t="shared" si="42"/>
        <v>-4.1615263774698971E-2</v>
      </c>
      <c r="AW34">
        <f t="shared" si="43"/>
        <v>2.212674642791658E-2</v>
      </c>
      <c r="AX34">
        <f t="shared" si="44"/>
        <v>3.9026305510532516E-2</v>
      </c>
      <c r="AY34">
        <f t="shared" si="45"/>
        <v>-2.9175661582319497E-2</v>
      </c>
      <c r="AZ34">
        <f t="shared" si="46"/>
        <v>-4.3148805839799825E-2</v>
      </c>
      <c r="BA34">
        <f t="shared" si="47"/>
        <v>1.5708493316419374E-2</v>
      </c>
    </row>
    <row r="35" spans="1:53" ht="14.4" x14ac:dyDescent="0.55000000000000004">
      <c r="A35" s="4">
        <v>40086</v>
      </c>
      <c r="B35">
        <v>3.1771186792781597E-2</v>
      </c>
      <c r="C35">
        <v>-2.94292782306762E-2</v>
      </c>
      <c r="D35">
        <v>-4.0428918208355397E-2</v>
      </c>
      <c r="E35">
        <v>5.0684923562965799E-2</v>
      </c>
      <c r="F35">
        <f t="shared" si="0"/>
        <v>3.286062538715144E-2</v>
      </c>
      <c r="G35">
        <f t="shared" si="1"/>
        <v>-3.055405252592824E-2</v>
      </c>
      <c r="H35">
        <f t="shared" si="2"/>
        <v>-4.0179226321099638E-2</v>
      </c>
      <c r="I35">
        <f t="shared" si="3"/>
        <v>4.8766835781848573E-2</v>
      </c>
      <c r="J35">
        <f t="shared" si="4"/>
        <v>3.4658535796651541E-2</v>
      </c>
      <c r="K35">
        <f t="shared" si="5"/>
        <v>-3.2461598964355298E-2</v>
      </c>
      <c r="L35">
        <f t="shared" si="6"/>
        <v>-4.3778205153135998E-2</v>
      </c>
      <c r="M35">
        <f t="shared" si="7"/>
        <v>5.1095016530597157E-2</v>
      </c>
      <c r="N35">
        <f t="shared" si="8"/>
        <v>3.1723373592035746E-2</v>
      </c>
      <c r="O35">
        <f t="shared" si="9"/>
        <v>-3.0668744024066649E-2</v>
      </c>
      <c r="P35">
        <f t="shared" si="10"/>
        <v>-4.016235713632664E-2</v>
      </c>
      <c r="Q35">
        <f t="shared" si="11"/>
        <v>5.6812784500605937E-2</v>
      </c>
      <c r="R35">
        <f t="shared" si="12"/>
        <v>3.7563701673285314E-2</v>
      </c>
      <c r="S35">
        <f t="shared" si="13"/>
        <v>-3.595984241281304E-2</v>
      </c>
      <c r="T35">
        <f t="shared" si="14"/>
        <v>-5.3782190638812608E-2</v>
      </c>
      <c r="U35">
        <f t="shared" si="15"/>
        <v>4.1635907681163077E-2</v>
      </c>
      <c r="V35">
        <f t="shared" si="16"/>
        <v>3.6879604252701786E-2</v>
      </c>
      <c r="W35">
        <f t="shared" si="17"/>
        <v>-3.5416133696566265E-2</v>
      </c>
      <c r="X35">
        <f t="shared" si="18"/>
        <v>-4.9692356227244015E-2</v>
      </c>
      <c r="Y35">
        <f t="shared" si="19"/>
        <v>2.7621186708699688E-2</v>
      </c>
      <c r="Z35">
        <f t="shared" si="20"/>
        <v>3.8077723849302879E-2</v>
      </c>
      <c r="AA35">
        <f t="shared" si="21"/>
        <v>-3.595544151467428E-2</v>
      </c>
      <c r="AB35">
        <f t="shared" si="22"/>
        <v>-5.1595628116201428E-2</v>
      </c>
      <c r="AC35">
        <f t="shared" si="23"/>
        <v>1.9372323859091954E-2</v>
      </c>
      <c r="AD35">
        <f t="shared" si="24"/>
        <v>3.4709164342543931E-2</v>
      </c>
      <c r="AE35">
        <f t="shared" si="25"/>
        <v>-3.3109431670150569E-2</v>
      </c>
      <c r="AF35">
        <f t="shared" si="26"/>
        <v>-4.4739967920278047E-2</v>
      </c>
      <c r="AG35">
        <f t="shared" si="27"/>
        <v>2.726272731070116E-2</v>
      </c>
      <c r="AH35">
        <f t="shared" si="28"/>
        <v>3.6468700816858358E-2</v>
      </c>
      <c r="AI35">
        <f t="shared" si="29"/>
        <v>-3.579350581032794E-2</v>
      </c>
      <c r="AJ35">
        <f t="shared" si="30"/>
        <v>-4.8748749762290301E-2</v>
      </c>
      <c r="AK35">
        <f t="shared" si="31"/>
        <v>1.805668555676563E-2</v>
      </c>
      <c r="AL35">
        <f t="shared" si="32"/>
        <v>3.4176048234228852E-2</v>
      </c>
      <c r="AM35">
        <f t="shared" si="33"/>
        <v>-3.5283364498618179E-2</v>
      </c>
      <c r="AN35">
        <f t="shared" si="34"/>
        <v>-4.3875980998147102E-2</v>
      </c>
      <c r="AO35">
        <f t="shared" si="35"/>
        <v>1.3220541481407257E-2</v>
      </c>
      <c r="AP35">
        <f t="shared" si="36"/>
        <v>3.5863097263628352E-2</v>
      </c>
      <c r="AQ35">
        <f t="shared" si="37"/>
        <v>-3.485928153819106E-2</v>
      </c>
      <c r="AR35">
        <f t="shared" si="38"/>
        <v>-4.4905489939589122E-2</v>
      </c>
      <c r="AS35">
        <f t="shared" si="39"/>
        <v>1.5541673962601319E-2</v>
      </c>
      <c r="AT35">
        <f t="shared" si="40"/>
        <v>3.6753105496020219E-2</v>
      </c>
      <c r="AU35">
        <f t="shared" si="41"/>
        <v>-3.6077287189090583E-2</v>
      </c>
      <c r="AV35">
        <f t="shared" si="42"/>
        <v>-5.0765695359807093E-2</v>
      </c>
      <c r="AW35">
        <f t="shared" si="43"/>
        <v>3.0806982130508934E-2</v>
      </c>
      <c r="AX35">
        <f t="shared" si="44"/>
        <v>3.7056708508082722E-2</v>
      </c>
      <c r="AY35">
        <f t="shared" si="45"/>
        <v>-3.0798241407940241E-2</v>
      </c>
      <c r="AZ35">
        <f t="shared" si="46"/>
        <v>-4.2393851520268921E-2</v>
      </c>
      <c r="BA35">
        <f t="shared" si="47"/>
        <v>2.0334964559139457E-2</v>
      </c>
    </row>
    <row r="36" spans="1:53" ht="14.4" x14ac:dyDescent="0.55000000000000004">
      <c r="A36" s="4">
        <v>40114</v>
      </c>
      <c r="B36">
        <v>3.6373818216909402E-2</v>
      </c>
      <c r="C36">
        <v>-3.4508725011523599E-2</v>
      </c>
      <c r="D36">
        <v>-4.4939722082120603E-2</v>
      </c>
      <c r="E36">
        <v>4.25225234493554E-2</v>
      </c>
      <c r="F36">
        <f t="shared" ref="F36:F67" si="48">BD$2+BD$3*$B35+BD$4*$C35+BD$5*$D35+BD$6*$E35</f>
        <v>3.2710338102484922E-2</v>
      </c>
      <c r="G36">
        <f t="shared" ref="G36:G67" si="49">BE$2+BE$3*$B35+BE$4*$C35+BE$5*$D35+BE$6*$E35</f>
        <v>-3.0723381042343824E-2</v>
      </c>
      <c r="H36">
        <f t="shared" ref="H36:H67" si="50">BF$2+BF$3*$B35+BF$4*$C35+BF$5*$D35+BF$6*$E35</f>
        <v>-4.1748957019296547E-2</v>
      </c>
      <c r="I36">
        <f t="shared" ref="I36:I67" si="51">BG$2+BG$3*$B35+BG$4*$C35+BG$5*$D35+BG$6*$E35</f>
        <v>4.5786688715657442E-2</v>
      </c>
      <c r="J36">
        <f t="shared" si="4"/>
        <v>3.3432360078741584E-2</v>
      </c>
      <c r="K36">
        <f t="shared" si="5"/>
        <v>-3.1387604493747882E-2</v>
      </c>
      <c r="L36">
        <f t="shared" si="6"/>
        <v>-4.1437119955136194E-2</v>
      </c>
      <c r="M36">
        <f t="shared" si="7"/>
        <v>4.4758968302878871E-2</v>
      </c>
      <c r="N36">
        <f t="shared" si="8"/>
        <v>3.487689043933883E-2</v>
      </c>
      <c r="O36">
        <f t="shared" si="9"/>
        <v>-3.2949879856601548E-2</v>
      </c>
      <c r="P36">
        <f t="shared" si="10"/>
        <v>-4.4728815855389965E-2</v>
      </c>
      <c r="Q36">
        <f t="shared" si="11"/>
        <v>4.7535920638359513E-2</v>
      </c>
      <c r="R36">
        <f t="shared" si="12"/>
        <v>3.2419768923818419E-2</v>
      </c>
      <c r="S36">
        <f t="shared" si="13"/>
        <v>-3.1620202553651749E-2</v>
      </c>
      <c r="T36">
        <f t="shared" si="14"/>
        <v>-4.1536434571119267E-2</v>
      </c>
      <c r="U36">
        <f t="shared" si="15"/>
        <v>5.2076602128197244E-2</v>
      </c>
      <c r="V36">
        <f t="shared" si="16"/>
        <v>3.7766582382576769E-2</v>
      </c>
      <c r="W36">
        <f t="shared" si="17"/>
        <v>-3.6505619417655344E-2</v>
      </c>
      <c r="X36">
        <f t="shared" si="18"/>
        <v>-5.3893612230390554E-2</v>
      </c>
      <c r="Y36">
        <f t="shared" si="19"/>
        <v>3.8173960500478527E-2</v>
      </c>
      <c r="Z36">
        <f t="shared" si="20"/>
        <v>3.7186137898285981E-2</v>
      </c>
      <c r="AA36">
        <f t="shared" si="21"/>
        <v>-3.5895208697577737E-2</v>
      </c>
      <c r="AB36">
        <f t="shared" si="22"/>
        <v>-4.9995454519127749E-2</v>
      </c>
      <c r="AC36">
        <f t="shared" si="23"/>
        <v>2.4905159675449363E-2</v>
      </c>
      <c r="AD36">
        <f t="shared" si="24"/>
        <v>3.8348456943039851E-2</v>
      </c>
      <c r="AE36">
        <f t="shared" si="25"/>
        <v>-3.6414155868466545E-2</v>
      </c>
      <c r="AF36">
        <f t="shared" si="26"/>
        <v>-5.1661355846034956E-2</v>
      </c>
      <c r="AG36">
        <f t="shared" si="27"/>
        <v>1.7114658707824165E-2</v>
      </c>
      <c r="AH36">
        <f t="shared" si="28"/>
        <v>3.5346775034847934E-2</v>
      </c>
      <c r="AI36">
        <f t="shared" si="29"/>
        <v>-3.389807167061222E-2</v>
      </c>
      <c r="AJ36">
        <f t="shared" si="30"/>
        <v>-4.5467056624171914E-2</v>
      </c>
      <c r="AK36">
        <f t="shared" si="31"/>
        <v>2.409685773601836E-2</v>
      </c>
      <c r="AL36">
        <f t="shared" si="32"/>
        <v>3.6919577215849562E-2</v>
      </c>
      <c r="AM36">
        <f t="shared" si="33"/>
        <v>-3.6299982806734347E-2</v>
      </c>
      <c r="AN36">
        <f t="shared" si="34"/>
        <v>-4.9065003429617039E-2</v>
      </c>
      <c r="AO36">
        <f t="shared" si="35"/>
        <v>1.5600826695144173E-2</v>
      </c>
      <c r="AP36">
        <f t="shared" si="36"/>
        <v>3.4891116842533015E-2</v>
      </c>
      <c r="AQ36">
        <f t="shared" si="37"/>
        <v>-3.5849757497687325E-2</v>
      </c>
      <c r="AR36">
        <f t="shared" si="38"/>
        <v>-4.4579737732505953E-2</v>
      </c>
      <c r="AS36">
        <f t="shared" si="39"/>
        <v>1.0672626004517084E-2</v>
      </c>
      <c r="AT36">
        <f t="shared" si="40"/>
        <v>3.6260692373103968E-2</v>
      </c>
      <c r="AU36">
        <f t="shared" si="41"/>
        <v>-3.5234762555081046E-2</v>
      </c>
      <c r="AV36">
        <f t="shared" si="42"/>
        <v>-4.5473289215273015E-2</v>
      </c>
      <c r="AW36">
        <f t="shared" si="43"/>
        <v>1.3517071777252957E-2</v>
      </c>
      <c r="AX36">
        <f t="shared" si="44"/>
        <v>3.7063194278541788E-2</v>
      </c>
      <c r="AY36">
        <f t="shared" si="45"/>
        <v>-3.6547628893423965E-2</v>
      </c>
      <c r="AZ36">
        <f t="shared" si="46"/>
        <v>-5.102940243792646E-2</v>
      </c>
      <c r="BA36">
        <f t="shared" si="47"/>
        <v>2.7845596216482214E-2</v>
      </c>
    </row>
    <row r="37" spans="1:53" ht="14.4" x14ac:dyDescent="0.55000000000000004">
      <c r="A37" s="4">
        <v>40142</v>
      </c>
      <c r="B37">
        <v>4.3425666487292E-2</v>
      </c>
      <c r="C37">
        <v>-4.0806860939135402E-2</v>
      </c>
      <c r="D37">
        <v>-5.86218526069981E-2</v>
      </c>
      <c r="E37">
        <v>2.1493262847360601E-2</v>
      </c>
      <c r="F37">
        <f t="shared" si="48"/>
        <v>3.6218765468846316E-2</v>
      </c>
      <c r="G37">
        <f t="shared" si="49"/>
        <v>-3.4485429342126117E-2</v>
      </c>
      <c r="H37">
        <f t="shared" si="50"/>
        <v>-4.5660410499821599E-2</v>
      </c>
      <c r="I37">
        <f t="shared" si="51"/>
        <v>4.0168664220208906E-2</v>
      </c>
      <c r="J37">
        <f t="shared" ref="J37:J68" si="52">BD$2+BD$3*$F36+BD$4*$G36+BD$5*$H36+BD$6*$I36</f>
        <v>3.3491347657119822E-2</v>
      </c>
      <c r="K37">
        <f t="shared" ref="K37:K68" si="53">BE$2+BE$3*$F36+BE$4*$G36+BE$5*$H36+BE$6*$I36</f>
        <v>-3.1791636015791838E-2</v>
      </c>
      <c r="L37">
        <f t="shared" ref="L37:L68" si="54">BF$2+BF$3*$F36+BF$4*$G36+BF$5*$H36+BF$6*$I36</f>
        <v>-4.2899774639982909E-2</v>
      </c>
      <c r="M37">
        <f t="shared" ref="M37:M68" si="55">BG$2+BG$3*$F36+BG$4*$G36+BG$5*$H36+BG$6*$I36</f>
        <v>4.1428757149853682E-2</v>
      </c>
      <c r="N37">
        <f t="shared" si="8"/>
        <v>3.3960954718645506E-2</v>
      </c>
      <c r="O37">
        <f t="shared" si="9"/>
        <v>-3.2144867764136387E-2</v>
      </c>
      <c r="P37">
        <f t="shared" si="10"/>
        <v>-4.2557565649879052E-2</v>
      </c>
      <c r="Q37">
        <f t="shared" si="11"/>
        <v>4.100415069135873E-2</v>
      </c>
      <c r="R37">
        <f t="shared" si="12"/>
        <v>3.513812332189966E-2</v>
      </c>
      <c r="S37">
        <f t="shared" si="13"/>
        <v>-3.3461621513260403E-2</v>
      </c>
      <c r="T37">
        <f t="shared" si="14"/>
        <v>-4.5584245927676736E-2</v>
      </c>
      <c r="U37">
        <f t="shared" si="15"/>
        <v>4.4037772589233984E-2</v>
      </c>
      <c r="V37">
        <f t="shared" si="16"/>
        <v>3.3053616495247719E-2</v>
      </c>
      <c r="W37">
        <f t="shared" si="17"/>
        <v>-3.2469476708585361E-2</v>
      </c>
      <c r="X37">
        <f t="shared" si="18"/>
        <v>-4.2753878313690728E-2</v>
      </c>
      <c r="Y37">
        <f t="shared" si="19"/>
        <v>4.7669691030677211E-2</v>
      </c>
      <c r="Z37">
        <f t="shared" si="20"/>
        <v>3.7934744310528443E-2</v>
      </c>
      <c r="AA37">
        <f t="shared" si="21"/>
        <v>-3.6961761180548315E-2</v>
      </c>
      <c r="AB37">
        <f t="shared" si="22"/>
        <v>-5.3961574857807247E-2</v>
      </c>
      <c r="AC37">
        <f t="shared" si="23"/>
        <v>3.4967693173327159E-2</v>
      </c>
      <c r="AD37">
        <f t="shared" si="24"/>
        <v>3.7443416719349129E-2</v>
      </c>
      <c r="AE37">
        <f t="shared" si="25"/>
        <v>-3.6288657258207006E-2</v>
      </c>
      <c r="AF37">
        <f t="shared" si="26"/>
        <v>-5.024324881293496E-2</v>
      </c>
      <c r="AG37">
        <f t="shared" si="27"/>
        <v>2.2427694586736564E-2</v>
      </c>
      <c r="AH37">
        <f t="shared" si="28"/>
        <v>3.8551875747638159E-2</v>
      </c>
      <c r="AI37">
        <f t="shared" si="29"/>
        <v>-3.6763456602793315E-2</v>
      </c>
      <c r="AJ37">
        <f t="shared" si="30"/>
        <v>-5.1691174597924189E-2</v>
      </c>
      <c r="AK37">
        <f t="shared" si="31"/>
        <v>1.5118533424207228E-2</v>
      </c>
      <c r="AL37">
        <f t="shared" si="32"/>
        <v>3.5868435878815864E-2</v>
      </c>
      <c r="AM37">
        <f t="shared" si="33"/>
        <v>-3.4527587766581123E-2</v>
      </c>
      <c r="AN37">
        <f t="shared" si="34"/>
        <v>-4.6090919158092977E-2</v>
      </c>
      <c r="AO37">
        <f t="shared" si="35"/>
        <v>2.131598257981298E-2</v>
      </c>
      <c r="AP37">
        <f t="shared" si="36"/>
        <v>3.7279954119608175E-2</v>
      </c>
      <c r="AQ37">
        <f t="shared" si="37"/>
        <v>-3.6682124735022428E-2</v>
      </c>
      <c r="AR37">
        <f t="shared" si="38"/>
        <v>-4.9318948817500069E-2</v>
      </c>
      <c r="AS37">
        <f t="shared" si="39"/>
        <v>1.3456934496587828E-2</v>
      </c>
      <c r="AT37">
        <f t="shared" si="40"/>
        <v>3.5481038274322231E-2</v>
      </c>
      <c r="AU37">
        <f t="shared" si="41"/>
        <v>-3.6271734823199245E-2</v>
      </c>
      <c r="AV37">
        <f t="shared" si="42"/>
        <v>-4.5182640387614756E-2</v>
      </c>
      <c r="AW37">
        <f t="shared" si="43"/>
        <v>8.500166098858581E-3</v>
      </c>
      <c r="AX37">
        <f t="shared" si="44"/>
        <v>3.6608652943909963E-2</v>
      </c>
      <c r="AY37">
        <f t="shared" si="45"/>
        <v>-3.5548269601628768E-2</v>
      </c>
      <c r="AZ37">
        <f t="shared" si="46"/>
        <v>-4.5970033104866942E-2</v>
      </c>
      <c r="BA37">
        <f t="shared" si="47"/>
        <v>1.1684229693417644E-2</v>
      </c>
    </row>
    <row r="38" spans="1:53" ht="14.4" x14ac:dyDescent="0.55000000000000004">
      <c r="A38" s="4">
        <v>40177</v>
      </c>
      <c r="B38">
        <v>3.7644174816354202E-2</v>
      </c>
      <c r="C38">
        <v>-3.61338109250217E-2</v>
      </c>
      <c r="D38">
        <v>-4.4970738348356999E-2</v>
      </c>
      <c r="E38">
        <v>5.0484929307322401E-2</v>
      </c>
      <c r="F38">
        <f t="shared" si="48"/>
        <v>4.2487346401135918E-2</v>
      </c>
      <c r="G38">
        <f t="shared" si="49"/>
        <v>-4.0004273490622362E-2</v>
      </c>
      <c r="H38">
        <f t="shared" si="50"/>
        <v>-5.7966486070862903E-2</v>
      </c>
      <c r="I38">
        <f t="shared" si="51"/>
        <v>2.1349260828814571E-2</v>
      </c>
      <c r="J38">
        <f t="shared" si="52"/>
        <v>3.6207976278577893E-2</v>
      </c>
      <c r="K38">
        <f t="shared" si="53"/>
        <v>-3.4621283892432173E-2</v>
      </c>
      <c r="L38">
        <f t="shared" si="54"/>
        <v>-4.6330460030306157E-2</v>
      </c>
      <c r="M38">
        <f t="shared" si="55"/>
        <v>3.7607875727026507E-2</v>
      </c>
      <c r="N38">
        <f t="shared" ref="N38:N69" si="56">BD$2+BD$3*$J37+BD$4*$K37+BD$5*$L37+BD$6*$M37</f>
        <v>3.415123690698519E-2</v>
      </c>
      <c r="O38">
        <f t="shared" ref="O38:O69" si="57">BE$2+BE$3*$J37+BE$4*$K37+BE$5*$L37+BE$6*$M37</f>
        <v>-3.2683966144760566E-2</v>
      </c>
      <c r="P38">
        <f t="shared" ref="P38:P69" si="58">BF$2+BF$3*$J37+BF$4*$K37+BF$5*$L37+BF$6*$M37</f>
        <v>-4.390480088915296E-2</v>
      </c>
      <c r="Q38">
        <f t="shared" ref="Q38:Q69" si="59">BG$2+BG$3*$J37+BG$4*$K37+BG$5*$L37+BG$6*$M37</f>
        <v>3.7511852844100239E-2</v>
      </c>
      <c r="R38">
        <f t="shared" si="12"/>
        <v>3.4448123250277504E-2</v>
      </c>
      <c r="S38">
        <f t="shared" si="13"/>
        <v>-3.2829555314788879E-2</v>
      </c>
      <c r="T38">
        <f t="shared" si="14"/>
        <v>-4.3553224339207719E-2</v>
      </c>
      <c r="U38">
        <f t="shared" si="15"/>
        <v>3.7491408176140349E-2</v>
      </c>
      <c r="V38">
        <f t="shared" si="16"/>
        <v>3.5419996117446416E-2</v>
      </c>
      <c r="W38">
        <f t="shared" si="17"/>
        <v>-3.3970298530504893E-2</v>
      </c>
      <c r="X38">
        <f t="shared" si="18"/>
        <v>-4.6348196735326606E-2</v>
      </c>
      <c r="Y38">
        <f t="shared" si="19"/>
        <v>4.06485525969957E-2</v>
      </c>
      <c r="Z38">
        <f t="shared" si="20"/>
        <v>3.3630957874757436E-2</v>
      </c>
      <c r="AA38">
        <f t="shared" si="21"/>
        <v>-3.3226120110824223E-2</v>
      </c>
      <c r="AB38">
        <f t="shared" si="22"/>
        <v>-4.3830187641668995E-2</v>
      </c>
      <c r="AC38">
        <f t="shared" si="23"/>
        <v>4.3568695626744855E-2</v>
      </c>
      <c r="AD38">
        <f t="shared" si="24"/>
        <v>3.8077426523634904E-2</v>
      </c>
      <c r="AE38">
        <f t="shared" si="25"/>
        <v>-3.7344332735668902E-2</v>
      </c>
      <c r="AF38">
        <f t="shared" si="26"/>
        <v>-5.3992706233498888E-2</v>
      </c>
      <c r="AG38">
        <f t="shared" si="27"/>
        <v>3.1986223421127224E-2</v>
      </c>
      <c r="AH38">
        <f t="shared" si="28"/>
        <v>3.7663067713144122E-2</v>
      </c>
      <c r="AI38">
        <f t="shared" si="29"/>
        <v>-3.6613713684042856E-2</v>
      </c>
      <c r="AJ38">
        <f t="shared" si="30"/>
        <v>-5.0443734946492166E-2</v>
      </c>
      <c r="AK38">
        <f t="shared" si="31"/>
        <v>2.0154100018768023E-2</v>
      </c>
      <c r="AL38">
        <f t="shared" si="32"/>
        <v>3.8707711941131415E-2</v>
      </c>
      <c r="AM38">
        <f t="shared" si="33"/>
        <v>-3.7031212423549627E-2</v>
      </c>
      <c r="AN38">
        <f t="shared" si="34"/>
        <v>-5.1693156945599186E-2</v>
      </c>
      <c r="AO38">
        <f t="shared" si="35"/>
        <v>1.3330137788593103E-2</v>
      </c>
      <c r="AP38">
        <f t="shared" si="36"/>
        <v>3.6302667584341988E-2</v>
      </c>
      <c r="AQ38">
        <f t="shared" si="37"/>
        <v>-3.5036073568649261E-2</v>
      </c>
      <c r="AR38">
        <f t="shared" si="38"/>
        <v>-4.6627375226237014E-2</v>
      </c>
      <c r="AS38">
        <f t="shared" si="39"/>
        <v>1.8843997318093889E-2</v>
      </c>
      <c r="AT38">
        <f t="shared" si="40"/>
        <v>3.7573515283077757E-2</v>
      </c>
      <c r="AU38">
        <f t="shared" si="41"/>
        <v>-3.6971803592115916E-2</v>
      </c>
      <c r="AV38">
        <f t="shared" si="42"/>
        <v>-4.952191218710076E-2</v>
      </c>
      <c r="AW38">
        <f t="shared" si="43"/>
        <v>1.1561150946309946E-2</v>
      </c>
      <c r="AX38">
        <f t="shared" si="44"/>
        <v>3.5975463615977935E-2</v>
      </c>
      <c r="AY38">
        <f t="shared" si="45"/>
        <v>-3.6586994098234897E-2</v>
      </c>
      <c r="AZ38">
        <f t="shared" si="46"/>
        <v>-4.5700733178483714E-2</v>
      </c>
      <c r="BA38">
        <f t="shared" si="47"/>
        <v>6.6247462292870572E-3</v>
      </c>
    </row>
    <row r="39" spans="1:53" ht="14.4" x14ac:dyDescent="0.55000000000000004">
      <c r="A39" s="4">
        <v>40205</v>
      </c>
      <c r="B39">
        <v>4.0986728736682097E-2</v>
      </c>
      <c r="C39">
        <v>-3.9430769439591E-2</v>
      </c>
      <c r="D39">
        <v>-5.1083603261512303E-2</v>
      </c>
      <c r="E39">
        <v>3.66889473059092E-2</v>
      </c>
      <c r="F39">
        <f t="shared" si="48"/>
        <v>3.688105095172875E-2</v>
      </c>
      <c r="G39">
        <f t="shared" si="49"/>
        <v>-3.5417529762300955E-2</v>
      </c>
      <c r="H39">
        <f t="shared" si="50"/>
        <v>-4.566656721947325E-2</v>
      </c>
      <c r="I39">
        <f t="shared" si="51"/>
        <v>4.8959708926969742E-2</v>
      </c>
      <c r="J39">
        <f t="shared" si="52"/>
        <v>4.1803153735413046E-2</v>
      </c>
      <c r="K39">
        <f t="shared" si="53"/>
        <v>-3.9482241830078535E-2</v>
      </c>
      <c r="L39">
        <f t="shared" si="54"/>
        <v>-5.7404201422624458E-2</v>
      </c>
      <c r="M39">
        <f t="shared" si="55"/>
        <v>2.0706482833181189E-2</v>
      </c>
      <c r="N39">
        <f t="shared" si="56"/>
        <v>3.6289406959909322E-2</v>
      </c>
      <c r="O39">
        <f t="shared" si="57"/>
        <v>-3.4850531387332136E-2</v>
      </c>
      <c r="P39">
        <f t="shared" si="58"/>
        <v>-4.6942967646590131E-2</v>
      </c>
      <c r="Q39">
        <f t="shared" si="59"/>
        <v>3.496321328713442E-2</v>
      </c>
      <c r="R39">
        <f t="shared" ref="R39:R70" si="60">BD$2+BD$3*$N38+BD$4*$O38+BD$5*$P38+BD$6*$Q38</f>
        <v>3.4716761987196795E-2</v>
      </c>
      <c r="S39">
        <f t="shared" ref="S39:S70" si="61">BE$2+BE$3*$N38+BE$4*$O38+BE$5*$P38+BE$6*$Q38</f>
        <v>-3.3436804894703159E-2</v>
      </c>
      <c r="T39">
        <f t="shared" ref="T39:T70" si="62">BF$2+BF$3*$N38+BF$4*$O38+BF$5*$P38+BF$6*$Q38</f>
        <v>-4.478315067184073E-2</v>
      </c>
      <c r="U39">
        <f t="shared" ref="U39:U70" si="63">BG$2+BG$3*$N38+BG$4*$O38+BG$5*$P38+BG$6*$Q38</f>
        <v>3.3962564447562398E-2</v>
      </c>
      <c r="V39">
        <f t="shared" si="16"/>
        <v>3.4896092658707224E-2</v>
      </c>
      <c r="W39">
        <f t="shared" si="17"/>
        <v>-3.3446006957900905E-2</v>
      </c>
      <c r="X39">
        <f t="shared" si="18"/>
        <v>-4.4435811371905588E-2</v>
      </c>
      <c r="Y39">
        <f t="shared" si="19"/>
        <v>3.4208694558988673E-2</v>
      </c>
      <c r="Z39">
        <f t="shared" si="20"/>
        <v>3.5707854336573787E-2</v>
      </c>
      <c r="AA39">
        <f t="shared" si="21"/>
        <v>-3.4459182438143873E-2</v>
      </c>
      <c r="AB39">
        <f t="shared" si="22"/>
        <v>-4.7025797829072319E-2</v>
      </c>
      <c r="AC39">
        <f t="shared" si="23"/>
        <v>3.739751457134801E-2</v>
      </c>
      <c r="AD39">
        <f t="shared" si="24"/>
        <v>3.4157169396957211E-2</v>
      </c>
      <c r="AE39">
        <f t="shared" si="25"/>
        <v>-3.3898758077999185E-2</v>
      </c>
      <c r="AF39">
        <f t="shared" si="26"/>
        <v>-4.4779400638417545E-2</v>
      </c>
      <c r="AG39">
        <f t="shared" si="27"/>
        <v>3.9752205382115949E-2</v>
      </c>
      <c r="AH39">
        <f t="shared" si="28"/>
        <v>3.8201117118195661E-2</v>
      </c>
      <c r="AI39">
        <f t="shared" si="29"/>
        <v>-3.7665516551638939E-2</v>
      </c>
      <c r="AJ39">
        <f t="shared" si="30"/>
        <v>-5.3992452669525764E-2</v>
      </c>
      <c r="AK39">
        <f t="shared" si="31"/>
        <v>2.9205772449807699E-2</v>
      </c>
      <c r="AL39">
        <f t="shared" si="32"/>
        <v>3.7853454032507318E-2</v>
      </c>
      <c r="AM39">
        <f t="shared" si="33"/>
        <v>-3.6883202133278462E-2</v>
      </c>
      <c r="AN39">
        <f t="shared" si="34"/>
        <v>-5.0603484514177226E-2</v>
      </c>
      <c r="AO39">
        <f t="shared" si="35"/>
        <v>1.8058035082245408E-2</v>
      </c>
      <c r="AP39">
        <f t="shared" si="36"/>
        <v>3.8829725713317387E-2</v>
      </c>
      <c r="AQ39">
        <f t="shared" si="37"/>
        <v>-3.7237323837219428E-2</v>
      </c>
      <c r="AR39">
        <f t="shared" si="38"/>
        <v>-5.1673329522582502E-2</v>
      </c>
      <c r="AS39">
        <f t="shared" si="39"/>
        <v>1.1710730385345156E-2</v>
      </c>
      <c r="AT39">
        <f t="shared" si="40"/>
        <v>3.6669916678795995E-2</v>
      </c>
      <c r="AU39">
        <f t="shared" si="41"/>
        <v>-3.5451019348817038E-2</v>
      </c>
      <c r="AV39">
        <f t="shared" si="42"/>
        <v>-4.7089058803478849E-2</v>
      </c>
      <c r="AW39">
        <f t="shared" si="43"/>
        <v>1.6625157779787431E-2</v>
      </c>
      <c r="AX39">
        <f t="shared" si="44"/>
        <v>3.7817067550920999E-2</v>
      </c>
      <c r="AY39">
        <f t="shared" si="45"/>
        <v>-3.7191824460848219E-2</v>
      </c>
      <c r="AZ39">
        <f t="shared" si="46"/>
        <v>-4.9682677760809785E-2</v>
      </c>
      <c r="BA39">
        <f t="shared" si="47"/>
        <v>9.8670025321507919E-3</v>
      </c>
    </row>
    <row r="40" spans="1:53" ht="14.4" x14ac:dyDescent="0.55000000000000004">
      <c r="A40" s="4">
        <v>40233</v>
      </c>
      <c r="B40">
        <v>4.2589937871957903E-2</v>
      </c>
      <c r="C40">
        <v>-4.0162809930465698E-2</v>
      </c>
      <c r="D40">
        <v>-5.9558412074278498E-2</v>
      </c>
      <c r="E40">
        <v>4.0171698311576902E-2</v>
      </c>
      <c r="F40">
        <f t="shared" si="48"/>
        <v>3.9854344336106601E-2</v>
      </c>
      <c r="G40">
        <f t="shared" si="49"/>
        <v>-3.8289795160453832E-2</v>
      </c>
      <c r="H40">
        <f t="shared" si="50"/>
        <v>-5.1122471257179454E-2</v>
      </c>
      <c r="I40">
        <f t="shared" si="51"/>
        <v>3.6432431204970223E-2</v>
      </c>
      <c r="J40">
        <f t="shared" si="52"/>
        <v>3.6463560989109862E-2</v>
      </c>
      <c r="K40">
        <f t="shared" si="53"/>
        <v>-3.5112843496955745E-2</v>
      </c>
      <c r="L40">
        <f t="shared" si="54"/>
        <v>-4.6355002317445611E-2</v>
      </c>
      <c r="M40">
        <f t="shared" si="55"/>
        <v>4.6760284115658357E-2</v>
      </c>
      <c r="N40">
        <f t="shared" si="56"/>
        <v>4.129976214541313E-2</v>
      </c>
      <c r="O40">
        <f t="shared" si="57"/>
        <v>-3.9149294325413739E-2</v>
      </c>
      <c r="P40">
        <f t="shared" si="58"/>
        <v>-5.6910968454992175E-2</v>
      </c>
      <c r="Q40">
        <f t="shared" si="59"/>
        <v>1.9742315000387929E-2</v>
      </c>
      <c r="R40">
        <f t="shared" si="60"/>
        <v>3.6427576337065566E-2</v>
      </c>
      <c r="S40">
        <f t="shared" si="61"/>
        <v>-3.5128976029412902E-2</v>
      </c>
      <c r="T40">
        <f t="shared" si="62"/>
        <v>-4.7495398469409505E-2</v>
      </c>
      <c r="U40">
        <f t="shared" si="63"/>
        <v>3.2316562043577551E-2</v>
      </c>
      <c r="V40">
        <f t="shared" ref="V40:V71" si="64">BD$2+BD$3*$R39+BD$4*$S39+BD$5*$T39+BD$6*$U39</f>
        <v>3.5207445340766613E-2</v>
      </c>
      <c r="W40">
        <f t="shared" ref="W40:W71" si="65">BE$2+BE$3*$R39+BE$4*$S39+BE$5*$T39+BE$6*$U39</f>
        <v>-3.4077061415576808E-2</v>
      </c>
      <c r="X40">
        <f t="shared" ref="X40:X71" si="66">BF$2+BF$3*$R39+BF$4*$S39+BF$5*$T39+BF$6*$U39</f>
        <v>-4.5550676358632504E-2</v>
      </c>
      <c r="Y40">
        <f t="shared" ref="Y40:Y71" si="67">BG$2+BG$3*$R39+BG$4*$S39+BG$5*$T39+BG$6*$U39</f>
        <v>3.072577234522127E-2</v>
      </c>
      <c r="Z40">
        <f t="shared" si="20"/>
        <v>3.5307350158044648E-2</v>
      </c>
      <c r="AA40">
        <f t="shared" si="21"/>
        <v>-3.3998853253608234E-2</v>
      </c>
      <c r="AB40">
        <f t="shared" si="22"/>
        <v>-4.5216115491771076E-2</v>
      </c>
      <c r="AC40">
        <f t="shared" si="23"/>
        <v>3.1143524757633913E-2</v>
      </c>
      <c r="AD40">
        <f t="shared" si="24"/>
        <v>3.599224310546472E-2</v>
      </c>
      <c r="AE40">
        <f t="shared" si="25"/>
        <v>-3.4918221370939403E-2</v>
      </c>
      <c r="AF40">
        <f t="shared" si="26"/>
        <v>-4.7622938685316141E-2</v>
      </c>
      <c r="AG40">
        <f t="shared" si="27"/>
        <v>3.4301145797308599E-2</v>
      </c>
      <c r="AH40">
        <f t="shared" si="28"/>
        <v>3.4637055395079205E-2</v>
      </c>
      <c r="AI40">
        <f t="shared" si="29"/>
        <v>-3.4495204821268707E-2</v>
      </c>
      <c r="AJ40">
        <f t="shared" si="30"/>
        <v>-4.5614235542206914E-2</v>
      </c>
      <c r="AK40">
        <f t="shared" si="31"/>
        <v>3.6200520543977391E-2</v>
      </c>
      <c r="AL40">
        <f t="shared" si="32"/>
        <v>3.831038744174383E-2</v>
      </c>
      <c r="AM40">
        <f t="shared" si="33"/>
        <v>-3.7934721259010318E-2</v>
      </c>
      <c r="AN40">
        <f t="shared" si="34"/>
        <v>-5.3965364997474889E-2</v>
      </c>
      <c r="AO40">
        <f t="shared" si="35"/>
        <v>2.6607585233323933E-2</v>
      </c>
      <c r="AP40">
        <f t="shared" si="36"/>
        <v>3.8020644298996271E-2</v>
      </c>
      <c r="AQ40">
        <f t="shared" si="37"/>
        <v>-3.710681249562179E-2</v>
      </c>
      <c r="AR40">
        <f t="shared" si="38"/>
        <v>-5.0727984027956197E-2</v>
      </c>
      <c r="AS40">
        <f t="shared" si="39"/>
        <v>1.6119087349108628E-2</v>
      </c>
      <c r="AT40">
        <f t="shared" si="40"/>
        <v>3.8927521984185753E-2</v>
      </c>
      <c r="AU40">
        <f t="shared" si="41"/>
        <v>-3.7396110373630324E-2</v>
      </c>
      <c r="AV40">
        <f t="shared" si="42"/>
        <v>-5.1636257993209679E-2</v>
      </c>
      <c r="AW40">
        <f t="shared" si="43"/>
        <v>1.0232102021527523E-2</v>
      </c>
      <c r="AX40">
        <f t="shared" si="44"/>
        <v>3.6984957382539173E-2</v>
      </c>
      <c r="AY40">
        <f t="shared" si="45"/>
        <v>-3.5792455169622893E-2</v>
      </c>
      <c r="AZ40">
        <f t="shared" si="46"/>
        <v>-4.7486233437679874E-2</v>
      </c>
      <c r="BA40">
        <f t="shared" si="47"/>
        <v>1.4618076703779731E-2</v>
      </c>
    </row>
    <row r="41" spans="1:53" ht="14.4" x14ac:dyDescent="0.55000000000000004">
      <c r="A41" s="4">
        <v>40268</v>
      </c>
      <c r="B41">
        <v>4.6822177910674598E-2</v>
      </c>
      <c r="C41">
        <v>-4.3472004990641702E-2</v>
      </c>
      <c r="D41">
        <v>-6.0736442902308799E-2</v>
      </c>
      <c r="E41">
        <v>3.2854701786900802E-2</v>
      </c>
      <c r="F41">
        <f t="shared" si="48"/>
        <v>4.1679400149720068E-2</v>
      </c>
      <c r="G41">
        <f t="shared" si="49"/>
        <v>-3.9535109185434139E-2</v>
      </c>
      <c r="H41">
        <f t="shared" si="50"/>
        <v>-5.90203424161891E-2</v>
      </c>
      <c r="I41">
        <f t="shared" si="51"/>
        <v>3.8883520519179024E-2</v>
      </c>
      <c r="J41">
        <f t="shared" si="52"/>
        <v>3.9120514366087746E-2</v>
      </c>
      <c r="K41">
        <f t="shared" si="53"/>
        <v>-3.7624643037583484E-2</v>
      </c>
      <c r="L41">
        <f t="shared" si="54"/>
        <v>-5.1223983084040497E-2</v>
      </c>
      <c r="M41">
        <f t="shared" si="55"/>
        <v>3.535034552100684E-2</v>
      </c>
      <c r="N41">
        <f t="shared" si="56"/>
        <v>3.6277079657642819E-2</v>
      </c>
      <c r="O41">
        <f t="shared" si="57"/>
        <v>-3.507288442830242E-2</v>
      </c>
      <c r="P41">
        <f t="shared" si="58"/>
        <v>-4.7011312760895305E-2</v>
      </c>
      <c r="Q41">
        <f t="shared" si="59"/>
        <v>4.4164633946197657E-2</v>
      </c>
      <c r="R41">
        <f t="shared" si="60"/>
        <v>4.0925733481665082E-2</v>
      </c>
      <c r="S41">
        <f t="shared" si="61"/>
        <v>-3.8942283562244773E-2</v>
      </c>
      <c r="T41">
        <f t="shared" si="62"/>
        <v>-5.6469793596508243E-2</v>
      </c>
      <c r="U41">
        <f t="shared" si="63"/>
        <v>1.8579588706789666E-2</v>
      </c>
      <c r="V41">
        <f t="shared" si="64"/>
        <v>3.6598456791774814E-2</v>
      </c>
      <c r="W41">
        <f t="shared" si="65"/>
        <v>-3.5427295663541705E-2</v>
      </c>
      <c r="X41">
        <f t="shared" si="66"/>
        <v>-4.7988048581263078E-2</v>
      </c>
      <c r="Y41">
        <f t="shared" si="67"/>
        <v>2.9721402462095127E-2</v>
      </c>
      <c r="Z41">
        <f t="shared" ref="Z41:Z72" si="68">BD$2+BD$3*$V40+BD$4*$W40+BD$5*$X40+BD$6*$Y40</f>
        <v>3.5637693222678263E-2</v>
      </c>
      <c r="AA41">
        <f t="shared" ref="AA41:AA72" si="69">BE$2+BE$3*$V40+BE$4*$W40+BE$5*$X40+BE$6*$Y40</f>
        <v>-3.4624889893520278E-2</v>
      </c>
      <c r="AB41">
        <f t="shared" ref="AB41:AB72" si="70">BF$2+BF$3*$V40+BF$4*$W40+BF$5*$X40+BF$6*$Y40</f>
        <v>-4.622072324890357E-2</v>
      </c>
      <c r="AC41">
        <f t="shared" ref="AC41:AC72" si="71">BG$2+BG$3*$V40+BG$4*$W40+BG$5*$X40+BG$6*$Y40</f>
        <v>2.7759358435180598E-2</v>
      </c>
      <c r="AD41">
        <f t="shared" si="24"/>
        <v>3.5684476535726622E-2</v>
      </c>
      <c r="AE41">
        <f t="shared" si="25"/>
        <v>-3.4492793422400643E-2</v>
      </c>
      <c r="AF41">
        <f t="shared" si="26"/>
        <v>-4.5904036187250252E-2</v>
      </c>
      <c r="AG41">
        <f t="shared" si="27"/>
        <v>2.8283391297747752E-2</v>
      </c>
      <c r="AH41">
        <f t="shared" si="28"/>
        <v>3.6267256008663283E-2</v>
      </c>
      <c r="AI41">
        <f t="shared" si="29"/>
        <v>-3.5341880312329765E-2</v>
      </c>
      <c r="AJ41">
        <f t="shared" si="30"/>
        <v>-4.814582440091493E-2</v>
      </c>
      <c r="AK41">
        <f t="shared" si="31"/>
        <v>3.1367294188296008E-2</v>
      </c>
      <c r="AL41">
        <f t="shared" si="32"/>
        <v>3.5074923419170428E-2</v>
      </c>
      <c r="AM41">
        <f t="shared" si="33"/>
        <v>-3.5022558320951504E-2</v>
      </c>
      <c r="AN41">
        <f t="shared" si="34"/>
        <v>-4.634621641911596E-2</v>
      </c>
      <c r="AO41">
        <f t="shared" si="35"/>
        <v>3.2895462046594402E-2</v>
      </c>
      <c r="AP41">
        <f t="shared" si="36"/>
        <v>3.8408472603949681E-2</v>
      </c>
      <c r="AQ41">
        <f t="shared" si="37"/>
        <v>-3.8159357409523642E-2</v>
      </c>
      <c r="AR41">
        <f t="shared" si="38"/>
        <v>-5.3915302952353333E-2</v>
      </c>
      <c r="AS41">
        <f t="shared" si="39"/>
        <v>2.4176483172739648E-2</v>
      </c>
      <c r="AT41">
        <f t="shared" si="40"/>
        <v>3.8169089076926697E-2</v>
      </c>
      <c r="AU41">
        <f t="shared" si="41"/>
        <v>-3.7291992703636041E-2</v>
      </c>
      <c r="AV41">
        <f t="shared" si="42"/>
        <v>-5.0821878940824336E-2</v>
      </c>
      <c r="AW41">
        <f t="shared" si="43"/>
        <v>1.4321081626144679E-2</v>
      </c>
      <c r="AX41">
        <f t="shared" si="44"/>
        <v>3.9007813791226878E-2</v>
      </c>
      <c r="AY41">
        <f t="shared" si="45"/>
        <v>-3.7517973477500778E-2</v>
      </c>
      <c r="AZ41">
        <f t="shared" si="46"/>
        <v>-5.1585456829763059E-2</v>
      </c>
      <c r="BA41">
        <f t="shared" si="47"/>
        <v>8.8734194854802224E-3</v>
      </c>
    </row>
    <row r="42" spans="1:53" ht="14.4" x14ac:dyDescent="0.55000000000000004">
      <c r="A42" s="4">
        <v>40296</v>
      </c>
      <c r="B42">
        <v>4.59545973881995E-2</v>
      </c>
      <c r="C42">
        <v>-4.2567102426525699E-2</v>
      </c>
      <c r="D42">
        <v>-5.5661012829278801E-2</v>
      </c>
      <c r="E42">
        <v>3.1407166215639999E-2</v>
      </c>
      <c r="F42">
        <f t="shared" si="48"/>
        <v>4.4777988582292316E-2</v>
      </c>
      <c r="G42">
        <f t="shared" si="49"/>
        <v>-4.1523996937491606E-2</v>
      </c>
      <c r="H42">
        <f t="shared" si="50"/>
        <v>-5.9833491805920951E-2</v>
      </c>
      <c r="I42">
        <f t="shared" si="51"/>
        <v>3.4318760435298412E-2</v>
      </c>
      <c r="J42">
        <f t="shared" si="52"/>
        <v>4.1028714734981597E-2</v>
      </c>
      <c r="K42">
        <f t="shared" si="53"/>
        <v>-3.9177981172553042E-2</v>
      </c>
      <c r="L42">
        <f t="shared" si="54"/>
        <v>-5.8558305449218209E-2</v>
      </c>
      <c r="M42">
        <f t="shared" si="55"/>
        <v>3.7140743440314435E-2</v>
      </c>
      <c r="N42">
        <f t="shared" si="56"/>
        <v>3.8660040273503116E-2</v>
      </c>
      <c r="O42">
        <f t="shared" si="57"/>
        <v>-3.7275196402540213E-2</v>
      </c>
      <c r="P42">
        <f t="shared" si="58"/>
        <v>-5.1355010327486371E-2</v>
      </c>
      <c r="Q42">
        <f t="shared" si="59"/>
        <v>3.3747994580249741E-2</v>
      </c>
      <c r="R42">
        <f t="shared" si="60"/>
        <v>3.6242706720482853E-2</v>
      </c>
      <c r="S42">
        <f t="shared" si="61"/>
        <v>-3.5197391473347425E-2</v>
      </c>
      <c r="T42">
        <f t="shared" si="62"/>
        <v>-4.7621017738928177E-2</v>
      </c>
      <c r="U42">
        <f t="shared" si="63"/>
        <v>4.1361720909669566E-2</v>
      </c>
      <c r="V42">
        <f t="shared" si="64"/>
        <v>4.0644897037149762E-2</v>
      </c>
      <c r="W42">
        <f t="shared" si="65"/>
        <v>-3.881773959344547E-2</v>
      </c>
      <c r="X42">
        <f t="shared" si="66"/>
        <v>-5.6068612195128424E-2</v>
      </c>
      <c r="Y42">
        <f t="shared" si="67"/>
        <v>1.7303128739536461E-2</v>
      </c>
      <c r="Z42">
        <f t="shared" si="68"/>
        <v>3.6785927111206949E-2</v>
      </c>
      <c r="AA42">
        <f t="shared" si="69"/>
        <v>-3.5726399579519424E-2</v>
      </c>
      <c r="AB42">
        <f t="shared" si="70"/>
        <v>-4.842299403931688E-2</v>
      </c>
      <c r="AC42">
        <f t="shared" si="71"/>
        <v>2.7211673320991014E-2</v>
      </c>
      <c r="AD42">
        <f t="shared" ref="AD42:AD73" si="72">BD$2+BD$3*$Z41+BD$4*$AA41+BD$5*$AB41+BD$6*$AC41</f>
        <v>3.6018276550878407E-2</v>
      </c>
      <c r="AE42">
        <f t="shared" ref="AE42:AE73" si="73">BE$2+BE$3*$Z41+BE$4*$AA41+BE$5*$AB41+BE$6*$AC41</f>
        <v>-3.5095626214636126E-2</v>
      </c>
      <c r="AF42">
        <f t="shared" ref="AF42:AF73" si="74">BF$2+BF$3*$Z41+BF$4*$AA41+BF$5*$AB41+BF$6*$AC41</f>
        <v>-4.6804676414804958E-2</v>
      </c>
      <c r="AG42">
        <f t="shared" ref="AG42:AG73" si="75">BG$2+BG$3*$Z41+BG$4*$AA41+BG$5*$AB41+BG$6*$AC41</f>
        <v>2.5030505580338296E-2</v>
      </c>
      <c r="AH42">
        <f t="shared" si="28"/>
        <v>3.6030038541417772E-2</v>
      </c>
      <c r="AI42">
        <f t="shared" si="29"/>
        <v>-3.4932451598086202E-2</v>
      </c>
      <c r="AJ42">
        <f t="shared" si="30"/>
        <v>-4.650863165507494E-2</v>
      </c>
      <c r="AK42">
        <f t="shared" si="31"/>
        <v>2.5616032561010912E-2</v>
      </c>
      <c r="AL42">
        <f t="shared" si="32"/>
        <v>3.6529393114215429E-2</v>
      </c>
      <c r="AM42">
        <f t="shared" si="33"/>
        <v>-3.5727648635374185E-2</v>
      </c>
      <c r="AN42">
        <f t="shared" si="34"/>
        <v>-4.8600685366195141E-2</v>
      </c>
      <c r="AO42">
        <f t="shared" si="35"/>
        <v>2.8598022491552456E-2</v>
      </c>
      <c r="AP42">
        <f t="shared" si="36"/>
        <v>3.547464593154713E-2</v>
      </c>
      <c r="AQ42">
        <f t="shared" si="37"/>
        <v>-3.5487278589112319E-2</v>
      </c>
      <c r="AR42">
        <f t="shared" si="38"/>
        <v>-4.6985785479691455E-2</v>
      </c>
      <c r="AS42">
        <f t="shared" si="39"/>
        <v>2.9820214456177975E-2</v>
      </c>
      <c r="AT42">
        <f t="shared" si="40"/>
        <v>3.8497675490899649E-2</v>
      </c>
      <c r="AU42">
        <f t="shared" si="41"/>
        <v>-3.8345381392778231E-2</v>
      </c>
      <c r="AV42">
        <f t="shared" si="42"/>
        <v>-5.3845582471415049E-2</v>
      </c>
      <c r="AW42">
        <f t="shared" si="43"/>
        <v>2.1899856393449459E-2</v>
      </c>
      <c r="AX42">
        <f t="shared" si="44"/>
        <v>3.8302093447958034E-2</v>
      </c>
      <c r="AY42">
        <f t="shared" si="45"/>
        <v>-3.7444573913454515E-2</v>
      </c>
      <c r="AZ42">
        <f t="shared" si="46"/>
        <v>-5.0889150819181085E-2</v>
      </c>
      <c r="BA42">
        <f t="shared" si="47"/>
        <v>1.2650897479810637E-2</v>
      </c>
    </row>
    <row r="43" spans="1:53" ht="14.4" x14ac:dyDescent="0.55000000000000004">
      <c r="A43" s="4">
        <v>40324</v>
      </c>
      <c r="B43">
        <v>4.1820191859789302E-2</v>
      </c>
      <c r="C43">
        <v>-3.8505886388101797E-2</v>
      </c>
      <c r="D43">
        <v>-5.2178377390562698E-2</v>
      </c>
      <c r="E43">
        <v>1.5168448470212001E-2</v>
      </c>
      <c r="F43">
        <f t="shared" si="48"/>
        <v>4.379099844508353E-2</v>
      </c>
      <c r="G43">
        <f t="shared" si="49"/>
        <v>-4.0372744790409192E-2</v>
      </c>
      <c r="H43">
        <f t="shared" si="50"/>
        <v>-5.5104991586053864E-2</v>
      </c>
      <c r="I43">
        <f t="shared" si="51"/>
        <v>3.3433590363381907E-2</v>
      </c>
      <c r="J43">
        <f t="shared" si="52"/>
        <v>4.3323002975916992E-2</v>
      </c>
      <c r="K43">
        <f t="shared" si="53"/>
        <v>-4.02670872783496E-2</v>
      </c>
      <c r="L43">
        <f t="shared" si="54"/>
        <v>-5.9114596006162312E-2</v>
      </c>
      <c r="M43">
        <f t="shared" si="55"/>
        <v>3.4501563465449053E-2</v>
      </c>
      <c r="N43">
        <f t="shared" si="56"/>
        <v>4.0561902614090956E-2</v>
      </c>
      <c r="O43">
        <f t="shared" si="57"/>
        <v>-3.8997919531743759E-2</v>
      </c>
      <c r="P43">
        <f t="shared" si="58"/>
        <v>-5.8149328656645148E-2</v>
      </c>
      <c r="Q43">
        <f t="shared" si="59"/>
        <v>3.5124879093666683E-2</v>
      </c>
      <c r="R43">
        <f t="shared" si="60"/>
        <v>3.838614616409787E-2</v>
      </c>
      <c r="S43">
        <f t="shared" si="61"/>
        <v>-3.7131405567181905E-2</v>
      </c>
      <c r="T43">
        <f t="shared" si="62"/>
        <v>-5.1493998081970568E-2</v>
      </c>
      <c r="U43">
        <f t="shared" si="63"/>
        <v>3.1834891125565798E-2</v>
      </c>
      <c r="V43">
        <f t="shared" si="64"/>
        <v>3.6306313683403348E-2</v>
      </c>
      <c r="W43">
        <f t="shared" si="65"/>
        <v>-3.5418371169348248E-2</v>
      </c>
      <c r="X43">
        <f t="shared" si="66"/>
        <v>-4.8176519116726803E-2</v>
      </c>
      <c r="Y43">
        <f t="shared" si="67"/>
        <v>3.8478858602168334E-2</v>
      </c>
      <c r="Z43">
        <f t="shared" si="68"/>
        <v>4.0431740451568415E-2</v>
      </c>
      <c r="AA43">
        <f t="shared" si="69"/>
        <v>-3.8745855867204131E-2</v>
      </c>
      <c r="AB43">
        <f t="shared" si="70"/>
        <v>-5.5698817774402901E-2</v>
      </c>
      <c r="AC43">
        <f t="shared" si="71"/>
        <v>1.5971274684034122E-2</v>
      </c>
      <c r="AD43">
        <f t="shared" si="72"/>
        <v>3.697931101325156E-2</v>
      </c>
      <c r="AE43">
        <f t="shared" si="73"/>
        <v>-3.601420839938551E-2</v>
      </c>
      <c r="AF43">
        <f t="shared" si="74"/>
        <v>-4.8803376470834638E-2</v>
      </c>
      <c r="AG43">
        <f t="shared" si="75"/>
        <v>2.4807921666047811E-2</v>
      </c>
      <c r="AH43">
        <f t="shared" ref="AH43:AH74" si="76">BD$2+BD$3*$AD42+BD$4*$AE42+BD$5*$AF42+BD$6*$AG42</f>
        <v>3.6357368172632423E-2</v>
      </c>
      <c r="AI43">
        <f t="shared" ref="AI43:AI74" si="77">BE$2+BE$3*$AD42+BE$4*$AE42+BE$5*$AF42+BE$6*$AG42</f>
        <v>-3.5501144617765552E-2</v>
      </c>
      <c r="AJ43">
        <f t="shared" ref="AJ43:AJ74" si="78">BF$2+BF$3*$AD42+BF$4*$AE42+BF$5*$AF42+BF$6*$AG42</f>
        <v>-4.7312360529743566E-2</v>
      </c>
      <c r="AK43">
        <f t="shared" ref="AK43:AK74" si="79">BG$2+BG$3*$AD42+BG$4*$AE42+BG$5*$AF42+BG$6*$AG42</f>
        <v>2.2513104518473236E-2</v>
      </c>
      <c r="AL43">
        <f t="shared" si="32"/>
        <v>3.6346521547606134E-2</v>
      </c>
      <c r="AM43">
        <f t="shared" si="33"/>
        <v>-3.5322286699963804E-2</v>
      </c>
      <c r="AN43">
        <f t="shared" si="34"/>
        <v>-4.7038172179561376E-2</v>
      </c>
      <c r="AO43">
        <f t="shared" si="35"/>
        <v>2.3129599759686592E-2</v>
      </c>
      <c r="AP43">
        <f t="shared" si="36"/>
        <v>3.6776772530223045E-2</v>
      </c>
      <c r="AQ43">
        <f t="shared" si="37"/>
        <v>-3.607501102396321E-2</v>
      </c>
      <c r="AR43">
        <f t="shared" si="38"/>
        <v>-4.8993592403984279E-2</v>
      </c>
      <c r="AS43">
        <f t="shared" si="39"/>
        <v>2.5991578373538347E-2</v>
      </c>
      <c r="AT43">
        <f t="shared" si="40"/>
        <v>3.5839711698866981E-2</v>
      </c>
      <c r="AU43">
        <f t="shared" si="41"/>
        <v>-3.5895253381639208E-2</v>
      </c>
      <c r="AV43">
        <f t="shared" si="42"/>
        <v>-4.7542403875066655E-2</v>
      </c>
      <c r="AW43">
        <f t="shared" si="43"/>
        <v>2.6959193995391775E-2</v>
      </c>
      <c r="AX43">
        <f t="shared" si="44"/>
        <v>3.8579647991441535E-2</v>
      </c>
      <c r="AY43">
        <f t="shared" si="45"/>
        <v>-3.8497677858453434E-2</v>
      </c>
      <c r="AZ43">
        <f t="shared" si="46"/>
        <v>-5.3759082938456673E-2</v>
      </c>
      <c r="BA43">
        <f t="shared" si="47"/>
        <v>1.9766961648527308E-2</v>
      </c>
    </row>
    <row r="44" spans="1:53" ht="14.4" x14ac:dyDescent="0.55000000000000004">
      <c r="A44" s="4">
        <v>40359</v>
      </c>
      <c r="B44">
        <v>4.06642424824947E-2</v>
      </c>
      <c r="C44">
        <v>-3.5871311384425203E-2</v>
      </c>
      <c r="D44">
        <v>-5.8356654312064701E-2</v>
      </c>
      <c r="E44">
        <v>1.31477576094983E-2</v>
      </c>
      <c r="F44">
        <f t="shared" si="48"/>
        <v>4.1046735822453211E-2</v>
      </c>
      <c r="G44">
        <f t="shared" si="49"/>
        <v>-3.7782346211704898E-2</v>
      </c>
      <c r="H44">
        <f t="shared" si="50"/>
        <v>-5.1966005253011115E-2</v>
      </c>
      <c r="I44">
        <f t="shared" si="51"/>
        <v>1.5332460511575424E-2</v>
      </c>
      <c r="J44">
        <f t="shared" si="52"/>
        <v>4.2291325826858212E-2</v>
      </c>
      <c r="K44">
        <f t="shared" si="53"/>
        <v>-3.8978623620519764E-2</v>
      </c>
      <c r="L44">
        <f t="shared" si="54"/>
        <v>-5.472353882760652E-2</v>
      </c>
      <c r="M44">
        <f t="shared" si="55"/>
        <v>3.3976454023988731E-2</v>
      </c>
      <c r="N44">
        <f t="shared" si="56"/>
        <v>4.2282479536071484E-2</v>
      </c>
      <c r="O44">
        <f t="shared" si="57"/>
        <v>-3.9479095763575466E-2</v>
      </c>
      <c r="P44">
        <f t="shared" si="58"/>
        <v>-5.8524926693534332E-2</v>
      </c>
      <c r="Q44">
        <f t="shared" si="59"/>
        <v>3.3832123823715338E-2</v>
      </c>
      <c r="R44">
        <f t="shared" si="60"/>
        <v>4.0225745641455535E-2</v>
      </c>
      <c r="S44">
        <f t="shared" si="61"/>
        <v>-3.8930791045507784E-2</v>
      </c>
      <c r="T44">
        <f t="shared" si="62"/>
        <v>-5.7777593515742312E-2</v>
      </c>
      <c r="U44">
        <f t="shared" si="63"/>
        <v>3.2960762361682758E-2</v>
      </c>
      <c r="V44">
        <f t="shared" si="64"/>
        <v>3.8238753659802449E-2</v>
      </c>
      <c r="W44">
        <f t="shared" si="65"/>
        <v>-3.7117946305830492E-2</v>
      </c>
      <c r="X44">
        <f t="shared" si="66"/>
        <v>-5.1627310135104749E-2</v>
      </c>
      <c r="Y44">
        <f t="shared" si="67"/>
        <v>2.9754053325812855E-2</v>
      </c>
      <c r="Z44">
        <f t="shared" si="68"/>
        <v>3.6430932675031648E-2</v>
      </c>
      <c r="AA44">
        <f t="shared" si="69"/>
        <v>-3.5690135639460753E-2</v>
      </c>
      <c r="AB44">
        <f t="shared" si="70"/>
        <v>-4.8674780738332132E-2</v>
      </c>
      <c r="AC44">
        <f t="shared" si="71"/>
        <v>3.5600729090757746E-2</v>
      </c>
      <c r="AD44">
        <f t="shared" si="72"/>
        <v>4.0268200176144194E-2</v>
      </c>
      <c r="AE44">
        <f t="shared" si="73"/>
        <v>-3.8706306427460029E-2</v>
      </c>
      <c r="AF44">
        <f t="shared" si="74"/>
        <v>-5.535423491383875E-2</v>
      </c>
      <c r="AG44">
        <f t="shared" si="75"/>
        <v>1.4623904709876501E-2</v>
      </c>
      <c r="AH44">
        <f t="shared" si="76"/>
        <v>3.7171670248405647E-2</v>
      </c>
      <c r="AI44">
        <f t="shared" si="77"/>
        <v>-3.6283422405874358E-2</v>
      </c>
      <c r="AJ44">
        <f t="shared" si="78"/>
        <v>-4.9132921328293867E-2</v>
      </c>
      <c r="AK44">
        <f t="shared" si="79"/>
        <v>2.2521566925636893E-2</v>
      </c>
      <c r="AL44">
        <f t="shared" ref="AL44:AL75" si="80">BD$2+BD$3*$AH43+BD$4*$AI43+BD$5*$AJ43+BD$6*$AK43</f>
        <v>3.6661270905681546E-2</v>
      </c>
      <c r="AM44">
        <f t="shared" ref="AM44:AM75" si="81">BE$2+BE$3*$AH43+BE$4*$AI43+BE$5*$AJ43+BE$6*$AK43</f>
        <v>-3.5850810152490635E-2</v>
      </c>
      <c r="AN44">
        <f t="shared" ref="AN44:AN75" si="82">BF$2+BF$3*$AH43+BF$4*$AI43+BF$5*$AJ43+BF$6*$AK43</f>
        <v>-4.7752335701721452E-2</v>
      </c>
      <c r="AO44">
        <f t="shared" ref="AO44:AO75" si="83">BG$2+BG$3*$AH43+BG$4*$AI43+BG$5*$AJ43+BG$6*$AK43</f>
        <v>2.0185932666435844E-2</v>
      </c>
      <c r="AP44">
        <f t="shared" si="36"/>
        <v>3.6636289501160442E-2</v>
      </c>
      <c r="AQ44">
        <f t="shared" si="37"/>
        <v>-3.5666538802844677E-2</v>
      </c>
      <c r="AR44">
        <f t="shared" si="38"/>
        <v>-4.7500195489790155E-2</v>
      </c>
      <c r="AS44">
        <f t="shared" si="39"/>
        <v>2.0812755134404226E-2</v>
      </c>
      <c r="AT44">
        <f t="shared" si="40"/>
        <v>3.7008587292549536E-2</v>
      </c>
      <c r="AU44">
        <f t="shared" si="41"/>
        <v>-3.6384740003250322E-2</v>
      </c>
      <c r="AV44">
        <f t="shared" si="42"/>
        <v>-4.9330343777029502E-2</v>
      </c>
      <c r="AW44">
        <f t="shared" si="43"/>
        <v>2.3543750772770482E-2</v>
      </c>
      <c r="AX44">
        <f t="shared" si="44"/>
        <v>3.6173269206198004E-2</v>
      </c>
      <c r="AY44">
        <f t="shared" si="45"/>
        <v>-3.625185426898047E-2</v>
      </c>
      <c r="AZ44">
        <f t="shared" si="46"/>
        <v>-4.8024642450960116E-2</v>
      </c>
      <c r="BA44">
        <f t="shared" si="47"/>
        <v>2.4297935915614702E-2</v>
      </c>
    </row>
    <row r="45" spans="1:53" ht="14.4" x14ac:dyDescent="0.55000000000000004">
      <c r="A45" s="4">
        <v>40387</v>
      </c>
      <c r="B45">
        <v>4.5734801182266999E-2</v>
      </c>
      <c r="C45">
        <v>-4.0817410780658703E-2</v>
      </c>
      <c r="D45">
        <v>-6.4510554440914705E-2</v>
      </c>
      <c r="E45">
        <v>1.55391617783767E-3</v>
      </c>
      <c r="F45">
        <f t="shared" si="48"/>
        <v>4.1016705033037733E-2</v>
      </c>
      <c r="G45">
        <f t="shared" si="49"/>
        <v>-3.6701475212887129E-2</v>
      </c>
      <c r="H45">
        <f t="shared" si="50"/>
        <v>-5.7833835185279285E-2</v>
      </c>
      <c r="I45">
        <f t="shared" si="51"/>
        <v>1.0798422762862149E-2</v>
      </c>
      <c r="J45">
        <f t="shared" si="52"/>
        <v>4.0512979253202124E-2</v>
      </c>
      <c r="K45">
        <f t="shared" si="53"/>
        <v>-3.7338916475563359E-2</v>
      </c>
      <c r="L45">
        <f t="shared" si="54"/>
        <v>-5.1812816161904834E-2</v>
      </c>
      <c r="M45">
        <f t="shared" si="55"/>
        <v>1.499208883017506E-2</v>
      </c>
      <c r="N45">
        <f t="shared" si="56"/>
        <v>4.1254308981467952E-2</v>
      </c>
      <c r="O45">
        <f t="shared" si="57"/>
        <v>-3.8126700643078784E-2</v>
      </c>
      <c r="P45">
        <f t="shared" si="58"/>
        <v>-5.4456481464647877E-2</v>
      </c>
      <c r="Q45">
        <f t="shared" si="59"/>
        <v>3.3531749127726995E-2</v>
      </c>
      <c r="R45">
        <f t="shared" si="60"/>
        <v>4.1534366578875284E-2</v>
      </c>
      <c r="S45">
        <f t="shared" si="61"/>
        <v>-3.9006367292125033E-2</v>
      </c>
      <c r="T45">
        <f t="shared" si="62"/>
        <v>-5.8026338761265568E-2</v>
      </c>
      <c r="U45">
        <f t="shared" si="63"/>
        <v>3.2607936529255047E-2</v>
      </c>
      <c r="V45">
        <f t="shared" si="64"/>
        <v>3.9982894639569125E-2</v>
      </c>
      <c r="W45">
        <f t="shared" si="65"/>
        <v>-3.8932838663465412E-2</v>
      </c>
      <c r="X45">
        <f t="shared" si="66"/>
        <v>-5.7432254291005264E-2</v>
      </c>
      <c r="Y45">
        <f t="shared" si="67"/>
        <v>3.073377969779801E-2</v>
      </c>
      <c r="Z45">
        <f t="shared" si="68"/>
        <v>3.817632921714393E-2</v>
      </c>
      <c r="AA45">
        <f t="shared" si="69"/>
        <v>-3.7183555980552466E-2</v>
      </c>
      <c r="AB45">
        <f t="shared" si="70"/>
        <v>-5.1746697592286332E-2</v>
      </c>
      <c r="AC45">
        <f t="shared" si="71"/>
        <v>2.7602376136968532E-2</v>
      </c>
      <c r="AD45">
        <f t="shared" si="72"/>
        <v>3.6591469215815714E-2</v>
      </c>
      <c r="AE45">
        <f t="shared" si="73"/>
        <v>-3.5982384029688841E-2</v>
      </c>
      <c r="AF45">
        <f t="shared" si="74"/>
        <v>-4.9115733887396686E-2</v>
      </c>
      <c r="AG45">
        <f t="shared" si="75"/>
        <v>3.2782593790739487E-2</v>
      </c>
      <c r="AH45">
        <f t="shared" si="76"/>
        <v>4.0141425730016771E-2</v>
      </c>
      <c r="AI45">
        <f t="shared" si="77"/>
        <v>-3.8685336957703292E-2</v>
      </c>
      <c r="AJ45">
        <f t="shared" si="78"/>
        <v>-5.5030401207348152E-2</v>
      </c>
      <c r="AK45">
        <f t="shared" si="79"/>
        <v>1.3288025478489191E-2</v>
      </c>
      <c r="AL45">
        <f t="shared" si="80"/>
        <v>3.7358622039902187E-2</v>
      </c>
      <c r="AM45">
        <f t="shared" si="81"/>
        <v>-3.6529976752010689E-2</v>
      </c>
      <c r="AN45">
        <f t="shared" si="82"/>
        <v>-4.9415616649958631E-2</v>
      </c>
      <c r="AO45">
        <f t="shared" si="83"/>
        <v>2.0357854418153118E-2</v>
      </c>
      <c r="AP45">
        <f t="shared" ref="AP45:AP76" si="84">BD$2+BD$3*$AL44+BD$4*$AM44+BD$5*$AN44+BD$6*$AO44</f>
        <v>3.693492987252698E-2</v>
      </c>
      <c r="AQ45">
        <f t="shared" ref="AQ45:AQ76" si="85">BE$2+BE$3*$AL44+BE$4*$AM44+BE$5*$AN44+BE$6*$AO44</f>
        <v>-3.6152149293272068E-2</v>
      </c>
      <c r="AR45">
        <f t="shared" ref="AR45:AR76" si="86">BF$2+BF$3*$AL44+BF$4*$AM44+BF$5*$AN44+BF$6*$AO44</f>
        <v>-4.8132119390679497E-2</v>
      </c>
      <c r="AS45">
        <f t="shared" ref="AS45:AS76" si="87">BG$2+BG$3*$AL44+BG$4*$AM44+BG$5*$AN44+BG$6*$AO44</f>
        <v>1.8031371271545183E-2</v>
      </c>
      <c r="AT45">
        <f t="shared" si="40"/>
        <v>3.6901563206433716E-2</v>
      </c>
      <c r="AU45">
        <f t="shared" si="41"/>
        <v>-3.5969200163144088E-2</v>
      </c>
      <c r="AV45">
        <f t="shared" si="42"/>
        <v>-4.7901561865073924E-2</v>
      </c>
      <c r="AW45">
        <f t="shared" si="43"/>
        <v>1.865472382196405E-2</v>
      </c>
      <c r="AX45">
        <f t="shared" si="44"/>
        <v>3.7224732381114407E-2</v>
      </c>
      <c r="AY45">
        <f t="shared" si="45"/>
        <v>-3.66584115276435E-2</v>
      </c>
      <c r="AZ45">
        <f t="shared" si="46"/>
        <v>-4.9616400826707478E-2</v>
      </c>
      <c r="BA45">
        <f t="shared" si="47"/>
        <v>2.1248800471632374E-2</v>
      </c>
    </row>
    <row r="46" spans="1:53" ht="14.4" x14ac:dyDescent="0.55000000000000004">
      <c r="A46" s="4">
        <v>40415</v>
      </c>
      <c r="B46">
        <v>4.4350926911289598E-2</v>
      </c>
      <c r="C46">
        <v>-3.9320386573308497E-2</v>
      </c>
      <c r="D46">
        <v>-6.0675460870295302E-2</v>
      </c>
      <c r="E46">
        <v>-1.34936165366801E-2</v>
      </c>
      <c r="F46">
        <f t="shared" si="48"/>
        <v>4.5096602269679799E-2</v>
      </c>
      <c r="G46">
        <f t="shared" si="49"/>
        <v>-4.0502866836118881E-2</v>
      </c>
      <c r="H46">
        <f t="shared" si="50"/>
        <v>-6.3241716692457914E-2</v>
      </c>
      <c r="I46">
        <f t="shared" si="51"/>
        <v>1.6568482898913163E-3</v>
      </c>
      <c r="J46">
        <f t="shared" si="52"/>
        <v>4.1194279100174945E-2</v>
      </c>
      <c r="K46">
        <f t="shared" si="53"/>
        <v>-3.7261021753517816E-2</v>
      </c>
      <c r="L46">
        <f t="shared" si="54"/>
        <v>-5.7303758614320223E-2</v>
      </c>
      <c r="M46">
        <f t="shared" si="55"/>
        <v>8.9643230419870577E-3</v>
      </c>
      <c r="N46">
        <f t="shared" si="56"/>
        <v>4.0146265546783688E-2</v>
      </c>
      <c r="O46">
        <f t="shared" si="57"/>
        <v>-3.7083239087520807E-2</v>
      </c>
      <c r="P46">
        <f t="shared" si="58"/>
        <v>-5.1697566947493868E-2</v>
      </c>
      <c r="Q46">
        <f t="shared" si="59"/>
        <v>1.4324950702024292E-2</v>
      </c>
      <c r="R46">
        <f t="shared" si="60"/>
        <v>4.0539811337702646E-2</v>
      </c>
      <c r="S46">
        <f t="shared" si="61"/>
        <v>-3.7638620699521334E-2</v>
      </c>
      <c r="T46">
        <f t="shared" si="62"/>
        <v>-5.4262705907337241E-2</v>
      </c>
      <c r="U46">
        <f t="shared" si="63"/>
        <v>3.244284118685669E-2</v>
      </c>
      <c r="V46">
        <f t="shared" si="64"/>
        <v>4.0993310992188538E-2</v>
      </c>
      <c r="W46">
        <f t="shared" si="65"/>
        <v>-3.8742862229040567E-2</v>
      </c>
      <c r="X46">
        <f t="shared" si="66"/>
        <v>-5.7592309532890067E-2</v>
      </c>
      <c r="Y46">
        <f t="shared" si="67"/>
        <v>3.1034943860224116E-2</v>
      </c>
      <c r="Z46">
        <f t="shared" si="68"/>
        <v>3.9807072230001149E-2</v>
      </c>
      <c r="AA46">
        <f t="shared" si="69"/>
        <v>-3.8974425829112612E-2</v>
      </c>
      <c r="AB46">
        <f t="shared" si="70"/>
        <v>-5.7105919115627131E-2</v>
      </c>
      <c r="AC46">
        <f t="shared" si="71"/>
        <v>2.850186293496294E-2</v>
      </c>
      <c r="AD46">
        <f t="shared" si="72"/>
        <v>3.8170215957912063E-2</v>
      </c>
      <c r="AE46">
        <f t="shared" si="73"/>
        <v>-3.7293622682842392E-2</v>
      </c>
      <c r="AF46">
        <f t="shared" si="74"/>
        <v>-5.1847548042569677E-2</v>
      </c>
      <c r="AG46">
        <f t="shared" si="75"/>
        <v>2.5444794882076818E-2</v>
      </c>
      <c r="AH46">
        <f t="shared" si="76"/>
        <v>3.6771030694929215E-2</v>
      </c>
      <c r="AI46">
        <f t="shared" si="77"/>
        <v>-3.6275399997925104E-2</v>
      </c>
      <c r="AJ46">
        <f t="shared" si="78"/>
        <v>-4.9501186123530182E-2</v>
      </c>
      <c r="AK46">
        <f t="shared" si="79"/>
        <v>3.0059467035544525E-2</v>
      </c>
      <c r="AL46">
        <f t="shared" si="80"/>
        <v>4.0042221579469822E-2</v>
      </c>
      <c r="AM46">
        <f t="shared" si="81"/>
        <v>-3.8673741935961223E-2</v>
      </c>
      <c r="AN46">
        <f t="shared" si="82"/>
        <v>-5.472406465948676E-2</v>
      </c>
      <c r="AO46">
        <f t="shared" si="83"/>
        <v>1.1981668140617359E-2</v>
      </c>
      <c r="AP46">
        <f t="shared" si="84"/>
        <v>3.7537520771623596E-2</v>
      </c>
      <c r="AQ46">
        <f t="shared" si="85"/>
        <v>-3.6751973855634397E-2</v>
      </c>
      <c r="AR46">
        <f t="shared" si="86"/>
        <v>-4.9655502256260912E-2</v>
      </c>
      <c r="AS46">
        <f t="shared" si="87"/>
        <v>1.8317898246525431E-2</v>
      </c>
      <c r="AT46">
        <f t="shared" ref="AT46:AT77" si="88">BD$2+BD$3*$AP45+BD$4*$AQ45+BD$5*$AR45+BD$6*$AS45</f>
        <v>3.7182294233432077E-2</v>
      </c>
      <c r="AU46">
        <f t="shared" ref="AU46:AU77" si="89">BE$2+BE$3*$AP45+BE$4*$AQ45+BE$5*$AR45+BE$6*$AS45</f>
        <v>-3.6411323868079125E-2</v>
      </c>
      <c r="AV46">
        <f t="shared" ref="AV46:AV77" si="90">BF$2+BF$3*$AP45+BF$4*$AQ45+BF$5*$AR45+BF$6*$AS45</f>
        <v>-4.8458355473552255E-2</v>
      </c>
      <c r="AW46">
        <f t="shared" ref="AW46:AW77" si="91">BG$2+BG$3*$AP45+BG$4*$AQ45+BG$5*$AR45+BG$6*$AS45</f>
        <v>1.6034498334533558E-2</v>
      </c>
      <c r="AX46">
        <f t="shared" si="44"/>
        <v>3.7144410770820674E-2</v>
      </c>
      <c r="AY46">
        <f t="shared" si="45"/>
        <v>-3.6234002725523545E-2</v>
      </c>
      <c r="AZ46">
        <f t="shared" si="46"/>
        <v>-4.8248507584632408E-2</v>
      </c>
      <c r="BA46">
        <f t="shared" si="47"/>
        <v>1.6645314865286698E-2</v>
      </c>
    </row>
    <row r="47" spans="1:53" ht="14.4" x14ac:dyDescent="0.55000000000000004">
      <c r="A47" s="4">
        <v>40450</v>
      </c>
      <c r="B47">
        <v>5.00221740089839E-2</v>
      </c>
      <c r="C47">
        <v>-4.4341869057348701E-2</v>
      </c>
      <c r="D47">
        <v>-6.9593730212941796E-2</v>
      </c>
      <c r="E47">
        <v>-2.8179689436775901E-2</v>
      </c>
      <c r="F47">
        <f t="shared" si="48"/>
        <v>4.4123132607634813E-2</v>
      </c>
      <c r="G47">
        <f t="shared" si="49"/>
        <v>-3.932121421393641E-2</v>
      </c>
      <c r="H47">
        <f t="shared" si="50"/>
        <v>-5.9618406530997564E-2</v>
      </c>
      <c r="I47">
        <f t="shared" si="51"/>
        <v>-1.3240137737598261E-2</v>
      </c>
      <c r="J47">
        <f t="shared" si="52"/>
        <v>4.4531984274603011E-2</v>
      </c>
      <c r="K47">
        <f t="shared" si="53"/>
        <v>-4.0229815457175737E-2</v>
      </c>
      <c r="L47">
        <f t="shared" si="54"/>
        <v>-6.2085996588820455E-2</v>
      </c>
      <c r="M47">
        <f t="shared" si="55"/>
        <v>1.6519632383838999E-3</v>
      </c>
      <c r="N47">
        <f t="shared" si="56"/>
        <v>4.1257270038690945E-2</v>
      </c>
      <c r="O47">
        <f t="shared" si="57"/>
        <v>-3.7632588227800252E-2</v>
      </c>
      <c r="P47">
        <f t="shared" si="58"/>
        <v>-5.6781055690694554E-2</v>
      </c>
      <c r="Q47">
        <f t="shared" si="59"/>
        <v>7.4916871268653883E-3</v>
      </c>
      <c r="R47">
        <f t="shared" si="60"/>
        <v>3.9895993990789601E-2</v>
      </c>
      <c r="S47">
        <f t="shared" si="61"/>
        <v>-3.695164688663112E-2</v>
      </c>
      <c r="T47">
        <f t="shared" si="62"/>
        <v>-5.1605852672737061E-2</v>
      </c>
      <c r="U47">
        <f t="shared" si="63"/>
        <v>1.3453640020159658E-2</v>
      </c>
      <c r="V47">
        <f t="shared" si="64"/>
        <v>4.0050232789929356E-2</v>
      </c>
      <c r="W47">
        <f t="shared" si="65"/>
        <v>-3.7391380620173345E-2</v>
      </c>
      <c r="X47">
        <f t="shared" si="66"/>
        <v>-5.4114302575960206E-2</v>
      </c>
      <c r="Y47">
        <f t="shared" si="67"/>
        <v>3.0946943305271597E-2</v>
      </c>
      <c r="Z47">
        <f t="shared" si="68"/>
        <v>4.0599530937011498E-2</v>
      </c>
      <c r="AA47">
        <f t="shared" si="69"/>
        <v>-3.8615614030002174E-2</v>
      </c>
      <c r="AB47">
        <f t="shared" si="70"/>
        <v>-5.7204414297423671E-2</v>
      </c>
      <c r="AC47">
        <f t="shared" si="71"/>
        <v>2.9255347546899839E-2</v>
      </c>
      <c r="AD47">
        <f t="shared" si="72"/>
        <v>3.9679732953207619E-2</v>
      </c>
      <c r="AE47">
        <f t="shared" si="73"/>
        <v>-3.903568751034716E-2</v>
      </c>
      <c r="AF47">
        <f t="shared" si="74"/>
        <v>-5.6793592084663468E-2</v>
      </c>
      <c r="AG47">
        <f t="shared" si="75"/>
        <v>2.6303840749639873E-2</v>
      </c>
      <c r="AH47">
        <f t="shared" si="76"/>
        <v>3.8200693333470488E-2</v>
      </c>
      <c r="AI47">
        <f t="shared" si="77"/>
        <v>-3.7425036547206823E-2</v>
      </c>
      <c r="AJ47">
        <f t="shared" si="78"/>
        <v>-5.1927676836817656E-2</v>
      </c>
      <c r="AK47">
        <f t="shared" si="79"/>
        <v>2.3324131386607133E-2</v>
      </c>
      <c r="AL47">
        <f t="shared" si="80"/>
        <v>3.6958378053745272E-2</v>
      </c>
      <c r="AM47">
        <f t="shared" si="81"/>
        <v>-3.6556720266664969E-2</v>
      </c>
      <c r="AN47">
        <f t="shared" si="82"/>
        <v>-4.9834078690183782E-2</v>
      </c>
      <c r="AO47">
        <f t="shared" si="83"/>
        <v>2.7452482740014595E-2</v>
      </c>
      <c r="AP47">
        <f t="shared" si="84"/>
        <v>3.9963960615369436E-2</v>
      </c>
      <c r="AQ47">
        <f t="shared" si="85"/>
        <v>-3.8665458201023066E-2</v>
      </c>
      <c r="AR47">
        <f t="shared" si="86"/>
        <v>-5.4432831336695457E-2</v>
      </c>
      <c r="AS47">
        <f t="shared" si="87"/>
        <v>1.0716605199449451E-2</v>
      </c>
      <c r="AT47">
        <f t="shared" si="88"/>
        <v>3.7706892618863674E-2</v>
      </c>
      <c r="AU47">
        <f t="shared" si="89"/>
        <v>-3.6948947172774707E-2</v>
      </c>
      <c r="AV47">
        <f t="shared" si="90"/>
        <v>-4.9856534662434102E-2</v>
      </c>
      <c r="AW47">
        <f t="shared" si="91"/>
        <v>1.6400091701194306E-2</v>
      </c>
      <c r="AX47">
        <f t="shared" ref="AX47:AX78" si="92">BD$2+BD$3*$AT46+BD$4*$AU46+BD$5*$AV46+BD$6*$AW46</f>
        <v>3.7406573655949356E-2</v>
      </c>
      <c r="AY47">
        <f t="shared" ref="AY47:AY78" si="93">BE$2+BE$3*$AT46+BE$4*$AU46+BE$5*$AV46+BE$6*$AW46</f>
        <v>-3.6633467586075497E-2</v>
      </c>
      <c r="AZ47">
        <f t="shared" ref="AZ47:AZ78" si="94">BF$2+BF$3*$AT46+BF$4*$AU46+BF$5*$AV46+BF$6*$AW46</f>
        <v>-4.873694523715183E-2</v>
      </c>
      <c r="BA47">
        <f t="shared" ref="BA47:BA78" si="95">BG$2+BG$3*$AT46+BG$4*$AU46+BG$5*$AV46+BG$6*$AW46</f>
        <v>1.4182444104527292E-2</v>
      </c>
    </row>
    <row r="48" spans="1:53" ht="14.4" x14ac:dyDescent="0.55000000000000004">
      <c r="A48" s="4">
        <v>40478</v>
      </c>
      <c r="B48">
        <v>5.5856119411691198E-2</v>
      </c>
      <c r="C48">
        <v>-4.9758748637224799E-2</v>
      </c>
      <c r="D48">
        <v>-7.90999379736219E-2</v>
      </c>
      <c r="E48">
        <v>-3.3554033509051E-2</v>
      </c>
      <c r="F48">
        <f t="shared" si="48"/>
        <v>4.8946757360597698E-2</v>
      </c>
      <c r="G48">
        <f t="shared" si="49"/>
        <v>-4.3436047386207044E-2</v>
      </c>
      <c r="H48">
        <f t="shared" si="50"/>
        <v>-6.7570630613919477E-2</v>
      </c>
      <c r="I48">
        <f t="shared" si="51"/>
        <v>-2.5719971229511956E-2</v>
      </c>
      <c r="J48">
        <f t="shared" si="52"/>
        <v>4.3853257627033564E-2</v>
      </c>
      <c r="K48">
        <f t="shared" si="53"/>
        <v>-3.923723664297428E-2</v>
      </c>
      <c r="L48">
        <f t="shared" si="54"/>
        <v>-5.8639014013582021E-2</v>
      </c>
      <c r="M48">
        <f t="shared" si="55"/>
        <v>-1.2867784514657263E-2</v>
      </c>
      <c r="N48">
        <f t="shared" si="56"/>
        <v>4.403067558508679E-2</v>
      </c>
      <c r="O48">
        <f t="shared" si="57"/>
        <v>-3.9989626050971221E-2</v>
      </c>
      <c r="P48">
        <f t="shared" si="58"/>
        <v>-6.103168037915227E-2</v>
      </c>
      <c r="Q48">
        <f t="shared" si="59"/>
        <v>1.5622224382658978E-3</v>
      </c>
      <c r="R48">
        <f t="shared" si="60"/>
        <v>4.1246919538557143E-2</v>
      </c>
      <c r="S48">
        <f t="shared" si="61"/>
        <v>-3.7873559303823807E-2</v>
      </c>
      <c r="T48">
        <f t="shared" si="62"/>
        <v>-5.6274792141422156E-2</v>
      </c>
      <c r="U48">
        <f t="shared" si="63"/>
        <v>6.2744060177080414E-3</v>
      </c>
      <c r="V48">
        <f t="shared" si="64"/>
        <v>3.9726911857496987E-2</v>
      </c>
      <c r="W48">
        <f t="shared" si="65"/>
        <v>-3.6900391195077771E-2</v>
      </c>
      <c r="X48">
        <f t="shared" si="66"/>
        <v>-5.1527996920665113E-2</v>
      </c>
      <c r="Y48">
        <f t="shared" si="67"/>
        <v>1.2462490890555417E-2</v>
      </c>
      <c r="Z48">
        <f t="shared" si="68"/>
        <v>3.9717573058582957E-2</v>
      </c>
      <c r="AA48">
        <f t="shared" si="69"/>
        <v>-3.7300409621098055E-2</v>
      </c>
      <c r="AB48">
        <f t="shared" si="70"/>
        <v>-5.3992495871227113E-2</v>
      </c>
      <c r="AC48">
        <f t="shared" si="71"/>
        <v>2.9207446869750853E-2</v>
      </c>
      <c r="AD48">
        <f t="shared" si="72"/>
        <v>4.0311072066257982E-2</v>
      </c>
      <c r="AE48">
        <f t="shared" si="73"/>
        <v>-3.8574615682130435E-2</v>
      </c>
      <c r="AF48">
        <f t="shared" si="74"/>
        <v>-5.6849871354896345E-2</v>
      </c>
      <c r="AG48">
        <f t="shared" si="75"/>
        <v>2.7366966485438571E-2</v>
      </c>
      <c r="AH48">
        <f t="shared" si="76"/>
        <v>3.958773728485189E-2</v>
      </c>
      <c r="AI48">
        <f t="shared" si="77"/>
        <v>-3.9103507425537733E-2</v>
      </c>
      <c r="AJ48">
        <f t="shared" si="78"/>
        <v>-5.6491936316202723E-2</v>
      </c>
      <c r="AK48">
        <f t="shared" si="79"/>
        <v>2.4165255579045253E-2</v>
      </c>
      <c r="AL48">
        <f t="shared" si="80"/>
        <v>3.8254238350728255E-2</v>
      </c>
      <c r="AM48">
        <f t="shared" si="81"/>
        <v>-3.7562614099438736E-2</v>
      </c>
      <c r="AN48">
        <f t="shared" si="82"/>
        <v>-5.1986494705854258E-2</v>
      </c>
      <c r="AO48">
        <f t="shared" si="83"/>
        <v>2.1267937435333749E-2</v>
      </c>
      <c r="AP48">
        <f t="shared" si="84"/>
        <v>3.7146158180559788E-2</v>
      </c>
      <c r="AQ48">
        <f t="shared" si="85"/>
        <v>-3.6818825685468015E-2</v>
      </c>
      <c r="AR48">
        <f t="shared" si="86"/>
        <v>-5.0117984957791968E-2</v>
      </c>
      <c r="AS48">
        <f t="shared" si="87"/>
        <v>2.4973309831159415E-2</v>
      </c>
      <c r="AT48">
        <f t="shared" si="88"/>
        <v>3.9901825905102634E-2</v>
      </c>
      <c r="AU48">
        <f t="shared" si="89"/>
        <v>-3.8656587327522772E-2</v>
      </c>
      <c r="AV48">
        <f t="shared" si="90"/>
        <v>-5.4154917889459385E-2</v>
      </c>
      <c r="AW48">
        <f t="shared" si="91"/>
        <v>9.5002463772897866E-3</v>
      </c>
      <c r="AX48">
        <f t="shared" si="92"/>
        <v>3.7866045744734664E-2</v>
      </c>
      <c r="AY48">
        <f t="shared" si="93"/>
        <v>-3.7121354977705086E-2</v>
      </c>
      <c r="AZ48">
        <f t="shared" si="94"/>
        <v>-5.0022503654842475E-2</v>
      </c>
      <c r="BA48">
        <f t="shared" si="95"/>
        <v>1.4601078534955856E-2</v>
      </c>
    </row>
    <row r="49" spans="1:53" ht="14.4" x14ac:dyDescent="0.55000000000000004">
      <c r="A49" s="4">
        <v>40506</v>
      </c>
      <c r="B49">
        <v>5.5929245997377301E-2</v>
      </c>
      <c r="C49">
        <v>-4.9961218293307699E-2</v>
      </c>
      <c r="D49">
        <v>-7.7749752410581296E-2</v>
      </c>
      <c r="E49">
        <v>-2.6668228867110101E-2</v>
      </c>
      <c r="F49">
        <f t="shared" si="48"/>
        <v>5.3744325180775043E-2</v>
      </c>
      <c r="G49">
        <f t="shared" si="49"/>
        <v>-4.7783708945876503E-2</v>
      </c>
      <c r="H49">
        <f t="shared" si="50"/>
        <v>-7.6127248037837866E-2</v>
      </c>
      <c r="I49">
        <f t="shared" si="51"/>
        <v>-2.9039904073448877E-2</v>
      </c>
      <c r="J49">
        <f t="shared" si="52"/>
        <v>4.8003791963682776E-2</v>
      </c>
      <c r="K49">
        <f t="shared" si="53"/>
        <v>-4.2656354721538489E-2</v>
      </c>
      <c r="L49">
        <f t="shared" si="54"/>
        <v>-6.5748297525080351E-2</v>
      </c>
      <c r="M49">
        <f t="shared" si="55"/>
        <v>-2.3586672435994584E-2</v>
      </c>
      <c r="N49">
        <f t="shared" si="56"/>
        <v>4.3564876995258794E-2</v>
      </c>
      <c r="O49">
        <f t="shared" si="57"/>
        <v>-3.9102048428993112E-2</v>
      </c>
      <c r="P49">
        <f t="shared" si="58"/>
        <v>-5.7736082232788227E-2</v>
      </c>
      <c r="Q49">
        <f t="shared" si="59"/>
        <v>-1.2435641623333398E-2</v>
      </c>
      <c r="R49">
        <f t="shared" si="60"/>
        <v>4.3584346728954851E-2</v>
      </c>
      <c r="S49">
        <f t="shared" si="61"/>
        <v>-3.9775819890805329E-2</v>
      </c>
      <c r="T49">
        <f t="shared" si="62"/>
        <v>-6.0068510351563797E-2</v>
      </c>
      <c r="U49">
        <f t="shared" si="63"/>
        <v>1.4057300415422835E-3</v>
      </c>
      <c r="V49">
        <f t="shared" si="64"/>
        <v>4.119127785920474E-2</v>
      </c>
      <c r="W49">
        <f t="shared" si="65"/>
        <v>-3.8023778260002847E-2</v>
      </c>
      <c r="X49">
        <f t="shared" si="66"/>
        <v>-5.5790273846484113E-2</v>
      </c>
      <c r="Y49">
        <f t="shared" si="67"/>
        <v>5.2393726619502663E-3</v>
      </c>
      <c r="Z49">
        <f t="shared" si="68"/>
        <v>3.9614448139879604E-2</v>
      </c>
      <c r="AA49">
        <f t="shared" si="69"/>
        <v>-3.6899542217450981E-2</v>
      </c>
      <c r="AB49">
        <f t="shared" si="70"/>
        <v>-5.1457585928538122E-2</v>
      </c>
      <c r="AC49">
        <f t="shared" si="71"/>
        <v>1.1409240040700213E-2</v>
      </c>
      <c r="AD49">
        <f t="shared" si="72"/>
        <v>3.949443249964598E-2</v>
      </c>
      <c r="AE49">
        <f t="shared" si="73"/>
        <v>-3.7307804548327606E-2</v>
      </c>
      <c r="AF49">
        <f t="shared" si="74"/>
        <v>-5.3884815937093634E-2</v>
      </c>
      <c r="AG49">
        <f t="shared" si="75"/>
        <v>2.7336414282049658E-2</v>
      </c>
      <c r="AH49">
        <f t="shared" si="76"/>
        <v>4.0098417495511379E-2</v>
      </c>
      <c r="AI49">
        <f t="shared" si="77"/>
        <v>-3.8585786649661148E-2</v>
      </c>
      <c r="AJ49">
        <f t="shared" si="78"/>
        <v>-5.6519831478913443E-2</v>
      </c>
      <c r="AK49">
        <f t="shared" si="79"/>
        <v>2.5436712564677867E-2</v>
      </c>
      <c r="AL49">
        <f t="shared" si="80"/>
        <v>3.9521731127038495E-2</v>
      </c>
      <c r="AM49">
        <f t="shared" si="81"/>
        <v>-3.9169417687283471E-2</v>
      </c>
      <c r="AN49">
        <f t="shared" si="82"/>
        <v>-5.6198760531852382E-2</v>
      </c>
      <c r="AO49">
        <f t="shared" si="83"/>
        <v>2.2102416614901768E-2</v>
      </c>
      <c r="AP49">
        <f t="shared" si="84"/>
        <v>3.832162234078243E-2</v>
      </c>
      <c r="AQ49">
        <f t="shared" si="85"/>
        <v>-3.7696616347511203E-2</v>
      </c>
      <c r="AR49">
        <f t="shared" si="86"/>
        <v>-5.2024436476129712E-2</v>
      </c>
      <c r="AS49">
        <f t="shared" si="87"/>
        <v>1.9293249992144566E-2</v>
      </c>
      <c r="AT49">
        <f t="shared" si="88"/>
        <v>3.7329678849930902E-2</v>
      </c>
      <c r="AU49">
        <f t="shared" si="89"/>
        <v>-3.7057542871016702E-2</v>
      </c>
      <c r="AV49">
        <f t="shared" si="90"/>
        <v>-5.0356775230040153E-2</v>
      </c>
      <c r="AW49">
        <f t="shared" si="91"/>
        <v>2.2627211497216401E-2</v>
      </c>
      <c r="AX49">
        <f t="shared" si="92"/>
        <v>3.9852281008312111E-2</v>
      </c>
      <c r="AY49">
        <f t="shared" si="93"/>
        <v>-3.8644716311112305E-2</v>
      </c>
      <c r="AZ49">
        <f t="shared" si="94"/>
        <v>-5.3888977336960985E-2</v>
      </c>
      <c r="BA49">
        <f t="shared" si="95"/>
        <v>8.3369626684610069E-3</v>
      </c>
    </row>
    <row r="50" spans="1:53" ht="14.4" x14ac:dyDescent="0.55000000000000004">
      <c r="A50" s="4">
        <v>40541</v>
      </c>
      <c r="B50">
        <v>4.6454892602118901E-2</v>
      </c>
      <c r="C50">
        <v>-4.19559721856693E-2</v>
      </c>
      <c r="D50">
        <v>-6.69956683238766E-2</v>
      </c>
      <c r="E50">
        <v>1.3867616022916401E-2</v>
      </c>
      <c r="F50">
        <f t="shared" si="48"/>
        <v>5.3541262685076974E-2</v>
      </c>
      <c r="G50">
        <f t="shared" si="49"/>
        <v>-4.7672127930942367E-2</v>
      </c>
      <c r="H50">
        <f t="shared" si="50"/>
        <v>-7.4899608441250889E-2</v>
      </c>
      <c r="I50">
        <f t="shared" si="51"/>
        <v>-2.1897521684394905E-2</v>
      </c>
      <c r="J50">
        <f t="shared" si="52"/>
        <v>5.2005929385063779E-2</v>
      </c>
      <c r="K50">
        <f t="shared" si="53"/>
        <v>-4.6222418036339877E-2</v>
      </c>
      <c r="L50">
        <f t="shared" si="54"/>
        <v>-7.3487411827154292E-2</v>
      </c>
      <c r="M50">
        <f t="shared" si="55"/>
        <v>-2.5429850203094812E-2</v>
      </c>
      <c r="N50">
        <f t="shared" si="56"/>
        <v>4.7171640712162261E-2</v>
      </c>
      <c r="O50">
        <f t="shared" si="57"/>
        <v>-4.1978759129648428E-2</v>
      </c>
      <c r="P50">
        <f t="shared" si="58"/>
        <v>-6.4104691872052172E-2</v>
      </c>
      <c r="Q50">
        <f t="shared" si="59"/>
        <v>-2.1725109410215195E-2</v>
      </c>
      <c r="R50">
        <f t="shared" si="60"/>
        <v>4.3273356105408348E-2</v>
      </c>
      <c r="S50">
        <f t="shared" si="61"/>
        <v>-3.8938251630253239E-2</v>
      </c>
      <c r="T50">
        <f t="shared" si="62"/>
        <v>-5.6906651840944844E-2</v>
      </c>
      <c r="U50">
        <f t="shared" si="63"/>
        <v>-1.1982331860310605E-2</v>
      </c>
      <c r="V50">
        <f t="shared" si="64"/>
        <v>4.3186132852249488E-2</v>
      </c>
      <c r="W50">
        <f t="shared" si="65"/>
        <v>-3.9583475858036905E-2</v>
      </c>
      <c r="X50">
        <f t="shared" si="66"/>
        <v>-5.9187449326411179E-2</v>
      </c>
      <c r="Y50">
        <f t="shared" si="67"/>
        <v>1.1969386736075905E-3</v>
      </c>
      <c r="Z50">
        <f t="shared" si="68"/>
        <v>4.1109281685808879E-2</v>
      </c>
      <c r="AA50">
        <f t="shared" si="69"/>
        <v>-3.8110906875511462E-2</v>
      </c>
      <c r="AB50">
        <f t="shared" si="70"/>
        <v>-5.533029116296885E-2</v>
      </c>
      <c r="AC50">
        <f t="shared" si="71"/>
        <v>4.3363027343307102E-3</v>
      </c>
      <c r="AD50">
        <f t="shared" si="72"/>
        <v>3.95414673777933E-2</v>
      </c>
      <c r="AE50">
        <f t="shared" si="73"/>
        <v>-3.692874842474627E-2</v>
      </c>
      <c r="AF50">
        <f t="shared" si="74"/>
        <v>-5.1390450495213708E-2</v>
      </c>
      <c r="AG50">
        <f t="shared" si="75"/>
        <v>1.0333140797272777E-2</v>
      </c>
      <c r="AH50">
        <f t="shared" si="76"/>
        <v>3.9347751653575749E-2</v>
      </c>
      <c r="AI50">
        <f t="shared" si="77"/>
        <v>-3.7374150375702221E-2</v>
      </c>
      <c r="AJ50">
        <f t="shared" si="78"/>
        <v>-5.3783134069288738E-2</v>
      </c>
      <c r="AK50">
        <f t="shared" si="79"/>
        <v>2.5410228322219942E-2</v>
      </c>
      <c r="AL50">
        <f t="shared" si="80"/>
        <v>3.9940735253355598E-2</v>
      </c>
      <c r="AM50">
        <f t="shared" si="81"/>
        <v>-3.8626082505282572E-2</v>
      </c>
      <c r="AN50">
        <f t="shared" si="82"/>
        <v>-5.6208185618136737E-2</v>
      </c>
      <c r="AO50">
        <f t="shared" si="83"/>
        <v>2.3509974070337183E-2</v>
      </c>
      <c r="AP50">
        <f t="shared" si="84"/>
        <v>3.9475016231899626E-2</v>
      </c>
      <c r="AQ50">
        <f t="shared" si="85"/>
        <v>-3.9228140009868254E-2</v>
      </c>
      <c r="AR50">
        <f t="shared" si="86"/>
        <v>-5.5912661339033241E-2</v>
      </c>
      <c r="AS50">
        <f t="shared" si="87"/>
        <v>2.0125224971293317E-2</v>
      </c>
      <c r="AT50">
        <f t="shared" si="88"/>
        <v>3.8396588710355992E-2</v>
      </c>
      <c r="AU50">
        <f t="shared" si="89"/>
        <v>-3.7821027275248331E-2</v>
      </c>
      <c r="AV50">
        <f t="shared" si="90"/>
        <v>-5.2042570780700945E-2</v>
      </c>
      <c r="AW50">
        <f t="shared" si="91"/>
        <v>1.7409894188163709E-2</v>
      </c>
      <c r="AX50">
        <f t="shared" si="92"/>
        <v>3.7506060599128421E-2</v>
      </c>
      <c r="AY50">
        <f t="shared" si="93"/>
        <v>-3.7270939513162522E-2</v>
      </c>
      <c r="AZ50">
        <f t="shared" si="94"/>
        <v>-5.0554396088207824E-2</v>
      </c>
      <c r="BA50">
        <f t="shared" si="95"/>
        <v>2.0415162044005297E-2</v>
      </c>
    </row>
    <row r="51" spans="1:53" ht="14.4" x14ac:dyDescent="0.55000000000000004">
      <c r="A51" s="4">
        <v>40569</v>
      </c>
      <c r="B51">
        <v>4.9446725453297001E-2</v>
      </c>
      <c r="C51">
        <v>-4.4641413697599601E-2</v>
      </c>
      <c r="D51">
        <v>-7.1559033071809205E-2</v>
      </c>
      <c r="E51">
        <v>8.3742964440648993E-3</v>
      </c>
      <c r="F51">
        <f t="shared" si="48"/>
        <v>4.5532445933136087E-2</v>
      </c>
      <c r="G51">
        <f t="shared" si="49"/>
        <v>-4.1409247293216329E-2</v>
      </c>
      <c r="H51">
        <f t="shared" si="50"/>
        <v>-6.5615602844214804E-2</v>
      </c>
      <c r="I51">
        <f t="shared" si="51"/>
        <v>1.3763574448966878E-2</v>
      </c>
      <c r="J51">
        <f t="shared" si="52"/>
        <v>5.1631925979185429E-2</v>
      </c>
      <c r="K51">
        <f t="shared" si="53"/>
        <v>-4.5929510836186377E-2</v>
      </c>
      <c r="L51">
        <f t="shared" si="54"/>
        <v>-7.2393100077002517E-2</v>
      </c>
      <c r="M51">
        <f t="shared" si="55"/>
        <v>-1.8271524175818083E-2</v>
      </c>
      <c r="N51">
        <f t="shared" si="56"/>
        <v>5.0553263936855483E-2</v>
      </c>
      <c r="O51">
        <f t="shared" si="57"/>
        <v>-4.4966787131975668E-2</v>
      </c>
      <c r="P51">
        <f t="shared" si="58"/>
        <v>-7.1132166362127699E-2</v>
      </c>
      <c r="Q51">
        <f t="shared" si="59"/>
        <v>-2.2504822243491505E-2</v>
      </c>
      <c r="R51">
        <f t="shared" si="60"/>
        <v>4.6433470306265712E-2</v>
      </c>
      <c r="S51">
        <f t="shared" si="61"/>
        <v>-4.1385131036252389E-2</v>
      </c>
      <c r="T51">
        <f t="shared" si="62"/>
        <v>-6.2620752468496049E-2</v>
      </c>
      <c r="U51">
        <f t="shared" si="63"/>
        <v>-2.0092712984454329E-2</v>
      </c>
      <c r="V51">
        <f t="shared" si="64"/>
        <v>4.2988448725352332E-2</v>
      </c>
      <c r="W51">
        <f t="shared" si="65"/>
        <v>-3.8760879262810785E-2</v>
      </c>
      <c r="X51">
        <f t="shared" si="66"/>
        <v>-5.6146744463017081E-2</v>
      </c>
      <c r="Y51">
        <f t="shared" si="67"/>
        <v>-1.1532498567988863E-2</v>
      </c>
      <c r="Z51">
        <f t="shared" si="68"/>
        <v>4.2830290764117998E-2</v>
      </c>
      <c r="AA51">
        <f t="shared" si="69"/>
        <v>-3.9408809887690591E-2</v>
      </c>
      <c r="AB51">
        <f t="shared" si="70"/>
        <v>-5.8380496061168116E-2</v>
      </c>
      <c r="AC51">
        <f t="shared" si="71"/>
        <v>9.475174119524042E-4</v>
      </c>
      <c r="AD51">
        <f t="shared" si="72"/>
        <v>4.1013584550060565E-2</v>
      </c>
      <c r="AE51">
        <f t="shared" si="73"/>
        <v>-3.8154150363422228E-2</v>
      </c>
      <c r="AF51">
        <f t="shared" si="74"/>
        <v>-5.4895974096329556E-2</v>
      </c>
      <c r="AG51">
        <f t="shared" si="75"/>
        <v>3.5306704137303005E-3</v>
      </c>
      <c r="AH51">
        <f t="shared" si="76"/>
        <v>3.9496011258386865E-2</v>
      </c>
      <c r="AI51">
        <f t="shared" si="77"/>
        <v>-3.6974288854775293E-2</v>
      </c>
      <c r="AJ51">
        <f t="shared" si="78"/>
        <v>-5.1323959283199688E-2</v>
      </c>
      <c r="AK51">
        <f t="shared" si="79"/>
        <v>9.2606086614353076E-3</v>
      </c>
      <c r="AL51">
        <f t="shared" si="80"/>
        <v>3.9254455782724344E-2</v>
      </c>
      <c r="AM51">
        <f t="shared" si="81"/>
        <v>-3.747283425105994E-2</v>
      </c>
      <c r="AN51">
        <f t="shared" si="82"/>
        <v>-5.3682298749049784E-2</v>
      </c>
      <c r="AO51">
        <f t="shared" si="83"/>
        <v>2.3480481045952489E-2</v>
      </c>
      <c r="AP51">
        <f t="shared" si="84"/>
        <v>3.9823264986765562E-2</v>
      </c>
      <c r="AQ51">
        <f t="shared" si="85"/>
        <v>-3.8680094941495949E-2</v>
      </c>
      <c r="AR51">
        <f t="shared" si="86"/>
        <v>-5.5910733464329128E-2</v>
      </c>
      <c r="AS51">
        <f t="shared" si="87"/>
        <v>2.1617151427764009E-2</v>
      </c>
      <c r="AT51">
        <f t="shared" si="88"/>
        <v>3.9442762313192492E-2</v>
      </c>
      <c r="AU51">
        <f t="shared" si="89"/>
        <v>-3.9276573125874979E-2</v>
      </c>
      <c r="AV51">
        <f t="shared" si="90"/>
        <v>-5.5632774011491429E-2</v>
      </c>
      <c r="AW51">
        <f t="shared" si="91"/>
        <v>1.8239143994939262E-2</v>
      </c>
      <c r="AX51">
        <f t="shared" si="92"/>
        <v>3.8474934637755136E-2</v>
      </c>
      <c r="AY51">
        <f t="shared" si="93"/>
        <v>-3.7932360911743686E-2</v>
      </c>
      <c r="AZ51">
        <f t="shared" si="94"/>
        <v>-5.2042335100154748E-2</v>
      </c>
      <c r="BA51">
        <f t="shared" si="95"/>
        <v>1.5622776424685458E-2</v>
      </c>
    </row>
    <row r="52" spans="1:53" ht="14.4" x14ac:dyDescent="0.55000000000000004">
      <c r="A52" s="4">
        <v>40597</v>
      </c>
      <c r="B52">
        <v>4.93551795122859E-2</v>
      </c>
      <c r="C52">
        <v>-4.6295759450750401E-2</v>
      </c>
      <c r="D52">
        <v>-6.3083739183127693E-2</v>
      </c>
      <c r="E52">
        <v>7.3113663035558798E-3</v>
      </c>
      <c r="F52">
        <f t="shared" si="48"/>
        <v>4.8022012264693159E-2</v>
      </c>
      <c r="G52">
        <f t="shared" si="49"/>
        <v>-4.3561874217894217E-2</v>
      </c>
      <c r="H52">
        <f t="shared" si="50"/>
        <v>-6.9692803739834788E-2</v>
      </c>
      <c r="I52">
        <f t="shared" si="51"/>
        <v>9.4303450109460216E-3</v>
      </c>
      <c r="J52">
        <f t="shared" si="52"/>
        <v>4.4769972209851121E-2</v>
      </c>
      <c r="K52">
        <f t="shared" si="53"/>
        <v>-4.0999901032498162E-2</v>
      </c>
      <c r="L52">
        <f t="shared" si="54"/>
        <v>-6.4370452753242047E-2</v>
      </c>
      <c r="M52">
        <f t="shared" si="55"/>
        <v>1.3385810804322001E-2</v>
      </c>
      <c r="N52">
        <f t="shared" si="56"/>
        <v>5.007967721448664E-2</v>
      </c>
      <c r="O52">
        <f t="shared" si="57"/>
        <v>-4.4581220153367455E-2</v>
      </c>
      <c r="P52">
        <f t="shared" si="58"/>
        <v>-7.0173378196508179E-2</v>
      </c>
      <c r="Q52">
        <f t="shared" si="59"/>
        <v>-1.548740496971614E-2</v>
      </c>
      <c r="R52">
        <f t="shared" si="60"/>
        <v>4.9322861289422371E-2</v>
      </c>
      <c r="S52">
        <f t="shared" si="61"/>
        <v>-4.3939830150453149E-2</v>
      </c>
      <c r="T52">
        <f t="shared" si="62"/>
        <v>-6.9022877784873524E-2</v>
      </c>
      <c r="U52">
        <f t="shared" si="63"/>
        <v>-2.0106376943204506E-2</v>
      </c>
      <c r="V52">
        <f t="shared" si="64"/>
        <v>4.5775958507443468E-2</v>
      </c>
      <c r="W52">
        <f t="shared" si="65"/>
        <v>-4.0861585709056139E-2</v>
      </c>
      <c r="X52">
        <f t="shared" si="66"/>
        <v>-6.1279847675029114E-2</v>
      </c>
      <c r="Y52">
        <f t="shared" si="67"/>
        <v>-1.8655786209275479E-2</v>
      </c>
      <c r="Z52">
        <f t="shared" si="68"/>
        <v>4.2716094628683192E-2</v>
      </c>
      <c r="AA52">
        <f t="shared" si="69"/>
        <v>-3.8579768788269325E-2</v>
      </c>
      <c r="AB52">
        <f t="shared" si="70"/>
        <v>-5.5451857200610535E-2</v>
      </c>
      <c r="AC52">
        <f t="shared" si="71"/>
        <v>-1.1101289575453708E-2</v>
      </c>
      <c r="AD52">
        <f t="shared" si="72"/>
        <v>4.2511950602312824E-2</v>
      </c>
      <c r="AE52">
        <f t="shared" si="73"/>
        <v>-3.9248876022038727E-2</v>
      </c>
      <c r="AF52">
        <f t="shared" si="74"/>
        <v>-5.7640538134626669E-2</v>
      </c>
      <c r="AG52">
        <f t="shared" si="75"/>
        <v>6.6698194092339646E-4</v>
      </c>
      <c r="AH52">
        <f t="shared" si="76"/>
        <v>4.0912520173672952E-2</v>
      </c>
      <c r="AI52">
        <f t="shared" si="77"/>
        <v>-3.816684552035747E-2</v>
      </c>
      <c r="AJ52">
        <f t="shared" si="78"/>
        <v>-5.4487377860489794E-2</v>
      </c>
      <c r="AK52">
        <f t="shared" si="79"/>
        <v>2.7988091219045877E-3</v>
      </c>
      <c r="AL52">
        <f t="shared" si="80"/>
        <v>3.9469727296360592E-2</v>
      </c>
      <c r="AM52">
        <f t="shared" si="81"/>
        <v>-3.7027024609999515E-2</v>
      </c>
      <c r="AN52">
        <f t="shared" si="82"/>
        <v>-5.1256528657408054E-2</v>
      </c>
      <c r="AO52">
        <f t="shared" si="83"/>
        <v>8.2091497099401351E-3</v>
      </c>
      <c r="AP52">
        <f t="shared" si="84"/>
        <v>3.9198424487551058E-2</v>
      </c>
      <c r="AQ52">
        <f t="shared" si="85"/>
        <v>-3.7586093773158011E-2</v>
      </c>
      <c r="AR52">
        <f t="shared" si="86"/>
        <v>-5.3579189357064988E-2</v>
      </c>
      <c r="AS52">
        <f t="shared" si="87"/>
        <v>2.158155100534194E-2</v>
      </c>
      <c r="AT52">
        <f t="shared" si="88"/>
        <v>3.973549735949268E-2</v>
      </c>
      <c r="AU52">
        <f t="shared" si="89"/>
        <v>-3.8737688442991913E-2</v>
      </c>
      <c r="AV52">
        <f t="shared" si="90"/>
        <v>-5.5624603377552553E-2</v>
      </c>
      <c r="AW52">
        <f t="shared" si="91"/>
        <v>1.9778211174350149E-2</v>
      </c>
      <c r="AX52">
        <f t="shared" si="92"/>
        <v>3.9421457020692621E-2</v>
      </c>
      <c r="AY52">
        <f t="shared" si="93"/>
        <v>-3.9313090526803825E-2</v>
      </c>
      <c r="AZ52">
        <f t="shared" si="94"/>
        <v>-5.5358598906090954E-2</v>
      </c>
      <c r="BA52">
        <f t="shared" si="95"/>
        <v>1.64465742161762E-2</v>
      </c>
    </row>
    <row r="53" spans="1:53" ht="14.4" x14ac:dyDescent="0.55000000000000004">
      <c r="A53" s="4">
        <v>40632</v>
      </c>
      <c r="B53">
        <v>4.8110508506348001E-2</v>
      </c>
      <c r="C53">
        <v>-4.5412896679900297E-2</v>
      </c>
      <c r="D53">
        <v>-5.9333813380321697E-2</v>
      </c>
      <c r="E53">
        <v>8.3293597211049307E-3</v>
      </c>
      <c r="F53">
        <f t="shared" si="48"/>
        <v>4.7058152622738762E-2</v>
      </c>
      <c r="G53">
        <f t="shared" si="49"/>
        <v>-4.3880350792296914E-2</v>
      </c>
      <c r="H53">
        <f t="shared" si="50"/>
        <v>-6.1717688957465537E-2</v>
      </c>
      <c r="I53">
        <f t="shared" si="51"/>
        <v>1.0619267270536512E-2</v>
      </c>
      <c r="J53">
        <f t="shared" si="52"/>
        <v>4.6870389026969057E-2</v>
      </c>
      <c r="K53">
        <f t="shared" si="53"/>
        <v>-4.2756514133098604E-2</v>
      </c>
      <c r="L53">
        <f t="shared" si="54"/>
        <v>-6.8028236920012933E-2</v>
      </c>
      <c r="M53">
        <f t="shared" si="55"/>
        <v>9.9326401019074681E-3</v>
      </c>
      <c r="N53">
        <f t="shared" si="56"/>
        <v>4.4131290600278532E-2</v>
      </c>
      <c r="O53">
        <f t="shared" si="57"/>
        <v>-4.0686838148182074E-2</v>
      </c>
      <c r="P53">
        <f t="shared" si="58"/>
        <v>-6.3240949731481116E-2</v>
      </c>
      <c r="Q53">
        <f t="shared" si="59"/>
        <v>1.2819889156671592E-2</v>
      </c>
      <c r="R53">
        <f t="shared" si="60"/>
        <v>4.8797645102882439E-2</v>
      </c>
      <c r="S53">
        <f t="shared" si="61"/>
        <v>-4.3519934501084358E-2</v>
      </c>
      <c r="T53">
        <f t="shared" si="62"/>
        <v>-6.8196343659257946E-2</v>
      </c>
      <c r="U53">
        <f t="shared" si="63"/>
        <v>-1.3329120253073061E-2</v>
      </c>
      <c r="V53">
        <f t="shared" si="64"/>
        <v>4.8268323590427063E-2</v>
      </c>
      <c r="W53">
        <f t="shared" si="65"/>
        <v>-4.3086377900713055E-2</v>
      </c>
      <c r="X53">
        <f t="shared" si="66"/>
        <v>-6.7128098763597821E-2</v>
      </c>
      <c r="Y53">
        <f t="shared" si="67"/>
        <v>-1.8118843851388212E-2</v>
      </c>
      <c r="Z53">
        <f t="shared" si="68"/>
        <v>4.518837883921438E-2</v>
      </c>
      <c r="AA53">
        <f t="shared" si="69"/>
        <v>-4.0397316734797101E-2</v>
      </c>
      <c r="AB53">
        <f t="shared" si="70"/>
        <v>-6.0067359594950007E-2</v>
      </c>
      <c r="AC53">
        <f t="shared" si="71"/>
        <v>-1.7387206217300416E-2</v>
      </c>
      <c r="AD53">
        <f t="shared" si="72"/>
        <v>4.2459661428417367E-2</v>
      </c>
      <c r="AE53">
        <f t="shared" si="73"/>
        <v>-3.840120605954863E-2</v>
      </c>
      <c r="AF53">
        <f t="shared" si="74"/>
        <v>-5.4817288810729649E-2</v>
      </c>
      <c r="AG53">
        <f t="shared" si="75"/>
        <v>-1.0697453465726831E-2</v>
      </c>
      <c r="AH53">
        <f t="shared" si="76"/>
        <v>4.2226934238643363E-2</v>
      </c>
      <c r="AI53">
        <f t="shared" si="77"/>
        <v>-3.910135275629828E-2</v>
      </c>
      <c r="AJ53">
        <f t="shared" si="78"/>
        <v>-5.6961232764623275E-2</v>
      </c>
      <c r="AK53">
        <f t="shared" si="79"/>
        <v>3.6315666516814767E-4</v>
      </c>
      <c r="AL53">
        <f t="shared" si="80"/>
        <v>4.0811463233662408E-2</v>
      </c>
      <c r="AM53">
        <f t="shared" si="81"/>
        <v>-3.8158258546371983E-2</v>
      </c>
      <c r="AN53">
        <f t="shared" si="82"/>
        <v>-5.4103881865611665E-2</v>
      </c>
      <c r="AO53">
        <f t="shared" si="83"/>
        <v>2.1245165992296029E-3</v>
      </c>
      <c r="AP53">
        <f t="shared" si="84"/>
        <v>3.9456775447123477E-2</v>
      </c>
      <c r="AQ53">
        <f t="shared" si="85"/>
        <v>-3.708097570864486E-2</v>
      </c>
      <c r="AR53">
        <f t="shared" si="86"/>
        <v>-5.1187283082124342E-2</v>
      </c>
      <c r="AS53">
        <f t="shared" si="87"/>
        <v>7.1900943563860953E-3</v>
      </c>
      <c r="AT53">
        <f t="shared" si="88"/>
        <v>3.9168383047440886E-2</v>
      </c>
      <c r="AU53">
        <f t="shared" si="89"/>
        <v>-3.77022713687186E-2</v>
      </c>
      <c r="AV53">
        <f t="shared" si="90"/>
        <v>-5.3472060318983758E-2</v>
      </c>
      <c r="AW53">
        <f t="shared" si="91"/>
        <v>1.9735876531234302E-2</v>
      </c>
      <c r="AX53">
        <f t="shared" si="92"/>
        <v>3.9669905070336069E-2</v>
      </c>
      <c r="AY53">
        <f t="shared" si="93"/>
        <v>-3.879235802690556E-2</v>
      </c>
      <c r="AZ53">
        <f t="shared" si="94"/>
        <v>-5.5347847455016495E-2</v>
      </c>
      <c r="BA53">
        <f t="shared" si="95"/>
        <v>1.8005860525988987E-2</v>
      </c>
    </row>
    <row r="54" spans="1:53" ht="14.4" x14ac:dyDescent="0.55000000000000004">
      <c r="A54" s="4">
        <v>40660</v>
      </c>
      <c r="B54">
        <v>5.0074239467275503E-2</v>
      </c>
      <c r="C54">
        <v>-4.6989996332896203E-2</v>
      </c>
      <c r="D54">
        <v>-6.6275905862058504E-2</v>
      </c>
      <c r="E54">
        <v>2.00635499941009E-3</v>
      </c>
      <c r="F54">
        <f t="shared" si="48"/>
        <v>4.5857718164654948E-2</v>
      </c>
      <c r="G54">
        <f t="shared" si="49"/>
        <v>-4.2961163050219318E-2</v>
      </c>
      <c r="H54">
        <f t="shared" si="50"/>
        <v>-5.8271839140107175E-2</v>
      </c>
      <c r="I54">
        <f t="shared" si="51"/>
        <v>1.1652070804240222E-2</v>
      </c>
      <c r="J54">
        <f t="shared" si="52"/>
        <v>4.5386332583485907E-2</v>
      </c>
      <c r="K54">
        <f t="shared" si="53"/>
        <v>-4.2219402989513474E-2</v>
      </c>
      <c r="L54">
        <f t="shared" si="54"/>
        <v>-6.0591805626593914E-2</v>
      </c>
      <c r="M54">
        <f t="shared" si="55"/>
        <v>1.2491684002733316E-2</v>
      </c>
      <c r="N54">
        <f t="shared" si="56"/>
        <v>4.5925066734386545E-2</v>
      </c>
      <c r="O54">
        <f t="shared" si="57"/>
        <v>-4.2145140214338038E-2</v>
      </c>
      <c r="P54">
        <f t="shared" si="58"/>
        <v>-6.6533400520992145E-2</v>
      </c>
      <c r="Q54">
        <f t="shared" si="59"/>
        <v>1.0043338733116122E-2</v>
      </c>
      <c r="R54">
        <f t="shared" si="60"/>
        <v>4.3589994663984624E-2</v>
      </c>
      <c r="S54">
        <f t="shared" si="61"/>
        <v>-4.0441268249837063E-2</v>
      </c>
      <c r="T54">
        <f t="shared" si="62"/>
        <v>-6.2211711652924856E-2</v>
      </c>
      <c r="U54">
        <f t="shared" si="63"/>
        <v>1.2126997131941545E-2</v>
      </c>
      <c r="V54">
        <f t="shared" si="64"/>
        <v>4.7723306162143438E-2</v>
      </c>
      <c r="W54">
        <f t="shared" si="65"/>
        <v>-4.2669669600289485E-2</v>
      </c>
      <c r="X54">
        <f t="shared" si="66"/>
        <v>-6.6427208959981596E-2</v>
      </c>
      <c r="Y54">
        <f t="shared" si="67"/>
        <v>-1.1641563187977853E-2</v>
      </c>
      <c r="Z54">
        <f t="shared" si="68"/>
        <v>4.7355340376211717E-2</v>
      </c>
      <c r="AA54">
        <f t="shared" si="69"/>
        <v>-4.2366601027686364E-2</v>
      </c>
      <c r="AB54">
        <f t="shared" si="70"/>
        <v>-6.5421822269327079E-2</v>
      </c>
      <c r="AC54">
        <f t="shared" si="71"/>
        <v>-1.6456860885962439E-2</v>
      </c>
      <c r="AD54">
        <f t="shared" si="72"/>
        <v>4.466194934938221E-2</v>
      </c>
      <c r="AE54">
        <f t="shared" si="73"/>
        <v>-3.998377232415485E-2</v>
      </c>
      <c r="AF54">
        <f t="shared" si="74"/>
        <v>-5.897036375269759E-2</v>
      </c>
      <c r="AG54">
        <f t="shared" si="75"/>
        <v>-1.6264786859795769E-2</v>
      </c>
      <c r="AH54">
        <f t="shared" si="76"/>
        <v>4.222080064155033E-2</v>
      </c>
      <c r="AI54">
        <f t="shared" si="77"/>
        <v>-3.822906252661229E-2</v>
      </c>
      <c r="AJ54">
        <f t="shared" si="78"/>
        <v>-5.4238350520242472E-2</v>
      </c>
      <c r="AK54">
        <f t="shared" si="79"/>
        <v>-1.0325472835357301E-2</v>
      </c>
      <c r="AL54">
        <f t="shared" si="80"/>
        <v>4.1971620944621528E-2</v>
      </c>
      <c r="AM54">
        <f t="shared" si="81"/>
        <v>-3.8964389344070954E-2</v>
      </c>
      <c r="AN54">
        <f t="shared" si="82"/>
        <v>-5.633690873636079E-2</v>
      </c>
      <c r="AO54">
        <f t="shared" si="83"/>
        <v>4.2517567666369802E-5</v>
      </c>
      <c r="AP54">
        <f t="shared" si="84"/>
        <v>4.0713771469598765E-2</v>
      </c>
      <c r="AQ54">
        <f t="shared" si="85"/>
        <v>-3.8134833466919031E-2</v>
      </c>
      <c r="AR54">
        <f t="shared" si="86"/>
        <v>-5.3744459793855712E-2</v>
      </c>
      <c r="AS54">
        <f t="shared" si="87"/>
        <v>1.4967049721432077E-3</v>
      </c>
      <c r="AT54">
        <f t="shared" si="88"/>
        <v>3.9453067180443481E-2</v>
      </c>
      <c r="AU54">
        <f t="shared" si="89"/>
        <v>-3.7132332822078305E-2</v>
      </c>
      <c r="AV54">
        <f t="shared" si="90"/>
        <v>-5.1115820184870854E-2</v>
      </c>
      <c r="AW54">
        <f t="shared" si="91"/>
        <v>6.2104999405510567E-3</v>
      </c>
      <c r="AX54">
        <f t="shared" si="92"/>
        <v>3.915643493268129E-2</v>
      </c>
      <c r="AY54">
        <f t="shared" si="93"/>
        <v>-3.78139074376325E-2</v>
      </c>
      <c r="AZ54">
        <f t="shared" si="94"/>
        <v>-5.3360087173585626E-2</v>
      </c>
      <c r="BA54">
        <f t="shared" si="95"/>
        <v>1.7957626045352733E-2</v>
      </c>
    </row>
    <row r="55" spans="1:53" ht="14.4" x14ac:dyDescent="0.55000000000000004">
      <c r="A55" s="4">
        <v>40688</v>
      </c>
      <c r="B55">
        <v>4.9773937682204603E-2</v>
      </c>
      <c r="C55">
        <v>-4.5970448499810301E-2</v>
      </c>
      <c r="D55">
        <v>-6.9311902662414895E-2</v>
      </c>
      <c r="E55">
        <v>-4.2167377185015004E-3</v>
      </c>
      <c r="F55">
        <f t="shared" si="48"/>
        <v>4.7904991337183019E-2</v>
      </c>
      <c r="G55">
        <f t="shared" si="49"/>
        <v>-4.4750100353088823E-2</v>
      </c>
      <c r="H55">
        <f t="shared" si="50"/>
        <v>-6.4639963968533887E-2</v>
      </c>
      <c r="I55">
        <f t="shared" si="51"/>
        <v>5.1967068133976103E-3</v>
      </c>
      <c r="J55">
        <f t="shared" si="52"/>
        <v>4.4249543546385946E-2</v>
      </c>
      <c r="K55">
        <f t="shared" si="53"/>
        <v>-4.1298728086673557E-2</v>
      </c>
      <c r="L55">
        <f t="shared" si="54"/>
        <v>-5.7429601632629418E-2</v>
      </c>
      <c r="M55">
        <f t="shared" si="55"/>
        <v>1.3485075408047626E-2</v>
      </c>
      <c r="N55">
        <f t="shared" si="56"/>
        <v>4.4157433733764788E-2</v>
      </c>
      <c r="O55">
        <f t="shared" si="57"/>
        <v>-4.1079667968979147E-2</v>
      </c>
      <c r="P55">
        <f t="shared" si="58"/>
        <v>-5.9644603518593027E-2</v>
      </c>
      <c r="Q55">
        <f t="shared" si="59"/>
        <v>1.3379134490600027E-2</v>
      </c>
      <c r="R55">
        <f t="shared" si="60"/>
        <v>4.5137983822521884E-2</v>
      </c>
      <c r="S55">
        <f t="shared" si="61"/>
        <v>-4.1671502964049853E-2</v>
      </c>
      <c r="T55">
        <f t="shared" si="62"/>
        <v>-6.5183365652008537E-2</v>
      </c>
      <c r="U55">
        <f t="shared" si="63"/>
        <v>9.8778262834429403E-3</v>
      </c>
      <c r="V55">
        <f t="shared" si="64"/>
        <v>4.3126596173555194E-2</v>
      </c>
      <c r="W55">
        <f t="shared" si="65"/>
        <v>-4.0243003153507859E-2</v>
      </c>
      <c r="X55">
        <f t="shared" si="66"/>
        <v>-6.127025808779879E-2</v>
      </c>
      <c r="Y55">
        <f t="shared" si="67"/>
        <v>1.1351096768014898E-2</v>
      </c>
      <c r="Z55">
        <f t="shared" si="68"/>
        <v>4.6811272152254363E-2</v>
      </c>
      <c r="AA55">
        <f t="shared" si="69"/>
        <v>-4.1976380104085213E-2</v>
      </c>
      <c r="AB55">
        <f t="shared" si="70"/>
        <v>-6.4838063447298325E-2</v>
      </c>
      <c r="AC55">
        <f t="shared" si="71"/>
        <v>-1.0312526944586495E-2</v>
      </c>
      <c r="AD55">
        <f t="shared" si="72"/>
        <v>4.6558202789344104E-2</v>
      </c>
      <c r="AE55">
        <f t="shared" si="73"/>
        <v>-4.1751488354800928E-2</v>
      </c>
      <c r="AF55">
        <f t="shared" si="74"/>
        <v>-6.3882224265734977E-2</v>
      </c>
      <c r="AG55">
        <f t="shared" si="75"/>
        <v>-1.5056650133145244E-2</v>
      </c>
      <c r="AH55">
        <f t="shared" si="76"/>
        <v>4.4189366425027445E-2</v>
      </c>
      <c r="AI55">
        <f t="shared" si="77"/>
        <v>-3.9614071262426873E-2</v>
      </c>
      <c r="AJ55">
        <f t="shared" si="78"/>
        <v>-5.7977378167260028E-2</v>
      </c>
      <c r="AK55">
        <f t="shared" si="79"/>
        <v>-1.5270104647100224E-2</v>
      </c>
      <c r="AL55">
        <f t="shared" si="80"/>
        <v>4.2000036167898269E-2</v>
      </c>
      <c r="AM55">
        <f t="shared" si="81"/>
        <v>-3.8065580601877633E-2</v>
      </c>
      <c r="AN55">
        <f t="shared" si="82"/>
        <v>-5.3710498147749849E-2</v>
      </c>
      <c r="AO55">
        <f t="shared" si="83"/>
        <v>-9.9870297093367245E-3</v>
      </c>
      <c r="AP55">
        <f t="shared" si="84"/>
        <v>4.174284668896508E-2</v>
      </c>
      <c r="AQ55">
        <f t="shared" si="85"/>
        <v>-3.8836494376824238E-2</v>
      </c>
      <c r="AR55">
        <f t="shared" si="86"/>
        <v>-5.576248453006883E-2</v>
      </c>
      <c r="AS55">
        <f t="shared" si="87"/>
        <v>-2.8955002896743367E-4</v>
      </c>
      <c r="AT55">
        <f t="shared" si="88"/>
        <v>4.062143701232545E-2</v>
      </c>
      <c r="AU55">
        <f t="shared" si="89"/>
        <v>-3.8101058698803571E-2</v>
      </c>
      <c r="AV55">
        <f t="shared" si="90"/>
        <v>-5.3407860781364731E-2</v>
      </c>
      <c r="AW55">
        <f t="shared" si="91"/>
        <v>9.0777645031250853E-4</v>
      </c>
      <c r="AX55">
        <f t="shared" si="92"/>
        <v>3.9455735830211502E-2</v>
      </c>
      <c r="AY55">
        <f t="shared" si="93"/>
        <v>-3.7178771423171449E-2</v>
      </c>
      <c r="AZ55">
        <f t="shared" si="94"/>
        <v>-5.1042048567586464E-2</v>
      </c>
      <c r="BA55">
        <f t="shared" si="95"/>
        <v>5.2744749756218788E-3</v>
      </c>
    </row>
    <row r="56" spans="1:53" ht="14.4" x14ac:dyDescent="0.55000000000000004">
      <c r="A56" s="4">
        <v>40723</v>
      </c>
      <c r="B56">
        <v>5.2925176073054997E-2</v>
      </c>
      <c r="C56">
        <v>-4.8339880066312402E-2</v>
      </c>
      <c r="D56">
        <v>-7.6570457581276397E-2</v>
      </c>
      <c r="E56">
        <v>-1.04433571404154E-2</v>
      </c>
      <c r="F56">
        <f t="shared" si="48"/>
        <v>4.815551633726723E-2</v>
      </c>
      <c r="G56">
        <f t="shared" si="49"/>
        <v>-4.4451990257367235E-2</v>
      </c>
      <c r="H56">
        <f t="shared" si="50"/>
        <v>-6.7472517378097188E-2</v>
      </c>
      <c r="I56">
        <f t="shared" si="51"/>
        <v>-1.9650726369780363E-3</v>
      </c>
      <c r="J56">
        <f t="shared" si="52"/>
        <v>4.6290419807146418E-2</v>
      </c>
      <c r="K56">
        <f t="shared" si="53"/>
        <v>-4.3170975375417489E-2</v>
      </c>
      <c r="L56">
        <f t="shared" si="54"/>
        <v>-6.3251897496457196E-2</v>
      </c>
      <c r="M56">
        <f t="shared" si="55"/>
        <v>7.1179775252869582E-3</v>
      </c>
      <c r="N56">
        <f t="shared" si="56"/>
        <v>4.3094601139650357E-2</v>
      </c>
      <c r="O56">
        <f t="shared" si="57"/>
        <v>-4.017957363036645E-2</v>
      </c>
      <c r="P56">
        <f t="shared" si="58"/>
        <v>-5.6745266919999218E-2</v>
      </c>
      <c r="Q56">
        <f t="shared" si="59"/>
        <v>1.4301741346816506E-2</v>
      </c>
      <c r="R56">
        <f t="shared" si="60"/>
        <v>4.3243854508055644E-2</v>
      </c>
      <c r="S56">
        <f t="shared" si="61"/>
        <v>-4.0299093354834302E-2</v>
      </c>
      <c r="T56">
        <f t="shared" si="62"/>
        <v>-5.8832285889522815E-2</v>
      </c>
      <c r="U56">
        <f t="shared" si="63"/>
        <v>1.3595581148414955E-2</v>
      </c>
      <c r="V56">
        <f t="shared" si="64"/>
        <v>4.4474258911616202E-2</v>
      </c>
      <c r="W56">
        <f t="shared" si="65"/>
        <v>-4.1296077573476121E-2</v>
      </c>
      <c r="X56">
        <f t="shared" si="66"/>
        <v>-6.3958344842696205E-2</v>
      </c>
      <c r="Y56">
        <f t="shared" si="67"/>
        <v>9.5185931487196604E-3</v>
      </c>
      <c r="Z56">
        <f t="shared" si="68"/>
        <v>4.2726527153719079E-2</v>
      </c>
      <c r="AA56">
        <f t="shared" si="69"/>
        <v>-4.0077875161334105E-2</v>
      </c>
      <c r="AB56">
        <f t="shared" si="70"/>
        <v>-6.0406305074457427E-2</v>
      </c>
      <c r="AC56">
        <f t="shared" si="71"/>
        <v>1.0523929357569262E-2</v>
      </c>
      <c r="AD56">
        <f t="shared" si="72"/>
        <v>4.6028254444356716E-2</v>
      </c>
      <c r="AE56">
        <f t="shared" si="73"/>
        <v>-4.1401407964860137E-2</v>
      </c>
      <c r="AF56">
        <f t="shared" si="74"/>
        <v>-6.3406140761014404E-2</v>
      </c>
      <c r="AG56">
        <f t="shared" si="75"/>
        <v>-9.26010784085801E-3</v>
      </c>
      <c r="AH56">
        <f t="shared" si="76"/>
        <v>4.5857360616596517E-2</v>
      </c>
      <c r="AI56">
        <f t="shared" si="77"/>
        <v>-4.1219686914850062E-2</v>
      </c>
      <c r="AJ56">
        <f t="shared" si="78"/>
        <v>-6.2490750579314379E-2</v>
      </c>
      <c r="AK56">
        <f t="shared" si="79"/>
        <v>-1.3869900349421234E-2</v>
      </c>
      <c r="AL56">
        <f t="shared" si="80"/>
        <v>4.3764468575154716E-2</v>
      </c>
      <c r="AM56">
        <f t="shared" si="81"/>
        <v>-3.9282586624208422E-2</v>
      </c>
      <c r="AN56">
        <f t="shared" si="82"/>
        <v>-5.7078163390260186E-2</v>
      </c>
      <c r="AO56">
        <f t="shared" si="83"/>
        <v>-1.4387650294464704E-2</v>
      </c>
      <c r="AP56">
        <f t="shared" si="84"/>
        <v>4.1797167314309866E-2</v>
      </c>
      <c r="AQ56">
        <f t="shared" si="85"/>
        <v>-3.7911914863236133E-2</v>
      </c>
      <c r="AR56">
        <f t="shared" si="86"/>
        <v>-5.3229410890588878E-2</v>
      </c>
      <c r="AS56">
        <f t="shared" si="87"/>
        <v>-9.6820082202631816E-3</v>
      </c>
      <c r="AT56">
        <f t="shared" si="88"/>
        <v>4.1537827516006473E-2</v>
      </c>
      <c r="AU56">
        <f t="shared" si="89"/>
        <v>-3.8716454276809503E-2</v>
      </c>
      <c r="AV56">
        <f t="shared" si="90"/>
        <v>-5.5233399082484952E-2</v>
      </c>
      <c r="AW56">
        <f t="shared" si="91"/>
        <v>-6.2855483407391402E-4</v>
      </c>
      <c r="AX56">
        <f t="shared" si="92"/>
        <v>4.0535535839603676E-2</v>
      </c>
      <c r="AY56">
        <f t="shared" si="93"/>
        <v>-3.806006826047624E-2</v>
      </c>
      <c r="AZ56">
        <f t="shared" si="94"/>
        <v>-5.3092729462595863E-2</v>
      </c>
      <c r="BA56">
        <f t="shared" si="95"/>
        <v>3.525026426247339E-4</v>
      </c>
    </row>
    <row r="57" spans="1:53" ht="14.4" x14ac:dyDescent="0.55000000000000004">
      <c r="A57" s="4">
        <v>40751</v>
      </c>
      <c r="B57">
        <v>5.41326440503987E-2</v>
      </c>
      <c r="C57">
        <v>-4.8838668505349403E-2</v>
      </c>
      <c r="D57">
        <v>-7.8837026528002896E-2</v>
      </c>
      <c r="E57">
        <v>-1.8037706777156499E-2</v>
      </c>
      <c r="F57">
        <f t="shared" si="48"/>
        <v>5.1047521389480176E-2</v>
      </c>
      <c r="G57">
        <f t="shared" si="49"/>
        <v>-4.6658693183918139E-2</v>
      </c>
      <c r="H57">
        <f t="shared" si="50"/>
        <v>-7.4070621775174525E-2</v>
      </c>
      <c r="I57">
        <f t="shared" si="51"/>
        <v>-7.6169415260291858E-3</v>
      </c>
      <c r="J57">
        <f t="shared" si="52"/>
        <v>4.688327160139396E-2</v>
      </c>
      <c r="K57">
        <f t="shared" si="53"/>
        <v>-4.3322052218971799E-2</v>
      </c>
      <c r="L57">
        <f t="shared" si="54"/>
        <v>-6.5853736237237739E-2</v>
      </c>
      <c r="M57">
        <f t="shared" si="55"/>
        <v>-4.8502262633486949E-4</v>
      </c>
      <c r="N57">
        <f t="shared" si="56"/>
        <v>4.5072654757183403E-2</v>
      </c>
      <c r="O57">
        <f t="shared" si="57"/>
        <v>-4.2051596351051324E-2</v>
      </c>
      <c r="P57">
        <f t="shared" si="58"/>
        <v>-6.2055132454934332E-2</v>
      </c>
      <c r="Q57">
        <f t="shared" si="59"/>
        <v>8.1600631758175952E-3</v>
      </c>
      <c r="R57">
        <f t="shared" si="60"/>
        <v>4.2259267802918762E-2</v>
      </c>
      <c r="S57">
        <f t="shared" si="61"/>
        <v>-3.9432980555914508E-2</v>
      </c>
      <c r="T57">
        <f t="shared" si="62"/>
        <v>-5.6175416798626122E-2</v>
      </c>
      <c r="U57">
        <f t="shared" si="63"/>
        <v>1.4431208862181917E-2</v>
      </c>
      <c r="V57">
        <f t="shared" si="64"/>
        <v>4.2556107078094312E-2</v>
      </c>
      <c r="W57">
        <f t="shared" si="65"/>
        <v>-3.9765153744985189E-2</v>
      </c>
      <c r="X57">
        <f t="shared" si="66"/>
        <v>-5.8123468842776284E-2</v>
      </c>
      <c r="Y57">
        <f t="shared" si="67"/>
        <v>1.3359838788138279E-2</v>
      </c>
      <c r="Z57">
        <f t="shared" si="68"/>
        <v>4.390831780579612E-2</v>
      </c>
      <c r="AA57">
        <f t="shared" si="69"/>
        <v>-4.09910337009965E-2</v>
      </c>
      <c r="AB57">
        <f t="shared" si="70"/>
        <v>-6.2842369680583085E-2</v>
      </c>
      <c r="AC57">
        <f t="shared" si="71"/>
        <v>9.0249265848693638E-3</v>
      </c>
      <c r="AD57">
        <f t="shared" si="72"/>
        <v>4.2378739915815679E-2</v>
      </c>
      <c r="AE57">
        <f t="shared" si="73"/>
        <v>-3.9935935762020279E-2</v>
      </c>
      <c r="AF57">
        <f t="shared" si="74"/>
        <v>-5.9611256221404514E-2</v>
      </c>
      <c r="AG57">
        <f t="shared" si="75"/>
        <v>9.6685245213641077E-3</v>
      </c>
      <c r="AH57">
        <f t="shared" si="76"/>
        <v>4.5349544325028496E-2</v>
      </c>
      <c r="AI57">
        <f t="shared" si="77"/>
        <v>-4.0916912166047183E-2</v>
      </c>
      <c r="AJ57">
        <f t="shared" si="78"/>
        <v>-6.211257848642409E-2</v>
      </c>
      <c r="AK57">
        <f t="shared" si="79"/>
        <v>-8.423897218329552E-3</v>
      </c>
      <c r="AL57">
        <f t="shared" si="80"/>
        <v>4.5237706398177417E-2</v>
      </c>
      <c r="AM57">
        <f t="shared" si="81"/>
        <v>-4.0755290565132163E-2</v>
      </c>
      <c r="AN57">
        <f t="shared" si="82"/>
        <v>-6.1231446887258109E-2</v>
      </c>
      <c r="AO57">
        <f t="shared" si="83"/>
        <v>-1.2859467262650982E-2</v>
      </c>
      <c r="AP57">
        <f t="shared" si="84"/>
        <v>4.338199174798036E-2</v>
      </c>
      <c r="AQ57">
        <f t="shared" si="85"/>
        <v>-3.8984647151734726E-2</v>
      </c>
      <c r="AR57">
        <f t="shared" si="86"/>
        <v>-5.6263560431723245E-2</v>
      </c>
      <c r="AS57">
        <f t="shared" si="87"/>
        <v>-1.360420978057492E-2</v>
      </c>
      <c r="AT57">
        <f t="shared" si="88"/>
        <v>4.1611543426352045E-2</v>
      </c>
      <c r="AU57">
        <f t="shared" si="89"/>
        <v>-3.7768503934103449E-2</v>
      </c>
      <c r="AV57">
        <f t="shared" si="90"/>
        <v>-5.2791034279700472E-2</v>
      </c>
      <c r="AW57">
        <f t="shared" si="91"/>
        <v>-9.4091770428344802E-3</v>
      </c>
      <c r="AX57">
        <f t="shared" si="92"/>
        <v>4.1354100296826304E-2</v>
      </c>
      <c r="AY57">
        <f t="shared" si="93"/>
        <v>-3.8603273052546655E-2</v>
      </c>
      <c r="AZ57">
        <f t="shared" si="94"/>
        <v>-5.4745552567205334E-2</v>
      </c>
      <c r="BA57">
        <f t="shared" si="95"/>
        <v>-9.7074723962701647E-4</v>
      </c>
    </row>
    <row r="58" spans="1:53" ht="14.4" x14ac:dyDescent="0.55000000000000004">
      <c r="A58" s="4">
        <v>40786</v>
      </c>
      <c r="B58">
        <v>5.5489776289907401E-2</v>
      </c>
      <c r="C58">
        <v>-5.00130146781902E-2</v>
      </c>
      <c r="D58">
        <v>-7.9427441851524005E-2</v>
      </c>
      <c r="E58">
        <v>-4.8798108630067602E-2</v>
      </c>
      <c r="F58">
        <f t="shared" si="48"/>
        <v>5.2241664135308383E-2</v>
      </c>
      <c r="G58">
        <f t="shared" si="49"/>
        <v>-4.7179250231692421E-2</v>
      </c>
      <c r="H58">
        <f t="shared" si="50"/>
        <v>-7.608203146517227E-2</v>
      </c>
      <c r="I58">
        <f t="shared" si="51"/>
        <v>-1.4852376746936229E-2</v>
      </c>
      <c r="J58">
        <f t="shared" si="52"/>
        <v>4.9527466364212049E-2</v>
      </c>
      <c r="K58">
        <f t="shared" si="53"/>
        <v>-4.5364527577066431E-2</v>
      </c>
      <c r="L58">
        <f t="shared" si="54"/>
        <v>-7.1849803378243648E-2</v>
      </c>
      <c r="M58">
        <f t="shared" si="55"/>
        <v>-5.5896892212206374E-3</v>
      </c>
      <c r="N58">
        <f t="shared" si="56"/>
        <v>4.586653142760623E-2</v>
      </c>
      <c r="O58">
        <f t="shared" si="57"/>
        <v>-4.2467674088289227E-2</v>
      </c>
      <c r="P58">
        <f t="shared" si="58"/>
        <v>-6.4416532684158451E-2</v>
      </c>
      <c r="Q58">
        <f t="shared" si="59"/>
        <v>4.4645923166210499E-4</v>
      </c>
      <c r="R58">
        <f t="shared" si="60"/>
        <v>4.4140798954414945E-2</v>
      </c>
      <c r="S58">
        <f t="shared" si="61"/>
        <v>-4.1252000268123437E-2</v>
      </c>
      <c r="T58">
        <f t="shared" si="62"/>
        <v>-6.1008608105723228E-2</v>
      </c>
      <c r="U58">
        <f t="shared" si="63"/>
        <v>8.5955595683075686E-3</v>
      </c>
      <c r="V58">
        <f t="shared" si="64"/>
        <v>4.1650144541938182E-2</v>
      </c>
      <c r="W58">
        <f t="shared" si="65"/>
        <v>-3.8940588741961012E-2</v>
      </c>
      <c r="X58">
        <f t="shared" si="66"/>
        <v>-5.5689491668434003E-2</v>
      </c>
      <c r="Y58">
        <f t="shared" si="67"/>
        <v>1.4102209016063164E-2</v>
      </c>
      <c r="Z58">
        <f t="shared" si="68"/>
        <v>4.2031284614818074E-2</v>
      </c>
      <c r="AA58">
        <f t="shared" si="69"/>
        <v>-3.9399776367938559E-2</v>
      </c>
      <c r="AB58">
        <f t="shared" si="70"/>
        <v>-5.7495499581894149E-2</v>
      </c>
      <c r="AC58">
        <f t="shared" si="71"/>
        <v>1.2824396512674007E-2</v>
      </c>
      <c r="AD58">
        <f t="shared" si="72"/>
        <v>4.342118638250736E-2</v>
      </c>
      <c r="AE58">
        <f t="shared" si="73"/>
        <v>-4.0736728688053794E-2</v>
      </c>
      <c r="AF58">
        <f t="shared" si="74"/>
        <v>-6.1822346391431492E-2</v>
      </c>
      <c r="AG58">
        <f t="shared" si="75"/>
        <v>8.4396878759242337E-3</v>
      </c>
      <c r="AH58">
        <f t="shared" si="76"/>
        <v>4.2074723992925757E-2</v>
      </c>
      <c r="AI58">
        <f t="shared" si="77"/>
        <v>-3.9810197828034223E-2</v>
      </c>
      <c r="AJ58">
        <f t="shared" si="78"/>
        <v>-5.8877832243806848E-2</v>
      </c>
      <c r="AK58">
        <f t="shared" si="79"/>
        <v>8.8016660749341349E-3</v>
      </c>
      <c r="AL58">
        <f t="shared" si="80"/>
        <v>4.4756549319473406E-2</v>
      </c>
      <c r="AM58">
        <f t="shared" si="81"/>
        <v>-4.0502677914727392E-2</v>
      </c>
      <c r="AN58">
        <f t="shared" si="82"/>
        <v>-6.0941523595569771E-2</v>
      </c>
      <c r="AO58">
        <f t="shared" si="83"/>
        <v>-7.758813002733218E-3</v>
      </c>
      <c r="AP58">
        <f t="shared" si="84"/>
        <v>4.4687366827729905E-2</v>
      </c>
      <c r="AQ58">
        <f t="shared" si="85"/>
        <v>-4.0346289714964338E-2</v>
      </c>
      <c r="AR58">
        <f t="shared" si="86"/>
        <v>-6.0090461172305321E-2</v>
      </c>
      <c r="AS58">
        <f t="shared" si="87"/>
        <v>-1.1996342514142133E-2</v>
      </c>
      <c r="AT58">
        <f t="shared" si="88"/>
        <v>4.3037389343285715E-2</v>
      </c>
      <c r="AU58">
        <f t="shared" si="89"/>
        <v>-3.8716321356196882E-2</v>
      </c>
      <c r="AV58">
        <f t="shared" si="90"/>
        <v>-5.5525357244551585E-2</v>
      </c>
      <c r="AW58">
        <f t="shared" si="91"/>
        <v>-1.2908407794330685E-2</v>
      </c>
      <c r="AX58">
        <f t="shared" si="92"/>
        <v>4.144224975925468E-2</v>
      </c>
      <c r="AY58">
        <f t="shared" si="93"/>
        <v>-3.7635325044895016E-2</v>
      </c>
      <c r="AZ58">
        <f t="shared" si="94"/>
        <v>-5.2391599354556465E-2</v>
      </c>
      <c r="BA58">
        <f t="shared" si="95"/>
        <v>-9.1666505380056072E-3</v>
      </c>
    </row>
    <row r="59" spans="1:53" ht="14.4" x14ac:dyDescent="0.55000000000000004">
      <c r="A59" s="4">
        <v>40814</v>
      </c>
      <c r="B59">
        <v>4.3831457754978903E-2</v>
      </c>
      <c r="C59">
        <v>-3.90154046717852E-2</v>
      </c>
      <c r="D59">
        <v>-6.3578712312338803E-2</v>
      </c>
      <c r="E59">
        <v>-2.8247411196551199E-2</v>
      </c>
      <c r="F59">
        <f t="shared" si="48"/>
        <v>5.3734037218900618E-2</v>
      </c>
      <c r="G59">
        <f t="shared" si="49"/>
        <v>-4.8312534000059637E-2</v>
      </c>
      <c r="H59">
        <f t="shared" si="50"/>
        <v>-7.6351461719027333E-2</v>
      </c>
      <c r="I59">
        <f t="shared" si="51"/>
        <v>-4.4207816470040698E-2</v>
      </c>
      <c r="J59">
        <f t="shared" si="52"/>
        <v>5.0680659828033665E-2</v>
      </c>
      <c r="K59">
        <f t="shared" si="53"/>
        <v>-4.5869149924026659E-2</v>
      </c>
      <c r="L59">
        <f t="shared" si="54"/>
        <v>-7.362443815692768E-2</v>
      </c>
      <c r="M59">
        <f t="shared" si="55"/>
        <v>-1.2417064414900548E-2</v>
      </c>
      <c r="N59">
        <f t="shared" si="56"/>
        <v>4.8277328647233601E-2</v>
      </c>
      <c r="O59">
        <f t="shared" si="57"/>
        <v>-4.4349824144692837E-2</v>
      </c>
      <c r="P59">
        <f t="shared" si="58"/>
        <v>-6.9864663259517831E-2</v>
      </c>
      <c r="Q59">
        <f t="shared" si="59"/>
        <v>-4.1457609239330387E-3</v>
      </c>
      <c r="R59">
        <f t="shared" si="60"/>
        <v>4.504079079598941E-2</v>
      </c>
      <c r="S59">
        <f t="shared" si="61"/>
        <v>-4.1809686676089516E-2</v>
      </c>
      <c r="T59">
        <f t="shared" si="62"/>
        <v>-6.3131165792476379E-2</v>
      </c>
      <c r="U59">
        <f t="shared" si="63"/>
        <v>9.8706425007177682E-4</v>
      </c>
      <c r="V59">
        <f t="shared" si="64"/>
        <v>4.3416731903654394E-2</v>
      </c>
      <c r="W59">
        <f t="shared" si="65"/>
        <v>-4.0674730682855861E-2</v>
      </c>
      <c r="X59">
        <f t="shared" si="66"/>
        <v>-6.0082226133267011E-2</v>
      </c>
      <c r="Y59">
        <f t="shared" si="67"/>
        <v>8.6152391641411141E-3</v>
      </c>
      <c r="Z59">
        <f t="shared" si="68"/>
        <v>4.1201854763331242E-2</v>
      </c>
      <c r="AA59">
        <f t="shared" si="69"/>
        <v>-3.8620440719831894E-2</v>
      </c>
      <c r="AB59">
        <f t="shared" si="70"/>
        <v>-5.5265919090141287E-2</v>
      </c>
      <c r="AC59">
        <f t="shared" si="71"/>
        <v>1.3473554704890693E-2</v>
      </c>
      <c r="AD59">
        <f t="shared" si="72"/>
        <v>4.1625033084553967E-2</v>
      </c>
      <c r="AE59">
        <f t="shared" si="73"/>
        <v>-3.914885379710966E-2</v>
      </c>
      <c r="AF59">
        <f t="shared" si="74"/>
        <v>-5.6931884864639737E-2</v>
      </c>
      <c r="AG59">
        <f t="shared" si="75"/>
        <v>1.2095483389727371E-2</v>
      </c>
      <c r="AH59">
        <f t="shared" si="76"/>
        <v>4.2998595656000754E-2</v>
      </c>
      <c r="AI59">
        <f t="shared" si="77"/>
        <v>-4.0519261307658275E-2</v>
      </c>
      <c r="AJ59">
        <f t="shared" si="78"/>
        <v>-6.0887376778201774E-2</v>
      </c>
      <c r="AK59">
        <f t="shared" si="79"/>
        <v>7.7940586270918988E-3</v>
      </c>
      <c r="AL59">
        <f t="shared" si="80"/>
        <v>4.1807813926401573E-2</v>
      </c>
      <c r="AM59">
        <f t="shared" si="81"/>
        <v>-3.9695756446164764E-2</v>
      </c>
      <c r="AN59">
        <f t="shared" si="82"/>
        <v>-5.8199798477826248E-2</v>
      </c>
      <c r="AO59">
        <f t="shared" si="83"/>
        <v>7.935629732304935E-3</v>
      </c>
      <c r="AP59">
        <f t="shared" si="84"/>
        <v>4.4235065491649073E-2</v>
      </c>
      <c r="AQ59">
        <f t="shared" si="85"/>
        <v>-4.0143886517641614E-2</v>
      </c>
      <c r="AR59">
        <f t="shared" si="86"/>
        <v>-5.9879481496747038E-2</v>
      </c>
      <c r="AS59">
        <f t="shared" si="87"/>
        <v>-7.2307713217445837E-3</v>
      </c>
      <c r="AT59">
        <f t="shared" si="88"/>
        <v>4.4196848427762392E-2</v>
      </c>
      <c r="AU59">
        <f t="shared" si="89"/>
        <v>-3.9983482088817864E-2</v>
      </c>
      <c r="AV59">
        <f t="shared" si="90"/>
        <v>-5.9055669180567399E-2</v>
      </c>
      <c r="AW59">
        <f t="shared" si="91"/>
        <v>-1.125750887643311E-2</v>
      </c>
      <c r="AX59">
        <f t="shared" si="92"/>
        <v>4.2726698154157229E-2</v>
      </c>
      <c r="AY59">
        <f t="shared" si="93"/>
        <v>-3.8474259954393956E-2</v>
      </c>
      <c r="AZ59">
        <f t="shared" si="94"/>
        <v>-5.4856177067892857E-2</v>
      </c>
      <c r="BA59">
        <f t="shared" si="95"/>
        <v>-1.2290366621188861E-2</v>
      </c>
    </row>
    <row r="60" spans="1:53" ht="14.4" x14ac:dyDescent="0.55000000000000004">
      <c r="A60" s="4">
        <v>40842</v>
      </c>
      <c r="B60">
        <v>4.0609363537629402E-2</v>
      </c>
      <c r="C60">
        <v>-3.6452346382402301E-2</v>
      </c>
      <c r="D60">
        <v>-6.1757690203936698E-2</v>
      </c>
      <c r="E60">
        <v>-1.20339516782118E-2</v>
      </c>
      <c r="F60">
        <f t="shared" si="48"/>
        <v>4.4271678060238129E-2</v>
      </c>
      <c r="G60">
        <f t="shared" si="49"/>
        <v>-3.9745049125503633E-2</v>
      </c>
      <c r="H60">
        <f t="shared" si="50"/>
        <v>-6.2277558027062238E-2</v>
      </c>
      <c r="I60">
        <f t="shared" si="51"/>
        <v>-2.8711851134633717E-2</v>
      </c>
      <c r="J60">
        <f t="shared" si="52"/>
        <v>5.222692574168309E-2</v>
      </c>
      <c r="K60">
        <f t="shared" si="53"/>
        <v>-4.6881156298787113E-2</v>
      </c>
      <c r="L60">
        <f t="shared" si="54"/>
        <v>-7.3594475977688312E-2</v>
      </c>
      <c r="M60">
        <f t="shared" si="55"/>
        <v>-4.0257528743096391E-2</v>
      </c>
      <c r="N60">
        <f t="shared" si="56"/>
        <v>4.9373243176339114E-2</v>
      </c>
      <c r="O60">
        <f t="shared" si="57"/>
        <v>-4.4815742723794939E-2</v>
      </c>
      <c r="P60">
        <f t="shared" si="58"/>
        <v>-7.1421803744474349E-2</v>
      </c>
      <c r="Q60">
        <f t="shared" si="59"/>
        <v>-1.0543104489529971E-2</v>
      </c>
      <c r="R60">
        <f t="shared" si="60"/>
        <v>4.723406556771171E-2</v>
      </c>
      <c r="S60">
        <f t="shared" si="61"/>
        <v>-4.3538681270744048E-2</v>
      </c>
      <c r="T60">
        <f t="shared" si="62"/>
        <v>-6.8081171924802258E-2</v>
      </c>
      <c r="U60">
        <f t="shared" si="63"/>
        <v>-3.1308997926482156E-3</v>
      </c>
      <c r="V60">
        <f t="shared" si="64"/>
        <v>4.4359883021283859E-2</v>
      </c>
      <c r="W60">
        <f t="shared" si="65"/>
        <v>-4.1292498509249299E-2</v>
      </c>
      <c r="X60">
        <f t="shared" si="66"/>
        <v>-6.1974607373901612E-2</v>
      </c>
      <c r="Y60">
        <f t="shared" si="67"/>
        <v>1.248698736981494E-3</v>
      </c>
      <c r="Z60">
        <f t="shared" si="68"/>
        <v>4.2845225927307842E-2</v>
      </c>
      <c r="AA60">
        <f t="shared" si="69"/>
        <v>-4.025192630439324E-2</v>
      </c>
      <c r="AB60">
        <f t="shared" si="70"/>
        <v>-5.9253667532299499E-2</v>
      </c>
      <c r="AC60">
        <f t="shared" si="71"/>
        <v>8.3527539640421804E-3</v>
      </c>
      <c r="AD60">
        <f t="shared" si="72"/>
        <v>4.0868553271523389E-2</v>
      </c>
      <c r="AE60">
        <f t="shared" si="73"/>
        <v>-3.8415882927060496E-2</v>
      </c>
      <c r="AF60">
        <f t="shared" si="74"/>
        <v>-5.4889415524958324E-2</v>
      </c>
      <c r="AG60">
        <f t="shared" si="75"/>
        <v>1.2655360572212735E-2</v>
      </c>
      <c r="AH60">
        <f t="shared" si="76"/>
        <v>4.1305961202705972E-2</v>
      </c>
      <c r="AI60">
        <f t="shared" si="77"/>
        <v>-3.8974947511905694E-2</v>
      </c>
      <c r="AJ60">
        <f t="shared" si="78"/>
        <v>-5.6420492795916162E-2</v>
      </c>
      <c r="AK60">
        <f t="shared" si="79"/>
        <v>1.1247041904991534E-2</v>
      </c>
      <c r="AL60">
        <f t="shared" si="80"/>
        <v>4.2629652874837672E-2</v>
      </c>
      <c r="AM60">
        <f t="shared" si="81"/>
        <v>-4.0328763981508711E-2</v>
      </c>
      <c r="AN60">
        <f t="shared" si="82"/>
        <v>-6.0028265966046823E-2</v>
      </c>
      <c r="AO60">
        <f t="shared" si="83"/>
        <v>7.1108712387886967E-3</v>
      </c>
      <c r="AP60">
        <f t="shared" si="84"/>
        <v>4.1572700149087406E-2</v>
      </c>
      <c r="AQ60">
        <f t="shared" si="85"/>
        <v>-3.9589173646259572E-2</v>
      </c>
      <c r="AR60">
        <f t="shared" si="86"/>
        <v>-5.757176206394931E-2</v>
      </c>
      <c r="AS60">
        <f t="shared" si="87"/>
        <v>7.0794120160909057E-3</v>
      </c>
      <c r="AT60">
        <f t="shared" si="88"/>
        <v>4.3774062981278949E-2</v>
      </c>
      <c r="AU60">
        <f t="shared" si="89"/>
        <v>-3.9829554546390998E-2</v>
      </c>
      <c r="AV60">
        <f t="shared" si="90"/>
        <v>-5.891483732363597E-2</v>
      </c>
      <c r="AW60">
        <f t="shared" si="91"/>
        <v>-6.8136416273933825E-3</v>
      </c>
      <c r="AX60">
        <f t="shared" si="92"/>
        <v>4.3758430936822607E-2</v>
      </c>
      <c r="AY60">
        <f t="shared" si="93"/>
        <v>-3.9659705247045283E-2</v>
      </c>
      <c r="AZ60">
        <f t="shared" si="94"/>
        <v>-5.8116388185452422E-2</v>
      </c>
      <c r="BA60">
        <f t="shared" si="95"/>
        <v>-1.0624415429878797E-2</v>
      </c>
    </row>
    <row r="61" spans="1:53" ht="14.4" x14ac:dyDescent="0.55000000000000004">
      <c r="A61" s="4">
        <v>40877</v>
      </c>
      <c r="B61">
        <v>3.83209443055458E-2</v>
      </c>
      <c r="C61">
        <v>-3.42689244779215E-2</v>
      </c>
      <c r="D61">
        <v>-5.9926396461099998E-2</v>
      </c>
      <c r="E61">
        <v>-1.1120143447784E-2</v>
      </c>
      <c r="F61">
        <f t="shared" si="48"/>
        <v>4.1651612584116759E-2</v>
      </c>
      <c r="G61">
        <f t="shared" si="49"/>
        <v>-3.7939431858856787E-2</v>
      </c>
      <c r="H61">
        <f t="shared" si="50"/>
        <v>-6.0861552582422533E-2</v>
      </c>
      <c r="I61">
        <f t="shared" si="51"/>
        <v>-1.4595000492497708E-2</v>
      </c>
      <c r="J61">
        <f t="shared" si="52"/>
        <v>4.4424645824174443E-2</v>
      </c>
      <c r="K61">
        <f t="shared" si="53"/>
        <v>-4.008257624262878E-2</v>
      </c>
      <c r="L61">
        <f t="shared" si="54"/>
        <v>-6.1024329315906144E-2</v>
      </c>
      <c r="M61">
        <f t="shared" si="55"/>
        <v>-2.8491636237175308E-2</v>
      </c>
      <c r="N61">
        <f t="shared" si="56"/>
        <v>5.091994258726399E-2</v>
      </c>
      <c r="O61">
        <f t="shared" si="57"/>
        <v>-4.5660727205095619E-2</v>
      </c>
      <c r="P61">
        <f t="shared" si="58"/>
        <v>-7.1118264501217582E-2</v>
      </c>
      <c r="Q61">
        <f t="shared" si="59"/>
        <v>-3.682435818580912E-2</v>
      </c>
      <c r="R61">
        <f t="shared" si="60"/>
        <v>4.8263959765075089E-2</v>
      </c>
      <c r="S61">
        <f t="shared" si="61"/>
        <v>-4.3953185833762926E-2</v>
      </c>
      <c r="T61">
        <f t="shared" si="62"/>
        <v>-6.9440077046433069E-2</v>
      </c>
      <c r="U61">
        <f t="shared" si="63"/>
        <v>-9.0942009172261373E-3</v>
      </c>
      <c r="V61">
        <f t="shared" si="64"/>
        <v>4.6351969205921072E-2</v>
      </c>
      <c r="W61">
        <f t="shared" si="65"/>
        <v>-4.2877339403453889E-2</v>
      </c>
      <c r="X61">
        <f t="shared" si="66"/>
        <v>-6.6472153210078197E-2</v>
      </c>
      <c r="Y61">
        <f t="shared" si="67"/>
        <v>-2.4341646026897912E-3</v>
      </c>
      <c r="Z61">
        <f t="shared" si="68"/>
        <v>4.3790521481524819E-2</v>
      </c>
      <c r="AA61">
        <f t="shared" si="69"/>
        <v>-4.0876983291136489E-2</v>
      </c>
      <c r="AB61">
        <f t="shared" si="70"/>
        <v>-6.0928727096543747E-2</v>
      </c>
      <c r="AC61">
        <f t="shared" si="71"/>
        <v>1.3111313612210809E-3</v>
      </c>
      <c r="AD61">
        <f t="shared" si="72"/>
        <v>4.2387062487977155E-2</v>
      </c>
      <c r="AE61">
        <f t="shared" si="73"/>
        <v>-3.9936335873238055E-2</v>
      </c>
      <c r="AF61">
        <f t="shared" si="74"/>
        <v>-5.8506162617000694E-2</v>
      </c>
      <c r="AG61">
        <f t="shared" si="75"/>
        <v>7.9018419275118847E-3</v>
      </c>
      <c r="AH61">
        <f t="shared" si="76"/>
        <v>4.0618016609004978E-2</v>
      </c>
      <c r="AI61">
        <f t="shared" si="77"/>
        <v>-3.8287845782239191E-2</v>
      </c>
      <c r="AJ61">
        <f t="shared" si="78"/>
        <v>-5.4549104713428123E-2</v>
      </c>
      <c r="AK61">
        <f t="shared" si="79"/>
        <v>1.172381323002575E-2</v>
      </c>
      <c r="AL61">
        <f t="shared" si="80"/>
        <v>4.1051746785477496E-2</v>
      </c>
      <c r="AM61">
        <f t="shared" si="81"/>
        <v>-3.8852211148719125E-2</v>
      </c>
      <c r="AN61">
        <f t="shared" si="82"/>
        <v>-5.5952293541208398E-2</v>
      </c>
      <c r="AO61">
        <f t="shared" si="83"/>
        <v>1.0330462279814314E-2</v>
      </c>
      <c r="AP61">
        <f t="shared" si="84"/>
        <v>4.2305907347293954E-2</v>
      </c>
      <c r="AQ61">
        <f t="shared" si="85"/>
        <v>-4.0158209371126539E-2</v>
      </c>
      <c r="AR61">
        <f t="shared" si="86"/>
        <v>-5.9237162094905871E-2</v>
      </c>
      <c r="AS61">
        <f t="shared" si="87"/>
        <v>6.4069516653065947E-3</v>
      </c>
      <c r="AT61">
        <f t="shared" si="88"/>
        <v>4.1365081853491685E-2</v>
      </c>
      <c r="AU61">
        <f t="shared" si="89"/>
        <v>-3.9488047165612536E-2</v>
      </c>
      <c r="AV61">
        <f t="shared" si="90"/>
        <v>-5.6989018956430673E-2</v>
      </c>
      <c r="AW61">
        <f t="shared" si="91"/>
        <v>6.2396031759866062E-3</v>
      </c>
      <c r="AX61">
        <f t="shared" si="92"/>
        <v>4.336482972763963E-2</v>
      </c>
      <c r="AY61">
        <f t="shared" si="93"/>
        <v>-3.9551439508458304E-2</v>
      </c>
      <c r="AZ61">
        <f t="shared" si="94"/>
        <v>-5.8037499553679379E-2</v>
      </c>
      <c r="BA61">
        <f t="shared" si="95"/>
        <v>-6.4870978735381028E-3</v>
      </c>
    </row>
    <row r="62" spans="1:53" ht="14.4" x14ac:dyDescent="0.55000000000000004">
      <c r="A62" s="4">
        <v>40905</v>
      </c>
      <c r="B62">
        <v>3.9261876218780002E-2</v>
      </c>
      <c r="C62">
        <v>-3.5499756916020399E-2</v>
      </c>
      <c r="D62">
        <v>-5.6490861175278698E-2</v>
      </c>
      <c r="E62">
        <v>-2.0929891526957001E-2</v>
      </c>
      <c r="F62">
        <f t="shared" si="48"/>
        <v>3.9963365021204053E-2</v>
      </c>
      <c r="G62">
        <f t="shared" si="49"/>
        <v>-3.6438030069000003E-2</v>
      </c>
      <c r="H62">
        <f t="shared" si="50"/>
        <v>-5.9280818929803032E-2</v>
      </c>
      <c r="I62">
        <f t="shared" si="51"/>
        <v>-1.4912920756430194E-2</v>
      </c>
      <c r="J62">
        <f t="shared" si="52"/>
        <v>4.2255615230855428E-2</v>
      </c>
      <c r="K62">
        <f t="shared" si="53"/>
        <v>-3.8834896728811942E-2</v>
      </c>
      <c r="L62">
        <f t="shared" si="54"/>
        <v>-5.9938743307219482E-2</v>
      </c>
      <c r="M62">
        <f t="shared" si="55"/>
        <v>-1.6057724933197001E-2</v>
      </c>
      <c r="N62">
        <f t="shared" si="56"/>
        <v>4.4392197699298197E-2</v>
      </c>
      <c r="O62">
        <f t="shared" si="57"/>
        <v>-4.0163210537889391E-2</v>
      </c>
      <c r="P62">
        <f t="shared" si="58"/>
        <v>-5.9838130721271789E-2</v>
      </c>
      <c r="Q62">
        <f t="shared" si="59"/>
        <v>-2.7839686460701618E-2</v>
      </c>
      <c r="R62">
        <f t="shared" si="60"/>
        <v>4.9776767233978829E-2</v>
      </c>
      <c r="S62">
        <f t="shared" si="61"/>
        <v>-4.4608530659138494E-2</v>
      </c>
      <c r="T62">
        <f t="shared" si="62"/>
        <v>-6.8890631206650538E-2</v>
      </c>
      <c r="U62">
        <f t="shared" si="63"/>
        <v>-3.3815999857214604E-2</v>
      </c>
      <c r="V62">
        <f t="shared" si="64"/>
        <v>4.7312137336816246E-2</v>
      </c>
      <c r="W62">
        <f t="shared" si="65"/>
        <v>-4.3234416740394667E-2</v>
      </c>
      <c r="X62">
        <f t="shared" si="66"/>
        <v>-6.7651482882483377E-2</v>
      </c>
      <c r="Y62">
        <f t="shared" si="67"/>
        <v>-7.9710402461321429E-3</v>
      </c>
      <c r="Z62">
        <f t="shared" si="68"/>
        <v>4.5597566832081847E-2</v>
      </c>
      <c r="AA62">
        <f t="shared" si="69"/>
        <v>-4.2327549240225817E-2</v>
      </c>
      <c r="AB62">
        <f t="shared" si="70"/>
        <v>-6.501553858354174E-2</v>
      </c>
      <c r="AC62">
        <f t="shared" si="71"/>
        <v>-1.9751742681986474E-3</v>
      </c>
      <c r="AD62">
        <f t="shared" si="72"/>
        <v>4.3308491298143105E-2</v>
      </c>
      <c r="AE62">
        <f t="shared" si="73"/>
        <v>-4.0535525063767938E-2</v>
      </c>
      <c r="AF62">
        <f t="shared" si="74"/>
        <v>-5.9979007341019228E-2</v>
      </c>
      <c r="AG62">
        <f t="shared" si="75"/>
        <v>1.2315172073892808E-3</v>
      </c>
      <c r="AH62">
        <f t="shared" si="76"/>
        <v>4.2014236135503362E-2</v>
      </c>
      <c r="AI62">
        <f t="shared" si="77"/>
        <v>-3.9695064502820794E-2</v>
      </c>
      <c r="AJ62">
        <f t="shared" si="78"/>
        <v>-5.7826925603441638E-2</v>
      </c>
      <c r="AK62">
        <f t="shared" si="79"/>
        <v>7.3283168380062274E-3</v>
      </c>
      <c r="AL62">
        <f t="shared" si="80"/>
        <v>4.0427529168495367E-2</v>
      </c>
      <c r="AM62">
        <f t="shared" si="81"/>
        <v>-3.8209474011847711E-2</v>
      </c>
      <c r="AN62">
        <f t="shared" si="82"/>
        <v>-5.4237204635058253E-2</v>
      </c>
      <c r="AO62">
        <f t="shared" si="83"/>
        <v>1.0731454297309073E-2</v>
      </c>
      <c r="AP62">
        <f t="shared" si="84"/>
        <v>4.0846423527551697E-2</v>
      </c>
      <c r="AQ62">
        <f t="shared" si="85"/>
        <v>-3.8762857928521251E-2</v>
      </c>
      <c r="AR62">
        <f t="shared" si="86"/>
        <v>-5.5520475807346148E-2</v>
      </c>
      <c r="AS62">
        <f t="shared" si="87"/>
        <v>9.3813667049249573E-3</v>
      </c>
      <c r="AT62">
        <f t="shared" si="88"/>
        <v>4.2020691748126351E-2</v>
      </c>
      <c r="AU62">
        <f t="shared" si="89"/>
        <v>-4.0002575398161044E-2</v>
      </c>
      <c r="AV62">
        <f t="shared" si="90"/>
        <v>-5.8507289603065588E-2</v>
      </c>
      <c r="AW62">
        <f t="shared" si="91"/>
        <v>5.6947725014377098E-3</v>
      </c>
      <c r="AX62">
        <f t="shared" si="92"/>
        <v>4.118141927134554E-2</v>
      </c>
      <c r="AY62">
        <f t="shared" si="93"/>
        <v>-3.9390707647724323E-2</v>
      </c>
      <c r="AZ62">
        <f t="shared" si="94"/>
        <v>-5.6447436819390788E-2</v>
      </c>
      <c r="BA62">
        <f t="shared" si="95"/>
        <v>5.4210105971989825E-3</v>
      </c>
    </row>
    <row r="63" spans="1:53" ht="14.4" x14ac:dyDescent="0.55000000000000004">
      <c r="A63" s="4">
        <v>40933</v>
      </c>
      <c r="B63">
        <v>4.3471817302335299E-2</v>
      </c>
      <c r="C63">
        <v>-3.8506273455052101E-2</v>
      </c>
      <c r="D63">
        <v>-6.7785702682695098E-2</v>
      </c>
      <c r="E63">
        <v>-2.6058785245563099E-2</v>
      </c>
      <c r="F63">
        <f t="shared" si="48"/>
        <v>4.0418333628768677E-2</v>
      </c>
      <c r="G63">
        <f t="shared" si="49"/>
        <v>-3.6930026370057781E-2</v>
      </c>
      <c r="H63">
        <f t="shared" si="50"/>
        <v>-5.5929450330042589E-2</v>
      </c>
      <c r="I63">
        <f t="shared" si="51"/>
        <v>-2.3002807093486562E-2</v>
      </c>
      <c r="J63">
        <f t="shared" si="52"/>
        <v>4.099604162033911E-2</v>
      </c>
      <c r="K63">
        <f t="shared" si="53"/>
        <v>-3.7800273980729035E-2</v>
      </c>
      <c r="L63">
        <f t="shared" si="54"/>
        <v>-5.8549518301350266E-2</v>
      </c>
      <c r="M63">
        <f t="shared" si="55"/>
        <v>-1.719065633972066E-2</v>
      </c>
      <c r="N63">
        <f t="shared" si="56"/>
        <v>4.2566355478295924E-2</v>
      </c>
      <c r="O63">
        <f t="shared" si="57"/>
        <v>-3.9330676535065973E-2</v>
      </c>
      <c r="P63">
        <f t="shared" si="58"/>
        <v>-5.9024744054299409E-2</v>
      </c>
      <c r="Q63">
        <f t="shared" si="59"/>
        <v>-1.6784726746696205E-2</v>
      </c>
      <c r="R63">
        <f t="shared" si="60"/>
        <v>4.4243803590900702E-2</v>
      </c>
      <c r="S63">
        <f t="shared" si="61"/>
        <v>-4.0079580262240892E-2</v>
      </c>
      <c r="T63">
        <f t="shared" si="62"/>
        <v>-5.8729071004068371E-2</v>
      </c>
      <c r="U63">
        <f t="shared" si="63"/>
        <v>-2.6928126172391806E-2</v>
      </c>
      <c r="V63">
        <f t="shared" si="64"/>
        <v>4.8769796093702363E-2</v>
      </c>
      <c r="W63">
        <f t="shared" si="65"/>
        <v>-4.3692804363962535E-2</v>
      </c>
      <c r="X63">
        <f t="shared" si="66"/>
        <v>-6.6884104370154102E-2</v>
      </c>
      <c r="Y63">
        <f t="shared" si="67"/>
        <v>-3.1162068648114365E-2</v>
      </c>
      <c r="Z63">
        <f t="shared" si="68"/>
        <v>4.648758617371912E-2</v>
      </c>
      <c r="AA63">
        <f t="shared" si="69"/>
        <v>-4.2625571636743825E-2</v>
      </c>
      <c r="AB63">
        <f t="shared" si="70"/>
        <v>-6.6033007612664785E-2</v>
      </c>
      <c r="AC63">
        <f t="shared" si="71"/>
        <v>-7.1005330546436551E-3</v>
      </c>
      <c r="AD63">
        <f t="shared" si="72"/>
        <v>4.4946057027080433E-2</v>
      </c>
      <c r="AE63">
        <f t="shared" si="73"/>
        <v>-4.1861946972060957E-2</v>
      </c>
      <c r="AF63">
        <f t="shared" si="74"/>
        <v>-6.3693119357888683E-2</v>
      </c>
      <c r="AG63">
        <f t="shared" si="75"/>
        <v>-1.6951906273444419E-3</v>
      </c>
      <c r="AH63">
        <f t="shared" si="76"/>
        <v>4.2895989739720884E-2</v>
      </c>
      <c r="AI63">
        <f t="shared" si="77"/>
        <v>-4.0248564982009037E-2</v>
      </c>
      <c r="AJ63">
        <f t="shared" si="78"/>
        <v>-5.9113628776879597E-2</v>
      </c>
      <c r="AK63">
        <f t="shared" si="79"/>
        <v>1.0510507590636828E-3</v>
      </c>
      <c r="AL63">
        <f t="shared" si="80"/>
        <v>4.1706611242120571E-2</v>
      </c>
      <c r="AM63">
        <f t="shared" si="81"/>
        <v>-3.9505220375486573E-2</v>
      </c>
      <c r="AN63">
        <f t="shared" si="82"/>
        <v>-5.7206052905326515E-2</v>
      </c>
      <c r="AO63">
        <f t="shared" si="83"/>
        <v>6.6784276030467781E-3</v>
      </c>
      <c r="AP63">
        <f t="shared" si="84"/>
        <v>4.0281018652864084E-2</v>
      </c>
      <c r="AQ63">
        <f t="shared" si="85"/>
        <v>-3.8162391801209436E-2</v>
      </c>
      <c r="AR63">
        <f t="shared" si="86"/>
        <v>-5.3948110452427714E-2</v>
      </c>
      <c r="AS63">
        <f t="shared" si="87"/>
        <v>9.7143413590958082E-3</v>
      </c>
      <c r="AT63">
        <f t="shared" si="88"/>
        <v>4.067848928114727E-2</v>
      </c>
      <c r="AU63">
        <f t="shared" si="89"/>
        <v>-3.8694702381818047E-2</v>
      </c>
      <c r="AV63">
        <f t="shared" si="90"/>
        <v>-5.5119825515346714E-2</v>
      </c>
      <c r="AW63">
        <f t="shared" si="91"/>
        <v>8.424340222735846E-3</v>
      </c>
      <c r="AX63">
        <f t="shared" si="92"/>
        <v>4.1768655878509559E-2</v>
      </c>
      <c r="AY63">
        <f t="shared" si="93"/>
        <v>-3.9858260157432157E-2</v>
      </c>
      <c r="AZ63">
        <f t="shared" si="94"/>
        <v>-5.7832749242239918E-2</v>
      </c>
      <c r="BA63">
        <f t="shared" si="95"/>
        <v>4.9836239528670999E-3</v>
      </c>
    </row>
    <row r="64" spans="1:53" ht="14.4" x14ac:dyDescent="0.55000000000000004">
      <c r="A64" s="4">
        <v>40968</v>
      </c>
      <c r="B64">
        <v>4.4159148187836103E-2</v>
      </c>
      <c r="C64">
        <v>-3.9046001164700701E-2</v>
      </c>
      <c r="D64">
        <v>-6.4442335616050006E-2</v>
      </c>
      <c r="E64">
        <v>-3.1636933178151597E-2</v>
      </c>
      <c r="F64">
        <f t="shared" si="48"/>
        <v>4.4383474099757014E-2</v>
      </c>
      <c r="G64">
        <f t="shared" si="49"/>
        <v>-3.9905577603096369E-2</v>
      </c>
      <c r="H64">
        <f t="shared" si="50"/>
        <v>-6.6267955137974122E-2</v>
      </c>
      <c r="I64">
        <f t="shared" si="51"/>
        <v>-2.7825086321440387E-2</v>
      </c>
      <c r="J64">
        <f t="shared" si="52"/>
        <v>4.1135496159825591E-2</v>
      </c>
      <c r="K64">
        <f t="shared" si="53"/>
        <v>-3.7789646057447043E-2</v>
      </c>
      <c r="L64">
        <f t="shared" si="54"/>
        <v>-5.5318567166620022E-2</v>
      </c>
      <c r="M64">
        <f t="shared" si="55"/>
        <v>-2.4014997025690182E-2</v>
      </c>
      <c r="N64">
        <f t="shared" si="56"/>
        <v>4.1614999646313322E-2</v>
      </c>
      <c r="O64">
        <f t="shared" si="57"/>
        <v>-3.8613710386443574E-2</v>
      </c>
      <c r="P64">
        <f t="shared" si="58"/>
        <v>-5.7784623529111054E-2</v>
      </c>
      <c r="Q64">
        <f t="shared" si="59"/>
        <v>-1.8443182146798034E-2</v>
      </c>
      <c r="R64">
        <f t="shared" si="60"/>
        <v>4.2683568654823291E-2</v>
      </c>
      <c r="S64">
        <f t="shared" si="61"/>
        <v>-3.9559236222541587E-2</v>
      </c>
      <c r="T64">
        <f t="shared" si="62"/>
        <v>-5.814171666243742E-2</v>
      </c>
      <c r="U64">
        <f t="shared" si="63"/>
        <v>-1.7025554884247937E-2</v>
      </c>
      <c r="V64">
        <f t="shared" si="64"/>
        <v>4.4026550737686618E-2</v>
      </c>
      <c r="W64">
        <f t="shared" si="65"/>
        <v>-3.9894813985481649E-2</v>
      </c>
      <c r="X64">
        <f t="shared" si="66"/>
        <v>-5.7701299191240875E-2</v>
      </c>
      <c r="Y64">
        <f t="shared" si="67"/>
        <v>-2.5873222101183355E-2</v>
      </c>
      <c r="Z64">
        <f t="shared" si="68"/>
        <v>4.7877711277298937E-2</v>
      </c>
      <c r="AA64">
        <f t="shared" si="69"/>
        <v>-4.2889600098400302E-2</v>
      </c>
      <c r="AB64">
        <f t="shared" si="70"/>
        <v>-6.5074981787275721E-2</v>
      </c>
      <c r="AC64">
        <f t="shared" si="71"/>
        <v>-2.880801259041553E-2</v>
      </c>
      <c r="AD64">
        <f t="shared" si="72"/>
        <v>4.5767589444824439E-2</v>
      </c>
      <c r="AE64">
        <f t="shared" si="73"/>
        <v>-4.2102088815522881E-2</v>
      </c>
      <c r="AF64">
        <f t="shared" si="74"/>
        <v>-6.4565307026517541E-2</v>
      </c>
      <c r="AG64">
        <f t="shared" si="75"/>
        <v>-6.4282798526834181E-3</v>
      </c>
      <c r="AH64">
        <f t="shared" si="76"/>
        <v>4.4378815529083508E-2</v>
      </c>
      <c r="AI64">
        <f t="shared" si="77"/>
        <v>-4.146082677856304E-2</v>
      </c>
      <c r="AJ64">
        <f t="shared" si="78"/>
        <v>-6.2489648517982596E-2</v>
      </c>
      <c r="AK64">
        <f t="shared" si="79"/>
        <v>-1.5508753256069858E-3</v>
      </c>
      <c r="AL64">
        <f t="shared" si="80"/>
        <v>4.2539766622468646E-2</v>
      </c>
      <c r="AM64">
        <f t="shared" si="81"/>
        <v>-4.0002193279227598E-2</v>
      </c>
      <c r="AN64">
        <f t="shared" si="82"/>
        <v>-5.8322815834396725E-2</v>
      </c>
      <c r="AO64">
        <f t="shared" si="83"/>
        <v>7.9961908541982389E-4</v>
      </c>
      <c r="AP64">
        <f t="shared" si="84"/>
        <v>4.1449589903279072E-2</v>
      </c>
      <c r="AQ64">
        <f t="shared" si="85"/>
        <v>-3.9350883671018293E-2</v>
      </c>
      <c r="AR64">
        <f t="shared" si="86"/>
        <v>-5.6635745289311326E-2</v>
      </c>
      <c r="AS64">
        <f t="shared" si="87"/>
        <v>5.9846903137674027E-3</v>
      </c>
      <c r="AT64">
        <f t="shared" si="88"/>
        <v>4.0167060796445143E-2</v>
      </c>
      <c r="AU64">
        <f t="shared" si="89"/>
        <v>-3.813410514446932E-2</v>
      </c>
      <c r="AV64">
        <f t="shared" si="90"/>
        <v>-5.3677753336293703E-2</v>
      </c>
      <c r="AW64">
        <f t="shared" si="91"/>
        <v>8.697036424605965E-3</v>
      </c>
      <c r="AX64">
        <f t="shared" si="92"/>
        <v>4.05395861480825E-2</v>
      </c>
      <c r="AY64">
        <f t="shared" si="93"/>
        <v>-3.8639449520878097E-2</v>
      </c>
      <c r="AZ64">
        <f t="shared" si="94"/>
        <v>-5.4746287582898782E-2</v>
      </c>
      <c r="BA64">
        <f t="shared" si="95"/>
        <v>7.4762321060169966E-3</v>
      </c>
    </row>
    <row r="65" spans="1:53" ht="14.4" x14ac:dyDescent="0.55000000000000004">
      <c r="A65" s="4">
        <v>40996</v>
      </c>
      <c r="B65">
        <v>4.4479698241005998E-2</v>
      </c>
      <c r="C65">
        <v>-3.9389584387400402E-2</v>
      </c>
      <c r="D65">
        <v>-6.4948957650545605E-2</v>
      </c>
      <c r="E65">
        <v>-2.3841128853972202E-2</v>
      </c>
      <c r="F65">
        <f t="shared" si="48"/>
        <v>4.4651171307582518E-2</v>
      </c>
      <c r="G65">
        <f t="shared" si="49"/>
        <v>-3.9850214665092434E-2</v>
      </c>
      <c r="H65">
        <f t="shared" si="50"/>
        <v>-6.304854997512073E-2</v>
      </c>
      <c r="I65">
        <f t="shared" si="51"/>
        <v>-3.2056219298412666E-2</v>
      </c>
      <c r="J65">
        <f t="shared" si="52"/>
        <v>4.4829049237387703E-2</v>
      </c>
      <c r="K65">
        <f t="shared" si="53"/>
        <v>-4.067106109559987E-2</v>
      </c>
      <c r="L65">
        <f t="shared" si="54"/>
        <v>-6.4773762657851341E-2</v>
      </c>
      <c r="M65">
        <f t="shared" si="55"/>
        <v>-2.8451256482706327E-2</v>
      </c>
      <c r="N65">
        <f t="shared" si="56"/>
        <v>4.1555131968046291E-2</v>
      </c>
      <c r="O65">
        <f t="shared" si="57"/>
        <v>-3.826441524222058E-2</v>
      </c>
      <c r="P65">
        <f t="shared" si="58"/>
        <v>-5.4694773234277148E-2</v>
      </c>
      <c r="Q65">
        <f t="shared" si="59"/>
        <v>-2.4319501138074431E-2</v>
      </c>
      <c r="R65">
        <f t="shared" si="60"/>
        <v>4.1955591175244861E-2</v>
      </c>
      <c r="S65">
        <f t="shared" si="61"/>
        <v>-3.9056775831351899E-2</v>
      </c>
      <c r="T65">
        <f t="shared" si="62"/>
        <v>-5.7020013953209478E-2</v>
      </c>
      <c r="U65">
        <f t="shared" si="63"/>
        <v>-1.9008729444423444E-2</v>
      </c>
      <c r="V65">
        <f t="shared" si="64"/>
        <v>4.2675623967385577E-2</v>
      </c>
      <c r="W65">
        <f t="shared" si="65"/>
        <v>-3.9611770330841352E-2</v>
      </c>
      <c r="X65">
        <f t="shared" si="66"/>
        <v>-5.7302792587728281E-2</v>
      </c>
      <c r="Y65">
        <f t="shared" si="67"/>
        <v>-1.6951383685052911E-2</v>
      </c>
      <c r="Z65">
        <f t="shared" si="68"/>
        <v>4.3772075617241189E-2</v>
      </c>
      <c r="AA65">
        <f t="shared" si="69"/>
        <v>-3.9651638187271791E-2</v>
      </c>
      <c r="AB65">
        <f t="shared" si="70"/>
        <v>-5.6755088485108449E-2</v>
      </c>
      <c r="AC65">
        <f t="shared" si="71"/>
        <v>-2.4752697116276732E-2</v>
      </c>
      <c r="AD65">
        <f t="shared" si="72"/>
        <v>4.7083768392173826E-2</v>
      </c>
      <c r="AE65">
        <f t="shared" si="73"/>
        <v>-4.218058137636297E-2</v>
      </c>
      <c r="AF65">
        <f t="shared" si="74"/>
        <v>-6.3442620624085302E-2</v>
      </c>
      <c r="AG65">
        <f t="shared" si="75"/>
        <v>-2.6710823579387491E-2</v>
      </c>
      <c r="AH65">
        <f t="shared" si="76"/>
        <v>4.5134792581502187E-2</v>
      </c>
      <c r="AI65">
        <f t="shared" si="77"/>
        <v>-4.1645985492961453E-2</v>
      </c>
      <c r="AJ65">
        <f t="shared" si="78"/>
        <v>-6.3231911769958113E-2</v>
      </c>
      <c r="AK65">
        <f t="shared" si="79"/>
        <v>-5.9132846898533433E-3</v>
      </c>
      <c r="AL65">
        <f t="shared" si="80"/>
        <v>4.3881646566119294E-2</v>
      </c>
      <c r="AM65">
        <f t="shared" si="81"/>
        <v>-4.1109886302764125E-2</v>
      </c>
      <c r="AN65">
        <f t="shared" si="82"/>
        <v>-6.1392188698152501E-2</v>
      </c>
      <c r="AO65">
        <f t="shared" si="83"/>
        <v>-1.5099106581098988E-3</v>
      </c>
      <c r="AP65">
        <f t="shared" si="84"/>
        <v>4.2229822059860138E-2</v>
      </c>
      <c r="AQ65">
        <f t="shared" si="85"/>
        <v>-3.9786468888956164E-2</v>
      </c>
      <c r="AR65">
        <f t="shared" si="86"/>
        <v>-5.7598364787857799E-2</v>
      </c>
      <c r="AS65">
        <f t="shared" si="87"/>
        <v>4.9906150573793566E-4</v>
      </c>
      <c r="AT65">
        <f t="shared" si="88"/>
        <v>4.1232483775078155E-2</v>
      </c>
      <c r="AU65">
        <f t="shared" si="89"/>
        <v>-3.9220995572323128E-2</v>
      </c>
      <c r="AV65">
        <f t="shared" si="90"/>
        <v>-5.6109756482691425E-2</v>
      </c>
      <c r="AW65">
        <f t="shared" si="91"/>
        <v>5.2699606594578006E-3</v>
      </c>
      <c r="AX65">
        <f t="shared" si="92"/>
        <v>4.0077488957519537E-2</v>
      </c>
      <c r="AY65">
        <f t="shared" si="93"/>
        <v>-3.8116195259789223E-2</v>
      </c>
      <c r="AZ65">
        <f t="shared" si="94"/>
        <v>-5.3423151584602369E-2</v>
      </c>
      <c r="BA65">
        <f t="shared" si="95"/>
        <v>7.696082442678609E-3</v>
      </c>
    </row>
    <row r="66" spans="1:53" ht="14.4" x14ac:dyDescent="0.55000000000000004">
      <c r="A66" s="4">
        <v>41024</v>
      </c>
      <c r="B66">
        <v>4.5349596496671397E-2</v>
      </c>
      <c r="C66">
        <v>-3.9857874125557399E-2</v>
      </c>
      <c r="D66">
        <v>-6.6950895818356504E-2</v>
      </c>
      <c r="E66">
        <v>-3.3381683730917697E-2</v>
      </c>
      <c r="F66">
        <f t="shared" si="48"/>
        <v>4.47688189408025E-2</v>
      </c>
      <c r="G66">
        <f t="shared" si="49"/>
        <v>-4.001669851547323E-2</v>
      </c>
      <c r="H66">
        <f t="shared" si="50"/>
        <v>-6.3558021512702928E-2</v>
      </c>
      <c r="I66">
        <f t="shared" si="51"/>
        <v>-2.4291228201741642E-2</v>
      </c>
      <c r="J66">
        <f t="shared" si="52"/>
        <v>4.4826876711050546E-2</v>
      </c>
      <c r="K66">
        <f t="shared" si="53"/>
        <v>-4.0224519760569316E-2</v>
      </c>
      <c r="L66">
        <f t="shared" si="54"/>
        <v>-6.1705412040313927E-2</v>
      </c>
      <c r="M66">
        <f t="shared" si="55"/>
        <v>-3.1728378963539111E-2</v>
      </c>
      <c r="N66">
        <f t="shared" si="56"/>
        <v>4.4968256377711853E-2</v>
      </c>
      <c r="O66">
        <f t="shared" si="57"/>
        <v>-4.1014554061993079E-2</v>
      </c>
      <c r="P66">
        <f t="shared" si="58"/>
        <v>-6.333757013320318E-2</v>
      </c>
      <c r="Q66">
        <f t="shared" si="59"/>
        <v>-2.8335266743813325E-2</v>
      </c>
      <c r="R66">
        <f t="shared" si="60"/>
        <v>4.177509168813074E-2</v>
      </c>
      <c r="S66">
        <f t="shared" si="61"/>
        <v>-3.8482554820119141E-2</v>
      </c>
      <c r="T66">
        <f t="shared" si="62"/>
        <v>-5.4081512211295063E-2</v>
      </c>
      <c r="U66">
        <f t="shared" si="63"/>
        <v>-2.4159643971387701E-2</v>
      </c>
      <c r="V66">
        <f t="shared" si="64"/>
        <v>4.2111062665193877E-2</v>
      </c>
      <c r="W66">
        <f t="shared" si="65"/>
        <v>-3.9252621036366231E-2</v>
      </c>
      <c r="X66">
        <f t="shared" si="66"/>
        <v>-5.6277093885314947E-2</v>
      </c>
      <c r="Y66">
        <f t="shared" si="67"/>
        <v>-1.9120314098565704E-2</v>
      </c>
      <c r="Z66">
        <f t="shared" si="68"/>
        <v>4.2589170154143471E-2</v>
      </c>
      <c r="AA66">
        <f t="shared" si="69"/>
        <v>-3.9550853141482087E-2</v>
      </c>
      <c r="AB66">
        <f t="shared" si="70"/>
        <v>-5.6515034381231712E-2</v>
      </c>
      <c r="AC66">
        <f t="shared" si="71"/>
        <v>-1.6679107499448086E-2</v>
      </c>
      <c r="AD66">
        <f t="shared" si="72"/>
        <v>4.3501374143510248E-2</v>
      </c>
      <c r="AE66">
        <f t="shared" si="73"/>
        <v>-3.9378694476786637E-2</v>
      </c>
      <c r="AF66">
        <f t="shared" si="74"/>
        <v>-5.5888260533586268E-2</v>
      </c>
      <c r="AG66">
        <f t="shared" si="75"/>
        <v>-2.3617744127620979E-2</v>
      </c>
      <c r="AH66">
        <f t="shared" si="76"/>
        <v>4.6374586467309777E-2</v>
      </c>
      <c r="AI66">
        <f t="shared" si="77"/>
        <v>-4.1551474828371265E-2</v>
      </c>
      <c r="AJ66">
        <f t="shared" si="78"/>
        <v>-6.1968901838616842E-2</v>
      </c>
      <c r="AK66">
        <f t="shared" si="79"/>
        <v>-2.4836003558108423E-2</v>
      </c>
      <c r="AL66">
        <f t="shared" si="80"/>
        <v>4.4575719599345004E-2</v>
      </c>
      <c r="AM66">
        <f t="shared" si="81"/>
        <v>-4.1243952124142808E-2</v>
      </c>
      <c r="AN66">
        <f t="shared" si="82"/>
        <v>-6.2018643132843006E-2</v>
      </c>
      <c r="AO66">
        <f t="shared" si="83"/>
        <v>-5.5242366249194765E-3</v>
      </c>
      <c r="AP66">
        <f t="shared" si="84"/>
        <v>4.3443554017234036E-2</v>
      </c>
      <c r="AQ66">
        <f t="shared" si="85"/>
        <v>-4.0798649895458693E-2</v>
      </c>
      <c r="AR66">
        <f t="shared" si="86"/>
        <v>-6.0389634054545116E-2</v>
      </c>
      <c r="AS66">
        <f t="shared" si="87"/>
        <v>-1.5479205083793479E-3</v>
      </c>
      <c r="AT66">
        <f t="shared" si="88"/>
        <v>4.1958492704630874E-2</v>
      </c>
      <c r="AU66">
        <f t="shared" si="89"/>
        <v>-3.9594245794181811E-2</v>
      </c>
      <c r="AV66">
        <f t="shared" si="90"/>
        <v>-5.6933300515036402E-2</v>
      </c>
      <c r="AW66">
        <f t="shared" si="91"/>
        <v>1.6545766407261313E-4</v>
      </c>
      <c r="AX66">
        <f t="shared" si="92"/>
        <v>4.104737610042903E-2</v>
      </c>
      <c r="AY66">
        <f t="shared" si="93"/>
        <v>-3.910788758871616E-2</v>
      </c>
      <c r="AZ66">
        <f t="shared" si="94"/>
        <v>-5.562300036243259E-2</v>
      </c>
      <c r="BA66">
        <f t="shared" si="95"/>
        <v>4.5502807640908768E-3</v>
      </c>
    </row>
    <row r="67" spans="1:53" ht="14.4" x14ac:dyDescent="0.55000000000000004">
      <c r="A67" s="4">
        <v>41059</v>
      </c>
      <c r="B67">
        <v>4.4375641994631197E-2</v>
      </c>
      <c r="C67">
        <v>-3.9520306264356903E-2</v>
      </c>
      <c r="D67">
        <v>-5.80464839259201E-2</v>
      </c>
      <c r="E67">
        <v>-4.8424364087273103E-2</v>
      </c>
      <c r="F67">
        <f t="shared" si="48"/>
        <v>4.5721010820825025E-2</v>
      </c>
      <c r="G67">
        <f t="shared" si="49"/>
        <v>-4.0579584244887168E-2</v>
      </c>
      <c r="H67">
        <f t="shared" si="50"/>
        <v>-6.5326121727128941E-2</v>
      </c>
      <c r="I67">
        <f t="shared" si="51"/>
        <v>-3.3558160377164657E-2</v>
      </c>
      <c r="J67">
        <f t="shared" si="52"/>
        <v>4.4809655087121272E-2</v>
      </c>
      <c r="K67">
        <f t="shared" si="53"/>
        <v>-4.0293187838287232E-2</v>
      </c>
      <c r="L67">
        <f t="shared" si="54"/>
        <v>-6.2229180913165212E-2</v>
      </c>
      <c r="M67">
        <f t="shared" si="55"/>
        <v>-2.4136084545656918E-2</v>
      </c>
      <c r="N67">
        <f t="shared" si="56"/>
        <v>4.4798145642046178E-2</v>
      </c>
      <c r="O67">
        <f t="shared" si="57"/>
        <v>-4.0317287175809499E-2</v>
      </c>
      <c r="P67">
        <f t="shared" si="58"/>
        <v>-6.043403306431186E-2</v>
      </c>
      <c r="Q67">
        <f t="shared" si="59"/>
        <v>-3.0930930245787032E-2</v>
      </c>
      <c r="R67">
        <f t="shared" si="60"/>
        <v>4.4910489575944158E-2</v>
      </c>
      <c r="S67">
        <f t="shared" si="61"/>
        <v>-4.1081702653723851E-2</v>
      </c>
      <c r="T67">
        <f t="shared" si="62"/>
        <v>-6.1979436715103788E-2</v>
      </c>
      <c r="U67">
        <f t="shared" si="63"/>
        <v>-2.7749430416475755E-2</v>
      </c>
      <c r="V67">
        <f t="shared" si="64"/>
        <v>4.1862751679201754E-2</v>
      </c>
      <c r="W67">
        <f t="shared" si="65"/>
        <v>-3.8532321216286622E-2</v>
      </c>
      <c r="X67">
        <f t="shared" si="66"/>
        <v>-5.3493283859416201E-2</v>
      </c>
      <c r="Y67">
        <f t="shared" si="67"/>
        <v>-2.3702620682711718E-2</v>
      </c>
      <c r="Z67">
        <f t="shared" si="68"/>
        <v>4.2145460425589275E-2</v>
      </c>
      <c r="AA67">
        <f t="shared" si="69"/>
        <v>-3.9286026326531685E-2</v>
      </c>
      <c r="AB67">
        <f t="shared" si="70"/>
        <v>-5.556878880391089E-2</v>
      </c>
      <c r="AC67">
        <f t="shared" si="71"/>
        <v>-1.8937977103615916E-2</v>
      </c>
      <c r="AD67">
        <f t="shared" si="72"/>
        <v>4.2455835203016656E-2</v>
      </c>
      <c r="AE67">
        <f t="shared" si="73"/>
        <v>-3.941922941142139E-2</v>
      </c>
      <c r="AF67">
        <f t="shared" si="74"/>
        <v>-5.5781475595634546E-2</v>
      </c>
      <c r="AG67">
        <f t="shared" si="75"/>
        <v>-1.6288076562110849E-2</v>
      </c>
      <c r="AH67">
        <f t="shared" si="76"/>
        <v>4.3228137213683966E-2</v>
      </c>
      <c r="AI67">
        <f t="shared" si="77"/>
        <v>-3.9094923932022664E-2</v>
      </c>
      <c r="AJ67">
        <f t="shared" si="78"/>
        <v>-5.5097153258362015E-2</v>
      </c>
      <c r="AK67">
        <f t="shared" si="79"/>
        <v>-2.250135644373101E-2</v>
      </c>
      <c r="AL67">
        <f t="shared" si="80"/>
        <v>4.5739288949663864E-2</v>
      </c>
      <c r="AM67">
        <f t="shared" si="81"/>
        <v>-4.0990977867509014E-2</v>
      </c>
      <c r="AN67">
        <f t="shared" si="82"/>
        <v>-6.0637819984725595E-2</v>
      </c>
      <c r="AO67">
        <f t="shared" si="83"/>
        <v>-2.3155408715508752E-2</v>
      </c>
      <c r="AP67">
        <f t="shared" si="84"/>
        <v>4.4079726969049035E-2</v>
      </c>
      <c r="AQ67">
        <f t="shared" si="85"/>
        <v>-4.0886016509683515E-2</v>
      </c>
      <c r="AR67">
        <f t="shared" si="86"/>
        <v>-6.0913178231804865E-2</v>
      </c>
      <c r="AS67">
        <f t="shared" si="87"/>
        <v>-5.2368857732377518E-3</v>
      </c>
      <c r="AT67">
        <f t="shared" si="88"/>
        <v>4.3055875325241064E-2</v>
      </c>
      <c r="AU67">
        <f t="shared" si="89"/>
        <v>-4.0519364195859095E-2</v>
      </c>
      <c r="AV67">
        <f t="shared" si="90"/>
        <v>-5.9472355514446157E-2</v>
      </c>
      <c r="AW67">
        <f t="shared" si="91"/>
        <v>-1.6462988501565561E-3</v>
      </c>
      <c r="AX67">
        <f t="shared" si="92"/>
        <v>4.1719808958489688E-2</v>
      </c>
      <c r="AY67">
        <f t="shared" si="93"/>
        <v>-3.9420352376415654E-2</v>
      </c>
      <c r="AZ67">
        <f t="shared" si="94"/>
        <v>-5.6321624254852473E-2</v>
      </c>
      <c r="BA67">
        <f t="shared" si="95"/>
        <v>-1.892622928528602E-4</v>
      </c>
    </row>
    <row r="68" spans="1:53" ht="14.4" x14ac:dyDescent="0.55000000000000004">
      <c r="A68" s="4">
        <v>41087</v>
      </c>
      <c r="B68">
        <v>4.3219135559511797E-2</v>
      </c>
      <c r="C68">
        <v>-3.8469242329777498E-2</v>
      </c>
      <c r="D68">
        <v>-5.5676495894532302E-2</v>
      </c>
      <c r="E68">
        <v>-4.5079771290522298E-2</v>
      </c>
      <c r="F68">
        <f t="shared" ref="F68:F99" si="96">BD$2+BD$3*$B67+BD$4*$C67+BD$5*$D67+BD$6*$E67</f>
        <v>4.4494366512328291E-2</v>
      </c>
      <c r="G68">
        <f t="shared" ref="G68:G99" si="97">BE$2+BE$3*$B67+BE$4*$C67+BE$5*$D67+BE$6*$E67</f>
        <v>-3.9615384088450861E-2</v>
      </c>
      <c r="H68">
        <f t="shared" ref="H68:H99" si="98">BF$2+BF$3*$B67+BF$4*$C67+BF$5*$D67+BF$6*$E67</f>
        <v>-5.6910966385853384E-2</v>
      </c>
      <c r="I68">
        <f t="shared" ref="I68:I99" si="99">BG$2+BG$3*$B67+BG$4*$C67+BG$5*$D67+BG$6*$E67</f>
        <v>-4.6837415222801014E-2</v>
      </c>
      <c r="J68">
        <f t="shared" si="52"/>
        <v>4.5789249098625265E-2</v>
      </c>
      <c r="K68">
        <f t="shared" si="53"/>
        <v>-4.0881788859723926E-2</v>
      </c>
      <c r="L68">
        <f t="shared" si="54"/>
        <v>-6.3774448188630081E-2</v>
      </c>
      <c r="M68">
        <f t="shared" si="55"/>
        <v>-3.3018775155658243E-2</v>
      </c>
      <c r="N68">
        <f t="shared" si="56"/>
        <v>4.4692995043073232E-2</v>
      </c>
      <c r="O68">
        <f t="shared" si="57"/>
        <v>-4.0340570825975468E-2</v>
      </c>
      <c r="P68">
        <f t="shared" si="58"/>
        <v>-6.0977849193960612E-2</v>
      </c>
      <c r="Q68">
        <f t="shared" si="59"/>
        <v>-2.3601638064608646E-2</v>
      </c>
      <c r="R68">
        <f t="shared" si="60"/>
        <v>4.4641324179790901E-2</v>
      </c>
      <c r="S68">
        <f t="shared" si="61"/>
        <v>-4.0230137340251784E-2</v>
      </c>
      <c r="T68">
        <f t="shared" si="62"/>
        <v>-5.924563708502012E-2</v>
      </c>
      <c r="U68">
        <f t="shared" si="63"/>
        <v>-2.9852699092378025E-2</v>
      </c>
      <c r="V68">
        <f t="shared" si="64"/>
        <v>4.4730305223592552E-2</v>
      </c>
      <c r="W68">
        <f t="shared" si="65"/>
        <v>-4.0972272078003961E-2</v>
      </c>
      <c r="X68">
        <f t="shared" si="66"/>
        <v>-6.0709780087723202E-2</v>
      </c>
      <c r="Y68">
        <f t="shared" si="67"/>
        <v>-2.6879074326902123E-2</v>
      </c>
      <c r="Z68">
        <f t="shared" si="68"/>
        <v>4.1864357360702119E-2</v>
      </c>
      <c r="AA68">
        <f t="shared" si="69"/>
        <v>-3.8474250438250528E-2</v>
      </c>
      <c r="AB68">
        <f t="shared" si="70"/>
        <v>-5.2938530820435994E-2</v>
      </c>
      <c r="AC68">
        <f t="shared" si="71"/>
        <v>-2.3062840894082171E-2</v>
      </c>
      <c r="AD68">
        <f t="shared" si="72"/>
        <v>4.2102598586630846E-2</v>
      </c>
      <c r="AE68">
        <f t="shared" si="73"/>
        <v>-3.9215159481358244E-2</v>
      </c>
      <c r="AF68">
        <f t="shared" si="74"/>
        <v>-5.4902306515320833E-2</v>
      </c>
      <c r="AG68">
        <f t="shared" si="75"/>
        <v>-1.8571189124531332E-2</v>
      </c>
      <c r="AH68">
        <f t="shared" si="76"/>
        <v>4.2296877950961521E-2</v>
      </c>
      <c r="AI68">
        <f t="shared" si="77"/>
        <v>-3.9245921502888068E-2</v>
      </c>
      <c r="AJ68">
        <f t="shared" si="78"/>
        <v>-5.5102521591546626E-2</v>
      </c>
      <c r="AK68">
        <f t="shared" si="79"/>
        <v>-1.5831716835960317E-2</v>
      </c>
      <c r="AL68">
        <f t="shared" si="80"/>
        <v>4.2961061552003584E-2</v>
      </c>
      <c r="AM68">
        <f t="shared" si="81"/>
        <v>-3.8812607926804285E-2</v>
      </c>
      <c r="AN68">
        <f t="shared" si="82"/>
        <v>-5.4377273348929708E-2</v>
      </c>
      <c r="AO68">
        <f t="shared" si="83"/>
        <v>-2.1424098541411932E-2</v>
      </c>
      <c r="AP68">
        <f t="shared" si="84"/>
        <v>4.5168890533807779E-2</v>
      </c>
      <c r="AQ68">
        <f t="shared" si="85"/>
        <v>-4.0489985163339459E-2</v>
      </c>
      <c r="AR68">
        <f t="shared" si="86"/>
        <v>-5.9435163809503803E-2</v>
      </c>
      <c r="AS68">
        <f t="shared" si="87"/>
        <v>-2.1645708713924336E-2</v>
      </c>
      <c r="AT68">
        <f t="shared" si="88"/>
        <v>4.3638263163153328E-2</v>
      </c>
      <c r="AU68">
        <f t="shared" si="89"/>
        <v>-4.0564605290397786E-2</v>
      </c>
      <c r="AV68">
        <f t="shared" si="90"/>
        <v>-5.9904721885841374E-2</v>
      </c>
      <c r="AW68">
        <f t="shared" si="91"/>
        <v>-5.0321843596864138E-3</v>
      </c>
      <c r="AX68">
        <f t="shared" si="92"/>
        <v>4.2711668795807137E-2</v>
      </c>
      <c r="AY68">
        <f t="shared" si="93"/>
        <v>-4.0266223068600983E-2</v>
      </c>
      <c r="AZ68">
        <f t="shared" si="94"/>
        <v>-5.8631934028327157E-2</v>
      </c>
      <c r="BA68">
        <f t="shared" si="95"/>
        <v>-1.7906724766382973E-3</v>
      </c>
    </row>
    <row r="69" spans="1:53" ht="14.4" x14ac:dyDescent="0.55000000000000004">
      <c r="A69" s="4">
        <v>41115</v>
      </c>
      <c r="B69">
        <v>4.0732249827322098E-2</v>
      </c>
      <c r="C69">
        <v>-3.5506050292203099E-2</v>
      </c>
      <c r="D69">
        <v>-5.6344329670780402E-2</v>
      </c>
      <c r="E69">
        <v>-4.4569679391427398E-2</v>
      </c>
      <c r="F69">
        <f t="shared" si="96"/>
        <v>4.3458846186107729E-2</v>
      </c>
      <c r="G69">
        <f t="shared" si="97"/>
        <v>-3.8681358696187329E-2</v>
      </c>
      <c r="H69">
        <f t="shared" si="98"/>
        <v>-5.4773624810965954E-2</v>
      </c>
      <c r="I69">
        <f t="shared" si="99"/>
        <v>-4.3827736595822051E-2</v>
      </c>
      <c r="J69">
        <f t="shared" ref="J69:J100" si="100">BD$2+BD$3*$F68+BD$4*$G68+BD$5*$H68+BD$6*$I68</f>
        <v>4.4447175987047047E-2</v>
      </c>
      <c r="K69">
        <f t="shared" ref="K69:K100" si="101">BE$2+BE$3*$F68+BE$4*$G68+BE$5*$H68+BE$6*$I68</f>
        <v>-3.9504172861533834E-2</v>
      </c>
      <c r="L69">
        <f t="shared" ref="L69:L100" si="102">BF$2+BF$3*$F68+BF$4*$G68+BF$5*$H68+BF$6*$I68</f>
        <v>-5.5847542813598244E-2</v>
      </c>
      <c r="M69">
        <f t="shared" ref="M69:M100" si="103">BG$2+BG$3*$F68+BG$4*$G68+BG$5*$H68+BG$6*$I68</f>
        <v>-4.4938096801362654E-2</v>
      </c>
      <c r="N69">
        <f t="shared" si="56"/>
        <v>4.5664462214127823E-2</v>
      </c>
      <c r="O69">
        <f t="shared" si="57"/>
        <v>-4.0911180077130661E-2</v>
      </c>
      <c r="P69">
        <f t="shared" si="58"/>
        <v>-6.2314664612749024E-2</v>
      </c>
      <c r="Q69">
        <f t="shared" si="59"/>
        <v>-3.2036642101913385E-2</v>
      </c>
      <c r="R69">
        <f t="shared" si="60"/>
        <v>4.448054012092801E-2</v>
      </c>
      <c r="S69">
        <f t="shared" si="61"/>
        <v>-4.0242010594798407E-2</v>
      </c>
      <c r="T69">
        <f t="shared" si="62"/>
        <v>-5.9811509730553658E-2</v>
      </c>
      <c r="U69">
        <f t="shared" si="63"/>
        <v>-2.2841226875016822E-2</v>
      </c>
      <c r="V69">
        <f t="shared" si="64"/>
        <v>4.440818234869584E-2</v>
      </c>
      <c r="W69">
        <f t="shared" si="65"/>
        <v>-4.0032314800113794E-2</v>
      </c>
      <c r="X69">
        <f t="shared" si="66"/>
        <v>-5.814489466917025E-2</v>
      </c>
      <c r="Y69">
        <f t="shared" si="67"/>
        <v>-2.8621192634712848E-2</v>
      </c>
      <c r="Z69">
        <f t="shared" si="68"/>
        <v>4.4478174855229279E-2</v>
      </c>
      <c r="AA69">
        <f t="shared" si="69"/>
        <v>-4.0754254099893618E-2</v>
      </c>
      <c r="AB69">
        <f t="shared" si="70"/>
        <v>-5.9532642125302258E-2</v>
      </c>
      <c r="AC69">
        <f t="shared" si="71"/>
        <v>-2.584939693629372E-2</v>
      </c>
      <c r="AD69">
        <f t="shared" si="72"/>
        <v>4.1811515588395756E-2</v>
      </c>
      <c r="AE69">
        <f t="shared" si="73"/>
        <v>-3.8349667836940687E-2</v>
      </c>
      <c r="AF69">
        <f t="shared" si="74"/>
        <v>-5.2421631649270294E-2</v>
      </c>
      <c r="AG69">
        <f t="shared" si="75"/>
        <v>-2.2318150420497215E-2</v>
      </c>
      <c r="AH69">
        <f t="shared" si="76"/>
        <v>4.2012289195048215E-2</v>
      </c>
      <c r="AI69">
        <f t="shared" si="77"/>
        <v>-3.9079747002410396E-2</v>
      </c>
      <c r="AJ69">
        <f t="shared" si="78"/>
        <v>-5.428104102277586E-2</v>
      </c>
      <c r="AK69">
        <f t="shared" si="79"/>
        <v>-1.8094415726954069E-2</v>
      </c>
      <c r="AL69">
        <f t="shared" si="80"/>
        <v>4.2126415939819466E-2</v>
      </c>
      <c r="AM69">
        <f t="shared" si="81"/>
        <v>-3.9050470652140228E-2</v>
      </c>
      <c r="AN69">
        <f t="shared" si="82"/>
        <v>-5.4476907531936014E-2</v>
      </c>
      <c r="AO69">
        <f t="shared" si="83"/>
        <v>-1.5345593495828525E-2</v>
      </c>
      <c r="AP69">
        <f t="shared" si="84"/>
        <v>4.2705448711471049E-2</v>
      </c>
      <c r="AQ69">
        <f t="shared" si="85"/>
        <v>-3.8539475289147848E-2</v>
      </c>
      <c r="AR69">
        <f t="shared" si="86"/>
        <v>-5.3723731366405167E-2</v>
      </c>
      <c r="AS69">
        <f t="shared" si="87"/>
        <v>-2.039809876025897E-2</v>
      </c>
      <c r="AT69">
        <f t="shared" si="88"/>
        <v>4.4655856471122531E-2</v>
      </c>
      <c r="AU69">
        <f t="shared" si="89"/>
        <v>-4.0041038166838606E-2</v>
      </c>
      <c r="AV69">
        <f t="shared" si="90"/>
        <v>-5.8348263245371422E-2</v>
      </c>
      <c r="AW69">
        <f t="shared" si="91"/>
        <v>-2.0287277619237321E-2</v>
      </c>
      <c r="AX69">
        <f t="shared" si="92"/>
        <v>4.3244342028917152E-2</v>
      </c>
      <c r="AY69">
        <f t="shared" si="93"/>
        <v>-4.0273882809625142E-2</v>
      </c>
      <c r="AZ69">
        <f t="shared" si="94"/>
        <v>-5.8983755213384739E-2</v>
      </c>
      <c r="BA69">
        <f t="shared" si="95"/>
        <v>-4.8949631968228345E-3</v>
      </c>
    </row>
    <row r="70" spans="1:53" ht="14.4" x14ac:dyDescent="0.55000000000000004">
      <c r="A70" s="4">
        <v>41150</v>
      </c>
      <c r="B70">
        <v>4.30939096473682E-2</v>
      </c>
      <c r="C70">
        <v>-3.7384950547947902E-2</v>
      </c>
      <c r="D70">
        <v>-6.07924038150537E-2</v>
      </c>
      <c r="E70">
        <v>-4.1958662695721502E-2</v>
      </c>
      <c r="F70">
        <f t="shared" si="96"/>
        <v>4.1926075085161461E-2</v>
      </c>
      <c r="G70">
        <f t="shared" si="97"/>
        <v>-3.6909197873182371E-2</v>
      </c>
      <c r="H70">
        <f t="shared" si="98"/>
        <v>-5.5553297232110742E-2</v>
      </c>
      <c r="I70">
        <f t="shared" si="99"/>
        <v>-4.5375862949566782E-2</v>
      </c>
      <c r="J70">
        <f t="shared" si="100"/>
        <v>4.351766610099253E-2</v>
      </c>
      <c r="K70">
        <f t="shared" si="101"/>
        <v>-3.8671483043108933E-2</v>
      </c>
      <c r="L70">
        <f t="shared" si="102"/>
        <v>-5.3919497371402753E-2</v>
      </c>
      <c r="M70">
        <f t="shared" si="103"/>
        <v>-4.2223666044221869E-2</v>
      </c>
      <c r="N70">
        <f t="shared" ref="N70:N101" si="104">BD$2+BD$3*$J69+BD$4*$K69+BD$5*$L69+BD$6*$M69</f>
        <v>4.4296202255674225E-2</v>
      </c>
      <c r="O70">
        <f t="shared" ref="O70:O101" si="105">BE$2+BE$3*$J69+BE$4*$K69+BE$5*$L69+BE$6*$M69</f>
        <v>-3.9267505118992581E-2</v>
      </c>
      <c r="P70">
        <f t="shared" ref="P70:P101" si="106">BF$2+BF$3*$J69+BF$4*$K69+BF$5*$L69+BF$6*$M69</f>
        <v>-5.4863924903719802E-2</v>
      </c>
      <c r="Q70">
        <f t="shared" ref="Q70:Q101" si="107">BG$2+BG$3*$J69+BG$4*$K69+BG$5*$L69+BG$6*$M69</f>
        <v>-4.2877145730624816E-2</v>
      </c>
      <c r="R70">
        <f t="shared" si="60"/>
        <v>4.5421575753063798E-2</v>
      </c>
      <c r="S70">
        <f t="shared" si="61"/>
        <v>-4.0768055094673704E-2</v>
      </c>
      <c r="T70">
        <f t="shared" si="62"/>
        <v>-6.0955944083778683E-2</v>
      </c>
      <c r="U70">
        <f t="shared" si="63"/>
        <v>-3.079697567880952E-2</v>
      </c>
      <c r="V70">
        <f t="shared" si="64"/>
        <v>4.4213898275361305E-2</v>
      </c>
      <c r="W70">
        <f t="shared" si="65"/>
        <v>-4.0054118154873204E-2</v>
      </c>
      <c r="X70">
        <f t="shared" si="66"/>
        <v>-5.8732435359070356E-2</v>
      </c>
      <c r="Y70">
        <f t="shared" si="67"/>
        <v>-2.1958048318671285E-2</v>
      </c>
      <c r="Z70">
        <f t="shared" si="68"/>
        <v>4.4133523204568113E-2</v>
      </c>
      <c r="AA70">
        <f t="shared" si="69"/>
        <v>-3.9770673475783884E-2</v>
      </c>
      <c r="AB70">
        <f t="shared" si="70"/>
        <v>-5.713221146685387E-2</v>
      </c>
      <c r="AC70">
        <f t="shared" si="71"/>
        <v>-2.7321604267082765E-2</v>
      </c>
      <c r="AD70">
        <f t="shared" si="72"/>
        <v>4.4187950156326095E-2</v>
      </c>
      <c r="AE70">
        <f t="shared" si="73"/>
        <v>-4.0473666645451829E-2</v>
      </c>
      <c r="AF70">
        <f t="shared" si="74"/>
        <v>-5.8447929338502513E-2</v>
      </c>
      <c r="AG70">
        <f t="shared" si="75"/>
        <v>-2.4744113804297262E-2</v>
      </c>
      <c r="AH70">
        <f t="shared" si="76"/>
        <v>4.1725704692127982E-2</v>
      </c>
      <c r="AI70">
        <f t="shared" si="77"/>
        <v>-3.8186601100159284E-2</v>
      </c>
      <c r="AJ70">
        <f t="shared" si="78"/>
        <v>-5.1944273562913215E-2</v>
      </c>
      <c r="AK70">
        <f t="shared" si="79"/>
        <v>-2.1521100730354063E-2</v>
      </c>
      <c r="AL70">
        <f t="shared" si="80"/>
        <v>4.1894668739959805E-2</v>
      </c>
      <c r="AM70">
        <f t="shared" si="81"/>
        <v>-3.8906751411954092E-2</v>
      </c>
      <c r="AN70">
        <f t="shared" si="82"/>
        <v>-5.3705881673636234E-2</v>
      </c>
      <c r="AO70">
        <f t="shared" si="83"/>
        <v>-1.7557927389887273E-2</v>
      </c>
      <c r="AP70">
        <f t="shared" si="84"/>
        <v>4.1953663726915905E-2</v>
      </c>
      <c r="AQ70">
        <f t="shared" si="85"/>
        <v>-3.8845881079239787E-2</v>
      </c>
      <c r="AR70">
        <f t="shared" si="86"/>
        <v>-5.390234992783291E-2</v>
      </c>
      <c r="AS70">
        <f t="shared" si="87"/>
        <v>-1.4853002657411872E-2</v>
      </c>
      <c r="AT70">
        <f t="shared" si="88"/>
        <v>4.2464309755129374E-2</v>
      </c>
      <c r="AU70">
        <f t="shared" si="89"/>
        <v>-3.8280160777277361E-2</v>
      </c>
      <c r="AV70">
        <f t="shared" si="90"/>
        <v>-5.3131527398148366E-2</v>
      </c>
      <c r="AW70">
        <f t="shared" si="91"/>
        <v>-1.942980727812315E-2</v>
      </c>
      <c r="AX70">
        <f t="shared" si="92"/>
        <v>4.4193783196460099E-2</v>
      </c>
      <c r="AY70">
        <f t="shared" si="93"/>
        <v>-3.9637930959751655E-2</v>
      </c>
      <c r="AZ70">
        <f t="shared" si="94"/>
        <v>-5.7365785517880366E-2</v>
      </c>
      <c r="BA70">
        <f t="shared" si="95"/>
        <v>-1.906338865009384E-2</v>
      </c>
    </row>
    <row r="71" spans="1:53" ht="14.4" x14ac:dyDescent="0.55000000000000004">
      <c r="A71" s="4">
        <v>41178</v>
      </c>
      <c r="B71">
        <v>4.5060159313057201E-2</v>
      </c>
      <c r="C71">
        <v>-3.9443594280387899E-2</v>
      </c>
      <c r="D71">
        <v>-6.2769937799300499E-2</v>
      </c>
      <c r="E71">
        <v>-4.8098494970327997E-2</v>
      </c>
      <c r="F71">
        <f t="shared" si="96"/>
        <v>4.386986340085252E-2</v>
      </c>
      <c r="G71">
        <f t="shared" si="97"/>
        <v>-3.8426487308868634E-2</v>
      </c>
      <c r="H71">
        <f t="shared" si="98"/>
        <v>-5.9614437626677196E-2</v>
      </c>
      <c r="I71">
        <f t="shared" si="99"/>
        <v>-4.2225819299622873E-2</v>
      </c>
      <c r="J71">
        <f t="shared" si="100"/>
        <v>4.2632115033971844E-2</v>
      </c>
      <c r="K71">
        <f t="shared" si="101"/>
        <v>-3.7693403232841337E-2</v>
      </c>
      <c r="L71">
        <f t="shared" si="102"/>
        <v>-5.4733206494490358E-2</v>
      </c>
      <c r="M71">
        <f t="shared" si="103"/>
        <v>-4.5078525675411464E-2</v>
      </c>
      <c r="N71">
        <f t="shared" si="104"/>
        <v>4.3460213910623401E-2</v>
      </c>
      <c r="O71">
        <f t="shared" si="105"/>
        <v>-3.8523325275146084E-2</v>
      </c>
      <c r="P71">
        <f t="shared" si="106"/>
        <v>-5.312438143936888E-2</v>
      </c>
      <c r="Q71">
        <f t="shared" si="107"/>
        <v>-4.0424666920675222E-2</v>
      </c>
      <c r="R71">
        <f t="shared" ref="R71:R102" si="108">BD$2+BD$3*$N70+BD$4*$O70+BD$5*$P70+BD$6*$Q70</f>
        <v>4.4083589020498082E-2</v>
      </c>
      <c r="S71">
        <f t="shared" ref="S71:S102" si="109">BE$2+BE$3*$N70+BE$4*$O70+BE$5*$P70+BE$6*$Q70</f>
        <v>-3.8960009370304999E-2</v>
      </c>
      <c r="T71">
        <f t="shared" ref="T71:T102" si="110">BF$2+BF$3*$N70+BF$4*$O70+BF$5*$P70+BF$6*$Q70</f>
        <v>-5.3962604910848852E-2</v>
      </c>
      <c r="U71">
        <f t="shared" ref="U71:U102" si="111">BG$2+BG$3*$N70+BG$4*$O70+BG$5*$P70+BG$6*$Q70</f>
        <v>-4.0755493398421008E-2</v>
      </c>
      <c r="V71">
        <f t="shared" si="64"/>
        <v>4.5111175410067129E-2</v>
      </c>
      <c r="W71">
        <f t="shared" si="65"/>
        <v>-4.0520598498900273E-2</v>
      </c>
      <c r="X71">
        <f t="shared" si="66"/>
        <v>-5.9701137034221884E-2</v>
      </c>
      <c r="Y71">
        <f t="shared" si="67"/>
        <v>-2.9424277888861334E-2</v>
      </c>
      <c r="Z71">
        <f t="shared" si="68"/>
        <v>4.3920826391302424E-2</v>
      </c>
      <c r="AA71">
        <f t="shared" si="69"/>
        <v>-3.9815150279866568E-2</v>
      </c>
      <c r="AB71">
        <f t="shared" si="70"/>
        <v>-5.7739551036902613E-2</v>
      </c>
      <c r="AC71">
        <f t="shared" si="71"/>
        <v>-2.1020747720841601E-2</v>
      </c>
      <c r="AD71">
        <f t="shared" si="72"/>
        <v>4.3840463143674208E-2</v>
      </c>
      <c r="AE71">
        <f t="shared" si="73"/>
        <v>-3.9476610271526401E-2</v>
      </c>
      <c r="AF71">
        <f t="shared" si="74"/>
        <v>-5.6205292627891222E-2</v>
      </c>
      <c r="AG71">
        <f t="shared" si="75"/>
        <v>-2.6010001560827892E-2</v>
      </c>
      <c r="AH71">
        <f t="shared" si="76"/>
        <v>4.3882042528904423E-2</v>
      </c>
      <c r="AI71">
        <f t="shared" si="77"/>
        <v>-4.0161358293435243E-2</v>
      </c>
      <c r="AJ71">
        <f t="shared" si="78"/>
        <v>-5.7452943164046748E-2</v>
      </c>
      <c r="AK71">
        <f t="shared" si="79"/>
        <v>-2.3618394257593968E-2</v>
      </c>
      <c r="AL71">
        <f t="shared" si="80"/>
        <v>4.162140627247167E-2</v>
      </c>
      <c r="AM71">
        <f t="shared" si="81"/>
        <v>-3.8003887613380631E-2</v>
      </c>
      <c r="AN71">
        <f t="shared" si="82"/>
        <v>-5.1506394993091363E-2</v>
      </c>
      <c r="AO71">
        <f t="shared" si="83"/>
        <v>-2.0706775203731639E-2</v>
      </c>
      <c r="AP71">
        <f t="shared" si="84"/>
        <v>4.1763201326118278E-2</v>
      </c>
      <c r="AQ71">
        <f t="shared" si="85"/>
        <v>-3.8714314472851341E-2</v>
      </c>
      <c r="AR71">
        <f t="shared" si="86"/>
        <v>-5.3176110064300057E-2</v>
      </c>
      <c r="AS71">
        <f t="shared" si="87"/>
        <v>-1.699530368494E-2</v>
      </c>
      <c r="AT71">
        <f t="shared" si="88"/>
        <v>4.1784483581101539E-2</v>
      </c>
      <c r="AU71">
        <f t="shared" si="89"/>
        <v>-3.8640662431411031E-2</v>
      </c>
      <c r="AV71">
        <f t="shared" si="90"/>
        <v>-5.3375986433829813E-2</v>
      </c>
      <c r="AW71">
        <f t="shared" si="91"/>
        <v>-1.4368845553813047E-2</v>
      </c>
      <c r="AX71">
        <f t="shared" si="92"/>
        <v>4.2239126834966195E-2</v>
      </c>
      <c r="AY71">
        <f t="shared" si="93"/>
        <v>-3.803721302417104E-2</v>
      </c>
      <c r="AZ71">
        <f t="shared" si="94"/>
        <v>-5.2595734353464201E-2</v>
      </c>
      <c r="BA71">
        <f t="shared" si="95"/>
        <v>-1.8521897098466009E-2</v>
      </c>
    </row>
    <row r="72" spans="1:53" ht="14.4" x14ac:dyDescent="0.55000000000000004">
      <c r="A72" s="4">
        <v>41213</v>
      </c>
      <c r="B72">
        <v>4.4979237230264098E-2</v>
      </c>
      <c r="C72">
        <v>-3.9591915745621702E-2</v>
      </c>
      <c r="D72">
        <v>-6.1304644943995901E-2</v>
      </c>
      <c r="E72">
        <v>-4.5416159221096201E-2</v>
      </c>
      <c r="F72">
        <f t="shared" si="96"/>
        <v>4.5430218236866139E-2</v>
      </c>
      <c r="G72">
        <f t="shared" si="97"/>
        <v>-3.9985293651023934E-2</v>
      </c>
      <c r="H72">
        <f t="shared" si="98"/>
        <v>-6.1315601115684223E-2</v>
      </c>
      <c r="I72">
        <f t="shared" si="99"/>
        <v>-4.7260997678134471E-2</v>
      </c>
      <c r="J72">
        <f t="shared" si="100"/>
        <v>4.4252823865511028E-2</v>
      </c>
      <c r="K72">
        <f t="shared" si="101"/>
        <v>-3.8955015923195772E-2</v>
      </c>
      <c r="L72">
        <f t="shared" si="102"/>
        <v>-5.8458653456858314E-2</v>
      </c>
      <c r="M72">
        <f t="shared" si="103"/>
        <v>-4.1602147036936515E-2</v>
      </c>
      <c r="N72">
        <f t="shared" si="104"/>
        <v>4.3009868187576322E-2</v>
      </c>
      <c r="O72">
        <f t="shared" si="105"/>
        <v>-3.8066343685328539E-2</v>
      </c>
      <c r="P72">
        <f t="shared" si="106"/>
        <v>-5.3922531579297862E-2</v>
      </c>
      <c r="Q72">
        <f t="shared" si="107"/>
        <v>-4.4071309205817047E-2</v>
      </c>
      <c r="R72">
        <f t="shared" si="108"/>
        <v>4.333055987557393E-2</v>
      </c>
      <c r="S72">
        <f t="shared" si="109"/>
        <v>-3.8293694718827376E-2</v>
      </c>
      <c r="T72">
        <f t="shared" si="110"/>
        <v>-5.2392980685612524E-2</v>
      </c>
      <c r="U72">
        <f t="shared" si="111"/>
        <v>-3.8536629627090993E-2</v>
      </c>
      <c r="V72">
        <f t="shared" ref="V72:V103" si="112">BD$2+BD$3*$R71+BD$4*$S71+BD$5*$T71+BD$6*$U71</f>
        <v>4.3837678448187506E-2</v>
      </c>
      <c r="W72">
        <f t="shared" ref="W72:W103" si="113">BE$2+BE$3*$R71+BE$4*$S71+BE$5*$T71+BE$6*$U71</f>
        <v>-3.861822127877973E-2</v>
      </c>
      <c r="X72">
        <f t="shared" ref="X72:X103" si="114">BF$2+BF$3*$R71+BF$4*$S71+BF$5*$T71+BF$6*$U71</f>
        <v>-5.314270928213996E-2</v>
      </c>
      <c r="Y72">
        <f t="shared" ref="Y72:Y103" si="115">BG$2+BG$3*$R71+BG$4*$S71+BG$5*$T71+BG$6*$U71</f>
        <v>-3.8639721861779074E-2</v>
      </c>
      <c r="Z72">
        <f t="shared" si="68"/>
        <v>4.4767062852189045E-2</v>
      </c>
      <c r="AA72">
        <f t="shared" si="69"/>
        <v>-4.0214801832043741E-2</v>
      </c>
      <c r="AB72">
        <f t="shared" si="70"/>
        <v>-5.8549027813783586E-2</v>
      </c>
      <c r="AC72">
        <f t="shared" si="71"/>
        <v>-2.8001208508611562E-2</v>
      </c>
      <c r="AD72">
        <f t="shared" si="72"/>
        <v>4.3619560130796951E-2</v>
      </c>
      <c r="AE72">
        <f t="shared" si="73"/>
        <v>-3.9550700817058561E-2</v>
      </c>
      <c r="AF72">
        <f t="shared" si="74"/>
        <v>-5.6829703318977458E-2</v>
      </c>
      <c r="AG72">
        <f t="shared" si="75"/>
        <v>-2.0074230310793386E-2</v>
      </c>
      <c r="AH72">
        <f t="shared" si="76"/>
        <v>4.3544093622934113E-2</v>
      </c>
      <c r="AI72">
        <f t="shared" si="77"/>
        <v>-3.9170877209707584E-2</v>
      </c>
      <c r="AJ72">
        <f t="shared" si="78"/>
        <v>-5.5360206115456632E-2</v>
      </c>
      <c r="AK72">
        <f t="shared" si="79"/>
        <v>-2.4722471054363634E-2</v>
      </c>
      <c r="AL72">
        <f t="shared" si="80"/>
        <v>4.357501425966713E-2</v>
      </c>
      <c r="AM72">
        <f t="shared" si="81"/>
        <v>-3.9837730631285685E-2</v>
      </c>
      <c r="AN72">
        <f t="shared" si="82"/>
        <v>-5.6543418952598339E-2</v>
      </c>
      <c r="AO72">
        <f t="shared" si="83"/>
        <v>-2.2507830455566098E-2</v>
      </c>
      <c r="AP72">
        <f t="shared" si="84"/>
        <v>4.1508278873561906E-2</v>
      </c>
      <c r="AQ72">
        <f t="shared" si="85"/>
        <v>-3.7814026402380511E-2</v>
      </c>
      <c r="AR72">
        <f t="shared" si="86"/>
        <v>-5.1106830040704085E-2</v>
      </c>
      <c r="AS72">
        <f t="shared" si="87"/>
        <v>-1.9898221668486822E-2</v>
      </c>
      <c r="AT72">
        <f t="shared" si="88"/>
        <v>4.1626761993016917E-2</v>
      </c>
      <c r="AU72">
        <f t="shared" si="89"/>
        <v>-3.8514494805463734E-2</v>
      </c>
      <c r="AV72">
        <f t="shared" si="90"/>
        <v>-5.269001149065973E-2</v>
      </c>
      <c r="AW72">
        <f t="shared" si="91"/>
        <v>-1.6428639561213539E-2</v>
      </c>
      <c r="AX72">
        <f t="shared" si="92"/>
        <v>4.1622458505134963E-2</v>
      </c>
      <c r="AY72">
        <f t="shared" si="93"/>
        <v>-3.8440245585338824E-2</v>
      </c>
      <c r="AZ72">
        <f t="shared" si="94"/>
        <v>-5.2894669626787301E-2</v>
      </c>
      <c r="BA72">
        <f t="shared" si="95"/>
        <v>-1.3902309572903128E-2</v>
      </c>
    </row>
    <row r="73" spans="1:53" ht="14.4" x14ac:dyDescent="0.55000000000000004">
      <c r="A73" s="4">
        <v>41241</v>
      </c>
      <c r="B73">
        <v>4.5710371175887499E-2</v>
      </c>
      <c r="C73">
        <v>-4.05320853672071E-2</v>
      </c>
      <c r="D73">
        <v>-6.1132021292872797E-2</v>
      </c>
      <c r="E73">
        <v>-5.1154235888789701E-2</v>
      </c>
      <c r="F73">
        <f t="shared" si="96"/>
        <v>4.5178637456167764E-2</v>
      </c>
      <c r="G73">
        <f t="shared" si="97"/>
        <v>-3.9905316135285585E-2</v>
      </c>
      <c r="H73">
        <f t="shared" si="98"/>
        <v>-5.9960182991381172E-2</v>
      </c>
      <c r="I73">
        <f t="shared" si="99"/>
        <v>-4.4306165988359715E-2</v>
      </c>
      <c r="J73">
        <f t="shared" si="100"/>
        <v>4.551304514396147E-2</v>
      </c>
      <c r="K73">
        <f t="shared" si="101"/>
        <v>-4.015010257112242E-2</v>
      </c>
      <c r="L73">
        <f t="shared" si="102"/>
        <v>-5.9931816800980205E-2</v>
      </c>
      <c r="M73">
        <f t="shared" si="103"/>
        <v>-4.5802705406445147E-2</v>
      </c>
      <c r="N73">
        <f t="shared" si="104"/>
        <v>4.4376724036620407E-2</v>
      </c>
      <c r="O73">
        <f t="shared" si="105"/>
        <v>-3.9146250685330432E-2</v>
      </c>
      <c r="P73">
        <f t="shared" si="106"/>
        <v>-5.7353383198838315E-2</v>
      </c>
      <c r="Q73">
        <f t="shared" si="107"/>
        <v>-4.0418160706912794E-2</v>
      </c>
      <c r="R73">
        <f t="shared" si="108"/>
        <v>4.3169264319655856E-2</v>
      </c>
      <c r="S73">
        <f t="shared" si="109"/>
        <v>-3.8170801431148177E-2</v>
      </c>
      <c r="T73">
        <f t="shared" si="110"/>
        <v>-5.3145178292554197E-2</v>
      </c>
      <c r="U73">
        <f t="shared" si="111"/>
        <v>-4.2624141566178393E-2</v>
      </c>
      <c r="V73">
        <f t="shared" si="112"/>
        <v>4.3158564343140825E-2</v>
      </c>
      <c r="W73">
        <f t="shared" si="113"/>
        <v>-3.8020806514891439E-2</v>
      </c>
      <c r="X73">
        <f t="shared" si="114"/>
        <v>-5.1726352043802583E-2</v>
      </c>
      <c r="Y73">
        <f t="shared" si="115"/>
        <v>-3.6630064153948642E-2</v>
      </c>
      <c r="Z73">
        <f t="shared" ref="Z73:Z104" si="116">BD$2+BD$3*$V72+BD$4*$W72+BD$5*$X72+BD$6*$Y72</f>
        <v>4.3577304536100224E-2</v>
      </c>
      <c r="AA73">
        <f t="shared" ref="AA73:AA104" si="117">BE$2+BE$3*$V72+BE$4*$W72+BE$5*$X72+BE$6*$Y72</f>
        <v>-3.826621428046121E-2</v>
      </c>
      <c r="AB73">
        <f t="shared" ref="AB73:AB104" si="118">BF$2+BF$3*$V72+BF$4*$W72+BF$5*$X72+BF$6*$Y72</f>
        <v>-5.2401263959540867E-2</v>
      </c>
      <c r="AC73">
        <f t="shared" ref="AC73:AC104" si="119">BG$2+BG$3*$V72+BG$4*$W72+BG$5*$X72+BG$6*$Y72</f>
        <v>-3.6572790108198583E-2</v>
      </c>
      <c r="AD73">
        <f t="shared" si="72"/>
        <v>4.4411497235753453E-2</v>
      </c>
      <c r="AE73">
        <f t="shared" si="73"/>
        <v>-3.9881350048948834E-2</v>
      </c>
      <c r="AF73">
        <f t="shared" si="74"/>
        <v>-5.7495873140368657E-2</v>
      </c>
      <c r="AG73">
        <f t="shared" si="75"/>
        <v>-2.6581674383106206E-2</v>
      </c>
      <c r="AH73">
        <f t="shared" si="76"/>
        <v>4.3321814746461115E-2</v>
      </c>
      <c r="AI73">
        <f t="shared" si="77"/>
        <v>-3.9277649597446576E-2</v>
      </c>
      <c r="AJ73">
        <f t="shared" si="78"/>
        <v>-5.5998519721177628E-2</v>
      </c>
      <c r="AK73">
        <f t="shared" si="79"/>
        <v>-1.9147153616777907E-2</v>
      </c>
      <c r="AL73">
        <f t="shared" si="80"/>
        <v>4.3254018140185473E-2</v>
      </c>
      <c r="AM73">
        <f t="shared" si="81"/>
        <v>-3.8866918957438129E-2</v>
      </c>
      <c r="AN73">
        <f t="shared" si="82"/>
        <v>-5.4592099804608073E-2</v>
      </c>
      <c r="AO73">
        <f t="shared" si="83"/>
        <v>-2.3481453543002549E-2</v>
      </c>
      <c r="AP73">
        <f t="shared" si="84"/>
        <v>4.3276065993008359E-2</v>
      </c>
      <c r="AQ73">
        <f t="shared" si="85"/>
        <v>-3.9516013379709759E-2</v>
      </c>
      <c r="AR73">
        <f t="shared" si="86"/>
        <v>-5.5714225626471721E-2</v>
      </c>
      <c r="AS73">
        <f t="shared" si="87"/>
        <v>-2.1434649614619224E-2</v>
      </c>
      <c r="AT73">
        <f t="shared" si="88"/>
        <v>4.1392665690496835E-2</v>
      </c>
      <c r="AU73">
        <f t="shared" si="89"/>
        <v>-3.7625157308551066E-2</v>
      </c>
      <c r="AV73">
        <f t="shared" si="90"/>
        <v>-5.0743746607133558E-2</v>
      </c>
      <c r="AW73">
        <f t="shared" si="91"/>
        <v>-1.9110221049909237E-2</v>
      </c>
      <c r="AX73">
        <f t="shared" si="92"/>
        <v>4.1491080770578531E-2</v>
      </c>
      <c r="AY73">
        <f t="shared" si="93"/>
        <v>-3.8315167426149752E-2</v>
      </c>
      <c r="AZ73">
        <f t="shared" si="94"/>
        <v>-5.2245289009194389E-2</v>
      </c>
      <c r="BA73">
        <f t="shared" si="95"/>
        <v>-1.5872154650796631E-2</v>
      </c>
    </row>
    <row r="74" spans="1:53" ht="14.4" x14ac:dyDescent="0.55000000000000004">
      <c r="A74" s="4">
        <v>41269</v>
      </c>
      <c r="B74">
        <v>4.6027086479041197E-2</v>
      </c>
      <c r="C74">
        <v>-4.1434841698409698E-2</v>
      </c>
      <c r="D74">
        <v>-6.1406559691155001E-2</v>
      </c>
      <c r="E74">
        <v>-4.6969608011512801E-2</v>
      </c>
      <c r="F74">
        <f t="shared" si="96"/>
        <v>4.5721050252458116E-2</v>
      </c>
      <c r="G74">
        <f t="shared" si="97"/>
        <v>-4.0559272561587381E-2</v>
      </c>
      <c r="H74">
        <f t="shared" si="98"/>
        <v>-5.9715437127433595E-2</v>
      </c>
      <c r="I74">
        <f t="shared" si="99"/>
        <v>-4.9323009575617083E-2</v>
      </c>
      <c r="J74">
        <f t="shared" si="100"/>
        <v>4.5160327129488725E-2</v>
      </c>
      <c r="K74">
        <f t="shared" si="101"/>
        <v>-3.9933151831628315E-2</v>
      </c>
      <c r="L74">
        <f t="shared" si="102"/>
        <v>-5.8691803081012163E-2</v>
      </c>
      <c r="M74">
        <f t="shared" si="103"/>
        <v>-4.2740889410848117E-2</v>
      </c>
      <c r="N74">
        <f t="shared" si="104"/>
        <v>4.5412033557667993E-2</v>
      </c>
      <c r="O74">
        <f t="shared" si="105"/>
        <v>-4.0073966515182788E-2</v>
      </c>
      <c r="P74">
        <f t="shared" si="106"/>
        <v>-5.8635828094371609E-2</v>
      </c>
      <c r="Q74">
        <f t="shared" si="107"/>
        <v>-4.3977508251304039E-2</v>
      </c>
      <c r="R74">
        <f t="shared" si="108"/>
        <v>4.433338927674238E-2</v>
      </c>
      <c r="S74">
        <f t="shared" si="109"/>
        <v>-3.912066390967444E-2</v>
      </c>
      <c r="T74">
        <f t="shared" si="110"/>
        <v>-5.6314958843503751E-2</v>
      </c>
      <c r="U74">
        <f t="shared" si="111"/>
        <v>-3.8899314376145668E-2</v>
      </c>
      <c r="V74">
        <f t="shared" si="112"/>
        <v>4.3185851236387504E-2</v>
      </c>
      <c r="W74">
        <f t="shared" si="113"/>
        <v>-3.8104557268194464E-2</v>
      </c>
      <c r="X74">
        <f t="shared" si="114"/>
        <v>-5.2415179654364187E-2</v>
      </c>
      <c r="Y74">
        <f t="shared" si="115"/>
        <v>-4.0921179074741645E-2</v>
      </c>
      <c r="Z74">
        <f t="shared" si="116"/>
        <v>4.2964278501912756E-2</v>
      </c>
      <c r="AA74">
        <f t="shared" si="117"/>
        <v>-3.7730049600074297E-2</v>
      </c>
      <c r="AB74">
        <f t="shared" si="118"/>
        <v>-5.1123219305435549E-2</v>
      </c>
      <c r="AC74">
        <f t="shared" si="119"/>
        <v>-3.4751095507117288E-2</v>
      </c>
      <c r="AD74">
        <f t="shared" ref="AD74:AD105" si="120">BD$2+BD$3*$Z73+BD$4*$AA73+BD$5*$AB73+BD$6*$AC73</f>
        <v>4.3314770595189539E-2</v>
      </c>
      <c r="AE74">
        <f t="shared" ref="AE74:AE105" si="121">BE$2+BE$3*$Z73+BE$4*$AA73+BE$5*$AB73+BE$6*$AC73</f>
        <v>-3.7919505817139272E-2</v>
      </c>
      <c r="AF74">
        <f t="shared" ref="AF74:AF105" si="122">BF$2+BF$3*$Z73+BF$4*$AA73+BF$5*$AB73+BF$6*$AC73</f>
        <v>-5.1734052654397504E-2</v>
      </c>
      <c r="AG74">
        <f t="shared" ref="AG74:AG105" si="123">BG$2+BG$3*$Z73+BG$4*$AA73+BG$5*$AB73+BG$6*$AC73</f>
        <v>-3.4581472668205916E-2</v>
      </c>
      <c r="AH74">
        <f t="shared" si="76"/>
        <v>4.4058828339622345E-2</v>
      </c>
      <c r="AI74">
        <f t="shared" si="77"/>
        <v>-3.954039953669107E-2</v>
      </c>
      <c r="AJ74">
        <f t="shared" si="78"/>
        <v>-5.6536443994725988E-2</v>
      </c>
      <c r="AK74">
        <f t="shared" si="79"/>
        <v>-2.5199901251065054E-2</v>
      </c>
      <c r="AL74">
        <f t="shared" si="80"/>
        <v>4.3034862532477833E-2</v>
      </c>
      <c r="AM74">
        <f t="shared" si="81"/>
        <v>-3.9006900349548762E-2</v>
      </c>
      <c r="AN74">
        <f t="shared" si="82"/>
        <v>-5.5240985069121638E-2</v>
      </c>
      <c r="AO74">
        <f t="shared" si="83"/>
        <v>-1.8257113663350599E-2</v>
      </c>
      <c r="AP74">
        <f t="shared" si="84"/>
        <v>4.2976107862988923E-2</v>
      </c>
      <c r="AQ74">
        <f t="shared" si="85"/>
        <v>-3.8573185575393382E-2</v>
      </c>
      <c r="AR74">
        <f t="shared" si="86"/>
        <v>-5.3895679877153255E-2</v>
      </c>
      <c r="AS74">
        <f t="shared" si="87"/>
        <v>-2.2300127642309805E-2</v>
      </c>
      <c r="AT74">
        <f t="shared" si="88"/>
        <v>4.2990757531360869E-2</v>
      </c>
      <c r="AU74">
        <f t="shared" si="89"/>
        <v>-3.9204533792002873E-2</v>
      </c>
      <c r="AV74">
        <f t="shared" si="90"/>
        <v>-5.495983148287361E-2</v>
      </c>
      <c r="AW74">
        <f t="shared" si="91"/>
        <v>-2.0412011249650714E-2</v>
      </c>
      <c r="AX74">
        <f t="shared" si="92"/>
        <v>4.1278639474615242E-2</v>
      </c>
      <c r="AY74">
        <f t="shared" si="93"/>
        <v>-3.7442433505672452E-2</v>
      </c>
      <c r="AZ74">
        <f t="shared" si="94"/>
        <v>-5.0414941941253115E-2</v>
      </c>
      <c r="BA74">
        <f t="shared" si="95"/>
        <v>-1.8351899657866336E-2</v>
      </c>
    </row>
    <row r="75" spans="1:53" ht="14.4" x14ac:dyDescent="0.55000000000000004">
      <c r="A75" s="4">
        <v>41304</v>
      </c>
      <c r="B75">
        <v>4.6821785730132202E-2</v>
      </c>
      <c r="C75">
        <v>-4.2214037475649703E-2</v>
      </c>
      <c r="D75">
        <v>-6.5642585599057696E-2</v>
      </c>
      <c r="E75">
        <v>-3.91241055996032E-2</v>
      </c>
      <c r="F75">
        <f t="shared" si="96"/>
        <v>4.58214562990912E-2</v>
      </c>
      <c r="G75">
        <f t="shared" si="97"/>
        <v>-4.1197343847519219E-2</v>
      </c>
      <c r="H75">
        <f t="shared" si="98"/>
        <v>-5.9980188696981677E-2</v>
      </c>
      <c r="I75">
        <f t="shared" si="99"/>
        <v>-4.4937747545078163E-2</v>
      </c>
      <c r="J75">
        <f t="shared" si="100"/>
        <v>4.5569989734610121E-2</v>
      </c>
      <c r="K75">
        <f t="shared" si="101"/>
        <v>-4.0378776580576425E-2</v>
      </c>
      <c r="L75">
        <f t="shared" si="102"/>
        <v>-5.8395673841571544E-2</v>
      </c>
      <c r="M75">
        <f t="shared" si="103"/>
        <v>-4.7189663542059397E-2</v>
      </c>
      <c r="N75">
        <f t="shared" si="104"/>
        <v>4.5004918296975428E-2</v>
      </c>
      <c r="O75">
        <f t="shared" si="105"/>
        <v>-3.9781451975787696E-2</v>
      </c>
      <c r="P75">
        <f t="shared" si="106"/>
        <v>-5.7511111827453144E-2</v>
      </c>
      <c r="Q75">
        <f t="shared" si="107"/>
        <v>-4.0917663737813095E-2</v>
      </c>
      <c r="R75">
        <f t="shared" si="108"/>
        <v>4.5197611449861709E-2</v>
      </c>
      <c r="S75">
        <f t="shared" si="109"/>
        <v>-3.9849536945688005E-2</v>
      </c>
      <c r="T75">
        <f t="shared" si="110"/>
        <v>-5.743590014053402E-2</v>
      </c>
      <c r="U75">
        <f t="shared" si="111"/>
        <v>-4.1957090436364052E-2</v>
      </c>
      <c r="V75">
        <f t="shared" si="112"/>
        <v>4.4185483364786449E-2</v>
      </c>
      <c r="W75">
        <f t="shared" si="113"/>
        <v>-3.8960454370065713E-2</v>
      </c>
      <c r="X75">
        <f t="shared" si="114"/>
        <v>-5.5351678954990921E-2</v>
      </c>
      <c r="Y75">
        <f t="shared" si="115"/>
        <v>-3.719834085835743E-2</v>
      </c>
      <c r="Z75">
        <f t="shared" si="116"/>
        <v>4.3111348627175979E-2</v>
      </c>
      <c r="AA75">
        <f t="shared" si="117"/>
        <v>-3.7934216453132483E-2</v>
      </c>
      <c r="AB75">
        <f t="shared" si="118"/>
        <v>-5.1739938542325739E-2</v>
      </c>
      <c r="AC75">
        <f t="shared" si="119"/>
        <v>-3.9087174213906437E-2</v>
      </c>
      <c r="AD75">
        <f t="shared" si="120"/>
        <v>4.2760998169990627E-2</v>
      </c>
      <c r="AE75">
        <f t="shared" si="121"/>
        <v>-3.7437989917039144E-2</v>
      </c>
      <c r="AF75">
        <f t="shared" si="122"/>
        <v>-5.0580868514904904E-2</v>
      </c>
      <c r="AG75">
        <f t="shared" si="123"/>
        <v>-3.292909375736941E-2</v>
      </c>
      <c r="AH75">
        <f t="shared" ref="AH75:AH106" si="124">BD$2+BD$3*$AD74+BD$4*$AE74+BD$5*$AF74+BD$6*$AG74</f>
        <v>4.3057912326179594E-2</v>
      </c>
      <c r="AI75">
        <f t="shared" ref="AI75:AI106" si="125">BE$2+BE$3*$AD74+BE$4*$AE74+BE$5*$AF74+BE$6*$AG74</f>
        <v>-3.7587765046651081E-2</v>
      </c>
      <c r="AJ75">
        <f t="shared" ref="AJ75:AJ106" si="126">BF$2+BF$3*$AD74+BF$4*$AE74+BF$5*$AF74+BF$6*$AG74</f>
        <v>-5.1136193996492427E-2</v>
      </c>
      <c r="AK75">
        <f t="shared" ref="AK75:AK106" si="127">BG$2+BG$3*$AD74+BG$4*$AE74+BG$5*$AF74+BG$6*$AG74</f>
        <v>-3.2681513522746425E-2</v>
      </c>
      <c r="AL75">
        <f t="shared" si="80"/>
        <v>4.3718012209051686E-2</v>
      </c>
      <c r="AM75">
        <f t="shared" si="81"/>
        <v>-3.9204890725531689E-2</v>
      </c>
      <c r="AN75">
        <f t="shared" si="82"/>
        <v>-5.5664724786825187E-2</v>
      </c>
      <c r="AO75">
        <f t="shared" si="83"/>
        <v>-2.3876714329726729E-2</v>
      </c>
      <c r="AP75">
        <f t="shared" si="84"/>
        <v>4.2762968972827338E-2</v>
      </c>
      <c r="AQ75">
        <f t="shared" si="85"/>
        <v>-3.8745277140226575E-2</v>
      </c>
      <c r="AR75">
        <f t="shared" si="86"/>
        <v>-5.4551823021527328E-2</v>
      </c>
      <c r="AS75">
        <f t="shared" si="87"/>
        <v>-1.7414229520379715E-2</v>
      </c>
      <c r="AT75">
        <f t="shared" si="88"/>
        <v>4.2713714653840891E-2</v>
      </c>
      <c r="AU75">
        <f t="shared" si="89"/>
        <v>-3.8294733280462075E-2</v>
      </c>
      <c r="AV75">
        <f t="shared" si="90"/>
        <v>-5.3265525093196951E-2</v>
      </c>
      <c r="AW75">
        <f t="shared" si="91"/>
        <v>-2.1185438007094905E-2</v>
      </c>
      <c r="AX75">
        <f t="shared" si="92"/>
        <v>4.2722196279086418E-2</v>
      </c>
      <c r="AY75">
        <f t="shared" si="93"/>
        <v>-3.8908287328200827E-2</v>
      </c>
      <c r="AZ75">
        <f t="shared" si="94"/>
        <v>-5.4274609300368704E-2</v>
      </c>
      <c r="BA75">
        <f t="shared" si="95"/>
        <v>-1.944697473274971E-2</v>
      </c>
    </row>
    <row r="76" spans="1:53" ht="14.4" x14ac:dyDescent="0.55000000000000004">
      <c r="A76" s="4">
        <v>41332</v>
      </c>
      <c r="B76">
        <v>4.9083167005529602E-2</v>
      </c>
      <c r="C76">
        <v>-4.3818165313850403E-2</v>
      </c>
      <c r="D76">
        <v>-6.7482278715760402E-2</v>
      </c>
      <c r="E76">
        <v>-4.96316207438387E-2</v>
      </c>
      <c r="F76">
        <f t="shared" si="96"/>
        <v>4.6581413349348511E-2</v>
      </c>
      <c r="G76">
        <f t="shared" si="97"/>
        <v>-4.2073842818821795E-2</v>
      </c>
      <c r="H76">
        <f t="shared" si="98"/>
        <v>-6.3967258180741254E-2</v>
      </c>
      <c r="I76">
        <f t="shared" si="99"/>
        <v>-3.7647950103445134E-2</v>
      </c>
      <c r="J76">
        <f t="shared" si="100"/>
        <v>4.5529096630464463E-2</v>
      </c>
      <c r="K76">
        <f t="shared" si="101"/>
        <v>-4.084659666148422E-2</v>
      </c>
      <c r="L76">
        <f t="shared" si="102"/>
        <v>-5.8665531031786344E-2</v>
      </c>
      <c r="M76">
        <f t="shared" si="103"/>
        <v>-4.2771534638823022E-2</v>
      </c>
      <c r="N76">
        <f t="shared" si="104"/>
        <v>4.5320799872049893E-2</v>
      </c>
      <c r="O76">
        <f t="shared" si="105"/>
        <v>-4.0073988323664461E-2</v>
      </c>
      <c r="P76">
        <f t="shared" si="106"/>
        <v>-5.7178666362302157E-2</v>
      </c>
      <c r="Q76">
        <f t="shared" si="107"/>
        <v>-4.4908510538252691E-2</v>
      </c>
      <c r="R76">
        <f t="shared" si="108"/>
        <v>4.4767144823143055E-2</v>
      </c>
      <c r="S76">
        <f t="shared" si="109"/>
        <v>-3.9522247628083602E-2</v>
      </c>
      <c r="T76">
        <f t="shared" si="110"/>
        <v>-5.6422830463680358E-2</v>
      </c>
      <c r="U76">
        <f t="shared" si="111"/>
        <v>-3.8969311359762851E-2</v>
      </c>
      <c r="V76">
        <f t="shared" si="112"/>
        <v>4.4917418601954584E-2</v>
      </c>
      <c r="W76">
        <f t="shared" si="113"/>
        <v>-3.9539516775075903E-2</v>
      </c>
      <c r="X76">
        <f t="shared" si="114"/>
        <v>-5.633440014422731E-2</v>
      </c>
      <c r="Y76">
        <f t="shared" si="115"/>
        <v>-3.985635264204293E-2</v>
      </c>
      <c r="Z76">
        <f t="shared" si="116"/>
        <v>4.3975500916906232E-2</v>
      </c>
      <c r="AA76">
        <f t="shared" si="117"/>
        <v>-3.8721336698957123E-2</v>
      </c>
      <c r="AB76">
        <f t="shared" si="118"/>
        <v>-5.4466538790092923E-2</v>
      </c>
      <c r="AC76">
        <f t="shared" si="119"/>
        <v>-3.5417714614114776E-2</v>
      </c>
      <c r="AD76">
        <f t="shared" si="120"/>
        <v>4.2980980437210527E-2</v>
      </c>
      <c r="AE76">
        <f t="shared" si="121"/>
        <v>-3.7704815070335636E-2</v>
      </c>
      <c r="AF76">
        <f t="shared" si="122"/>
        <v>-5.1122461892555877E-2</v>
      </c>
      <c r="AG76">
        <f t="shared" si="123"/>
        <v>-3.7205795356333352E-2</v>
      </c>
      <c r="AH76">
        <f t="shared" si="124"/>
        <v>4.2557381403684091E-2</v>
      </c>
      <c r="AI76">
        <f t="shared" si="125"/>
        <v>-3.7155146876367902E-2</v>
      </c>
      <c r="AJ76">
        <f t="shared" si="126"/>
        <v>-5.0095754133405744E-2</v>
      </c>
      <c r="AK76">
        <f t="shared" si="127"/>
        <v>-3.1181964921097011E-2</v>
      </c>
      <c r="AL76">
        <f t="shared" ref="AL76:AL107" si="128">BD$2+BD$3*$AH75+BD$4*$AI75+BD$5*$AJ75+BD$6*$AK75</f>
        <v>4.2811525649102344E-2</v>
      </c>
      <c r="AM76">
        <f t="shared" ref="AM76:AM107" si="129">BE$2+BE$3*$AH75+BE$4*$AI75+BE$5*$AJ75+BE$6*$AK75</f>
        <v>-3.7276687711791053E-2</v>
      </c>
      <c r="AN76">
        <f t="shared" ref="AN76:AN107" si="130">BF$2+BF$3*$AH75+BF$4*$AI75+BF$5*$AJ75+BF$6*$AK75</f>
        <v>-5.0602524945408317E-2</v>
      </c>
      <c r="AO76">
        <f t="shared" ref="AO76:AO107" si="131">BG$2+BG$3*$AH75+BG$4*$AI75+BG$5*$AJ75+BG$6*$AK75</f>
        <v>-3.088119269748817E-2</v>
      </c>
      <c r="AP76">
        <f t="shared" si="84"/>
        <v>4.3394350629005686E-2</v>
      </c>
      <c r="AQ76">
        <f t="shared" si="85"/>
        <v>-3.8882842437973235E-2</v>
      </c>
      <c r="AR76">
        <f t="shared" si="86"/>
        <v>-5.4874376537239533E-2</v>
      </c>
      <c r="AS76">
        <f t="shared" si="87"/>
        <v>-2.2623880250449743E-2</v>
      </c>
      <c r="AT76">
        <f t="shared" si="88"/>
        <v>4.2508383680138824E-2</v>
      </c>
      <c r="AU76">
        <f t="shared" si="89"/>
        <v>-3.8496836280955314E-2</v>
      </c>
      <c r="AV76">
        <f t="shared" si="90"/>
        <v>-5.3925743915048181E-2</v>
      </c>
      <c r="AW76">
        <f t="shared" si="91"/>
        <v>-1.66236160119601E-2</v>
      </c>
      <c r="AX76">
        <f t="shared" si="92"/>
        <v>4.2468507467334576E-2</v>
      </c>
      <c r="AY76">
        <f t="shared" si="93"/>
        <v>-3.8034330706923469E-2</v>
      </c>
      <c r="AZ76">
        <f t="shared" si="94"/>
        <v>-5.2696288633722457E-2</v>
      </c>
      <c r="BA76">
        <f t="shared" si="95"/>
        <v>-2.0140182803763385E-2</v>
      </c>
    </row>
    <row r="77" spans="1:53" ht="14.4" x14ac:dyDescent="0.55000000000000004">
      <c r="A77" s="4">
        <v>41360</v>
      </c>
      <c r="B77">
        <v>4.8977405484421303E-2</v>
      </c>
      <c r="C77">
        <v>-4.3986740839109299E-2</v>
      </c>
      <c r="D77">
        <v>-6.7827157506618496E-2</v>
      </c>
      <c r="E77">
        <v>-4.9538883945729598E-2</v>
      </c>
      <c r="F77">
        <f t="shared" si="96"/>
        <v>4.8474270934316492E-2</v>
      </c>
      <c r="G77">
        <f t="shared" si="97"/>
        <v>-4.3241951691966388E-2</v>
      </c>
      <c r="H77">
        <f t="shared" si="98"/>
        <v>-6.5495648397703998E-2</v>
      </c>
      <c r="I77">
        <f t="shared" si="99"/>
        <v>-4.6868662140684005E-2</v>
      </c>
      <c r="J77">
        <f t="shared" si="100"/>
        <v>4.6240652960174489E-2</v>
      </c>
      <c r="K77">
        <f t="shared" si="101"/>
        <v>-4.178577395546882E-2</v>
      </c>
      <c r="L77">
        <f t="shared" si="102"/>
        <v>-6.2416331880028618E-2</v>
      </c>
      <c r="M77">
        <f t="shared" si="103"/>
        <v>-3.5968452906315465E-2</v>
      </c>
      <c r="N77">
        <f t="shared" si="104"/>
        <v>4.519005009297454E-2</v>
      </c>
      <c r="O77">
        <f t="shared" si="105"/>
        <v>-4.0435466259408727E-2</v>
      </c>
      <c r="P77">
        <f t="shared" si="106"/>
        <v>-5.7461994344829709E-2</v>
      </c>
      <c r="Q77">
        <f t="shared" si="107"/>
        <v>-4.0567335904002362E-2</v>
      </c>
      <c r="R77">
        <f t="shared" si="108"/>
        <v>4.5016390376525918E-2</v>
      </c>
      <c r="S77">
        <f t="shared" si="109"/>
        <v>-3.9701105549194364E-2</v>
      </c>
      <c r="T77">
        <f t="shared" si="110"/>
        <v>-5.6065121079327901E-2</v>
      </c>
      <c r="U77">
        <f t="shared" si="111"/>
        <v>-4.2582295930569898E-2</v>
      </c>
      <c r="V77">
        <f t="shared" si="112"/>
        <v>4.4483867553715105E-2</v>
      </c>
      <c r="W77">
        <f t="shared" si="113"/>
        <v>-3.9204070784596243E-2</v>
      </c>
      <c r="X77">
        <f t="shared" si="114"/>
        <v>-5.5427202925493198E-2</v>
      </c>
      <c r="Y77">
        <f t="shared" si="115"/>
        <v>-3.6984138932058638E-2</v>
      </c>
      <c r="Z77">
        <f t="shared" si="116"/>
        <v>4.4603371909768742E-2</v>
      </c>
      <c r="AA77">
        <f t="shared" si="117"/>
        <v>-3.9185928517799708E-2</v>
      </c>
      <c r="AB77">
        <f t="shared" si="118"/>
        <v>-5.5329907847621131E-2</v>
      </c>
      <c r="AC77">
        <f t="shared" si="119"/>
        <v>-3.7751060072264919E-2</v>
      </c>
      <c r="AD77">
        <f t="shared" si="120"/>
        <v>4.3732011076994697E-2</v>
      </c>
      <c r="AE77">
        <f t="shared" si="121"/>
        <v>-3.8440729700935317E-2</v>
      </c>
      <c r="AF77">
        <f t="shared" si="122"/>
        <v>-5.3659103129745839E-2</v>
      </c>
      <c r="AG77">
        <f t="shared" si="123"/>
        <v>-3.3625247953543561E-2</v>
      </c>
      <c r="AH77">
        <f t="shared" si="124"/>
        <v>4.2818567382845028E-2</v>
      </c>
      <c r="AI77">
        <f t="shared" si="125"/>
        <v>-3.7446492423513146E-2</v>
      </c>
      <c r="AJ77">
        <f t="shared" si="126"/>
        <v>-5.0562895393222416E-2</v>
      </c>
      <c r="AK77">
        <f t="shared" si="127"/>
        <v>-3.5332350523957681E-2</v>
      </c>
      <c r="AL77">
        <f t="shared" si="128"/>
        <v>4.2358915576913785E-2</v>
      </c>
      <c r="AM77">
        <f t="shared" si="129"/>
        <v>-3.688791722293177E-2</v>
      </c>
      <c r="AN77">
        <f t="shared" si="130"/>
        <v>-4.9663905524273938E-2</v>
      </c>
      <c r="AO77">
        <f t="shared" si="131"/>
        <v>-2.9519816284000154E-2</v>
      </c>
      <c r="AP77">
        <f t="shared" ref="AP77:AP108" si="132">BD$2+BD$3*$AL76+BD$4*$AM76+BD$5*$AN76+BD$6*$AO76</f>
        <v>4.2578353378833325E-2</v>
      </c>
      <c r="AQ77">
        <f t="shared" ref="AQ77:AQ108" si="133">BE$2+BE$3*$AL76+BE$4*$AM76+BE$5*$AN76+BE$6*$AO76</f>
        <v>-3.6989292444163109E-2</v>
      </c>
      <c r="AR77">
        <f t="shared" ref="AR77:AR108" si="134">BF$2+BF$3*$AL76+BF$4*$AM76+BF$5*$AN76+BF$6*$AO76</f>
        <v>-5.0127851081062519E-2</v>
      </c>
      <c r="AS77">
        <f t="shared" ref="AS77:AS108" si="135">BG$2+BG$3*$AL76+BG$4*$AM76+BG$5*$AN76+BG$6*$AO76</f>
        <v>-2.918379043365997E-2</v>
      </c>
      <c r="AT77">
        <f t="shared" si="88"/>
        <v>4.3090691722221533E-2</v>
      </c>
      <c r="AU77">
        <f t="shared" si="89"/>
        <v>-3.8578938890002273E-2</v>
      </c>
      <c r="AV77">
        <f t="shared" si="90"/>
        <v>-5.4159038091385496E-2</v>
      </c>
      <c r="AW77">
        <f t="shared" si="91"/>
        <v>-2.1447103086925792E-2</v>
      </c>
      <c r="AX77">
        <f t="shared" si="92"/>
        <v>4.2272022434626931E-2</v>
      </c>
      <c r="AY77">
        <f t="shared" si="93"/>
        <v>-3.8263772338874326E-2</v>
      </c>
      <c r="AZ77">
        <f t="shared" si="94"/>
        <v>-5.3357601286857612E-2</v>
      </c>
      <c r="BA77">
        <f t="shared" si="95"/>
        <v>-1.5887085055975074E-2</v>
      </c>
    </row>
    <row r="78" spans="1:53" ht="14.4" x14ac:dyDescent="0.55000000000000004">
      <c r="A78" s="4">
        <v>41388</v>
      </c>
      <c r="B78">
        <v>4.6562656926903798E-2</v>
      </c>
      <c r="C78">
        <v>-4.1729841409396999E-2</v>
      </c>
      <c r="D78">
        <v>-6.4483013313228199E-2</v>
      </c>
      <c r="E78">
        <v>-4.8892254288661001E-2</v>
      </c>
      <c r="F78">
        <f t="shared" si="96"/>
        <v>4.8406026721201749E-2</v>
      </c>
      <c r="G78">
        <f t="shared" si="97"/>
        <v>-4.3442797689950928E-2</v>
      </c>
      <c r="H78">
        <f t="shared" si="98"/>
        <v>-6.5825359189093255E-2</v>
      </c>
      <c r="I78">
        <f t="shared" si="99"/>
        <v>-4.6879729522137883E-2</v>
      </c>
      <c r="J78">
        <f t="shared" si="100"/>
        <v>4.7848990846733337E-2</v>
      </c>
      <c r="K78">
        <f t="shared" si="101"/>
        <v>-4.2626758173877226E-2</v>
      </c>
      <c r="L78">
        <f t="shared" si="102"/>
        <v>-6.3682791740837588E-2</v>
      </c>
      <c r="M78">
        <f t="shared" si="103"/>
        <v>-4.4135594932714954E-2</v>
      </c>
      <c r="N78">
        <f t="shared" si="104"/>
        <v>4.5846286512064391E-2</v>
      </c>
      <c r="O78">
        <f t="shared" si="105"/>
        <v>-4.1413009930537259E-2</v>
      </c>
      <c r="P78">
        <f t="shared" si="106"/>
        <v>-6.0989814570397587E-2</v>
      </c>
      <c r="Q78">
        <f t="shared" si="107"/>
        <v>-3.4200258926064188E-2</v>
      </c>
      <c r="R78">
        <f t="shared" si="108"/>
        <v>4.4830896396399554E-2</v>
      </c>
      <c r="S78">
        <f t="shared" si="109"/>
        <v>-3.9999081825659449E-2</v>
      </c>
      <c r="T78">
        <f t="shared" si="110"/>
        <v>-5.6365958844054931E-2</v>
      </c>
      <c r="U78">
        <f t="shared" si="111"/>
        <v>-3.838800033200454E-2</v>
      </c>
      <c r="V78">
        <f t="shared" si="112"/>
        <v>4.4685398888172301E-2</v>
      </c>
      <c r="W78">
        <f t="shared" si="113"/>
        <v>-3.9297565896296349E-2</v>
      </c>
      <c r="X78">
        <f t="shared" si="114"/>
        <v>-5.5052425062522732E-2</v>
      </c>
      <c r="Y78">
        <f t="shared" si="115"/>
        <v>-4.0278256166738746E-2</v>
      </c>
      <c r="Z78">
        <f t="shared" si="116"/>
        <v>4.41796301530991E-2</v>
      </c>
      <c r="AA78">
        <f t="shared" si="117"/>
        <v>-3.885924412756659E-2</v>
      </c>
      <c r="AB78">
        <f t="shared" si="118"/>
        <v>-5.452164209559679E-2</v>
      </c>
      <c r="AC78">
        <f t="shared" si="119"/>
        <v>-3.5019814774060312E-2</v>
      </c>
      <c r="AD78">
        <f t="shared" si="120"/>
        <v>4.4276567432104563E-2</v>
      </c>
      <c r="AE78">
        <f t="shared" si="121"/>
        <v>-3.8816547769115431E-2</v>
      </c>
      <c r="AF78">
        <f t="shared" si="122"/>
        <v>-5.4418654502127052E-2</v>
      </c>
      <c r="AG78">
        <f t="shared" si="123"/>
        <v>-3.5690086399563836E-2</v>
      </c>
      <c r="AH78">
        <f t="shared" si="124"/>
        <v>4.3473990412261271E-2</v>
      </c>
      <c r="AI78">
        <f t="shared" si="125"/>
        <v>-3.8143440999850696E-2</v>
      </c>
      <c r="AJ78">
        <f t="shared" si="126"/>
        <v>-5.2926785232173576E-2</v>
      </c>
      <c r="AK78">
        <f t="shared" si="127"/>
        <v>-3.1864913745829393E-2</v>
      </c>
      <c r="AL78">
        <f t="shared" si="128"/>
        <v>4.2640062283315405E-2</v>
      </c>
      <c r="AM78">
        <f t="shared" si="129"/>
        <v>-3.7179123497355838E-2</v>
      </c>
      <c r="AN78">
        <f t="shared" si="130"/>
        <v>-5.005957337236145E-2</v>
      </c>
      <c r="AO78">
        <f t="shared" si="131"/>
        <v>-3.3502620577395302E-2</v>
      </c>
      <c r="AP78">
        <f t="shared" si="132"/>
        <v>4.21689325512873E-2</v>
      </c>
      <c r="AQ78">
        <f t="shared" si="133"/>
        <v>-3.663990648643433E-2</v>
      </c>
      <c r="AR78">
        <f t="shared" si="134"/>
        <v>-4.9281195911013417E-2</v>
      </c>
      <c r="AS78">
        <f t="shared" si="135"/>
        <v>-2.7947492373226981E-2</v>
      </c>
      <c r="AT78">
        <f t="shared" ref="AT78:AT109" si="136">BD$2+BD$3*$AP77+BD$4*$AQ77+BD$5*$AR77+BD$6*$AS77</f>
        <v>4.2359765679033573E-2</v>
      </c>
      <c r="AU78">
        <f t="shared" ref="AU78:AU109" si="137">BE$2+BE$3*$AP77+BE$4*$AQ77+BE$5*$AR77+BE$6*$AS77</f>
        <v>-3.6726815299598439E-2</v>
      </c>
      <c r="AV78">
        <f t="shared" ref="AV78:AV109" si="138">BF$2+BF$3*$AP77+BF$4*$AQ77+BF$5*$AR77+BF$6*$AS77</f>
        <v>-4.9707105785376751E-2</v>
      </c>
      <c r="AW78">
        <f t="shared" ref="AW78:AW109" si="139">BG$2+BG$3*$AP77+BG$4*$AQ77+BG$5*$AR77+BG$6*$AS77</f>
        <v>-2.7589286039364443E-2</v>
      </c>
      <c r="AX78">
        <f t="shared" si="92"/>
        <v>4.2808256625399603E-2</v>
      </c>
      <c r="AY78">
        <f t="shared" si="93"/>
        <v>-3.8295625512957371E-2</v>
      </c>
      <c r="AZ78">
        <f t="shared" si="94"/>
        <v>-5.3512516644222956E-2</v>
      </c>
      <c r="BA78">
        <f t="shared" si="95"/>
        <v>-2.0348086509621759E-2</v>
      </c>
    </row>
    <row r="79" spans="1:53" ht="14.4" x14ac:dyDescent="0.55000000000000004">
      <c r="A79" s="4">
        <v>41423</v>
      </c>
      <c r="B79">
        <v>4.6934038095962999E-2</v>
      </c>
      <c r="C79">
        <v>-4.24010527920652E-2</v>
      </c>
      <c r="D79">
        <v>-6.6011496852128898E-2</v>
      </c>
      <c r="E79">
        <v>-3.5343169712220901E-2</v>
      </c>
      <c r="F79">
        <f t="shared" si="96"/>
        <v>4.6501030699390669E-2</v>
      </c>
      <c r="G79">
        <f t="shared" si="97"/>
        <v>-4.1725563749044722E-2</v>
      </c>
      <c r="H79">
        <f t="shared" si="98"/>
        <v>-6.2828206112309173E-2</v>
      </c>
      <c r="I79">
        <f t="shared" si="99"/>
        <v>-4.719200168649848E-2</v>
      </c>
      <c r="J79">
        <f t="shared" si="100"/>
        <v>4.7806337179264594E-2</v>
      </c>
      <c r="K79">
        <f t="shared" si="101"/>
        <v>-4.2844945414166336E-2</v>
      </c>
      <c r="L79">
        <f t="shared" si="102"/>
        <v>-6.399536619195513E-2</v>
      </c>
      <c r="M79">
        <f t="shared" si="103"/>
        <v>-4.4218834515953112E-2</v>
      </c>
      <c r="N79">
        <f t="shared" si="104"/>
        <v>4.7231062006087642E-2</v>
      </c>
      <c r="O79">
        <f t="shared" si="105"/>
        <v>-4.2005634632054215E-2</v>
      </c>
      <c r="P79">
        <f t="shared" si="106"/>
        <v>-6.2034120663361364E-2</v>
      </c>
      <c r="Q79">
        <f t="shared" si="107"/>
        <v>-4.1488211456003316E-2</v>
      </c>
      <c r="R79">
        <f t="shared" si="108"/>
        <v>4.5429321761565264E-2</v>
      </c>
      <c r="S79">
        <f t="shared" si="109"/>
        <v>-4.0997849444995606E-2</v>
      </c>
      <c r="T79">
        <f t="shared" si="110"/>
        <v>-5.9684114694935314E-2</v>
      </c>
      <c r="U79">
        <f t="shared" si="111"/>
        <v>-3.2418696955899377E-2</v>
      </c>
      <c r="V79">
        <f t="shared" si="112"/>
        <v>4.4468971568102554E-2</v>
      </c>
      <c r="W79">
        <f t="shared" si="113"/>
        <v>-3.956037660940271E-2</v>
      </c>
      <c r="X79">
        <f t="shared" si="114"/>
        <v>-5.5371996642689554E-2</v>
      </c>
      <c r="Y79">
        <f t="shared" si="115"/>
        <v>-3.627339889633005E-2</v>
      </c>
      <c r="Z79">
        <f t="shared" si="116"/>
        <v>4.4346650194554783E-2</v>
      </c>
      <c r="AA79">
        <f t="shared" si="117"/>
        <v>-3.8887899335257853E-2</v>
      </c>
      <c r="AB79">
        <f t="shared" si="118"/>
        <v>-5.4135944955673268E-2</v>
      </c>
      <c r="AC79">
        <f t="shared" si="119"/>
        <v>-3.8039257609181129E-2</v>
      </c>
      <c r="AD79">
        <f t="shared" si="120"/>
        <v>4.387051250506882E-2</v>
      </c>
      <c r="AE79">
        <f t="shared" si="121"/>
        <v>-3.8508939732020929E-2</v>
      </c>
      <c r="AF79">
        <f t="shared" si="122"/>
        <v>-5.3701848802556684E-2</v>
      </c>
      <c r="AG79">
        <f t="shared" si="123"/>
        <v>-3.3112993306637029E-2</v>
      </c>
      <c r="AH79">
        <f t="shared" si="124"/>
        <v>4.3950678981404798E-2</v>
      </c>
      <c r="AI79">
        <f t="shared" si="125"/>
        <v>-3.844936619405475E-2</v>
      </c>
      <c r="AJ79">
        <f t="shared" si="126"/>
        <v>-5.3595497450084371E-2</v>
      </c>
      <c r="AK79">
        <f t="shared" si="127"/>
        <v>-3.3703901798379718E-2</v>
      </c>
      <c r="AL79">
        <f t="shared" si="128"/>
        <v>4.321382772582294E-2</v>
      </c>
      <c r="AM79">
        <f t="shared" si="129"/>
        <v>-3.7845611220211829E-2</v>
      </c>
      <c r="AN79">
        <f t="shared" si="130"/>
        <v>-5.2265714895841628E-2</v>
      </c>
      <c r="AO79">
        <f t="shared" si="131"/>
        <v>-3.0164350285422348E-2</v>
      </c>
      <c r="AP79">
        <f t="shared" si="132"/>
        <v>4.2456002961986372E-2</v>
      </c>
      <c r="AQ79">
        <f t="shared" si="133"/>
        <v>-3.6915533264373863E-2</v>
      </c>
      <c r="AR79">
        <f t="shared" si="134"/>
        <v>-4.9609733055540603E-2</v>
      </c>
      <c r="AS79">
        <f t="shared" si="135"/>
        <v>-3.1738987840387076E-2</v>
      </c>
      <c r="AT79">
        <f t="shared" si="136"/>
        <v>4.1989310030132648E-2</v>
      </c>
      <c r="AU79">
        <f t="shared" si="137"/>
        <v>-3.6412848929300766E-2</v>
      </c>
      <c r="AV79">
        <f t="shared" si="138"/>
        <v>-4.8943516913254097E-2</v>
      </c>
      <c r="AW79">
        <f t="shared" si="139"/>
        <v>-2.6466326583691486E-2</v>
      </c>
      <c r="AX79">
        <f t="shared" ref="AX79:AX110" si="140">BD$2+BD$3*$AT78+BD$4*$AU78+BD$5*$AV78+BD$6*$AW78</f>
        <v>4.2156228085319561E-2</v>
      </c>
      <c r="AY79">
        <f t="shared" ref="AY79:AY110" si="141">BE$2+BE$3*$AT78+BE$4*$AU78+BE$5*$AV78+BE$6*$AW78</f>
        <v>-3.6489325437601042E-2</v>
      </c>
      <c r="AZ79">
        <f t="shared" ref="AZ79:AZ110" si="142">BF$2+BF$3*$AT78+BF$4*$AU78+BF$5*$AV78+BF$6*$AW78</f>
        <v>-4.933544740056222E-2</v>
      </c>
      <c r="BA79">
        <f t="shared" ref="BA79:BA110" si="143">BG$2+BG$3*$AT78+BG$4*$AU78+BG$5*$AV78+BG$6*$AW78</f>
        <v>-2.6095525750573979E-2</v>
      </c>
    </row>
    <row r="80" spans="1:53" ht="14.4" x14ac:dyDescent="0.55000000000000004">
      <c r="A80" s="4">
        <v>41451</v>
      </c>
      <c r="B80">
        <v>4.3326476838325398E-2</v>
      </c>
      <c r="C80">
        <v>-3.9445243873507702E-2</v>
      </c>
      <c r="D80">
        <v>-6.2524699171996906E-2</v>
      </c>
      <c r="E80">
        <v>-1.08078995486918E-2</v>
      </c>
      <c r="F80">
        <f t="shared" si="96"/>
        <v>4.6614572633604967E-2</v>
      </c>
      <c r="G80">
        <f t="shared" si="97"/>
        <v>-4.2195792456462253E-2</v>
      </c>
      <c r="H80">
        <f t="shared" si="98"/>
        <v>-6.4332389059306286E-2</v>
      </c>
      <c r="I80">
        <f t="shared" si="99"/>
        <v>-3.3929113540346598E-2</v>
      </c>
      <c r="J80">
        <f t="shared" si="100"/>
        <v>4.6279730075007283E-2</v>
      </c>
      <c r="K80">
        <f t="shared" si="101"/>
        <v>-4.1507675334806322E-2</v>
      </c>
      <c r="L80">
        <f t="shared" si="102"/>
        <v>-6.1287743552008202E-2</v>
      </c>
      <c r="M80">
        <f t="shared" si="103"/>
        <v>-4.5176490773931322E-2</v>
      </c>
      <c r="N80">
        <f t="shared" si="104"/>
        <v>4.7205760213400193E-2</v>
      </c>
      <c r="O80">
        <f t="shared" si="105"/>
        <v>-4.2231054534854914E-2</v>
      </c>
      <c r="P80">
        <f t="shared" si="106"/>
        <v>-6.2328637103665541E-2</v>
      </c>
      <c r="Q80">
        <f t="shared" si="107"/>
        <v>-4.1621375781606913E-2</v>
      </c>
      <c r="R80">
        <f t="shared" si="108"/>
        <v>4.6635230540367549E-2</v>
      </c>
      <c r="S80">
        <f t="shared" si="109"/>
        <v>-4.1399623768588453E-2</v>
      </c>
      <c r="T80">
        <f t="shared" si="110"/>
        <v>-6.0538809387636026E-2</v>
      </c>
      <c r="U80">
        <f t="shared" si="111"/>
        <v>-3.8959995388793786E-2</v>
      </c>
      <c r="V80">
        <f t="shared" si="112"/>
        <v>4.5009940397814467E-2</v>
      </c>
      <c r="W80">
        <f t="shared" si="113"/>
        <v>-4.0568214986123369E-2</v>
      </c>
      <c r="X80">
        <f t="shared" si="114"/>
        <v>-5.8493473841886877E-2</v>
      </c>
      <c r="Y80">
        <f t="shared" si="115"/>
        <v>-3.0672136879002047E-2</v>
      </c>
      <c r="Z80">
        <f t="shared" si="116"/>
        <v>4.4115291105640116E-2</v>
      </c>
      <c r="AA80">
        <f t="shared" si="117"/>
        <v>-3.913392984005172E-2</v>
      </c>
      <c r="AB80">
        <f t="shared" si="118"/>
        <v>-5.4473692531868824E-2</v>
      </c>
      <c r="AC80">
        <f t="shared" si="119"/>
        <v>-3.4247726249073095E-2</v>
      </c>
      <c r="AD80">
        <f t="shared" si="120"/>
        <v>4.4012246921377368E-2</v>
      </c>
      <c r="AE80">
        <f t="shared" si="121"/>
        <v>-3.8487786866780616E-2</v>
      </c>
      <c r="AF80">
        <f t="shared" si="122"/>
        <v>-5.3309904030976116E-2</v>
      </c>
      <c r="AG80">
        <f t="shared" si="123"/>
        <v>-3.5891516377140838E-2</v>
      </c>
      <c r="AH80">
        <f t="shared" si="124"/>
        <v>4.3566801052223277E-2</v>
      </c>
      <c r="AI80">
        <f t="shared" si="125"/>
        <v>-3.8166687014627526E-2</v>
      </c>
      <c r="AJ80">
        <f t="shared" si="126"/>
        <v>-5.2962566498087359E-2</v>
      </c>
      <c r="AK80">
        <f t="shared" si="127"/>
        <v>-3.1285983957564413E-2</v>
      </c>
      <c r="AL80">
        <f t="shared" si="128"/>
        <v>4.3634312056868206E-2</v>
      </c>
      <c r="AM80">
        <f t="shared" si="129"/>
        <v>-3.8095684993894957E-2</v>
      </c>
      <c r="AN80">
        <f t="shared" si="130"/>
        <v>-5.2854574124540109E-2</v>
      </c>
      <c r="AO80">
        <f t="shared" si="131"/>
        <v>-3.18104511793375E-2</v>
      </c>
      <c r="AP80">
        <f t="shared" si="132"/>
        <v>4.295940599155626E-2</v>
      </c>
      <c r="AQ80">
        <f t="shared" si="133"/>
        <v>-3.7557448451980648E-2</v>
      </c>
      <c r="AR80">
        <f t="shared" si="134"/>
        <v>-5.1671322705426362E-2</v>
      </c>
      <c r="AS80">
        <f t="shared" si="135"/>
        <v>-2.8540060549126847E-2</v>
      </c>
      <c r="AT80">
        <f t="shared" si="136"/>
        <v>4.2273212861611224E-2</v>
      </c>
      <c r="AU80">
        <f t="shared" si="137"/>
        <v>-3.6663725243755517E-2</v>
      </c>
      <c r="AV80">
        <f t="shared" si="138"/>
        <v>-4.9209996807773999E-2</v>
      </c>
      <c r="AW80">
        <f t="shared" si="139"/>
        <v>-3.0054684924872815E-2</v>
      </c>
      <c r="AX80">
        <f t="shared" si="140"/>
        <v>4.1820955096635269E-2</v>
      </c>
      <c r="AY80">
        <f t="shared" si="141"/>
        <v>-3.6207241777076717E-2</v>
      </c>
      <c r="AZ80">
        <f t="shared" si="142"/>
        <v>-4.8646888530104307E-2</v>
      </c>
      <c r="BA80">
        <f t="shared" si="143"/>
        <v>-2.5075348311988141E-2</v>
      </c>
    </row>
    <row r="81" spans="1:53" ht="14.4" x14ac:dyDescent="0.55000000000000004">
      <c r="A81" s="4">
        <v>41486</v>
      </c>
      <c r="B81">
        <v>4.1743338263211999E-2</v>
      </c>
      <c r="C81">
        <v>-3.7896464541078798E-2</v>
      </c>
      <c r="D81">
        <v>-6.5197145750935798E-2</v>
      </c>
      <c r="E81">
        <v>-2.5606220786634202E-3</v>
      </c>
      <c r="F81">
        <f t="shared" si="96"/>
        <v>4.3451872510275498E-2</v>
      </c>
      <c r="G81">
        <f t="shared" si="97"/>
        <v>-3.9840120290154303E-2</v>
      </c>
      <c r="H81">
        <f t="shared" si="98"/>
        <v>-6.1429406854149243E-2</v>
      </c>
      <c r="I81">
        <f t="shared" si="99"/>
        <v>-1.1547837950273268E-2</v>
      </c>
      <c r="J81">
        <f t="shared" si="100"/>
        <v>4.6221274644462518E-2</v>
      </c>
      <c r="K81">
        <f t="shared" si="101"/>
        <v>-4.1872858273218232E-2</v>
      </c>
      <c r="L81">
        <f t="shared" si="102"/>
        <v>-6.2782084757650708E-2</v>
      </c>
      <c r="M81">
        <f t="shared" si="103"/>
        <v>-3.2364145516382128E-2</v>
      </c>
      <c r="N81">
        <f t="shared" si="104"/>
        <v>4.5963775698507278E-2</v>
      </c>
      <c r="O81">
        <f t="shared" si="105"/>
        <v>-4.1162255487241693E-2</v>
      </c>
      <c r="P81">
        <f t="shared" si="106"/>
        <v>-5.9866509557771827E-2</v>
      </c>
      <c r="Q81">
        <f t="shared" si="107"/>
        <v>-4.300440716787142E-2</v>
      </c>
      <c r="R81">
        <f t="shared" si="108"/>
        <v>4.6621600705407593E-2</v>
      </c>
      <c r="S81">
        <f t="shared" si="109"/>
        <v>-4.1625507504810519E-2</v>
      </c>
      <c r="T81">
        <f t="shared" si="110"/>
        <v>-6.0815044524411853E-2</v>
      </c>
      <c r="U81">
        <f t="shared" si="111"/>
        <v>-3.912738797096782E-2</v>
      </c>
      <c r="V81">
        <f t="shared" si="112"/>
        <v>4.607015739579301E-2</v>
      </c>
      <c r="W81">
        <f t="shared" si="113"/>
        <v>-4.0821590628291937E-2</v>
      </c>
      <c r="X81">
        <f t="shared" si="114"/>
        <v>-5.9185561717488691E-2</v>
      </c>
      <c r="Y81">
        <f t="shared" si="115"/>
        <v>-3.6569370653479878E-2</v>
      </c>
      <c r="Z81">
        <f t="shared" si="116"/>
        <v>4.4600925766695214E-2</v>
      </c>
      <c r="AA81">
        <f t="shared" si="117"/>
        <v>-4.0142163490774686E-2</v>
      </c>
      <c r="AB81">
        <f t="shared" si="118"/>
        <v>-5.7410931729011058E-2</v>
      </c>
      <c r="AC81">
        <f t="shared" si="119"/>
        <v>-2.8990549104728987E-2</v>
      </c>
      <c r="AD81">
        <f t="shared" si="120"/>
        <v>4.3776572762823374E-2</v>
      </c>
      <c r="AE81">
        <f t="shared" si="121"/>
        <v>-3.8728627924131571E-2</v>
      </c>
      <c r="AF81">
        <f t="shared" si="122"/>
        <v>-5.3664190047466948E-2</v>
      </c>
      <c r="AG81">
        <f t="shared" si="123"/>
        <v>-3.2324553018480709E-2</v>
      </c>
      <c r="AH81">
        <f t="shared" si="124"/>
        <v>4.3689709404429303E-2</v>
      </c>
      <c r="AI81">
        <f t="shared" si="125"/>
        <v>-3.8106872629481037E-2</v>
      </c>
      <c r="AJ81">
        <f t="shared" si="126"/>
        <v>-5.2567968255270457E-2</v>
      </c>
      <c r="AK81">
        <f t="shared" si="127"/>
        <v>-3.384994267633637E-2</v>
      </c>
      <c r="AL81">
        <f t="shared" si="128"/>
        <v>4.3274837217285755E-2</v>
      </c>
      <c r="AM81">
        <f t="shared" si="129"/>
        <v>-3.7840802995615812E-2</v>
      </c>
      <c r="AN81">
        <f t="shared" si="130"/>
        <v>-5.2298084709102147E-2</v>
      </c>
      <c r="AO81">
        <f t="shared" si="131"/>
        <v>-2.9551366696383544E-2</v>
      </c>
      <c r="AP81">
        <f t="shared" si="132"/>
        <v>4.3332632130353703E-2</v>
      </c>
      <c r="AQ81">
        <f t="shared" si="133"/>
        <v>-3.7762256751379529E-2</v>
      </c>
      <c r="AR81">
        <f t="shared" si="134"/>
        <v>-5.2189735266384631E-2</v>
      </c>
      <c r="AS81">
        <f t="shared" si="135"/>
        <v>-3.0019219538940781E-2</v>
      </c>
      <c r="AT81">
        <f t="shared" si="136"/>
        <v>4.2715543163436773E-2</v>
      </c>
      <c r="AU81">
        <f t="shared" si="137"/>
        <v>-3.7285122077889955E-2</v>
      </c>
      <c r="AV81">
        <f t="shared" si="138"/>
        <v>-5.1138728662152265E-2</v>
      </c>
      <c r="AW81">
        <f t="shared" si="139"/>
        <v>-2.7001009689524152E-2</v>
      </c>
      <c r="AX81">
        <f t="shared" si="140"/>
        <v>4.2095978944008704E-2</v>
      </c>
      <c r="AY81">
        <f t="shared" si="141"/>
        <v>-3.642842501246054E-2</v>
      </c>
      <c r="AZ81">
        <f t="shared" si="142"/>
        <v>-4.8856694297933212E-2</v>
      </c>
      <c r="BA81">
        <f t="shared" si="143"/>
        <v>-2.8456737282724742E-2</v>
      </c>
    </row>
    <row r="82" spans="1:53" ht="14.4" x14ac:dyDescent="0.55000000000000004">
      <c r="A82" s="4">
        <v>41514</v>
      </c>
      <c r="B82">
        <v>4.0720936084763397E-2</v>
      </c>
      <c r="C82">
        <v>-3.7714778060441698E-2</v>
      </c>
      <c r="D82">
        <v>-6.0040339440481899E-2</v>
      </c>
      <c r="E82">
        <v>5.2189757087558403E-3</v>
      </c>
      <c r="F82">
        <f t="shared" si="96"/>
        <v>4.2502931499328676E-2</v>
      </c>
      <c r="G82">
        <f t="shared" si="97"/>
        <v>-3.9158093881093883E-2</v>
      </c>
      <c r="H82">
        <f t="shared" si="98"/>
        <v>-6.4089430830087418E-2</v>
      </c>
      <c r="I82">
        <f t="shared" si="99"/>
        <v>-5.2154125062581188E-3</v>
      </c>
      <c r="J82">
        <f t="shared" si="100"/>
        <v>4.3423296685621476E-2</v>
      </c>
      <c r="K82">
        <f t="shared" si="101"/>
        <v>-4.0005462837867302E-2</v>
      </c>
      <c r="L82">
        <f t="shared" si="102"/>
        <v>-6.0386430346226157E-2</v>
      </c>
      <c r="M82">
        <f t="shared" si="103"/>
        <v>-1.1877119651900494E-2</v>
      </c>
      <c r="N82">
        <f t="shared" si="104"/>
        <v>4.579271124290301E-2</v>
      </c>
      <c r="O82">
        <f t="shared" si="105"/>
        <v>-4.1485044266934556E-2</v>
      </c>
      <c r="P82">
        <f t="shared" si="106"/>
        <v>-6.1358394970720403E-2</v>
      </c>
      <c r="Q82">
        <f t="shared" si="107"/>
        <v>-3.0742966999393176E-2</v>
      </c>
      <c r="R82">
        <f t="shared" si="108"/>
        <v>4.5596856409803418E-2</v>
      </c>
      <c r="S82">
        <f t="shared" si="109"/>
        <v>-4.0747291778232296E-2</v>
      </c>
      <c r="T82">
        <f t="shared" si="110"/>
        <v>-5.8564104492979482E-2</v>
      </c>
      <c r="U82">
        <f t="shared" si="111"/>
        <v>-4.0781269341216536E-2</v>
      </c>
      <c r="V82">
        <f t="shared" si="112"/>
        <v>4.6064293560953783E-2</v>
      </c>
      <c r="W82">
        <f t="shared" si="113"/>
        <v>-4.1043479689992987E-2</v>
      </c>
      <c r="X82">
        <f t="shared" si="114"/>
        <v>-5.94437504196682E-2</v>
      </c>
      <c r="Y82">
        <f t="shared" si="115"/>
        <v>-3.6759873857705905E-2</v>
      </c>
      <c r="Z82">
        <f t="shared" si="116"/>
        <v>4.5540422224839637E-2</v>
      </c>
      <c r="AA82">
        <f t="shared" si="117"/>
        <v>-4.0278870645210962E-2</v>
      </c>
      <c r="AB82">
        <f t="shared" si="118"/>
        <v>-5.7963108281803691E-2</v>
      </c>
      <c r="AC82">
        <f t="shared" si="119"/>
        <v>-3.4324702170536459E-2</v>
      </c>
      <c r="AD82">
        <f t="shared" si="120"/>
        <v>4.4210034429116606E-2</v>
      </c>
      <c r="AE82">
        <f t="shared" si="121"/>
        <v>-3.9731011688242564E-2</v>
      </c>
      <c r="AF82">
        <f t="shared" si="122"/>
        <v>-5.6428968903812458E-2</v>
      </c>
      <c r="AG82">
        <f t="shared" si="123"/>
        <v>-2.7391425866873341E-2</v>
      </c>
      <c r="AH82">
        <f t="shared" si="124"/>
        <v>4.3456634092405522E-2</v>
      </c>
      <c r="AI82">
        <f t="shared" si="125"/>
        <v>-3.8349505369228626E-2</v>
      </c>
      <c r="AJ82">
        <f t="shared" si="126"/>
        <v>-5.2936548751924717E-2</v>
      </c>
      <c r="AK82">
        <f t="shared" si="127"/>
        <v>-3.0510315989982977E-2</v>
      </c>
      <c r="AL82">
        <f t="shared" si="128"/>
        <v>4.3383455173957516E-2</v>
      </c>
      <c r="AM82">
        <f t="shared" si="129"/>
        <v>-3.7750709892141646E-2</v>
      </c>
      <c r="AN82">
        <f t="shared" si="130"/>
        <v>-5.1903632156017808E-2</v>
      </c>
      <c r="AO82">
        <f t="shared" si="131"/>
        <v>-3.192183514999599E-2</v>
      </c>
      <c r="AP82">
        <f t="shared" si="132"/>
        <v>4.2998295003019445E-2</v>
      </c>
      <c r="AQ82">
        <f t="shared" si="133"/>
        <v>-3.7536073828063378E-2</v>
      </c>
      <c r="AR82">
        <f t="shared" si="134"/>
        <v>-5.1702569725441981E-2</v>
      </c>
      <c r="AS82">
        <f t="shared" si="135"/>
        <v>-2.7915181462305892E-2</v>
      </c>
      <c r="AT82">
        <f t="shared" si="136"/>
        <v>4.3048489076543309E-2</v>
      </c>
      <c r="AU82">
        <f t="shared" si="137"/>
        <v>-3.7452766235973524E-2</v>
      </c>
      <c r="AV82">
        <f t="shared" si="138"/>
        <v>-5.1594826569406449E-2</v>
      </c>
      <c r="AW82">
        <f t="shared" si="139"/>
        <v>-2.8334038484138201E-2</v>
      </c>
      <c r="AX82">
        <f t="shared" si="140"/>
        <v>4.2484987753808212E-2</v>
      </c>
      <c r="AY82">
        <f t="shared" si="141"/>
        <v>-3.703207260249191E-2</v>
      </c>
      <c r="AZ82">
        <f t="shared" si="142"/>
        <v>-5.0662996380239314E-2</v>
      </c>
      <c r="BA82">
        <f t="shared" si="143"/>
        <v>-2.5551110134984276E-2</v>
      </c>
    </row>
    <row r="83" spans="1:53" ht="14.4" x14ac:dyDescent="0.55000000000000004">
      <c r="A83" s="4">
        <v>41542</v>
      </c>
      <c r="B83">
        <v>4.2424435893381601E-2</v>
      </c>
      <c r="C83">
        <v>-3.9293356106089E-2</v>
      </c>
      <c r="D83">
        <v>-6.3747129654082205E-2</v>
      </c>
      <c r="E83">
        <v>-3.3891747434047202E-3</v>
      </c>
      <c r="F83">
        <f t="shared" si="96"/>
        <v>4.1159153767684808E-2</v>
      </c>
      <c r="G83">
        <f t="shared" si="97"/>
        <v>-3.8491995036959818E-2</v>
      </c>
      <c r="H83">
        <f t="shared" si="98"/>
        <v>-5.9351432914281209E-2</v>
      </c>
      <c r="I83">
        <f t="shared" si="99"/>
        <v>3.0279050413738774E-3</v>
      </c>
      <c r="J83">
        <f t="shared" si="100"/>
        <v>4.2898810965828663E-2</v>
      </c>
      <c r="K83">
        <f t="shared" si="101"/>
        <v>-3.9908389133406448E-2</v>
      </c>
      <c r="L83">
        <f t="shared" si="102"/>
        <v>-6.2983522597527708E-2</v>
      </c>
      <c r="M83">
        <f t="shared" si="103"/>
        <v>-6.9146770112680517E-3</v>
      </c>
      <c r="N83">
        <f t="shared" si="104"/>
        <v>4.3298875190841822E-2</v>
      </c>
      <c r="O83">
        <f t="shared" si="105"/>
        <v>-4.002020236588897E-2</v>
      </c>
      <c r="P83">
        <f t="shared" si="106"/>
        <v>-5.9404790033830653E-2</v>
      </c>
      <c r="Q83">
        <f t="shared" si="107"/>
        <v>-1.1942108472297635E-2</v>
      </c>
      <c r="R83">
        <f t="shared" si="108"/>
        <v>4.5354183738844117E-2</v>
      </c>
      <c r="S83">
        <f t="shared" si="109"/>
        <v>-4.1067524263788256E-2</v>
      </c>
      <c r="T83">
        <f t="shared" si="110"/>
        <v>-6.005629092043549E-2</v>
      </c>
      <c r="U83">
        <f t="shared" si="111"/>
        <v>-2.9127217652214685E-2</v>
      </c>
      <c r="V83">
        <f t="shared" si="112"/>
        <v>4.5207969461330391E-2</v>
      </c>
      <c r="W83">
        <f t="shared" si="113"/>
        <v>-4.0301396162758282E-2</v>
      </c>
      <c r="X83">
        <f t="shared" si="114"/>
        <v>-5.7376806817474015E-2</v>
      </c>
      <c r="Y83">
        <f t="shared" si="115"/>
        <v>-3.8576015053465973E-2</v>
      </c>
      <c r="Z83">
        <f t="shared" si="116"/>
        <v>4.5539647166613628E-2</v>
      </c>
      <c r="AA83">
        <f t="shared" si="117"/>
        <v>-4.0493901398208389E-2</v>
      </c>
      <c r="AB83">
        <f t="shared" si="118"/>
        <v>-5.8203778380259023E-2</v>
      </c>
      <c r="AC83">
        <f t="shared" si="119"/>
        <v>-3.4530404249806239E-2</v>
      </c>
      <c r="AD83">
        <f t="shared" si="120"/>
        <v>4.5047902767022745E-2</v>
      </c>
      <c r="AE83">
        <f t="shared" si="121"/>
        <v>-3.9775097342617735E-2</v>
      </c>
      <c r="AF83">
        <f t="shared" si="122"/>
        <v>-5.686051936278215E-2</v>
      </c>
      <c r="AG83">
        <f t="shared" si="123"/>
        <v>-3.2227736788310382E-2</v>
      </c>
      <c r="AH83">
        <f t="shared" si="124"/>
        <v>4.3841634317930207E-2</v>
      </c>
      <c r="AI83">
        <f t="shared" si="125"/>
        <v>-3.9341498997001505E-2</v>
      </c>
      <c r="AJ83">
        <f t="shared" si="126"/>
        <v>-5.5539927948771717E-2</v>
      </c>
      <c r="AK83">
        <f t="shared" si="127"/>
        <v>-2.5883870631295186E-2</v>
      </c>
      <c r="AL83">
        <f t="shared" si="128"/>
        <v>4.3157356007647113E-2</v>
      </c>
      <c r="AM83">
        <f t="shared" si="129"/>
        <v>-3.7999016051070082E-2</v>
      </c>
      <c r="AN83">
        <f t="shared" si="130"/>
        <v>-5.2283972280113569E-2</v>
      </c>
      <c r="AO83">
        <f t="shared" si="131"/>
        <v>-2.8806723966883573E-2</v>
      </c>
      <c r="AP83">
        <f t="shared" si="132"/>
        <v>4.3095819965937657E-2</v>
      </c>
      <c r="AQ83">
        <f t="shared" si="133"/>
        <v>-3.7422105482225569E-2</v>
      </c>
      <c r="AR83">
        <f t="shared" si="134"/>
        <v>-5.1310467430787272E-2</v>
      </c>
      <c r="AS83">
        <f t="shared" si="135"/>
        <v>-3.0109429667577549E-2</v>
      </c>
      <c r="AT83">
        <f t="shared" si="136"/>
        <v>4.2739062335401166E-2</v>
      </c>
      <c r="AU83">
        <f t="shared" si="137"/>
        <v>-3.7254916318687659E-2</v>
      </c>
      <c r="AV83">
        <f t="shared" si="138"/>
        <v>-5.1170276912920407E-2</v>
      </c>
      <c r="AW83">
        <f t="shared" si="139"/>
        <v>-2.6379127569622629E-2</v>
      </c>
      <c r="AX83">
        <f t="shared" si="140"/>
        <v>4.2783191928637394E-2</v>
      </c>
      <c r="AY83">
        <f t="shared" si="141"/>
        <v>-3.7168852202875476E-2</v>
      </c>
      <c r="AZ83">
        <f t="shared" si="142"/>
        <v>-5.1063866707390805E-2</v>
      </c>
      <c r="BA83">
        <f t="shared" si="143"/>
        <v>-2.6755019099164279E-2</v>
      </c>
    </row>
    <row r="84" spans="1:53" ht="14.4" x14ac:dyDescent="0.55000000000000004">
      <c r="A84" s="4">
        <v>41577</v>
      </c>
      <c r="B84">
        <v>4.41505766312583E-2</v>
      </c>
      <c r="C84">
        <v>-3.9821905032466201E-2</v>
      </c>
      <c r="D84">
        <v>-6.7981588151812905E-2</v>
      </c>
      <c r="E84">
        <v>-9.9886925919984697E-3</v>
      </c>
      <c r="F84">
        <f t="shared" si="96"/>
        <v>4.276406570895392E-2</v>
      </c>
      <c r="G84">
        <f t="shared" si="97"/>
        <v>-3.9968054915593597E-2</v>
      </c>
      <c r="H84">
        <f t="shared" si="98"/>
        <v>-6.2677708144998637E-2</v>
      </c>
      <c r="I84">
        <f t="shared" si="99"/>
        <v>-5.0595444925712468E-3</v>
      </c>
      <c r="J84">
        <f t="shared" si="100"/>
        <v>4.1389581652806762E-2</v>
      </c>
      <c r="K84">
        <f t="shared" si="101"/>
        <v>-3.8967295926367107E-2</v>
      </c>
      <c r="L84">
        <f t="shared" si="102"/>
        <v>-5.8661915578784078E-2</v>
      </c>
      <c r="M84">
        <f t="shared" si="103"/>
        <v>1.4220524540853492E-3</v>
      </c>
      <c r="N84">
        <f t="shared" si="104"/>
        <v>4.3054699675537114E-2</v>
      </c>
      <c r="O84">
        <f t="shared" si="105"/>
        <v>-4.0312942589302361E-2</v>
      </c>
      <c r="P84">
        <f t="shared" si="106"/>
        <v>-6.1907816639338732E-2</v>
      </c>
      <c r="Q84">
        <f t="shared" si="107"/>
        <v>-7.969724621490145E-3</v>
      </c>
      <c r="R84">
        <f t="shared" si="108"/>
        <v>4.3117952281792563E-2</v>
      </c>
      <c r="S84">
        <f t="shared" si="109"/>
        <v>-3.993841322378925E-2</v>
      </c>
      <c r="T84">
        <f t="shared" si="110"/>
        <v>-5.8488463596537692E-2</v>
      </c>
      <c r="U84">
        <f t="shared" si="111"/>
        <v>-1.1842234683373884E-2</v>
      </c>
      <c r="V84">
        <f t="shared" si="112"/>
        <v>4.4921911518761765E-2</v>
      </c>
      <c r="W84">
        <f t="shared" si="113"/>
        <v>-4.0643356601977203E-2</v>
      </c>
      <c r="X84">
        <f t="shared" si="114"/>
        <v>-5.8869097790583497E-2</v>
      </c>
      <c r="Y84">
        <f t="shared" si="115"/>
        <v>-2.7555922610577856E-2</v>
      </c>
      <c r="Z84">
        <f t="shared" si="116"/>
        <v>4.4816025147607554E-2</v>
      </c>
      <c r="AA84">
        <f t="shared" si="117"/>
        <v>-3.9849853200717454E-2</v>
      </c>
      <c r="AB84">
        <f t="shared" si="118"/>
        <v>-5.6298904929294513E-2</v>
      </c>
      <c r="AC84">
        <f t="shared" si="119"/>
        <v>-3.6432502659716669E-2</v>
      </c>
      <c r="AD84">
        <f t="shared" si="120"/>
        <v>4.5050389333848563E-2</v>
      </c>
      <c r="AE84">
        <f t="shared" si="121"/>
        <v>-3.9981503936367402E-2</v>
      </c>
      <c r="AF84">
        <f t="shared" si="122"/>
        <v>-5.7084378486182169E-2</v>
      </c>
      <c r="AG84">
        <f t="shared" si="123"/>
        <v>-3.2442975673116034E-2</v>
      </c>
      <c r="AH84">
        <f t="shared" si="124"/>
        <v>4.459272123728375E-2</v>
      </c>
      <c r="AI84">
        <f t="shared" si="125"/>
        <v>-3.9311460728155286E-2</v>
      </c>
      <c r="AJ84">
        <f t="shared" si="126"/>
        <v>-5.5867392539995051E-2</v>
      </c>
      <c r="AK84">
        <f t="shared" si="127"/>
        <v>-3.0275962774350115E-2</v>
      </c>
      <c r="AL84">
        <f t="shared" si="128"/>
        <v>4.3497833872442791E-2</v>
      </c>
      <c r="AM84">
        <f t="shared" si="129"/>
        <v>-3.8977281997201442E-2</v>
      </c>
      <c r="AN84">
        <f t="shared" si="130"/>
        <v>-5.4736283043182052E-2</v>
      </c>
      <c r="AO84">
        <f t="shared" si="131"/>
        <v>-2.4471416094769917E-2</v>
      </c>
      <c r="AP84">
        <f t="shared" si="132"/>
        <v>4.2879345306106105E-2</v>
      </c>
      <c r="AQ84">
        <f t="shared" si="133"/>
        <v>-3.767790905762905E-2</v>
      </c>
      <c r="AR84">
        <f t="shared" si="134"/>
        <v>-5.1699948375696227E-2</v>
      </c>
      <c r="AS84">
        <f t="shared" si="135"/>
        <v>-2.7212411424975387E-2</v>
      </c>
      <c r="AT84">
        <f t="shared" si="136"/>
        <v>4.2827760617089504E-2</v>
      </c>
      <c r="AU84">
        <f t="shared" si="137"/>
        <v>-3.7122046580106802E-2</v>
      </c>
      <c r="AV84">
        <f t="shared" si="138"/>
        <v>-5.0782277896296392E-2</v>
      </c>
      <c r="AW84">
        <f t="shared" si="139"/>
        <v>-2.841165319414728E-2</v>
      </c>
      <c r="AX84">
        <f t="shared" si="140"/>
        <v>4.2497847491907041E-2</v>
      </c>
      <c r="AY84">
        <f t="shared" si="141"/>
        <v>-3.6998178457773839E-2</v>
      </c>
      <c r="AZ84">
        <f t="shared" si="142"/>
        <v>-5.0695682316026981E-2</v>
      </c>
      <c r="BA84">
        <f t="shared" si="143"/>
        <v>-2.4942076223034255E-2</v>
      </c>
    </row>
    <row r="85" spans="1:53" ht="14.4" x14ac:dyDescent="0.55000000000000004">
      <c r="A85" s="4">
        <v>41605</v>
      </c>
      <c r="B85">
        <v>4.2362312863177001E-2</v>
      </c>
      <c r="C85">
        <v>-3.7614995673290103E-2</v>
      </c>
      <c r="D85">
        <v>-7.1290368877966401E-2</v>
      </c>
      <c r="E85">
        <v>3.6020002945499302E-3</v>
      </c>
      <c r="F85">
        <f t="shared" si="96"/>
        <v>4.4503668553808995E-2</v>
      </c>
      <c r="G85">
        <f t="shared" si="97"/>
        <v>-4.0630015226320225E-2</v>
      </c>
      <c r="H85">
        <f t="shared" si="98"/>
        <v>-6.6516991340528867E-2</v>
      </c>
      <c r="I85">
        <f t="shared" si="99"/>
        <v>-1.1493782081868227E-2</v>
      </c>
      <c r="J85">
        <f t="shared" si="100"/>
        <v>4.2887731984510992E-2</v>
      </c>
      <c r="K85">
        <f t="shared" si="101"/>
        <v>-4.0328023792082973E-2</v>
      </c>
      <c r="L85">
        <f t="shared" si="102"/>
        <v>-6.1639887981647837E-2</v>
      </c>
      <c r="M85">
        <f t="shared" si="103"/>
        <v>-6.1392044237185044E-3</v>
      </c>
      <c r="N85">
        <f t="shared" si="104"/>
        <v>4.1483064814415327E-2</v>
      </c>
      <c r="O85">
        <f t="shared" si="105"/>
        <v>-3.9236441617029466E-2</v>
      </c>
      <c r="P85">
        <f t="shared" si="106"/>
        <v>-5.7988417717656185E-2</v>
      </c>
      <c r="Q85">
        <f t="shared" si="107"/>
        <v>2.2125645986646172E-4</v>
      </c>
      <c r="R85">
        <f t="shared" si="108"/>
        <v>4.3055392408613433E-2</v>
      </c>
      <c r="S85">
        <f t="shared" si="109"/>
        <v>-4.048604126613118E-2</v>
      </c>
      <c r="T85">
        <f t="shared" si="110"/>
        <v>-6.0879434342928446E-2</v>
      </c>
      <c r="U85">
        <f t="shared" si="111"/>
        <v>-8.594564434602962E-3</v>
      </c>
      <c r="V85">
        <f t="shared" si="112"/>
        <v>4.2906912901797871E-2</v>
      </c>
      <c r="W85">
        <f t="shared" si="113"/>
        <v>-3.9796960956566409E-2</v>
      </c>
      <c r="X85">
        <f t="shared" si="114"/>
        <v>-5.7638138053649132E-2</v>
      </c>
      <c r="Y85">
        <f t="shared" si="115"/>
        <v>-1.1644535073902968E-2</v>
      </c>
      <c r="Z85">
        <f t="shared" si="116"/>
        <v>4.450592826371743E-2</v>
      </c>
      <c r="AA85">
        <f t="shared" si="117"/>
        <v>-4.0227300080303334E-2</v>
      </c>
      <c r="AB85">
        <f t="shared" si="118"/>
        <v>-5.778929416117793E-2</v>
      </c>
      <c r="AC85">
        <f t="shared" si="119"/>
        <v>-2.605272341370542E-2</v>
      </c>
      <c r="AD85">
        <f t="shared" si="120"/>
        <v>4.4433036942026181E-2</v>
      </c>
      <c r="AE85">
        <f t="shared" si="121"/>
        <v>-3.9408813909222913E-2</v>
      </c>
      <c r="AF85">
        <f t="shared" si="122"/>
        <v>-5.5323593959803262E-2</v>
      </c>
      <c r="AG85">
        <f t="shared" si="123"/>
        <v>-3.4377478813452746E-2</v>
      </c>
      <c r="AH85">
        <f t="shared" si="124"/>
        <v>4.4597229479165029E-2</v>
      </c>
      <c r="AI85">
        <f t="shared" si="125"/>
        <v>-3.9508229854955133E-2</v>
      </c>
      <c r="AJ85">
        <f t="shared" si="126"/>
        <v>-5.607525101424457E-2</v>
      </c>
      <c r="AK85">
        <f t="shared" si="127"/>
        <v>-3.0496659754704711E-2</v>
      </c>
      <c r="AL85">
        <f t="shared" si="128"/>
        <v>4.4173890795722849E-2</v>
      </c>
      <c r="AM85">
        <f t="shared" si="129"/>
        <v>-3.8887570874810033E-2</v>
      </c>
      <c r="AN85">
        <f t="shared" si="130"/>
        <v>-5.4973956058280246E-2</v>
      </c>
      <c r="AO85">
        <f t="shared" si="131"/>
        <v>-2.8464220270378818E-2</v>
      </c>
      <c r="AP85">
        <f t="shared" si="132"/>
        <v>4.3179258110062929E-2</v>
      </c>
      <c r="AQ85">
        <f t="shared" si="133"/>
        <v>-3.8639964889268366E-2</v>
      </c>
      <c r="AR85">
        <f t="shared" si="134"/>
        <v>-5.4010806238833621E-2</v>
      </c>
      <c r="AS85">
        <f t="shared" si="135"/>
        <v>-2.3153960346980071E-2</v>
      </c>
      <c r="AT85">
        <f t="shared" si="136"/>
        <v>4.262238854452214E-2</v>
      </c>
      <c r="AU85">
        <f t="shared" si="137"/>
        <v>-3.7385830225046685E-2</v>
      </c>
      <c r="AV85">
        <f t="shared" si="138"/>
        <v>-5.1178329418448069E-2</v>
      </c>
      <c r="AW85">
        <f t="shared" si="139"/>
        <v>-2.5724070769152715E-2</v>
      </c>
      <c r="AX85">
        <f t="shared" si="140"/>
        <v>4.2579337392942396E-2</v>
      </c>
      <c r="AY85">
        <f t="shared" si="141"/>
        <v>-3.6850337740032713E-2</v>
      </c>
      <c r="AZ85">
        <f t="shared" si="142"/>
        <v>-5.0313190933192052E-2</v>
      </c>
      <c r="BA85">
        <f t="shared" si="143"/>
        <v>-2.6825326448074525E-2</v>
      </c>
    </row>
    <row r="86" spans="1:53" ht="14.4" x14ac:dyDescent="0.55000000000000004">
      <c r="A86" s="4">
        <v>41633</v>
      </c>
      <c r="B86">
        <v>3.7201669754595899E-2</v>
      </c>
      <c r="C86">
        <v>-3.3965002586401401E-2</v>
      </c>
      <c r="D86">
        <v>-6.1064157999122202E-2</v>
      </c>
      <c r="E86">
        <v>2.3978164195465699E-2</v>
      </c>
      <c r="F86">
        <f t="shared" si="96"/>
        <v>4.3429488790572263E-2</v>
      </c>
      <c r="G86">
        <f t="shared" si="97"/>
        <v>-3.9469381859487541E-2</v>
      </c>
      <c r="H86">
        <f t="shared" si="98"/>
        <v>-6.982507951604737E-2</v>
      </c>
      <c r="I86">
        <f t="shared" si="99"/>
        <v>-3.0566272415850698E-4</v>
      </c>
      <c r="J86">
        <f t="shared" si="100"/>
        <v>4.4586418782024601E-2</v>
      </c>
      <c r="K86">
        <f t="shared" si="101"/>
        <v>-4.1043537604360268E-2</v>
      </c>
      <c r="L86">
        <f t="shared" si="102"/>
        <v>-6.5107537709568578E-2</v>
      </c>
      <c r="M86">
        <f t="shared" si="103"/>
        <v>-1.2286884841981878E-2</v>
      </c>
      <c r="N86">
        <f t="shared" si="104"/>
        <v>4.2872302582804105E-2</v>
      </c>
      <c r="O86">
        <f t="shared" si="105"/>
        <v>-4.0477203837145842E-2</v>
      </c>
      <c r="P86">
        <f t="shared" si="106"/>
        <v>-6.0648900630708644E-2</v>
      </c>
      <c r="Q86">
        <f t="shared" si="107"/>
        <v>-6.8226794286414573E-3</v>
      </c>
      <c r="R86">
        <f t="shared" si="108"/>
        <v>4.148812830891483E-2</v>
      </c>
      <c r="S86">
        <f t="shared" si="109"/>
        <v>-3.936570521879227E-2</v>
      </c>
      <c r="T86">
        <f t="shared" si="110"/>
        <v>-5.7341074482172155E-2</v>
      </c>
      <c r="U86">
        <f t="shared" si="111"/>
        <v>-6.9879272641717896E-4</v>
      </c>
      <c r="V86">
        <f t="shared" si="112"/>
        <v>4.2958729025539724E-2</v>
      </c>
      <c r="W86">
        <f t="shared" si="113"/>
        <v>-4.0506374576605789E-2</v>
      </c>
      <c r="X86">
        <f t="shared" si="114"/>
        <v>-5.9907902965462827E-2</v>
      </c>
      <c r="Y86">
        <f t="shared" si="115"/>
        <v>-8.9358111976856908E-3</v>
      </c>
      <c r="Z86">
        <f t="shared" si="116"/>
        <v>4.2683222337471786E-2</v>
      </c>
      <c r="AA86">
        <f t="shared" si="117"/>
        <v>-3.9620813652973617E-2</v>
      </c>
      <c r="AB86">
        <f t="shared" si="118"/>
        <v>-5.6852407645736701E-2</v>
      </c>
      <c r="AC86">
        <f t="shared" si="119"/>
        <v>-1.139374070257522E-2</v>
      </c>
      <c r="AD86">
        <f t="shared" si="120"/>
        <v>4.4112083872929066E-2</v>
      </c>
      <c r="AE86">
        <f t="shared" si="121"/>
        <v>-3.9828456496182503E-2</v>
      </c>
      <c r="AF86">
        <f t="shared" si="122"/>
        <v>-5.6809040077022817E-2</v>
      </c>
      <c r="AG86">
        <f t="shared" si="123"/>
        <v>-2.4630875295733351E-2</v>
      </c>
      <c r="AH86">
        <f t="shared" si="124"/>
        <v>4.406632900583124E-2</v>
      </c>
      <c r="AI86">
        <f t="shared" si="125"/>
        <v>-3.8988200975791892E-2</v>
      </c>
      <c r="AJ86">
        <f t="shared" si="126"/>
        <v>-5.4443572710484368E-2</v>
      </c>
      <c r="AK86">
        <f t="shared" si="127"/>
        <v>-3.2426091379529898E-2</v>
      </c>
      <c r="AL86">
        <f t="shared" si="128"/>
        <v>4.4179585578303648E-2</v>
      </c>
      <c r="AM86">
        <f t="shared" si="129"/>
        <v>-3.9074202121892047E-2</v>
      </c>
      <c r="AN86">
        <f t="shared" si="130"/>
        <v>-5.5166674771368981E-2</v>
      </c>
      <c r="AO86">
        <f t="shared" si="131"/>
        <v>-2.8687415338929392E-2</v>
      </c>
      <c r="AP86">
        <f t="shared" si="132"/>
        <v>4.3789754537258738E-2</v>
      </c>
      <c r="AQ86">
        <f t="shared" si="133"/>
        <v>-3.8502047945620781E-2</v>
      </c>
      <c r="AR86">
        <f t="shared" si="134"/>
        <v>-5.4171116110506727E-2</v>
      </c>
      <c r="AS86">
        <f t="shared" si="135"/>
        <v>-2.6785793608552093E-2</v>
      </c>
      <c r="AT86">
        <f t="shared" si="136"/>
        <v>4.2885580016563854E-2</v>
      </c>
      <c r="AU86">
        <f t="shared" si="137"/>
        <v>-3.8329808029845286E-2</v>
      </c>
      <c r="AV86">
        <f t="shared" si="138"/>
        <v>-5.3356663878186626E-2</v>
      </c>
      <c r="AW86">
        <f t="shared" si="139"/>
        <v>-2.1929091919400474E-2</v>
      </c>
      <c r="AX86">
        <f t="shared" si="140"/>
        <v>4.238576145413421E-2</v>
      </c>
      <c r="AY86">
        <f t="shared" si="141"/>
        <v>-3.7121733540584317E-2</v>
      </c>
      <c r="AZ86">
        <f t="shared" si="142"/>
        <v>-5.071337310791809E-2</v>
      </c>
      <c r="BA86">
        <f t="shared" si="143"/>
        <v>-2.433722355666746E-2</v>
      </c>
    </row>
    <row r="87" spans="1:53" ht="14.4" x14ac:dyDescent="0.55000000000000004">
      <c r="A87" s="4">
        <v>41668</v>
      </c>
      <c r="B87">
        <v>3.8290429114705801E-2</v>
      </c>
      <c r="C87">
        <v>-3.5346801717434297E-2</v>
      </c>
      <c r="D87">
        <v>-5.9592111470684501E-2</v>
      </c>
      <c r="E87">
        <v>9.4136594594363392E-3</v>
      </c>
      <c r="F87">
        <f t="shared" si="96"/>
        <v>3.8640335524398925E-2</v>
      </c>
      <c r="G87">
        <f t="shared" si="97"/>
        <v>-3.6112305688560276E-2</v>
      </c>
      <c r="H87">
        <f t="shared" si="98"/>
        <v>-6.0647767634337789E-2</v>
      </c>
      <c r="I87">
        <f t="shared" si="99"/>
        <v>1.8595103336460993E-2</v>
      </c>
      <c r="J87">
        <f t="shared" si="100"/>
        <v>4.3988504393081961E-2</v>
      </c>
      <c r="K87">
        <f t="shared" si="101"/>
        <v>-4.0603269772779074E-2</v>
      </c>
      <c r="L87">
        <f t="shared" si="102"/>
        <v>-6.8355283437400605E-2</v>
      </c>
      <c r="M87">
        <f t="shared" si="103"/>
        <v>-2.8722750227020673E-3</v>
      </c>
      <c r="N87">
        <f t="shared" si="104"/>
        <v>4.4496958722679218E-2</v>
      </c>
      <c r="O87">
        <f t="shared" si="105"/>
        <v>-4.1195001328797713E-2</v>
      </c>
      <c r="P87">
        <f t="shared" si="106"/>
        <v>-6.3771174701891614E-2</v>
      </c>
      <c r="Q87">
        <f t="shared" si="107"/>
        <v>-1.2614687855666714E-2</v>
      </c>
      <c r="R87">
        <f t="shared" si="108"/>
        <v>4.2770159767850056E-2</v>
      </c>
      <c r="S87">
        <f t="shared" si="109"/>
        <v>-4.0487172308280132E-2</v>
      </c>
      <c r="T87">
        <f t="shared" si="110"/>
        <v>-5.9713105703788544E-2</v>
      </c>
      <c r="U87">
        <f t="shared" si="111"/>
        <v>-7.2432569152921971E-3</v>
      </c>
      <c r="V87">
        <f t="shared" si="112"/>
        <v>4.1437845590675537E-2</v>
      </c>
      <c r="W87">
        <f t="shared" si="113"/>
        <v>-3.9400887291361333E-2</v>
      </c>
      <c r="X87">
        <f t="shared" si="114"/>
        <v>-5.6725638522175742E-2</v>
      </c>
      <c r="Y87">
        <f t="shared" si="115"/>
        <v>-1.423708081633519E-3</v>
      </c>
      <c r="Z87">
        <f t="shared" si="116"/>
        <v>4.280391074167391E-2</v>
      </c>
      <c r="AA87">
        <f t="shared" si="117"/>
        <v>-4.0427950755164081E-2</v>
      </c>
      <c r="AB87">
        <f t="shared" si="118"/>
        <v>-5.8997691504862233E-2</v>
      </c>
      <c r="AC87">
        <f t="shared" si="119"/>
        <v>-9.0934563686361856E-3</v>
      </c>
      <c r="AD87">
        <f t="shared" si="120"/>
        <v>4.2458226961039465E-2</v>
      </c>
      <c r="AE87">
        <f t="shared" si="121"/>
        <v>-3.9426729066858464E-2</v>
      </c>
      <c r="AF87">
        <f t="shared" si="122"/>
        <v>-5.6128588268129935E-2</v>
      </c>
      <c r="AG87">
        <f t="shared" si="123"/>
        <v>-1.1119270412771005E-2</v>
      </c>
      <c r="AH87">
        <f t="shared" si="124"/>
        <v>4.3743425567785252E-2</v>
      </c>
      <c r="AI87">
        <f t="shared" si="125"/>
        <v>-3.9452098106322879E-2</v>
      </c>
      <c r="AJ87">
        <f t="shared" si="126"/>
        <v>-5.5920519001383555E-2</v>
      </c>
      <c r="AK87">
        <f t="shared" si="127"/>
        <v>-2.3296693945773293E-2</v>
      </c>
      <c r="AL87">
        <f t="shared" si="128"/>
        <v>4.372006133078666E-2</v>
      </c>
      <c r="AM87">
        <f t="shared" si="129"/>
        <v>-3.8593718713515163E-2</v>
      </c>
      <c r="AN87">
        <f t="shared" si="130"/>
        <v>-5.3651434504929443E-2</v>
      </c>
      <c r="AO87">
        <f t="shared" si="131"/>
        <v>-3.0585697626741161E-2</v>
      </c>
      <c r="AP87">
        <f t="shared" si="132"/>
        <v>4.3796079088252567E-2</v>
      </c>
      <c r="AQ87">
        <f t="shared" si="133"/>
        <v>-3.8678387569027889E-2</v>
      </c>
      <c r="AR87">
        <f t="shared" si="134"/>
        <v>-5.4349571633468992E-2</v>
      </c>
      <c r="AS87">
        <f t="shared" si="135"/>
        <v>-2.700932110173045E-2</v>
      </c>
      <c r="AT87">
        <f t="shared" si="136"/>
        <v>4.3438281188040384E-2</v>
      </c>
      <c r="AU87">
        <f t="shared" si="137"/>
        <v>-3.8152922904815589E-2</v>
      </c>
      <c r="AV87">
        <f t="shared" si="138"/>
        <v>-5.3450467405805183E-2</v>
      </c>
      <c r="AW87">
        <f t="shared" si="139"/>
        <v>-2.52331458157617E-2</v>
      </c>
      <c r="AX87">
        <f t="shared" si="140"/>
        <v>4.2615882553288902E-2</v>
      </c>
      <c r="AY87">
        <f t="shared" si="141"/>
        <v>-3.804621329911121E-2</v>
      </c>
      <c r="AZ87">
        <f t="shared" si="142"/>
        <v>-5.2767466219742667E-2</v>
      </c>
      <c r="BA87">
        <f t="shared" si="143"/>
        <v>-2.0792991804840399E-2</v>
      </c>
    </row>
    <row r="88" spans="1:53" ht="14.4" x14ac:dyDescent="0.55000000000000004">
      <c r="A88" s="4">
        <v>41696</v>
      </c>
      <c r="B88">
        <v>3.95438791314437E-2</v>
      </c>
      <c r="C88">
        <v>-3.6194612415368997E-2</v>
      </c>
      <c r="D88">
        <v>-6.1782117338181203E-2</v>
      </c>
      <c r="E88">
        <v>5.4417089271227501E-3</v>
      </c>
      <c r="F88">
        <f t="shared" si="96"/>
        <v>3.9447042771275198E-2</v>
      </c>
      <c r="G88">
        <f t="shared" si="97"/>
        <v>-3.7000672998518738E-2</v>
      </c>
      <c r="H88">
        <f t="shared" si="98"/>
        <v>-5.9101119653416322E-2</v>
      </c>
      <c r="I88">
        <f t="shared" si="99"/>
        <v>5.4974123051294635E-3</v>
      </c>
      <c r="J88">
        <f t="shared" si="100"/>
        <v>3.9568744874478395E-2</v>
      </c>
      <c r="K88">
        <f t="shared" si="101"/>
        <v>-3.7551139165401606E-2</v>
      </c>
      <c r="L88">
        <f t="shared" si="102"/>
        <v>-6.0132349045319673E-2</v>
      </c>
      <c r="M88">
        <f t="shared" si="103"/>
        <v>1.4593319212919568E-2</v>
      </c>
      <c r="N88">
        <f t="shared" si="104"/>
        <v>4.4212108878857376E-2</v>
      </c>
      <c r="O88">
        <f t="shared" si="105"/>
        <v>-4.1248235340052175E-2</v>
      </c>
      <c r="P88">
        <f t="shared" si="106"/>
        <v>-6.6921145046029265E-2</v>
      </c>
      <c r="Q88">
        <f t="shared" si="107"/>
        <v>-4.5324763949855691E-3</v>
      </c>
      <c r="R88">
        <f t="shared" si="108"/>
        <v>4.4302017104065658E-2</v>
      </c>
      <c r="S88">
        <f t="shared" si="109"/>
        <v>-4.1175443056197449E-2</v>
      </c>
      <c r="T88">
        <f t="shared" si="110"/>
        <v>-6.2517178902121467E-2</v>
      </c>
      <c r="U88">
        <f t="shared" si="111"/>
        <v>-1.2645419957815433E-2</v>
      </c>
      <c r="V88">
        <f t="shared" si="112"/>
        <v>4.2616759429493514E-2</v>
      </c>
      <c r="W88">
        <f t="shared" si="113"/>
        <v>-4.0407067327385485E-2</v>
      </c>
      <c r="X88">
        <f t="shared" si="114"/>
        <v>-5.8836293160112164E-2</v>
      </c>
      <c r="Y88">
        <f t="shared" si="115"/>
        <v>-7.491866885946238E-3</v>
      </c>
      <c r="Z88">
        <f t="shared" si="116"/>
        <v>4.1354608759749195E-2</v>
      </c>
      <c r="AA88">
        <f t="shared" si="117"/>
        <v>-3.9373581909492236E-2</v>
      </c>
      <c r="AB88">
        <f t="shared" si="118"/>
        <v>-5.6144936140520449E-2</v>
      </c>
      <c r="AC88">
        <f t="shared" si="119"/>
        <v>-2.0123201679402474E-3</v>
      </c>
      <c r="AD88">
        <f t="shared" si="120"/>
        <v>4.261727391371093E-2</v>
      </c>
      <c r="AE88">
        <f t="shared" si="121"/>
        <v>-4.0287681703044455E-2</v>
      </c>
      <c r="AF88">
        <f t="shared" si="122"/>
        <v>-5.8149953036083613E-2</v>
      </c>
      <c r="AG88">
        <f t="shared" si="123"/>
        <v>-9.1352887335747202E-3</v>
      </c>
      <c r="AH88">
        <f t="shared" si="124"/>
        <v>4.223909412239072E-2</v>
      </c>
      <c r="AI88">
        <f t="shared" si="125"/>
        <v>-3.9225812737550395E-2</v>
      </c>
      <c r="AJ88">
        <f t="shared" si="126"/>
        <v>-5.5463267003649418E-2</v>
      </c>
      <c r="AK88">
        <f t="shared" si="127"/>
        <v>-1.0840074452427028E-2</v>
      </c>
      <c r="AL88">
        <f t="shared" si="128"/>
        <v>4.3401148273308703E-2</v>
      </c>
      <c r="AM88">
        <f t="shared" si="129"/>
        <v>-3.9100929142629234E-2</v>
      </c>
      <c r="AN88">
        <f t="shared" si="130"/>
        <v>-5.5116152701411167E-2</v>
      </c>
      <c r="AO88">
        <f t="shared" si="131"/>
        <v>-2.2051926569345397E-2</v>
      </c>
      <c r="AP88">
        <f t="shared" si="132"/>
        <v>4.3396281253506724E-2</v>
      </c>
      <c r="AQ88">
        <f t="shared" si="133"/>
        <v>-3.822824127431964E-2</v>
      </c>
      <c r="AR88">
        <f t="shared" si="134"/>
        <v>-5.2939916948104744E-2</v>
      </c>
      <c r="AS88">
        <f t="shared" si="135"/>
        <v>-2.8858489142620521E-2</v>
      </c>
      <c r="AT88">
        <f t="shared" si="136"/>
        <v>4.3444869503990458E-2</v>
      </c>
      <c r="AU88">
        <f t="shared" si="137"/>
        <v>-3.8319048650553043E-2</v>
      </c>
      <c r="AV88">
        <f t="shared" si="138"/>
        <v>-5.3615529016646991E-2</v>
      </c>
      <c r="AW88">
        <f t="shared" si="139"/>
        <v>-2.5455407676458621E-2</v>
      </c>
      <c r="AX88">
        <f t="shared" si="140"/>
        <v>4.3117262055659154E-2</v>
      </c>
      <c r="AY88">
        <f t="shared" si="141"/>
        <v>-3.7837907421743248E-2</v>
      </c>
      <c r="AZ88">
        <f t="shared" si="142"/>
        <v>-5.2804280281316208E-2</v>
      </c>
      <c r="BA88">
        <f t="shared" si="143"/>
        <v>-2.3798406574395962E-2</v>
      </c>
    </row>
    <row r="89" spans="1:53" ht="14.4" x14ac:dyDescent="0.55000000000000004">
      <c r="A89" s="4">
        <v>41724</v>
      </c>
      <c r="B89">
        <v>3.7137031859021202E-2</v>
      </c>
      <c r="C89">
        <v>-3.5469347040321501E-2</v>
      </c>
      <c r="D89">
        <v>-5.0702119736386497E-2</v>
      </c>
      <c r="E89">
        <v>9.3951125514736798E-3</v>
      </c>
      <c r="F89">
        <f t="shared" si="96"/>
        <v>4.0571397174204195E-2</v>
      </c>
      <c r="G89">
        <f t="shared" si="97"/>
        <v>-3.7735347705585814E-2</v>
      </c>
      <c r="H89">
        <f t="shared" si="98"/>
        <v>-6.1060775951704574E-2</v>
      </c>
      <c r="I89">
        <f t="shared" si="99"/>
        <v>1.9250232101651436E-3</v>
      </c>
      <c r="J89">
        <f t="shared" si="100"/>
        <v>4.0179866767162918E-2</v>
      </c>
      <c r="K89">
        <f t="shared" si="101"/>
        <v>-3.8074061516166692E-2</v>
      </c>
      <c r="L89">
        <f t="shared" si="102"/>
        <v>-5.8543010042549776E-2</v>
      </c>
      <c r="M89">
        <f t="shared" si="103"/>
        <v>2.7054255045768257E-3</v>
      </c>
      <c r="N89">
        <f t="shared" si="104"/>
        <v>4.0149926714098963E-2</v>
      </c>
      <c r="O89">
        <f t="shared" si="105"/>
        <v>-3.8498959714101999E-2</v>
      </c>
      <c r="P89">
        <f t="shared" si="106"/>
        <v>-5.9564082336798475E-2</v>
      </c>
      <c r="Q89">
        <f t="shared" si="107"/>
        <v>1.1560447602524079E-2</v>
      </c>
      <c r="R89">
        <f t="shared" si="108"/>
        <v>4.4218705702531697E-2</v>
      </c>
      <c r="S89">
        <f t="shared" si="109"/>
        <v>-4.1564212334857235E-2</v>
      </c>
      <c r="T89">
        <f t="shared" si="110"/>
        <v>-6.5547054457402207E-2</v>
      </c>
      <c r="U89">
        <f t="shared" si="111"/>
        <v>-5.5850983302821429E-3</v>
      </c>
      <c r="V89">
        <f t="shared" si="112"/>
        <v>4.4046627126775373E-2</v>
      </c>
      <c r="W89">
        <f t="shared" si="113"/>
        <v>-4.1047151340154922E-2</v>
      </c>
      <c r="X89">
        <f t="shared" si="114"/>
        <v>-6.1349099449115943E-2</v>
      </c>
      <c r="Y89">
        <f t="shared" si="115"/>
        <v>-1.2493093972400976E-2</v>
      </c>
      <c r="Z89">
        <f t="shared" si="116"/>
        <v>4.2435878812930802E-2</v>
      </c>
      <c r="AA89">
        <f t="shared" si="117"/>
        <v>-4.0270483546799511E-2</v>
      </c>
      <c r="AB89">
        <f t="shared" si="118"/>
        <v>-5.8019264373241147E-2</v>
      </c>
      <c r="AC89">
        <f t="shared" si="119"/>
        <v>-7.6301886194818681E-3</v>
      </c>
      <c r="AD89">
        <f t="shared" si="120"/>
        <v>4.1253440127604582E-2</v>
      </c>
      <c r="AE89">
        <f t="shared" si="121"/>
        <v>-3.93055310758849E-2</v>
      </c>
      <c r="AF89">
        <f t="shared" si="122"/>
        <v>-5.5599868158172513E-2</v>
      </c>
      <c r="AG89">
        <f t="shared" si="123"/>
        <v>-2.5049483886016152E-3</v>
      </c>
      <c r="AH89">
        <f t="shared" si="124"/>
        <v>4.2416296439019875E-2</v>
      </c>
      <c r="AI89">
        <f t="shared" si="125"/>
        <v>-4.0110651406011159E-2</v>
      </c>
      <c r="AJ89">
        <f t="shared" si="126"/>
        <v>-5.7363717188764457E-2</v>
      </c>
      <c r="AK89">
        <f t="shared" si="127"/>
        <v>-9.1069007118936944E-3</v>
      </c>
      <c r="AL89">
        <f t="shared" si="128"/>
        <v>4.2030154064764097E-2</v>
      </c>
      <c r="AM89">
        <f t="shared" si="129"/>
        <v>-3.9025291486158388E-2</v>
      </c>
      <c r="AN89">
        <f t="shared" si="130"/>
        <v>-5.4852669035108256E-2</v>
      </c>
      <c r="AO89">
        <f t="shared" si="131"/>
        <v>-1.0567984803427287E-2</v>
      </c>
      <c r="AP89">
        <f t="shared" si="132"/>
        <v>4.308524639290167E-2</v>
      </c>
      <c r="AQ89">
        <f t="shared" si="133"/>
        <v>-3.8775954572723911E-2</v>
      </c>
      <c r="AR89">
        <f t="shared" si="134"/>
        <v>-5.4388729909567377E-2</v>
      </c>
      <c r="AS89">
        <f t="shared" si="135"/>
        <v>-2.0895377249831461E-2</v>
      </c>
      <c r="AT89">
        <f t="shared" si="136"/>
        <v>4.3095646431792457E-2</v>
      </c>
      <c r="AU89">
        <f t="shared" si="137"/>
        <v>-3.7892769275106541E-2</v>
      </c>
      <c r="AV89">
        <f t="shared" si="138"/>
        <v>-5.230205558821046E-2</v>
      </c>
      <c r="AW89">
        <f t="shared" si="139"/>
        <v>-2.7243295920617083E-2</v>
      </c>
      <c r="AX89">
        <f t="shared" si="140"/>
        <v>4.3123878299177944E-2</v>
      </c>
      <c r="AY89">
        <f t="shared" si="141"/>
        <v>-3.7994048833357566E-2</v>
      </c>
      <c r="AZ89">
        <f t="shared" si="142"/>
        <v>-5.2956795176723311E-2</v>
      </c>
      <c r="BA89">
        <f t="shared" si="143"/>
        <v>-2.4018213555916993E-2</v>
      </c>
    </row>
    <row r="90" spans="1:53" ht="14.4" x14ac:dyDescent="0.55000000000000004">
      <c r="A90" s="4">
        <v>41759</v>
      </c>
      <c r="B90">
        <v>3.7440025154425002E-2</v>
      </c>
      <c r="C90">
        <v>-3.58116534158473E-2</v>
      </c>
      <c r="D90">
        <v>-5.2906610055947101E-2</v>
      </c>
      <c r="E90">
        <v>1.21884880813542E-2</v>
      </c>
      <c r="F90">
        <f t="shared" si="96"/>
        <v>3.7779674551853132E-2</v>
      </c>
      <c r="G90">
        <f t="shared" si="97"/>
        <v>-3.6249383461648889E-2</v>
      </c>
      <c r="H90">
        <f t="shared" si="98"/>
        <v>-5.080794627243182E-2</v>
      </c>
      <c r="I90">
        <f t="shared" si="99"/>
        <v>6.9447132442808524E-3</v>
      </c>
      <c r="J90">
        <f t="shared" si="100"/>
        <v>4.1190766240423116E-2</v>
      </c>
      <c r="K90">
        <f t="shared" si="101"/>
        <v>-3.8711753438693909E-2</v>
      </c>
      <c r="L90">
        <f t="shared" si="102"/>
        <v>-6.0296384717174474E-2</v>
      </c>
      <c r="M90">
        <f t="shared" si="103"/>
        <v>-5.1235180858114765E-4</v>
      </c>
      <c r="N90">
        <f t="shared" si="104"/>
        <v>4.0625233076212332E-2</v>
      </c>
      <c r="O90">
        <f t="shared" si="105"/>
        <v>-3.8748229923846397E-2</v>
      </c>
      <c r="P90">
        <f t="shared" si="106"/>
        <v>-5.795503627199499E-2</v>
      </c>
      <c r="Q90">
        <f t="shared" si="107"/>
        <v>6.9373204926858776E-4</v>
      </c>
      <c r="R90">
        <f t="shared" si="108"/>
        <v>4.0496498268767944E-2</v>
      </c>
      <c r="S90">
        <f t="shared" si="109"/>
        <v>-3.9106878477667709E-2</v>
      </c>
      <c r="T90">
        <f t="shared" si="110"/>
        <v>-5.8973753342926392E-2</v>
      </c>
      <c r="U90">
        <f t="shared" si="111"/>
        <v>9.2102109226927867E-3</v>
      </c>
      <c r="V90">
        <f t="shared" si="112"/>
        <v>4.4089067058808391E-2</v>
      </c>
      <c r="W90">
        <f t="shared" si="113"/>
        <v>-4.1661420448744428E-2</v>
      </c>
      <c r="X90">
        <f t="shared" si="114"/>
        <v>-6.4246767057672766E-2</v>
      </c>
      <c r="Y90">
        <f t="shared" si="115"/>
        <v>-6.2349085467806944E-3</v>
      </c>
      <c r="Z90">
        <f t="shared" si="116"/>
        <v>4.3760864168170648E-2</v>
      </c>
      <c r="AA90">
        <f t="shared" si="117"/>
        <v>-4.085251973008517E-2</v>
      </c>
      <c r="AB90">
        <f t="shared" si="118"/>
        <v>-6.0266776203270304E-2</v>
      </c>
      <c r="AC90">
        <f t="shared" si="119"/>
        <v>-1.223433210418721E-2</v>
      </c>
      <c r="AD90">
        <f t="shared" si="120"/>
        <v>4.2243257476791696E-2</v>
      </c>
      <c r="AE90">
        <f t="shared" si="121"/>
        <v>-4.0100261763822705E-2</v>
      </c>
      <c r="AF90">
        <f t="shared" si="122"/>
        <v>-5.726091358095952E-2</v>
      </c>
      <c r="AG90">
        <f t="shared" si="123"/>
        <v>-7.6997442827455827E-3</v>
      </c>
      <c r="AH90">
        <f t="shared" si="124"/>
        <v>4.1144289821299099E-2</v>
      </c>
      <c r="AI90">
        <f t="shared" si="125"/>
        <v>-3.9211649947084377E-2</v>
      </c>
      <c r="AJ90">
        <f t="shared" si="126"/>
        <v>-5.5090095293067638E-2</v>
      </c>
      <c r="AK90">
        <f t="shared" si="127"/>
        <v>-2.9291399474389219E-3</v>
      </c>
      <c r="AL90">
        <f t="shared" si="128"/>
        <v>4.2212375780845156E-2</v>
      </c>
      <c r="AM90">
        <f t="shared" si="129"/>
        <v>-3.9913773917868475E-2</v>
      </c>
      <c r="AN90">
        <f t="shared" si="130"/>
        <v>-5.6636702050927516E-2</v>
      </c>
      <c r="AO90">
        <f t="shared" si="131"/>
        <v>-9.0386267362761244E-3</v>
      </c>
      <c r="AP90">
        <f t="shared" si="132"/>
        <v>4.1833826627808608E-2</v>
      </c>
      <c r="AQ90">
        <f t="shared" si="133"/>
        <v>-3.8829741750877729E-2</v>
      </c>
      <c r="AR90">
        <f t="shared" si="134"/>
        <v>-5.4292899009980529E-2</v>
      </c>
      <c r="AS90">
        <f t="shared" si="135"/>
        <v>-1.0310028713953498E-2</v>
      </c>
      <c r="AT90">
        <f t="shared" si="136"/>
        <v>4.2794958774233241E-2</v>
      </c>
      <c r="AU90">
        <f t="shared" si="137"/>
        <v>-3.847707648208383E-2</v>
      </c>
      <c r="AV90">
        <f t="shared" si="138"/>
        <v>-5.3731476966213484E-2</v>
      </c>
      <c r="AW90">
        <f t="shared" si="139"/>
        <v>-1.9824015897089885E-2</v>
      </c>
      <c r="AX90">
        <f t="shared" si="140"/>
        <v>4.2817920113280353E-2</v>
      </c>
      <c r="AY90">
        <f t="shared" si="141"/>
        <v>-3.7587087018863666E-2</v>
      </c>
      <c r="AZ90">
        <f t="shared" si="142"/>
        <v>-5.1731272587613446E-2</v>
      </c>
      <c r="BA90">
        <f t="shared" si="143"/>
        <v>-2.5736821507671565E-2</v>
      </c>
    </row>
    <row r="91" spans="1:53" ht="14.4" x14ac:dyDescent="0.55000000000000004">
      <c r="A91" s="4">
        <v>41787</v>
      </c>
      <c r="B91">
        <v>4.0485835811610901E-2</v>
      </c>
      <c r="C91">
        <v>-3.8584310489764899E-2</v>
      </c>
      <c r="D91">
        <v>-5.4446210312002398E-2</v>
      </c>
      <c r="E91">
        <v>-3.3614424804371801E-3</v>
      </c>
      <c r="F91">
        <f t="shared" si="96"/>
        <v>3.8120183049344079E-2</v>
      </c>
      <c r="G91">
        <f t="shared" si="97"/>
        <v>-3.6695849560042265E-2</v>
      </c>
      <c r="H91">
        <f t="shared" si="98"/>
        <v>-5.2880514510810453E-2</v>
      </c>
      <c r="I91">
        <f t="shared" si="99"/>
        <v>9.4030869022807759E-3</v>
      </c>
      <c r="J91">
        <f t="shared" si="100"/>
        <v>3.8238934375642505E-2</v>
      </c>
      <c r="K91">
        <f t="shared" si="101"/>
        <v>-3.6784253540015084E-2</v>
      </c>
      <c r="L91">
        <f t="shared" si="102"/>
        <v>-5.0852496393653801E-2</v>
      </c>
      <c r="M91">
        <f t="shared" si="103"/>
        <v>5.0096396692733717E-3</v>
      </c>
      <c r="N91">
        <f t="shared" si="104"/>
        <v>4.153577881434406E-2</v>
      </c>
      <c r="O91">
        <f t="shared" si="105"/>
        <v>-3.9302141885507291E-2</v>
      </c>
      <c r="P91">
        <f t="shared" si="106"/>
        <v>-5.9523524307417738E-2</v>
      </c>
      <c r="Q91">
        <f t="shared" si="107"/>
        <v>-2.2076369007697286E-3</v>
      </c>
      <c r="R91">
        <f t="shared" si="108"/>
        <v>4.0877240922484938E-2</v>
      </c>
      <c r="S91">
        <f t="shared" si="109"/>
        <v>-3.9148891413619567E-2</v>
      </c>
      <c r="T91">
        <f t="shared" si="110"/>
        <v>-5.7361669225394096E-2</v>
      </c>
      <c r="U91">
        <f t="shared" si="111"/>
        <v>-7.7601333965142654E-4</v>
      </c>
      <c r="V91">
        <f t="shared" si="112"/>
        <v>4.0686089509992904E-2</v>
      </c>
      <c r="W91">
        <f t="shared" si="113"/>
        <v>-3.9479884503059601E-2</v>
      </c>
      <c r="X91">
        <f t="shared" si="114"/>
        <v>-5.8381567204134552E-2</v>
      </c>
      <c r="Y91">
        <f t="shared" si="115"/>
        <v>7.3438908313747612E-3</v>
      </c>
      <c r="Z91">
        <f t="shared" si="116"/>
        <v>4.3877943323995944E-2</v>
      </c>
      <c r="AA91">
        <f t="shared" si="117"/>
        <v>-4.1615605033095658E-2</v>
      </c>
      <c r="AB91">
        <f t="shared" si="118"/>
        <v>-6.3026945669287751E-2</v>
      </c>
      <c r="AC91">
        <f t="shared" si="119"/>
        <v>-6.6216044117942347E-3</v>
      </c>
      <c r="AD91">
        <f t="shared" si="120"/>
        <v>4.3464519467490116E-2</v>
      </c>
      <c r="AE91">
        <f t="shared" si="121"/>
        <v>-4.0620194436362021E-2</v>
      </c>
      <c r="AF91">
        <f t="shared" si="122"/>
        <v>-5.9267717172217557E-2</v>
      </c>
      <c r="AG91">
        <f t="shared" si="123"/>
        <v>-1.1920036253500025E-2</v>
      </c>
      <c r="AH91">
        <f t="shared" si="124"/>
        <v>4.204912154759223E-2</v>
      </c>
      <c r="AI91">
        <f t="shared" si="125"/>
        <v>-3.9911814378842524E-2</v>
      </c>
      <c r="AJ91">
        <f t="shared" si="126"/>
        <v>-5.6558963602575792E-2</v>
      </c>
      <c r="AK91">
        <f t="shared" si="127"/>
        <v>-7.7282035898529342E-3</v>
      </c>
      <c r="AL91">
        <f t="shared" si="128"/>
        <v>4.1033628686637222E-2</v>
      </c>
      <c r="AM91">
        <f t="shared" si="129"/>
        <v>-3.9102127950385757E-2</v>
      </c>
      <c r="AN91">
        <f t="shared" si="130"/>
        <v>-5.4614505173785972E-2</v>
      </c>
      <c r="AO91">
        <f t="shared" si="131"/>
        <v>-3.3036489789808345E-3</v>
      </c>
      <c r="AP91">
        <f t="shared" si="132"/>
        <v>4.2012753434595096E-2</v>
      </c>
      <c r="AQ91">
        <f t="shared" si="133"/>
        <v>-3.9708331879394376E-2</v>
      </c>
      <c r="AR91">
        <f t="shared" si="134"/>
        <v>-5.5965863061083893E-2</v>
      </c>
      <c r="AS91">
        <f t="shared" si="135"/>
        <v>-8.9503499331719007E-3</v>
      </c>
      <c r="AT91">
        <f t="shared" si="136"/>
        <v>4.1651259789578246E-2</v>
      </c>
      <c r="AU91">
        <f t="shared" si="137"/>
        <v>-3.8641939259548078E-2</v>
      </c>
      <c r="AV91">
        <f t="shared" si="138"/>
        <v>-5.3780096411572151E-2</v>
      </c>
      <c r="AW91">
        <f t="shared" si="139"/>
        <v>-1.0070022762313471E-2</v>
      </c>
      <c r="AX91">
        <f t="shared" si="140"/>
        <v>4.25290706305455E-2</v>
      </c>
      <c r="AY91">
        <f t="shared" si="141"/>
        <v>-3.8203501729788425E-2</v>
      </c>
      <c r="AZ91">
        <f t="shared" si="142"/>
        <v>-5.3138089876884204E-2</v>
      </c>
      <c r="BA91">
        <f t="shared" si="143"/>
        <v>-1.8833730045104406E-2</v>
      </c>
    </row>
    <row r="92" spans="1:53" ht="14.4" x14ac:dyDescent="0.55000000000000004">
      <c r="A92" s="4">
        <v>41815</v>
      </c>
      <c r="B92">
        <v>3.9779301534441598E-2</v>
      </c>
      <c r="C92">
        <v>-3.834644341231E-2</v>
      </c>
      <c r="D92">
        <v>-5.0106403409335101E-2</v>
      </c>
      <c r="E92">
        <v>2.1328123881686999E-3</v>
      </c>
      <c r="F92">
        <f t="shared" si="96"/>
        <v>4.0549499571034084E-2</v>
      </c>
      <c r="G92">
        <f t="shared" si="97"/>
        <v>-3.8665583936953525E-2</v>
      </c>
      <c r="H92">
        <f t="shared" si="98"/>
        <v>-5.4045083063610194E-2</v>
      </c>
      <c r="I92">
        <f t="shared" si="99"/>
        <v>-4.0497868019253374E-3</v>
      </c>
      <c r="J92">
        <f t="shared" si="100"/>
        <v>3.8591504262828848E-2</v>
      </c>
      <c r="K92">
        <f t="shared" si="101"/>
        <v>-3.7294699539583968E-2</v>
      </c>
      <c r="L92">
        <f t="shared" si="102"/>
        <v>-5.2796316813529885E-2</v>
      </c>
      <c r="M92">
        <f t="shared" si="103"/>
        <v>7.2101879883663296E-3</v>
      </c>
      <c r="N92">
        <f t="shared" si="104"/>
        <v>3.8569861425360487E-2</v>
      </c>
      <c r="O92">
        <f t="shared" si="105"/>
        <v>-3.7146851796349856E-2</v>
      </c>
      <c r="P92">
        <f t="shared" si="106"/>
        <v>-5.085399578285088E-2</v>
      </c>
      <c r="Q92">
        <f t="shared" si="107"/>
        <v>3.4491088852728726E-3</v>
      </c>
      <c r="R92">
        <f t="shared" si="108"/>
        <v>4.1698558252374104E-2</v>
      </c>
      <c r="S92">
        <f t="shared" si="109"/>
        <v>-3.962997851835013E-2</v>
      </c>
      <c r="T92">
        <f t="shared" si="110"/>
        <v>-5.8764350144667514E-2</v>
      </c>
      <c r="U92">
        <f t="shared" si="111"/>
        <v>-3.3938649840587246E-3</v>
      </c>
      <c r="V92">
        <f t="shared" si="112"/>
        <v>4.1000685653394091E-2</v>
      </c>
      <c r="W92">
        <f t="shared" si="113"/>
        <v>-3.9363160146887566E-2</v>
      </c>
      <c r="X92">
        <f t="shared" si="114"/>
        <v>-5.6778622587582928E-2</v>
      </c>
      <c r="Y92">
        <f t="shared" si="115"/>
        <v>-1.8688306074423583E-3</v>
      </c>
      <c r="Z92">
        <f t="shared" si="116"/>
        <v>4.0772064086087495E-2</v>
      </c>
      <c r="AA92">
        <f t="shared" si="117"/>
        <v>-3.9690907266501693E-2</v>
      </c>
      <c r="AB92">
        <f t="shared" si="118"/>
        <v>-5.7800483610566028E-2</v>
      </c>
      <c r="AC92">
        <f t="shared" si="119"/>
        <v>5.8235491818094277E-3</v>
      </c>
      <c r="AD92">
        <f t="shared" si="120"/>
        <v>4.362212329412455E-2</v>
      </c>
      <c r="AE92">
        <f t="shared" si="121"/>
        <v>-4.1478626111117252E-2</v>
      </c>
      <c r="AF92">
        <f t="shared" si="122"/>
        <v>-6.1889594838727142E-2</v>
      </c>
      <c r="AG92">
        <f t="shared" si="123"/>
        <v>-6.8399416414785964E-3</v>
      </c>
      <c r="AH92">
        <f t="shared" si="124"/>
        <v>4.317033941898317E-2</v>
      </c>
      <c r="AI92">
        <f t="shared" si="125"/>
        <v>-4.0369341265459158E-2</v>
      </c>
      <c r="AJ92">
        <f t="shared" si="126"/>
        <v>-5.8348032807587533E-2</v>
      </c>
      <c r="AK92">
        <f t="shared" si="127"/>
        <v>-1.1583475979991291E-2</v>
      </c>
      <c r="AL92">
        <f t="shared" si="128"/>
        <v>4.1859932046951182E-2</v>
      </c>
      <c r="AM92">
        <f t="shared" si="129"/>
        <v>-3.9715433088355373E-2</v>
      </c>
      <c r="AN92">
        <f t="shared" si="130"/>
        <v>-5.5910462683925029E-2</v>
      </c>
      <c r="AO92">
        <f t="shared" si="131"/>
        <v>-7.7337507029395063E-3</v>
      </c>
      <c r="AP92">
        <f t="shared" si="132"/>
        <v>4.0925551539571739E-2</v>
      </c>
      <c r="AQ92">
        <f t="shared" si="133"/>
        <v>-3.8983887495770378E-2</v>
      </c>
      <c r="AR92">
        <f t="shared" si="134"/>
        <v>-5.417152843375319E-2</v>
      </c>
      <c r="AS92">
        <f t="shared" si="135"/>
        <v>-3.6411929812565861E-3</v>
      </c>
      <c r="AT92">
        <f t="shared" si="136"/>
        <v>4.1821846453769511E-2</v>
      </c>
      <c r="AU92">
        <f t="shared" si="137"/>
        <v>-3.9501736993567578E-2</v>
      </c>
      <c r="AV92">
        <f t="shared" si="138"/>
        <v>-5.5347760493894997E-2</v>
      </c>
      <c r="AW92">
        <f t="shared" si="139"/>
        <v>-8.8548280704739152E-3</v>
      </c>
      <c r="AX92">
        <f t="shared" si="140"/>
        <v>4.1482768355721983E-2</v>
      </c>
      <c r="AY92">
        <f t="shared" si="141"/>
        <v>-3.8463445793755921E-2</v>
      </c>
      <c r="AZ92">
        <f t="shared" si="142"/>
        <v>-5.3310532320215903E-2</v>
      </c>
      <c r="BA92">
        <f t="shared" si="143"/>
        <v>-9.8496680040285282E-3</v>
      </c>
    </row>
    <row r="93" spans="1:53" ht="14.4" x14ac:dyDescent="0.55000000000000004">
      <c r="A93" s="4">
        <v>41850</v>
      </c>
      <c r="B93">
        <v>3.74402132838806E-2</v>
      </c>
      <c r="C93">
        <v>-3.7019521918617002E-2</v>
      </c>
      <c r="D93">
        <v>-4.1819244145310602E-2</v>
      </c>
      <c r="E93">
        <v>5.6092839634644398E-3</v>
      </c>
      <c r="F93">
        <f t="shared" si="96"/>
        <v>3.9561815010008619E-2</v>
      </c>
      <c r="G93">
        <f t="shared" si="97"/>
        <v>-3.8016702578287494E-2</v>
      </c>
      <c r="H93">
        <f t="shared" si="98"/>
        <v>-5.0042709347060316E-2</v>
      </c>
      <c r="I93">
        <f t="shared" si="99"/>
        <v>1.9194198938717265E-3</v>
      </c>
      <c r="J93">
        <f t="shared" si="100"/>
        <v>4.0566059105325278E-2</v>
      </c>
      <c r="K93">
        <f t="shared" si="101"/>
        <v>-3.8676651246346477E-2</v>
      </c>
      <c r="L93">
        <f t="shared" si="102"/>
        <v>-5.3659644229386357E-2</v>
      </c>
      <c r="M93">
        <f t="shared" si="103"/>
        <v>-4.5828036112843581E-3</v>
      </c>
      <c r="N93">
        <f t="shared" si="104"/>
        <v>3.8918230537544229E-2</v>
      </c>
      <c r="O93">
        <f t="shared" si="105"/>
        <v>-3.7693773700573405E-2</v>
      </c>
      <c r="P93">
        <f t="shared" si="106"/>
        <v>-5.2674135880508871E-2</v>
      </c>
      <c r="Q93">
        <f t="shared" si="107"/>
        <v>5.4454542951961971E-3</v>
      </c>
      <c r="R93">
        <f t="shared" si="108"/>
        <v>3.8810795467384647E-2</v>
      </c>
      <c r="S93">
        <f t="shared" si="109"/>
        <v>-3.7388119677316908E-2</v>
      </c>
      <c r="T93">
        <f t="shared" si="110"/>
        <v>-5.0825305687820434E-2</v>
      </c>
      <c r="U93">
        <f t="shared" si="111"/>
        <v>2.1642315215173662E-3</v>
      </c>
      <c r="V93">
        <f t="shared" si="112"/>
        <v>4.1742335887979085E-2</v>
      </c>
      <c r="W93">
        <f t="shared" si="113"/>
        <v>-3.9780637187041216E-2</v>
      </c>
      <c r="X93">
        <f t="shared" si="114"/>
        <v>-5.8032552997492798E-2</v>
      </c>
      <c r="Y93">
        <f t="shared" si="115"/>
        <v>-4.2317967372230113E-3</v>
      </c>
      <c r="Z93">
        <f t="shared" si="116"/>
        <v>4.1040044437815407E-2</v>
      </c>
      <c r="AA93">
        <f t="shared" si="117"/>
        <v>-3.9451336629815821E-2</v>
      </c>
      <c r="AB93">
        <f t="shared" si="118"/>
        <v>-5.6215639789271361E-2</v>
      </c>
      <c r="AC93">
        <f t="shared" si="119"/>
        <v>-2.6988612313758216E-3</v>
      </c>
      <c r="AD93">
        <f t="shared" si="120"/>
        <v>4.0790969507301322E-2</v>
      </c>
      <c r="AE93">
        <f t="shared" si="121"/>
        <v>-3.9790594520465308E-2</v>
      </c>
      <c r="AF93">
        <f t="shared" si="122"/>
        <v>-5.7238525115325629E-2</v>
      </c>
      <c r="AG93">
        <f t="shared" si="123"/>
        <v>4.5534184058484044E-3</v>
      </c>
      <c r="AH93">
        <f t="shared" si="124"/>
        <v>4.334602721746833E-2</v>
      </c>
      <c r="AI93">
        <f t="shared" si="125"/>
        <v>-4.1285813754273988E-2</v>
      </c>
      <c r="AJ93">
        <f t="shared" si="126"/>
        <v>-6.0833727414354812E-2</v>
      </c>
      <c r="AK93">
        <f t="shared" si="127"/>
        <v>-6.9537009973655211E-3</v>
      </c>
      <c r="AL93">
        <f t="shared" si="128"/>
        <v>4.2886268285036111E-2</v>
      </c>
      <c r="AM93">
        <f t="shared" si="129"/>
        <v>-4.0112605336198849E-2</v>
      </c>
      <c r="AN93">
        <f t="shared" si="130"/>
        <v>-5.7503064375777221E-2</v>
      </c>
      <c r="AO93">
        <f t="shared" si="131"/>
        <v>-1.124588769154339E-2</v>
      </c>
      <c r="AP93">
        <f t="shared" si="132"/>
        <v>4.1679594238737114E-2</v>
      </c>
      <c r="AQ93">
        <f t="shared" si="133"/>
        <v>-3.9517889231653378E-2</v>
      </c>
      <c r="AR93">
        <f t="shared" si="134"/>
        <v>-5.5312116640185885E-2</v>
      </c>
      <c r="AS93">
        <f t="shared" si="135"/>
        <v>-7.7281052073667747E-3</v>
      </c>
      <c r="AT93">
        <f t="shared" si="136"/>
        <v>4.0822540292997783E-2</v>
      </c>
      <c r="AU93">
        <f t="shared" si="137"/>
        <v>-3.8861596180482051E-2</v>
      </c>
      <c r="AV93">
        <f t="shared" si="138"/>
        <v>-5.3759350701777037E-2</v>
      </c>
      <c r="AW93">
        <f t="shared" si="139"/>
        <v>-3.9503600136946045E-3</v>
      </c>
      <c r="AX93">
        <f t="shared" si="140"/>
        <v>4.1642167233993603E-2</v>
      </c>
      <c r="AY93">
        <f t="shared" si="141"/>
        <v>-3.9298749868315996E-2</v>
      </c>
      <c r="AZ93">
        <f t="shared" si="142"/>
        <v>-5.4778802150900141E-2</v>
      </c>
      <c r="BA93">
        <f t="shared" si="143"/>
        <v>-8.7599913524081755E-3</v>
      </c>
    </row>
    <row r="94" spans="1:53" ht="14.4" x14ac:dyDescent="0.55000000000000004">
      <c r="A94" s="4">
        <v>41878</v>
      </c>
      <c r="B94">
        <v>3.7407641856578903E-2</v>
      </c>
      <c r="C94">
        <v>-3.7068301500434497E-2</v>
      </c>
      <c r="D94">
        <v>-3.92710558285609E-2</v>
      </c>
      <c r="E94">
        <v>-2.9485361198346902E-3</v>
      </c>
      <c r="F94">
        <f t="shared" si="96"/>
        <v>3.7136153216059613E-2</v>
      </c>
      <c r="G94">
        <f t="shared" si="97"/>
        <v>-3.6382927849475992E-2</v>
      </c>
      <c r="H94">
        <f t="shared" si="98"/>
        <v>-4.2410565585063766E-2</v>
      </c>
      <c r="I94">
        <f t="shared" si="99"/>
        <v>5.7447942332388658E-3</v>
      </c>
      <c r="J94">
        <f t="shared" si="100"/>
        <v>3.9428597485430657E-2</v>
      </c>
      <c r="K94">
        <f t="shared" si="101"/>
        <v>-3.7792990749259667E-2</v>
      </c>
      <c r="L94">
        <f t="shared" si="102"/>
        <v>-4.9994737019732803E-2</v>
      </c>
      <c r="M94">
        <f t="shared" si="103"/>
        <v>1.5452478413567549E-3</v>
      </c>
      <c r="N94">
        <f t="shared" si="104"/>
        <v>4.0552753771358918E-2</v>
      </c>
      <c r="O94">
        <f t="shared" si="105"/>
        <v>-3.8641222727138831E-2</v>
      </c>
      <c r="P94">
        <f t="shared" si="106"/>
        <v>-5.3292871638427421E-2</v>
      </c>
      <c r="Q94">
        <f t="shared" si="107"/>
        <v>-5.0057677807268872E-3</v>
      </c>
      <c r="R94">
        <f t="shared" si="108"/>
        <v>3.9144951890077488E-2</v>
      </c>
      <c r="S94">
        <f t="shared" si="109"/>
        <v>-3.7952784643676948E-2</v>
      </c>
      <c r="T94">
        <f t="shared" si="110"/>
        <v>-5.2527897043170735E-2</v>
      </c>
      <c r="U94">
        <f t="shared" si="111"/>
        <v>3.993802693551392E-3</v>
      </c>
      <c r="V94">
        <f t="shared" si="112"/>
        <v>3.8988450120437342E-2</v>
      </c>
      <c r="W94">
        <f t="shared" si="113"/>
        <v>-3.7543707901920631E-2</v>
      </c>
      <c r="X94">
        <f t="shared" si="114"/>
        <v>-5.0775534735389621E-2</v>
      </c>
      <c r="Y94">
        <f t="shared" si="115"/>
        <v>1.0853068864136554E-3</v>
      </c>
      <c r="Z94">
        <f t="shared" si="116"/>
        <v>4.1710329287031861E-2</v>
      </c>
      <c r="AA94">
        <f t="shared" si="117"/>
        <v>-3.9813047936032707E-2</v>
      </c>
      <c r="AB94">
        <f t="shared" si="118"/>
        <v>-5.733609656961166E-2</v>
      </c>
      <c r="AC94">
        <f t="shared" si="119"/>
        <v>-4.8320975245917238E-3</v>
      </c>
      <c r="AD94">
        <f t="shared" si="120"/>
        <v>4.1025720002072386E-2</v>
      </c>
      <c r="AE94">
        <f t="shared" si="121"/>
        <v>-3.9455101087442032E-2</v>
      </c>
      <c r="AF94">
        <f t="shared" si="122"/>
        <v>-5.5678420735467929E-2</v>
      </c>
      <c r="AG94">
        <f t="shared" si="123"/>
        <v>-3.344966133172768E-3</v>
      </c>
      <c r="AH94">
        <f t="shared" si="124"/>
        <v>4.0767713045949727E-2</v>
      </c>
      <c r="AI94">
        <f t="shared" si="125"/>
        <v>-3.9814110407157009E-2</v>
      </c>
      <c r="AJ94">
        <f t="shared" si="126"/>
        <v>-5.6700372352493478E-2</v>
      </c>
      <c r="AK94">
        <f t="shared" si="127"/>
        <v>3.4669722577004838E-3</v>
      </c>
      <c r="AL94">
        <f t="shared" si="128"/>
        <v>4.3065585054630907E-2</v>
      </c>
      <c r="AM94">
        <f t="shared" si="129"/>
        <v>-4.1061075347981528E-2</v>
      </c>
      <c r="AN94">
        <f t="shared" si="130"/>
        <v>-5.9856499735669949E-2</v>
      </c>
      <c r="AO94">
        <f t="shared" si="131"/>
        <v>-7.0053724500766818E-3</v>
      </c>
      <c r="AP94">
        <f t="shared" si="132"/>
        <v>4.2616998738319235E-2</v>
      </c>
      <c r="AQ94">
        <f t="shared" si="133"/>
        <v>-3.9858162385137473E-2</v>
      </c>
      <c r="AR94">
        <f t="shared" si="134"/>
        <v>-5.6727801612099907E-2</v>
      </c>
      <c r="AS94">
        <f t="shared" si="135"/>
        <v>-1.0920345399488593E-2</v>
      </c>
      <c r="AT94">
        <f t="shared" si="136"/>
        <v>4.1510292733764068E-2</v>
      </c>
      <c r="AU94">
        <f t="shared" si="137"/>
        <v>-3.932354264268028E-2</v>
      </c>
      <c r="AV94">
        <f t="shared" si="138"/>
        <v>-5.4760507744490587E-2</v>
      </c>
      <c r="AW94">
        <f t="shared" si="139"/>
        <v>-7.7186086198652026E-3</v>
      </c>
      <c r="AX94">
        <f t="shared" si="140"/>
        <v>4.0725990917773097E-2</v>
      </c>
      <c r="AY94">
        <f t="shared" si="141"/>
        <v>-3.8738368706463445E-2</v>
      </c>
      <c r="AZ94">
        <f t="shared" si="142"/>
        <v>-5.3376052965244412E-2</v>
      </c>
      <c r="BA94">
        <f t="shared" si="143"/>
        <v>-4.2369262975820426E-3</v>
      </c>
    </row>
    <row r="95" spans="1:53" ht="14.4" x14ac:dyDescent="0.55000000000000004">
      <c r="A95" s="4">
        <v>41906</v>
      </c>
      <c r="B95">
        <v>3.6384387192401703E-2</v>
      </c>
      <c r="C95">
        <v>-3.6662239809581297E-2</v>
      </c>
      <c r="D95">
        <v>-3.7479183679672699E-2</v>
      </c>
      <c r="E95">
        <v>7.1174773779652499E-3</v>
      </c>
      <c r="F95">
        <f t="shared" si="96"/>
        <v>3.7030249480493944E-2</v>
      </c>
      <c r="G95">
        <f t="shared" si="97"/>
        <v>-3.6227035298129144E-2</v>
      </c>
      <c r="H95">
        <f t="shared" si="98"/>
        <v>-3.9959823810710775E-2</v>
      </c>
      <c r="I95">
        <f t="shared" si="99"/>
        <v>-2.0678290427321986E-3</v>
      </c>
      <c r="J95">
        <f t="shared" si="100"/>
        <v>3.7020007598714169E-2</v>
      </c>
      <c r="K95">
        <f t="shared" si="101"/>
        <v>-3.6007021205464076E-2</v>
      </c>
      <c r="L95">
        <f t="shared" si="102"/>
        <v>-4.2986648838711387E-2</v>
      </c>
      <c r="M95">
        <f t="shared" si="103"/>
        <v>5.4557130379991612E-3</v>
      </c>
      <c r="N95">
        <f t="shared" si="104"/>
        <v>3.9352610564085441E-2</v>
      </c>
      <c r="O95">
        <f t="shared" si="105"/>
        <v>-3.7640533744918707E-2</v>
      </c>
      <c r="P95">
        <f t="shared" si="106"/>
        <v>-4.995540029143513E-2</v>
      </c>
      <c r="Q95">
        <f t="shared" si="107"/>
        <v>1.0750802042306109E-3</v>
      </c>
      <c r="R95">
        <f t="shared" si="108"/>
        <v>4.0521281169031566E-2</v>
      </c>
      <c r="S95">
        <f t="shared" si="109"/>
        <v>-3.8575641073389566E-2</v>
      </c>
      <c r="T95">
        <f t="shared" si="110"/>
        <v>-5.2946215416120407E-2</v>
      </c>
      <c r="U95">
        <f t="shared" si="111"/>
        <v>-5.3500087836179672E-3</v>
      </c>
      <c r="V95">
        <f t="shared" si="112"/>
        <v>3.9302600174060863E-2</v>
      </c>
      <c r="W95">
        <f t="shared" si="113"/>
        <v>-3.811344454507757E-2</v>
      </c>
      <c r="X95">
        <f t="shared" si="114"/>
        <v>-5.2367220744677034E-2</v>
      </c>
      <c r="Y95">
        <f t="shared" si="115"/>
        <v>2.7744284963264034E-3</v>
      </c>
      <c r="Z95">
        <f t="shared" si="116"/>
        <v>3.9121449358378649E-2</v>
      </c>
      <c r="AA95">
        <f t="shared" si="117"/>
        <v>-3.7638611954948074E-2</v>
      </c>
      <c r="AB95">
        <f t="shared" si="118"/>
        <v>-5.0711161924426193E-2</v>
      </c>
      <c r="AC95">
        <f t="shared" si="119"/>
        <v>1.6298413344246142E-4</v>
      </c>
      <c r="AD95">
        <f t="shared" si="120"/>
        <v>4.1631909549918661E-2</v>
      </c>
      <c r="AE95">
        <f t="shared" si="121"/>
        <v>-3.9767793113506582E-2</v>
      </c>
      <c r="AF95">
        <f t="shared" si="122"/>
        <v>-5.6679106117660631E-2</v>
      </c>
      <c r="AG95">
        <f t="shared" si="123"/>
        <v>-5.2707429330343218E-3</v>
      </c>
      <c r="AH95">
        <f t="shared" si="124"/>
        <v>4.097837782486749E-2</v>
      </c>
      <c r="AI95">
        <f t="shared" si="125"/>
        <v>-3.9403208897551015E-2</v>
      </c>
      <c r="AJ95">
        <f t="shared" si="126"/>
        <v>-5.5169951375237412E-2</v>
      </c>
      <c r="AK95">
        <f t="shared" si="127"/>
        <v>-3.8615614673743657E-3</v>
      </c>
      <c r="AL95">
        <f t="shared" si="128"/>
        <v>4.0719156362903262E-2</v>
      </c>
      <c r="AM95">
        <f t="shared" si="129"/>
        <v>-3.9785861424401832E-2</v>
      </c>
      <c r="AN95">
        <f t="shared" si="130"/>
        <v>-5.6188464324578975E-2</v>
      </c>
      <c r="AO95">
        <f t="shared" si="131"/>
        <v>2.5179458627919422E-3</v>
      </c>
      <c r="AP95">
        <f t="shared" si="132"/>
        <v>4.2790923189014209E-2</v>
      </c>
      <c r="AQ95">
        <f t="shared" si="133"/>
        <v>-4.0820440111742878E-2</v>
      </c>
      <c r="AR95">
        <f t="shared" si="134"/>
        <v>-5.8953979553184668E-2</v>
      </c>
      <c r="AS95">
        <f t="shared" si="135"/>
        <v>-7.022863719765556E-3</v>
      </c>
      <c r="AT95">
        <f t="shared" si="136"/>
        <v>4.23650418657835E-2</v>
      </c>
      <c r="AU95">
        <f t="shared" si="137"/>
        <v>-3.9611138966012302E-2</v>
      </c>
      <c r="AV95">
        <f t="shared" si="138"/>
        <v>-5.6017155680871282E-2</v>
      </c>
      <c r="AW95">
        <f t="shared" si="139"/>
        <v>-1.0614431632015028E-2</v>
      </c>
      <c r="AX95">
        <f t="shared" si="140"/>
        <v>4.1353066871936739E-2</v>
      </c>
      <c r="AY95">
        <f t="shared" si="141"/>
        <v>-3.9135109089406567E-2</v>
      </c>
      <c r="AZ95">
        <f t="shared" si="142"/>
        <v>-5.4252236019821744E-2</v>
      </c>
      <c r="BA95">
        <f t="shared" si="143"/>
        <v>-7.7096624490599107E-3</v>
      </c>
    </row>
    <row r="96" spans="1:53" ht="14.4" x14ac:dyDescent="0.55000000000000004">
      <c r="A96" s="4">
        <v>41941</v>
      </c>
      <c r="B96">
        <v>3.5589885833708E-2</v>
      </c>
      <c r="C96">
        <v>-3.5190952025915302E-2</v>
      </c>
      <c r="D96">
        <v>-3.8612442048897799E-2</v>
      </c>
      <c r="E96">
        <v>1.2392642352536099E-3</v>
      </c>
      <c r="F96">
        <f t="shared" si="96"/>
        <v>3.5965171352527178E-2</v>
      </c>
      <c r="G96">
        <f t="shared" si="97"/>
        <v>-3.5767061016305737E-2</v>
      </c>
      <c r="H96">
        <f t="shared" si="98"/>
        <v>-3.8400709901603047E-2</v>
      </c>
      <c r="I96">
        <f t="shared" si="99"/>
        <v>7.5974324779546441E-3</v>
      </c>
      <c r="J96">
        <f t="shared" si="100"/>
        <v>3.6874946725356655E-2</v>
      </c>
      <c r="K96">
        <f t="shared" si="101"/>
        <v>-3.5704096230706084E-2</v>
      </c>
      <c r="L96">
        <f t="shared" si="102"/>
        <v>-4.0637413066085495E-2</v>
      </c>
      <c r="M96">
        <f t="shared" si="103"/>
        <v>-1.7275511868151726E-3</v>
      </c>
      <c r="N96">
        <f t="shared" si="104"/>
        <v>3.7025752325982125E-2</v>
      </c>
      <c r="O96">
        <f t="shared" si="105"/>
        <v>-3.5804227531857059E-2</v>
      </c>
      <c r="P96">
        <f t="shared" si="106"/>
        <v>-4.3534163617208438E-2</v>
      </c>
      <c r="Q96">
        <f t="shared" si="107"/>
        <v>4.9041529677460163E-3</v>
      </c>
      <c r="R96">
        <f t="shared" si="108"/>
        <v>3.931515932168228E-2</v>
      </c>
      <c r="S96">
        <f t="shared" si="109"/>
        <v>-3.7535431325093703E-2</v>
      </c>
      <c r="T96">
        <f t="shared" si="110"/>
        <v>-4.9920101548119628E-2</v>
      </c>
      <c r="U96">
        <f t="shared" si="111"/>
        <v>5.5298151158519231E-4</v>
      </c>
      <c r="V96">
        <f t="shared" si="112"/>
        <v>4.0479513259933313E-2</v>
      </c>
      <c r="W96">
        <f t="shared" si="113"/>
        <v>-3.8491138116807475E-2</v>
      </c>
      <c r="X96">
        <f t="shared" si="114"/>
        <v>-5.2620118147746642E-2</v>
      </c>
      <c r="Y96">
        <f t="shared" si="115"/>
        <v>-5.6372002168945451E-3</v>
      </c>
      <c r="Z96">
        <f t="shared" si="116"/>
        <v>3.9412616768132812E-2</v>
      </c>
      <c r="AA96">
        <f t="shared" si="117"/>
        <v>-3.8204931012025531E-2</v>
      </c>
      <c r="AB96">
        <f t="shared" si="118"/>
        <v>-5.2198735666797093E-2</v>
      </c>
      <c r="AC96">
        <f t="shared" si="119"/>
        <v>1.7303907926954107E-3</v>
      </c>
      <c r="AD96">
        <f t="shared" si="120"/>
        <v>3.9222787526159854E-2</v>
      </c>
      <c r="AE96">
        <f t="shared" si="121"/>
        <v>-3.7690397731446182E-2</v>
      </c>
      <c r="AF96">
        <f t="shared" si="122"/>
        <v>-5.0636819474454239E-2</v>
      </c>
      <c r="AG96">
        <f t="shared" si="123"/>
        <v>-6.3788753521912159E-4</v>
      </c>
      <c r="AH96">
        <f t="shared" si="124"/>
        <v>4.15268838023072E-2</v>
      </c>
      <c r="AI96">
        <f t="shared" si="125"/>
        <v>-3.9672733713737494E-2</v>
      </c>
      <c r="AJ96">
        <f t="shared" si="126"/>
        <v>-5.6063168090078011E-2</v>
      </c>
      <c r="AK96">
        <f t="shared" si="127"/>
        <v>-5.5997165629309001E-3</v>
      </c>
      <c r="AL96">
        <f t="shared" si="128"/>
        <v>4.0911957798083681E-2</v>
      </c>
      <c r="AM96">
        <f t="shared" si="129"/>
        <v>-3.9315448995373245E-2</v>
      </c>
      <c r="AN96">
        <f t="shared" si="130"/>
        <v>-5.469141896481991E-2</v>
      </c>
      <c r="AO96">
        <f t="shared" si="131"/>
        <v>-4.2861435897089658E-3</v>
      </c>
      <c r="AP96">
        <f t="shared" si="132"/>
        <v>4.0656610818655861E-2</v>
      </c>
      <c r="AQ96">
        <f t="shared" si="133"/>
        <v>-3.9722781458657326E-2</v>
      </c>
      <c r="AR96">
        <f t="shared" si="134"/>
        <v>-5.5703755393985165E-2</v>
      </c>
      <c r="AS96">
        <f t="shared" si="135"/>
        <v>1.6741012224867069E-3</v>
      </c>
      <c r="AT96">
        <f t="shared" si="136"/>
        <v>4.2528223398617629E-2</v>
      </c>
      <c r="AU96">
        <f t="shared" si="137"/>
        <v>-4.0574517477991255E-2</v>
      </c>
      <c r="AV96">
        <f t="shared" si="138"/>
        <v>-5.8121660603386825E-2</v>
      </c>
      <c r="AW96">
        <f t="shared" si="139"/>
        <v>-7.0241418990492667E-3</v>
      </c>
      <c r="AX96">
        <f t="shared" si="140"/>
        <v>4.2131463747394626E-2</v>
      </c>
      <c r="AY96">
        <f t="shared" si="141"/>
        <v>-3.9374594346537006E-2</v>
      </c>
      <c r="AZ96">
        <f t="shared" si="142"/>
        <v>-5.536613318268753E-2</v>
      </c>
      <c r="BA96">
        <f t="shared" si="143"/>
        <v>-1.033207593237046E-2</v>
      </c>
    </row>
    <row r="97" spans="1:53" ht="14.4" x14ac:dyDescent="0.55000000000000004">
      <c r="A97" s="4">
        <v>41969</v>
      </c>
      <c r="B97">
        <v>3.51319096879266E-2</v>
      </c>
      <c r="C97">
        <v>-3.4652877943407601E-2</v>
      </c>
      <c r="D97">
        <v>-3.6732333730841699E-2</v>
      </c>
      <c r="E97">
        <v>-1.5871440849285401E-3</v>
      </c>
      <c r="F97">
        <f t="shared" si="96"/>
        <v>3.5713851844496838E-2</v>
      </c>
      <c r="G97">
        <f t="shared" si="97"/>
        <v>-3.4971709049634966E-2</v>
      </c>
      <c r="H97">
        <f t="shared" si="98"/>
        <v>-3.9476227690799739E-2</v>
      </c>
      <c r="I97">
        <f t="shared" si="99"/>
        <v>8.6300532616024163E-4</v>
      </c>
      <c r="J97">
        <f t="shared" si="100"/>
        <v>3.5811086814977584E-2</v>
      </c>
      <c r="K97">
        <f t="shared" si="101"/>
        <v>-3.5243952972353956E-2</v>
      </c>
      <c r="L97">
        <f t="shared" si="102"/>
        <v>-3.9296880807752003E-2</v>
      </c>
      <c r="M97">
        <f t="shared" si="103"/>
        <v>7.4583887066299939E-3</v>
      </c>
      <c r="N97">
        <f t="shared" si="104"/>
        <v>3.6863940206051937E-2</v>
      </c>
      <c r="O97">
        <f t="shared" si="105"/>
        <v>-3.5395374930411172E-2</v>
      </c>
      <c r="P97">
        <f t="shared" si="106"/>
        <v>-4.1287351670523192E-2</v>
      </c>
      <c r="Q97">
        <f t="shared" si="107"/>
        <v>-1.7349196952389804E-3</v>
      </c>
      <c r="R97">
        <f t="shared" si="108"/>
        <v>3.7108287152800755E-2</v>
      </c>
      <c r="S97">
        <f t="shared" si="109"/>
        <v>-3.5714478078703468E-2</v>
      </c>
      <c r="T97">
        <f t="shared" si="110"/>
        <v>-4.4045655759826684E-2</v>
      </c>
      <c r="U97">
        <f t="shared" si="111"/>
        <v>4.2001167260899671E-3</v>
      </c>
      <c r="V97">
        <f t="shared" si="112"/>
        <v>3.930334241764686E-2</v>
      </c>
      <c r="W97">
        <f t="shared" si="113"/>
        <v>-3.7461321269560019E-2</v>
      </c>
      <c r="X97">
        <f t="shared" si="114"/>
        <v>-4.9885940078402434E-2</v>
      </c>
      <c r="Y97">
        <f t="shared" si="115"/>
        <v>8.6631693997941137E-6</v>
      </c>
      <c r="Z97">
        <f t="shared" si="116"/>
        <v>4.0432687196890631E-2</v>
      </c>
      <c r="AA97">
        <f t="shared" si="117"/>
        <v>-3.8395402956207719E-2</v>
      </c>
      <c r="AB97">
        <f t="shared" si="118"/>
        <v>-5.2314371438495898E-2</v>
      </c>
      <c r="AC97">
        <f t="shared" si="119"/>
        <v>-5.8823372791530423E-3</v>
      </c>
      <c r="AD97">
        <f t="shared" si="120"/>
        <v>3.9489850407233483E-2</v>
      </c>
      <c r="AE97">
        <f t="shared" si="121"/>
        <v>-3.8247689579908387E-2</v>
      </c>
      <c r="AF97">
        <f t="shared" si="122"/>
        <v>-5.2026991621232428E-2</v>
      </c>
      <c r="AG97">
        <f t="shared" si="123"/>
        <v>8.2136968957349744E-4</v>
      </c>
      <c r="AH97">
        <f t="shared" si="124"/>
        <v>3.9301540600273209E-2</v>
      </c>
      <c r="AI97">
        <f t="shared" si="125"/>
        <v>-3.7711446485061681E-2</v>
      </c>
      <c r="AJ97">
        <f t="shared" si="126"/>
        <v>-5.0555838950924373E-2</v>
      </c>
      <c r="AK97">
        <f t="shared" si="127"/>
        <v>-1.3425382835235903E-3</v>
      </c>
      <c r="AL97">
        <f t="shared" si="128"/>
        <v>4.1408467412118011E-2</v>
      </c>
      <c r="AM97">
        <f t="shared" si="129"/>
        <v>-3.9546918420234507E-2</v>
      </c>
      <c r="AN97">
        <f t="shared" si="130"/>
        <v>-5.5488221473108355E-2</v>
      </c>
      <c r="AO97">
        <f t="shared" si="131"/>
        <v>-5.8544352091399561E-3</v>
      </c>
      <c r="AP97">
        <f t="shared" si="132"/>
        <v>4.0835764412430427E-2</v>
      </c>
      <c r="AQ97">
        <f t="shared" si="133"/>
        <v>-3.920539444806171E-2</v>
      </c>
      <c r="AR97">
        <f t="shared" si="134"/>
        <v>-5.4242840101618249E-2</v>
      </c>
      <c r="AS97">
        <f t="shared" si="135"/>
        <v>-4.6445124960517049E-3</v>
      </c>
      <c r="AT97">
        <f t="shared" si="136"/>
        <v>4.058756863801815E-2</v>
      </c>
      <c r="AU97">
        <f t="shared" si="137"/>
        <v>-3.9636614879144404E-2</v>
      </c>
      <c r="AV97">
        <f t="shared" si="138"/>
        <v>-5.5246234349732595E-2</v>
      </c>
      <c r="AW97">
        <f t="shared" si="139"/>
        <v>9.1290099945516524E-4</v>
      </c>
      <c r="AX97">
        <f t="shared" si="140"/>
        <v>4.2281007034240238E-2</v>
      </c>
      <c r="AY97">
        <f t="shared" si="141"/>
        <v>-4.033020074276604E-2</v>
      </c>
      <c r="AZ97">
        <f t="shared" si="142"/>
        <v>-5.735480287295066E-2</v>
      </c>
      <c r="BA97">
        <f t="shared" si="143"/>
        <v>-7.0204399284218219E-3</v>
      </c>
    </row>
    <row r="98" spans="1:53" ht="14.4" x14ac:dyDescent="0.55000000000000004">
      <c r="A98" s="4">
        <v>42004</v>
      </c>
      <c r="B98">
        <v>3.0935128644875E-2</v>
      </c>
      <c r="C98">
        <v>-3.1150011475161801E-2</v>
      </c>
      <c r="D98">
        <v>-2.3915090446657902E-2</v>
      </c>
      <c r="E98">
        <v>1.7886263234882999E-3</v>
      </c>
      <c r="F98">
        <f t="shared" si="96"/>
        <v>3.5304957626241001E-2</v>
      </c>
      <c r="G98">
        <f t="shared" si="97"/>
        <v>-3.4441783861375377E-2</v>
      </c>
      <c r="H98">
        <f t="shared" si="98"/>
        <v>-3.771761322986629E-2</v>
      </c>
      <c r="I98">
        <f t="shared" si="99"/>
        <v>-1.8227814019500259E-3</v>
      </c>
      <c r="J98">
        <f t="shared" si="100"/>
        <v>3.5912299270326381E-2</v>
      </c>
      <c r="K98">
        <f t="shared" si="101"/>
        <v>-3.4879700931603308E-2</v>
      </c>
      <c r="L98">
        <f t="shared" si="102"/>
        <v>-4.0279797575299293E-2</v>
      </c>
      <c r="M98">
        <f t="shared" si="103"/>
        <v>3.1704024699954483E-4</v>
      </c>
      <c r="N98">
        <f t="shared" si="104"/>
        <v>3.582855482501035E-2</v>
      </c>
      <c r="O98">
        <f t="shared" si="105"/>
        <v>-3.4968321639616828E-2</v>
      </c>
      <c r="P98">
        <f t="shared" si="106"/>
        <v>-4.0148967059152212E-2</v>
      </c>
      <c r="Q98">
        <f t="shared" si="107"/>
        <v>6.931187137483215E-3</v>
      </c>
      <c r="R98">
        <f t="shared" si="108"/>
        <v>3.6944085331895277E-2</v>
      </c>
      <c r="S98">
        <f t="shared" si="109"/>
        <v>-3.5229230174394381E-2</v>
      </c>
      <c r="T98">
        <f t="shared" si="110"/>
        <v>-4.1900153500980364E-2</v>
      </c>
      <c r="U98">
        <f t="shared" si="111"/>
        <v>-1.9585904879865401E-3</v>
      </c>
      <c r="V98">
        <f t="shared" si="112"/>
        <v>3.7236987754639801E-2</v>
      </c>
      <c r="W98">
        <f t="shared" si="113"/>
        <v>-3.5696755275981921E-2</v>
      </c>
      <c r="X98">
        <f t="shared" si="114"/>
        <v>-4.4517581851368226E-2</v>
      </c>
      <c r="Y98">
        <f t="shared" si="115"/>
        <v>3.4175960849602734E-3</v>
      </c>
      <c r="Z98">
        <f t="shared" si="116"/>
        <v>3.9308279440572295E-2</v>
      </c>
      <c r="AA98">
        <f t="shared" si="117"/>
        <v>-3.7407061094130035E-2</v>
      </c>
      <c r="AB98">
        <f t="shared" si="118"/>
        <v>-4.9851164543273756E-2</v>
      </c>
      <c r="AC98">
        <f t="shared" si="119"/>
        <v>-5.3809185297552689E-4</v>
      </c>
      <c r="AD98">
        <f t="shared" si="120"/>
        <v>4.0384231064318155E-2</v>
      </c>
      <c r="AE98">
        <f t="shared" si="121"/>
        <v>-3.8293671299908794E-2</v>
      </c>
      <c r="AF98">
        <f t="shared" si="122"/>
        <v>-5.202835919522536E-2</v>
      </c>
      <c r="AG98">
        <f t="shared" si="123"/>
        <v>-6.0958023571867307E-3</v>
      </c>
      <c r="AH98">
        <f t="shared" si="124"/>
        <v>3.954457187675707E-2</v>
      </c>
      <c r="AI98">
        <f t="shared" si="125"/>
        <v>-3.8256079269578094E-2</v>
      </c>
      <c r="AJ98">
        <f t="shared" si="126"/>
        <v>-5.1855094143385259E-2</v>
      </c>
      <c r="AK98">
        <f t="shared" si="127"/>
        <v>1.8629468395514148E-5</v>
      </c>
      <c r="AL98">
        <f t="shared" si="128"/>
        <v>3.936405664375936E-2</v>
      </c>
      <c r="AM98">
        <f t="shared" si="129"/>
        <v>-3.7710517576027294E-2</v>
      </c>
      <c r="AN98">
        <f t="shared" si="130"/>
        <v>-5.0470632610595347E-2</v>
      </c>
      <c r="AO98">
        <f t="shared" si="131"/>
        <v>-1.9692560778012164E-3</v>
      </c>
      <c r="AP98">
        <f t="shared" si="132"/>
        <v>4.1285345478052828E-2</v>
      </c>
      <c r="AQ98">
        <f t="shared" si="133"/>
        <v>-3.9403298663307953E-2</v>
      </c>
      <c r="AR98">
        <f t="shared" si="134"/>
        <v>-5.4953166384193619E-2</v>
      </c>
      <c r="AS98">
        <f t="shared" si="135"/>
        <v>-6.0588994407032087E-3</v>
      </c>
      <c r="AT98">
        <f t="shared" si="136"/>
        <v>4.0755916458678973E-2</v>
      </c>
      <c r="AU98">
        <f t="shared" si="137"/>
        <v>-3.9082313238688007E-2</v>
      </c>
      <c r="AV98">
        <f t="shared" si="138"/>
        <v>-5.3823489823543361E-2</v>
      </c>
      <c r="AW98">
        <f t="shared" si="139"/>
        <v>-4.9543956012379877E-3</v>
      </c>
      <c r="AX98">
        <f t="shared" si="140"/>
        <v>4.051690300548081E-2</v>
      </c>
      <c r="AY98">
        <f t="shared" si="141"/>
        <v>-3.9535502995210157E-2</v>
      </c>
      <c r="AZ98">
        <f t="shared" si="142"/>
        <v>-5.4815278752544744E-2</v>
      </c>
      <c r="BA98">
        <f t="shared" si="143"/>
        <v>2.1850842872948352E-4</v>
      </c>
    </row>
    <row r="99" spans="1:53" ht="14.4" x14ac:dyDescent="0.55000000000000004">
      <c r="A99" s="4">
        <v>42032</v>
      </c>
      <c r="B99">
        <v>2.7136956591740001E-2</v>
      </c>
      <c r="C99">
        <v>-2.69342406687503E-2</v>
      </c>
      <c r="D99">
        <v>-2.5433820572830501E-2</v>
      </c>
      <c r="E99">
        <v>-1.2289858170680601E-3</v>
      </c>
      <c r="F99">
        <f t="shared" si="96"/>
        <v>3.1296084406494971E-2</v>
      </c>
      <c r="G99">
        <f t="shared" si="97"/>
        <v>-3.0896948058883215E-2</v>
      </c>
      <c r="H99">
        <f t="shared" si="98"/>
        <v>-2.59381221257238E-2</v>
      </c>
      <c r="I99">
        <f t="shared" si="99"/>
        <v>1.5403023128781018E-3</v>
      </c>
      <c r="J99">
        <f t="shared" si="100"/>
        <v>3.5547981337638028E-2</v>
      </c>
      <c r="K99">
        <f t="shared" si="101"/>
        <v>-3.4358813731465133E-2</v>
      </c>
      <c r="L99">
        <f t="shared" si="102"/>
        <v>-3.8633609313574901E-2</v>
      </c>
      <c r="M99">
        <f t="shared" si="103"/>
        <v>-2.2313762217185877E-3</v>
      </c>
      <c r="N99">
        <f t="shared" si="104"/>
        <v>3.6151903294386521E-2</v>
      </c>
      <c r="O99">
        <f t="shared" si="105"/>
        <v>-3.486891133377315E-2</v>
      </c>
      <c r="P99">
        <f t="shared" si="106"/>
        <v>-4.1021008259477951E-2</v>
      </c>
      <c r="Q99">
        <f t="shared" si="107"/>
        <v>-3.1715009767444268E-4</v>
      </c>
      <c r="R99">
        <f t="shared" si="108"/>
        <v>3.5953696302260078E-2</v>
      </c>
      <c r="S99">
        <f t="shared" si="109"/>
        <v>-3.4854654778727151E-2</v>
      </c>
      <c r="T99">
        <f t="shared" si="110"/>
        <v>-4.0946567284203657E-2</v>
      </c>
      <c r="U99">
        <f t="shared" si="111"/>
        <v>6.1726599022427203E-3</v>
      </c>
      <c r="V99">
        <f t="shared" si="112"/>
        <v>3.7079290351881927E-2</v>
      </c>
      <c r="W99">
        <f t="shared" si="113"/>
        <v>-3.5156525177596619E-2</v>
      </c>
      <c r="X99">
        <f t="shared" si="114"/>
        <v>-4.2470998489905612E-2</v>
      </c>
      <c r="Y99">
        <f t="shared" si="115"/>
        <v>-2.3096940054804314E-3</v>
      </c>
      <c r="Z99">
        <f t="shared" si="116"/>
        <v>3.7391228297552918E-2</v>
      </c>
      <c r="AA99">
        <f t="shared" si="117"/>
        <v>-3.5723219676524504E-2</v>
      </c>
      <c r="AB99">
        <f t="shared" si="118"/>
        <v>-4.49489589701558E-2</v>
      </c>
      <c r="AC99">
        <f t="shared" si="119"/>
        <v>2.6057488718109045E-3</v>
      </c>
      <c r="AD99">
        <f t="shared" si="120"/>
        <v>3.9323878761755048E-2</v>
      </c>
      <c r="AE99">
        <f t="shared" si="121"/>
        <v>-3.7365117421689506E-2</v>
      </c>
      <c r="AF99">
        <f t="shared" si="122"/>
        <v>-4.9814794954391804E-2</v>
      </c>
      <c r="AG99">
        <f t="shared" si="123"/>
        <v>-1.074354602487307E-3</v>
      </c>
      <c r="AH99">
        <f t="shared" si="124"/>
        <v>4.0336335928271322E-2</v>
      </c>
      <c r="AI99">
        <f t="shared" si="125"/>
        <v>-3.8189481950102355E-2</v>
      </c>
      <c r="AJ99">
        <f t="shared" si="126"/>
        <v>-5.1761222582174894E-2</v>
      </c>
      <c r="AK99">
        <f t="shared" si="127"/>
        <v>-6.2847969709834469E-3</v>
      </c>
      <c r="AL99">
        <f t="shared" si="128"/>
        <v>3.9583874537076916E-2</v>
      </c>
      <c r="AM99">
        <f t="shared" si="129"/>
        <v>-3.8240213433013988E-2</v>
      </c>
      <c r="AN99">
        <f t="shared" si="130"/>
        <v>-5.1685145589201523E-2</v>
      </c>
      <c r="AO99">
        <f t="shared" si="131"/>
        <v>-6.9848419183864521E-4</v>
      </c>
      <c r="AP99">
        <f t="shared" si="132"/>
        <v>3.9414784004517589E-2</v>
      </c>
      <c r="AQ99">
        <f t="shared" si="133"/>
        <v>-3.7693836638045618E-2</v>
      </c>
      <c r="AR99">
        <f t="shared" si="134"/>
        <v>-5.0382960015990755E-2</v>
      </c>
      <c r="AS99">
        <f t="shared" si="135"/>
        <v>-2.5314601837834777E-3</v>
      </c>
      <c r="AT99">
        <f t="shared" si="136"/>
        <v>4.1163101428429646E-2</v>
      </c>
      <c r="AU99">
        <f t="shared" si="137"/>
        <v>-3.9250613627007637E-2</v>
      </c>
      <c r="AV99">
        <f t="shared" si="138"/>
        <v>-5.4456277110243229E-2</v>
      </c>
      <c r="AW99">
        <f t="shared" si="139"/>
        <v>-6.229263568650222E-3</v>
      </c>
      <c r="AX99">
        <f t="shared" si="140"/>
        <v>4.067635164162485E-2</v>
      </c>
      <c r="AY99">
        <f t="shared" si="141"/>
        <v>-3.8952495211686859E-2</v>
      </c>
      <c r="AZ99">
        <f t="shared" si="142"/>
        <v>-5.3432193102363072E-2</v>
      </c>
      <c r="BA99">
        <f t="shared" si="143"/>
        <v>-5.2279599175526605E-3</v>
      </c>
    </row>
    <row r="100" spans="1:53" ht="14.4" x14ac:dyDescent="0.55000000000000004">
      <c r="A100" s="4">
        <v>42060</v>
      </c>
      <c r="B100">
        <v>2.9136960643729899E-2</v>
      </c>
      <c r="C100">
        <v>-2.9218957462828699E-2</v>
      </c>
      <c r="D100">
        <v>-2.5558914199197199E-2</v>
      </c>
      <c r="E100">
        <v>1.99133407178614E-3</v>
      </c>
      <c r="F100">
        <f t="shared" ref="F100:F131" si="144">BD$2+BD$3*$B99+BD$4*$C99+BD$5*$D99+BD$6*$E99</f>
        <v>2.9033461100035598E-2</v>
      </c>
      <c r="G100">
        <f t="shared" ref="G100:G131" si="145">BE$2+BE$3*$B99+BE$4*$C99+BE$5*$D99+BE$6*$E99</f>
        <v>-2.8552929237533848E-2</v>
      </c>
      <c r="H100">
        <f t="shared" ref="H100:H131" si="146">BF$2+BF$3*$B99+BF$4*$C99+BF$5*$D99+BF$6*$E99</f>
        <v>-2.7570745563147675E-2</v>
      </c>
      <c r="I100">
        <f t="shared" ref="I100:I131" si="147">BG$2+BG$3*$B99+BG$4*$C99+BG$5*$D99+BG$6*$E99</f>
        <v>-4.6013216991000958E-3</v>
      </c>
      <c r="J100">
        <f t="shared" si="100"/>
        <v>3.1777090046176341E-2</v>
      </c>
      <c r="K100">
        <f t="shared" si="101"/>
        <v>-3.0867871373936581E-2</v>
      </c>
      <c r="L100">
        <f t="shared" si="102"/>
        <v>-2.781933968276161E-2</v>
      </c>
      <c r="M100">
        <f t="shared" si="103"/>
        <v>9.7081586196069323E-4</v>
      </c>
      <c r="N100">
        <f t="shared" si="104"/>
        <v>3.5827921157626542E-2</v>
      </c>
      <c r="O100">
        <f t="shared" si="105"/>
        <v>-3.4357684829318044E-2</v>
      </c>
      <c r="P100">
        <f t="shared" si="106"/>
        <v>-3.9478942716950238E-2</v>
      </c>
      <c r="Q100">
        <f t="shared" si="107"/>
        <v>-2.7314938788209043E-3</v>
      </c>
      <c r="R100">
        <f t="shared" si="108"/>
        <v>3.6410492649287592E-2</v>
      </c>
      <c r="S100">
        <f t="shared" si="109"/>
        <v>-3.4908129736354376E-2</v>
      </c>
      <c r="T100">
        <f t="shared" si="110"/>
        <v>-4.1700412383348824E-2</v>
      </c>
      <c r="U100">
        <f t="shared" si="111"/>
        <v>-9.8579427134364277E-4</v>
      </c>
      <c r="V100">
        <f t="shared" si="112"/>
        <v>3.6143175151421306E-2</v>
      </c>
      <c r="W100">
        <f t="shared" si="113"/>
        <v>-3.4844512805056294E-2</v>
      </c>
      <c r="X100">
        <f t="shared" si="114"/>
        <v>-4.1684818672558722E-2</v>
      </c>
      <c r="Y100">
        <f t="shared" si="115"/>
        <v>5.2884929113054093E-3</v>
      </c>
      <c r="Z100">
        <f t="shared" si="116"/>
        <v>3.7245241767652357E-2</v>
      </c>
      <c r="AA100">
        <f t="shared" si="117"/>
        <v>-3.5143705182187741E-2</v>
      </c>
      <c r="AB100">
        <f t="shared" si="118"/>
        <v>-4.2998137808800692E-2</v>
      </c>
      <c r="AC100">
        <f t="shared" si="119"/>
        <v>-2.7286689718084528E-3</v>
      </c>
      <c r="AD100">
        <f t="shared" si="120"/>
        <v>3.7557273865407956E-2</v>
      </c>
      <c r="AE100">
        <f t="shared" si="121"/>
        <v>-3.5775131724675321E-2</v>
      </c>
      <c r="AF100">
        <f t="shared" si="122"/>
        <v>-4.5340440704717683E-2</v>
      </c>
      <c r="AG100">
        <f t="shared" si="123"/>
        <v>1.796654409179998E-3</v>
      </c>
      <c r="AH100">
        <f t="shared" si="124"/>
        <v>3.9345981254351806E-2</v>
      </c>
      <c r="AI100">
        <f t="shared" si="125"/>
        <v>-3.7330447416744635E-2</v>
      </c>
      <c r="AJ100">
        <f t="shared" si="126"/>
        <v>-4.9776362310314293E-2</v>
      </c>
      <c r="AK100">
        <f t="shared" si="127"/>
        <v>-1.591914687668895E-3</v>
      </c>
      <c r="AL100">
        <f t="shared" si="128"/>
        <v>4.0290351654800383E-2</v>
      </c>
      <c r="AM100">
        <f t="shared" si="129"/>
        <v>-3.8085201910653482E-2</v>
      </c>
      <c r="AN100">
        <f t="shared" si="130"/>
        <v>-5.1511970915322301E-2</v>
      </c>
      <c r="AO100">
        <f t="shared" si="131"/>
        <v>-6.4543335466049302E-3</v>
      </c>
      <c r="AP100">
        <f t="shared" si="132"/>
        <v>3.9612647746437926E-2</v>
      </c>
      <c r="AQ100">
        <f t="shared" si="133"/>
        <v>-3.8207240871359627E-2</v>
      </c>
      <c r="AR100">
        <f t="shared" si="134"/>
        <v>-5.1518551706824546E-2</v>
      </c>
      <c r="AS100">
        <f t="shared" si="135"/>
        <v>-1.3449801913151581E-3</v>
      </c>
      <c r="AT100">
        <f t="shared" si="136"/>
        <v>3.9456847534607105E-2</v>
      </c>
      <c r="AU100">
        <f t="shared" si="137"/>
        <v>-3.7665853575432805E-2</v>
      </c>
      <c r="AV100">
        <f t="shared" si="138"/>
        <v>-5.0294114738818174E-2</v>
      </c>
      <c r="AW100">
        <f t="shared" si="139"/>
        <v>-3.0391451837748552E-3</v>
      </c>
      <c r="AX100">
        <f t="shared" si="140"/>
        <v>4.1045205923723689E-2</v>
      </c>
      <c r="AY100">
        <f t="shared" si="141"/>
        <v>-3.9094698292037051E-2</v>
      </c>
      <c r="AZ100">
        <f t="shared" si="142"/>
        <v>-5.3995480131266808E-2</v>
      </c>
      <c r="BA100">
        <f t="shared" si="143"/>
        <v>-6.3763075511238769E-3</v>
      </c>
    </row>
    <row r="101" spans="1:53" ht="14.4" x14ac:dyDescent="0.55000000000000004">
      <c r="A101" s="4">
        <v>42088</v>
      </c>
      <c r="B101">
        <v>2.95157237140658E-2</v>
      </c>
      <c r="C101">
        <v>-2.8843834985035701E-2</v>
      </c>
      <c r="D101">
        <v>-2.6362087928784101E-2</v>
      </c>
      <c r="E101">
        <v>-1.6746033610363E-3</v>
      </c>
      <c r="F101">
        <f t="shared" si="144"/>
        <v>3.0271568898388689E-2</v>
      </c>
      <c r="G101">
        <f t="shared" si="145"/>
        <v>-2.993262471904129E-2</v>
      </c>
      <c r="H101">
        <f t="shared" si="146"/>
        <v>-2.7590866798153341E-2</v>
      </c>
      <c r="I101">
        <f t="shared" si="147"/>
        <v>3.2084049500278808E-5</v>
      </c>
      <c r="J101">
        <f t="shared" ref="J101:J132" si="148">BD$2+BD$3*$F100+BD$4*$G100+BD$5*$H100+BD$6*$I100</f>
        <v>3.0551565667358012E-2</v>
      </c>
      <c r="K101">
        <f t="shared" ref="K101:K132" si="149">BE$2+BE$3*$F100+BE$4*$G100+BE$5*$H100+BE$6*$I100</f>
        <v>-2.9754726336432259E-2</v>
      </c>
      <c r="L101">
        <f t="shared" ref="L101:L132" si="150">BF$2+BF$3*$F100+BF$4*$G100+BF$5*$H100+BF$6*$I100</f>
        <v>-2.9446092120452343E-2</v>
      </c>
      <c r="M101">
        <f t="shared" ref="M101:M132" si="151">BG$2+BG$3*$F100+BG$4*$G100+BG$5*$H100+BG$6*$I100</f>
        <v>-7.0826739416395236E-3</v>
      </c>
      <c r="N101">
        <f t="shared" si="104"/>
        <v>3.2319409305411863E-2</v>
      </c>
      <c r="O101">
        <f t="shared" si="105"/>
        <v>-3.0980051873692689E-2</v>
      </c>
      <c r="P101">
        <f t="shared" si="106"/>
        <v>-2.9557574675943932E-2</v>
      </c>
      <c r="Q101">
        <f t="shared" si="107"/>
        <v>2.2646172486637923E-4</v>
      </c>
      <c r="R101">
        <f t="shared" si="108"/>
        <v>3.6122901353911233E-2</v>
      </c>
      <c r="S101">
        <f t="shared" si="109"/>
        <v>-3.4407008895105048E-2</v>
      </c>
      <c r="T101">
        <f t="shared" si="110"/>
        <v>-4.0254870806619644E-2</v>
      </c>
      <c r="U101">
        <f t="shared" si="111"/>
        <v>-3.2694971874852618E-3</v>
      </c>
      <c r="V101">
        <f t="shared" si="112"/>
        <v>3.6673558440110998E-2</v>
      </c>
      <c r="W101">
        <f t="shared" si="113"/>
        <v>-3.4976362013650175E-2</v>
      </c>
      <c r="X101">
        <f t="shared" si="114"/>
        <v>-4.2320237054882005E-2</v>
      </c>
      <c r="Y101">
        <f t="shared" si="115"/>
        <v>-1.6541211238078487E-3</v>
      </c>
      <c r="Z101">
        <f t="shared" si="116"/>
        <v>3.636784031037784E-2</v>
      </c>
      <c r="AA101">
        <f t="shared" si="117"/>
        <v>-3.4898186328273524E-2</v>
      </c>
      <c r="AB101">
        <f t="shared" si="118"/>
        <v>-4.2362481033478262E-2</v>
      </c>
      <c r="AC101">
        <f t="shared" si="119"/>
        <v>4.3490979499720972E-3</v>
      </c>
      <c r="AD101">
        <f t="shared" si="120"/>
        <v>3.7425743511679252E-2</v>
      </c>
      <c r="AE101">
        <f t="shared" si="121"/>
        <v>-3.5167989629953419E-2</v>
      </c>
      <c r="AF101">
        <f t="shared" si="122"/>
        <v>-4.3481801476173559E-2</v>
      </c>
      <c r="AG101">
        <f t="shared" si="123"/>
        <v>-3.1761266337354162E-3</v>
      </c>
      <c r="AH101">
        <f t="shared" si="124"/>
        <v>3.7726125037098254E-2</v>
      </c>
      <c r="AI101">
        <f t="shared" si="125"/>
        <v>-3.5840021277076972E-2</v>
      </c>
      <c r="AJ101">
        <f t="shared" si="126"/>
        <v>-4.5693688227449701E-2</v>
      </c>
      <c r="AK101">
        <f t="shared" si="127"/>
        <v>1.0106908257700405E-3</v>
      </c>
      <c r="AL101">
        <f t="shared" si="128"/>
        <v>3.9371765371308015E-2</v>
      </c>
      <c r="AM101">
        <f t="shared" si="129"/>
        <v>-3.7299722342439168E-2</v>
      </c>
      <c r="AN101">
        <f t="shared" si="130"/>
        <v>-4.9735729847313122E-2</v>
      </c>
      <c r="AO101">
        <f t="shared" si="131"/>
        <v>-2.0857977308042686E-3</v>
      </c>
      <c r="AP101">
        <f t="shared" si="132"/>
        <v>4.0247060350817529E-2</v>
      </c>
      <c r="AQ101">
        <f t="shared" si="133"/>
        <v>-3.7982390686836523E-2</v>
      </c>
      <c r="AR101">
        <f t="shared" si="134"/>
        <v>-5.1279555331033108E-2</v>
      </c>
      <c r="AS101">
        <f t="shared" si="135"/>
        <v>-6.6079215248136137E-3</v>
      </c>
      <c r="AT101">
        <f t="shared" si="136"/>
        <v>3.963425328716981E-2</v>
      </c>
      <c r="AU101">
        <f t="shared" si="137"/>
        <v>-3.816223761814503E-2</v>
      </c>
      <c r="AV101">
        <f t="shared" si="138"/>
        <v>-5.1356234691158263E-2</v>
      </c>
      <c r="AW101">
        <f t="shared" si="139"/>
        <v>-1.931916160579713E-3</v>
      </c>
      <c r="AX101">
        <f t="shared" si="140"/>
        <v>3.9492449533962741E-2</v>
      </c>
      <c r="AY101">
        <f t="shared" si="141"/>
        <v>-3.7629770838444009E-2</v>
      </c>
      <c r="AZ101">
        <f t="shared" si="142"/>
        <v>-5.0205055379231686E-2</v>
      </c>
      <c r="BA101">
        <f t="shared" si="143"/>
        <v>-3.4998871060901919E-3</v>
      </c>
    </row>
    <row r="102" spans="1:53" ht="14.4" x14ac:dyDescent="0.55000000000000004">
      <c r="A102" s="4">
        <v>42123</v>
      </c>
      <c r="B102">
        <v>3.4890065237090401E-2</v>
      </c>
      <c r="C102">
        <v>-3.3897593127872203E-2</v>
      </c>
      <c r="D102">
        <v>-3.4470318375772899E-2</v>
      </c>
      <c r="E102">
        <v>-8.9967694817712999E-3</v>
      </c>
      <c r="F102">
        <f t="shared" si="144"/>
        <v>3.0730056077522869E-2</v>
      </c>
      <c r="G102">
        <f t="shared" si="145"/>
        <v>-2.9695156767281072E-2</v>
      </c>
      <c r="H102">
        <f t="shared" si="146"/>
        <v>-2.8302290825485993E-2</v>
      </c>
      <c r="I102">
        <f t="shared" si="147"/>
        <v>-3.6224552769908358E-3</v>
      </c>
      <c r="J102">
        <f t="shared" si="148"/>
        <v>3.1270808080266013E-2</v>
      </c>
      <c r="K102">
        <f t="shared" si="149"/>
        <v>-3.0538633973464447E-2</v>
      </c>
      <c r="L102">
        <f t="shared" si="150"/>
        <v>-2.9422552434774384E-2</v>
      </c>
      <c r="M102">
        <f t="shared" si="151"/>
        <v>-1.6191298838463474E-3</v>
      </c>
      <c r="N102">
        <f t="shared" ref="N102:N133" si="152">BD$2+BD$3*$J101+BD$4*$K101+BD$5*$L101+BD$6*$M101</f>
        <v>3.1786974839621361E-2</v>
      </c>
      <c r="O102">
        <f t="shared" ref="O102:O133" si="153">BE$2+BE$3*$J101+BE$4*$K101+BE$5*$L101+BE$6*$M101</f>
        <v>-3.0658438696100722E-2</v>
      </c>
      <c r="P102">
        <f t="shared" ref="P102:P133" si="154">BF$2+BF$3*$J101+BF$4*$K101+BF$5*$L101+BF$6*$M101</f>
        <v>-3.110403251215876E-2</v>
      </c>
      <c r="Q102">
        <f t="shared" ref="Q102:Q133" si="155">BG$2+BG$3*$J101+BG$4*$K101+BG$5*$L101+BG$6*$M101</f>
        <v>-8.9115232050160625E-3</v>
      </c>
      <c r="R102">
        <f t="shared" si="108"/>
        <v>3.2884311556702676E-2</v>
      </c>
      <c r="S102">
        <f t="shared" si="109"/>
        <v>-3.1177456559808782E-2</v>
      </c>
      <c r="T102">
        <f t="shared" si="110"/>
        <v>-3.1156279077568797E-2</v>
      </c>
      <c r="U102">
        <f t="shared" si="111"/>
        <v>-5.9627764848050636E-4</v>
      </c>
      <c r="V102">
        <f t="shared" si="112"/>
        <v>3.641871890473284E-2</v>
      </c>
      <c r="W102">
        <f t="shared" si="113"/>
        <v>-3.4485672786307431E-2</v>
      </c>
      <c r="X102">
        <f t="shared" si="114"/>
        <v>-4.0964266895334993E-2</v>
      </c>
      <c r="Y102">
        <f t="shared" si="115"/>
        <v>-3.8107883767963032E-3</v>
      </c>
      <c r="Z102">
        <f t="shared" si="116"/>
        <v>3.6931834944211289E-2</v>
      </c>
      <c r="AA102">
        <f t="shared" si="117"/>
        <v>-3.5059646368181312E-2</v>
      </c>
      <c r="AB102">
        <f t="shared" si="118"/>
        <v>-4.2883692737588908E-2</v>
      </c>
      <c r="AC102">
        <f t="shared" si="119"/>
        <v>-2.3003275457816452E-3</v>
      </c>
      <c r="AD102">
        <f t="shared" si="120"/>
        <v>3.6608313381268812E-2</v>
      </c>
      <c r="AE102">
        <f t="shared" si="121"/>
        <v>-3.4988903033616875E-2</v>
      </c>
      <c r="AF102">
        <f t="shared" si="122"/>
        <v>-4.2980626088324043E-2</v>
      </c>
      <c r="AG102">
        <f t="shared" si="123"/>
        <v>3.4006252990645969E-3</v>
      </c>
      <c r="AH102">
        <f t="shared" si="124"/>
        <v>3.7610177808450912E-2</v>
      </c>
      <c r="AI102">
        <f t="shared" si="125"/>
        <v>-3.5214034428577151E-2</v>
      </c>
      <c r="AJ102">
        <f t="shared" si="126"/>
        <v>-4.3923453801091632E-2</v>
      </c>
      <c r="AK102">
        <f t="shared" si="127"/>
        <v>-3.626516300767795E-3</v>
      </c>
      <c r="AL102">
        <f t="shared" si="128"/>
        <v>3.7892024144976597E-2</v>
      </c>
      <c r="AM102">
        <f t="shared" si="129"/>
        <v>-3.5909724423830253E-2</v>
      </c>
      <c r="AN102">
        <f t="shared" si="130"/>
        <v>-4.601094529728627E-2</v>
      </c>
      <c r="AO102">
        <f t="shared" si="131"/>
        <v>2.6025981579044246E-4</v>
      </c>
      <c r="AP102">
        <f t="shared" si="132"/>
        <v>3.9399333945428265E-2</v>
      </c>
      <c r="AQ102">
        <f t="shared" si="133"/>
        <v>-3.7270788960215795E-2</v>
      </c>
      <c r="AR102">
        <f t="shared" si="134"/>
        <v>-4.9692970854133996E-2</v>
      </c>
      <c r="AS102">
        <f t="shared" si="135"/>
        <v>-2.5532367765869926E-3</v>
      </c>
      <c r="AT102">
        <f t="shared" si="136"/>
        <v>4.0206864866046056E-2</v>
      </c>
      <c r="AU102">
        <f t="shared" si="137"/>
        <v>-3.7882052846145972E-2</v>
      </c>
      <c r="AV102">
        <f t="shared" si="138"/>
        <v>-5.1062916901582996E-2</v>
      </c>
      <c r="AW102">
        <f t="shared" si="139"/>
        <v>-6.7480413091490377E-3</v>
      </c>
      <c r="AX102">
        <f t="shared" si="140"/>
        <v>3.965099528118881E-2</v>
      </c>
      <c r="AY102">
        <f t="shared" si="141"/>
        <v>-3.8108827900301054E-2</v>
      </c>
      <c r="AZ102">
        <f t="shared" si="142"/>
        <v>-5.1198781236209974E-2</v>
      </c>
      <c r="BA102">
        <f t="shared" si="143"/>
        <v>-2.467576794860143E-3</v>
      </c>
    </row>
    <row r="103" spans="1:53" ht="14.4" x14ac:dyDescent="0.55000000000000004">
      <c r="A103" s="4">
        <v>42151</v>
      </c>
      <c r="B103">
        <v>3.7607141428789202E-2</v>
      </c>
      <c r="C103">
        <v>-3.68260021720202E-2</v>
      </c>
      <c r="D103">
        <v>-3.4615616396813702E-2</v>
      </c>
      <c r="E103">
        <v>-1.3315043783138599E-2</v>
      </c>
      <c r="F103">
        <f t="shared" si="144"/>
        <v>3.5127117180159019E-2</v>
      </c>
      <c r="G103">
        <f t="shared" si="145"/>
        <v>-3.3702669300788357E-2</v>
      </c>
      <c r="H103">
        <f t="shared" si="146"/>
        <v>-3.555859150840792E-2</v>
      </c>
      <c r="I103">
        <f t="shared" si="147"/>
        <v>-8.8440839959548559E-3</v>
      </c>
      <c r="J103">
        <f t="shared" si="148"/>
        <v>3.1767459026471372E-2</v>
      </c>
      <c r="K103">
        <f t="shared" si="149"/>
        <v>-3.0383330352698017E-2</v>
      </c>
      <c r="L103">
        <f t="shared" si="150"/>
        <v>-3.0042863486303507E-2</v>
      </c>
      <c r="M103">
        <f t="shared" si="151"/>
        <v>-5.1722056269836881E-3</v>
      </c>
      <c r="N103">
        <f t="shared" si="152"/>
        <v>3.2155525706693437E-2</v>
      </c>
      <c r="O103">
        <f t="shared" si="153"/>
        <v>-3.1058407043139665E-2</v>
      </c>
      <c r="P103">
        <f t="shared" si="154"/>
        <v>-3.1075929943429476E-2</v>
      </c>
      <c r="Q103">
        <f t="shared" si="155"/>
        <v>-3.0146492242307905E-3</v>
      </c>
      <c r="R103">
        <f t="shared" ref="R103:R134" si="156">BD$2+BD$3*$N102+BD$4*$O102+BD$5*$P102+BD$6*$Q102</f>
        <v>3.2808131632423701E-2</v>
      </c>
      <c r="S103">
        <f t="shared" ref="S103:S134" si="157">BE$2+BE$3*$N102+BE$4*$O102+BE$5*$P102+BE$6*$Q102</f>
        <v>-3.1347698214341572E-2</v>
      </c>
      <c r="T103">
        <f t="shared" ref="T103:T134" si="158">BF$2+BF$3*$N102+BF$4*$O102+BF$5*$P102+BF$6*$Q102</f>
        <v>-3.2578740170339661E-2</v>
      </c>
      <c r="U103">
        <f t="shared" ref="U103:U134" si="159">BG$2+BG$3*$N102+BG$4*$O102+BG$5*$P102+BG$6*$Q102</f>
        <v>-1.0258078327300647E-2</v>
      </c>
      <c r="V103">
        <f t="shared" si="112"/>
        <v>3.3446778673197244E-2</v>
      </c>
      <c r="W103">
        <f t="shared" si="113"/>
        <v>-3.1422464930967238E-2</v>
      </c>
      <c r="X103">
        <f t="shared" si="114"/>
        <v>-3.2621704420454589E-2</v>
      </c>
      <c r="Y103">
        <f t="shared" si="115"/>
        <v>-1.4350314455724988E-3</v>
      </c>
      <c r="Z103">
        <f t="shared" si="116"/>
        <v>3.6706411386560993E-2</v>
      </c>
      <c r="AA103">
        <f t="shared" si="117"/>
        <v>-3.4579634103427848E-2</v>
      </c>
      <c r="AB103">
        <f t="shared" si="118"/>
        <v>-4.1610931556680719E-2</v>
      </c>
      <c r="AC103">
        <f t="shared" si="119"/>
        <v>-4.3337455805542054E-3</v>
      </c>
      <c r="AD103">
        <f t="shared" si="120"/>
        <v>3.7179625148857226E-2</v>
      </c>
      <c r="AE103">
        <f t="shared" si="121"/>
        <v>-3.5148845965058136E-2</v>
      </c>
      <c r="AF103">
        <f t="shared" si="122"/>
        <v>-4.3394510146403616E-2</v>
      </c>
      <c r="AG103">
        <f t="shared" si="123"/>
        <v>-2.9114057766458472E-3</v>
      </c>
      <c r="AH103">
        <f t="shared" si="124"/>
        <v>3.6851928546141111E-2</v>
      </c>
      <c r="AI103">
        <f t="shared" si="125"/>
        <v>-3.5098806846535262E-2</v>
      </c>
      <c r="AJ103">
        <f t="shared" si="126"/>
        <v>-4.3541745650605972E-2</v>
      </c>
      <c r="AK103">
        <f t="shared" si="127"/>
        <v>2.4725989067238652E-3</v>
      </c>
      <c r="AL103">
        <f t="shared" si="128"/>
        <v>3.7791745530256431E-2</v>
      </c>
      <c r="AM103">
        <f t="shared" si="129"/>
        <v>-3.5271616112358524E-2</v>
      </c>
      <c r="AN103">
        <f t="shared" si="130"/>
        <v>-4.4325289295091372E-2</v>
      </c>
      <c r="AO103">
        <f t="shared" si="131"/>
        <v>-4.0637374448650315E-3</v>
      </c>
      <c r="AP103">
        <f t="shared" si="132"/>
        <v>3.8051421238443829E-2</v>
      </c>
      <c r="AQ103">
        <f t="shared" si="133"/>
        <v>-3.5979023043980235E-2</v>
      </c>
      <c r="AR103">
        <f t="shared" si="134"/>
        <v>-4.6294753930333873E-2</v>
      </c>
      <c r="AS103">
        <f t="shared" si="135"/>
        <v>-4.4763663164174754E-4</v>
      </c>
      <c r="AT103">
        <f t="shared" si="136"/>
        <v>3.9427427327677053E-2</v>
      </c>
      <c r="AU103">
        <f t="shared" si="137"/>
        <v>-3.7242296250456483E-2</v>
      </c>
      <c r="AV103">
        <f t="shared" si="138"/>
        <v>-4.9648285644243791E-2</v>
      </c>
      <c r="AW103">
        <f t="shared" si="139"/>
        <v>-2.9929592923966671E-3</v>
      </c>
      <c r="AX103">
        <f t="shared" si="140"/>
        <v>4.0169918378793981E-2</v>
      </c>
      <c r="AY103">
        <f t="shared" si="141"/>
        <v>-3.7784812957247949E-2</v>
      </c>
      <c r="AZ103">
        <f t="shared" si="142"/>
        <v>-5.0861017282703577E-2</v>
      </c>
      <c r="BA103">
        <f t="shared" si="143"/>
        <v>-6.876471042413396E-3</v>
      </c>
    </row>
    <row r="104" spans="1:53" ht="14.4" x14ac:dyDescent="0.55000000000000004">
      <c r="A104" s="4">
        <v>42179</v>
      </c>
      <c r="B104">
        <v>4.1707266620288203E-2</v>
      </c>
      <c r="C104">
        <v>-4.0689616030669701E-2</v>
      </c>
      <c r="D104">
        <v>-3.8608476843055302E-2</v>
      </c>
      <c r="E104">
        <v>-1.5998800897480799E-2</v>
      </c>
      <c r="F104">
        <f t="shared" si="144"/>
        <v>3.6975004210095537E-2</v>
      </c>
      <c r="G104">
        <f t="shared" si="145"/>
        <v>-3.5547851650534465E-2</v>
      </c>
      <c r="H104">
        <f t="shared" si="146"/>
        <v>-3.5505240225281523E-2</v>
      </c>
      <c r="I104">
        <f t="shared" si="147"/>
        <v>-1.1103520088063848E-2</v>
      </c>
      <c r="J104">
        <f t="shared" si="148"/>
        <v>3.5419284709410644E-2</v>
      </c>
      <c r="K104">
        <f t="shared" si="149"/>
        <v>-3.3626358647766037E-2</v>
      </c>
      <c r="L104">
        <f t="shared" si="150"/>
        <v>-3.6570442199090808E-2</v>
      </c>
      <c r="M104">
        <f t="shared" si="151"/>
        <v>-8.8586858634987619E-3</v>
      </c>
      <c r="N104">
        <f t="shared" si="152"/>
        <v>3.2662989885222808E-2</v>
      </c>
      <c r="O104">
        <f t="shared" si="153"/>
        <v>-3.0948441208837052E-2</v>
      </c>
      <c r="P104">
        <f t="shared" si="154"/>
        <v>-3.160884168487809E-2</v>
      </c>
      <c r="Q104">
        <f t="shared" si="155"/>
        <v>-6.4109188533142888E-3</v>
      </c>
      <c r="R104">
        <f t="shared" si="156"/>
        <v>3.2942173244619892E-2</v>
      </c>
      <c r="S104">
        <f t="shared" si="157"/>
        <v>-3.1508097609104391E-2</v>
      </c>
      <c r="T104">
        <f t="shared" si="158"/>
        <v>-3.2570055690877196E-2</v>
      </c>
      <c r="U104">
        <f t="shared" si="159"/>
        <v>-4.1956581696658626E-3</v>
      </c>
      <c r="V104">
        <f t="shared" ref="V104:V135" si="160">BD$2+BD$3*$R103+BD$4*$S103+BD$5*$T103+BD$6*$U103</f>
        <v>3.366433893139166E-2</v>
      </c>
      <c r="W104">
        <f t="shared" ref="W104:W135" si="161">BE$2+BE$3*$R103+BE$4*$S103+BE$5*$T103+BE$6*$U103</f>
        <v>-3.1881554107657369E-2</v>
      </c>
      <c r="X104">
        <f t="shared" ref="X104:X135" si="162">BF$2+BF$3*$R103+BF$4*$S103+BF$5*$T103+BF$6*$U103</f>
        <v>-3.3897090833192554E-2</v>
      </c>
      <c r="Y104">
        <f t="shared" ref="Y104:Y135" si="163">BG$2+BG$3*$R103+BG$4*$S103+BG$5*$T103+BG$6*$U103</f>
        <v>-1.1244588326553406E-2</v>
      </c>
      <c r="Z104">
        <f t="shared" si="116"/>
        <v>3.3991147149751835E-2</v>
      </c>
      <c r="AA104">
        <f t="shared" si="117"/>
        <v>-3.1690122913157773E-2</v>
      </c>
      <c r="AB104">
        <f t="shared" si="118"/>
        <v>-3.396167552004848E-2</v>
      </c>
      <c r="AC104">
        <f t="shared" si="119"/>
        <v>-2.250672236170937E-3</v>
      </c>
      <c r="AD104">
        <f t="shared" si="120"/>
        <v>3.6980574463190405E-2</v>
      </c>
      <c r="AE104">
        <f t="shared" si="121"/>
        <v>-3.4679700138055262E-2</v>
      </c>
      <c r="AF104">
        <f t="shared" si="122"/>
        <v>-4.2199132806066852E-2</v>
      </c>
      <c r="AG104">
        <f t="shared" si="123"/>
        <v>-4.8255308500790677E-3</v>
      </c>
      <c r="AH104">
        <f t="shared" si="124"/>
        <v>3.7413643502935051E-2</v>
      </c>
      <c r="AI104">
        <f t="shared" si="125"/>
        <v>-3.523812019445146E-2</v>
      </c>
      <c r="AJ104">
        <f t="shared" si="126"/>
        <v>-4.3856634041883349E-2</v>
      </c>
      <c r="AK104">
        <f t="shared" si="127"/>
        <v>-3.4802619674160107E-3</v>
      </c>
      <c r="AL104">
        <f t="shared" si="128"/>
        <v>3.709061219778706E-2</v>
      </c>
      <c r="AM104">
        <f t="shared" si="129"/>
        <v>-3.5216168992142124E-2</v>
      </c>
      <c r="AN104">
        <f t="shared" si="130"/>
        <v>-4.4049149279329992E-2</v>
      </c>
      <c r="AO104">
        <f t="shared" si="131"/>
        <v>1.5832046773880211E-3</v>
      </c>
      <c r="AP104">
        <f t="shared" si="132"/>
        <v>3.7966248108425756E-2</v>
      </c>
      <c r="AQ104">
        <f t="shared" si="133"/>
        <v>-3.533402621761788E-2</v>
      </c>
      <c r="AR104">
        <f t="shared" si="134"/>
        <v>-4.4689894514631935E-2</v>
      </c>
      <c r="AS104">
        <f t="shared" si="135"/>
        <v>-4.4781040309992207E-3</v>
      </c>
      <c r="AT104">
        <f t="shared" si="136"/>
        <v>3.8202259320951247E-2</v>
      </c>
      <c r="AU104">
        <f t="shared" si="137"/>
        <v>-3.6044703126855322E-2</v>
      </c>
      <c r="AV104">
        <f t="shared" si="138"/>
        <v>-4.6547766848337502E-2</v>
      </c>
      <c r="AW104">
        <f t="shared" si="139"/>
        <v>-1.109616748801875E-3</v>
      </c>
      <c r="AX104">
        <f t="shared" si="140"/>
        <v>3.945522434776564E-2</v>
      </c>
      <c r="AY104">
        <f t="shared" si="141"/>
        <v>-3.7213437020632699E-2</v>
      </c>
      <c r="AZ104">
        <f t="shared" si="142"/>
        <v>-4.9601945594418356E-2</v>
      </c>
      <c r="BA104">
        <f t="shared" si="143"/>
        <v>-3.4046935334313311E-3</v>
      </c>
    </row>
    <row r="105" spans="1:53" ht="14.4" x14ac:dyDescent="0.55000000000000004">
      <c r="A105" s="4">
        <v>42214</v>
      </c>
      <c r="B105">
        <v>3.9351550978430301E-2</v>
      </c>
      <c r="C105">
        <v>-3.8103315805559097E-2</v>
      </c>
      <c r="D105">
        <v>-3.4623558496139802E-2</v>
      </c>
      <c r="E105">
        <v>-1.55349725966354E-2</v>
      </c>
      <c r="F105">
        <f t="shared" si="144"/>
        <v>4.0085457596518825E-2</v>
      </c>
      <c r="G105">
        <f t="shared" si="145"/>
        <v>-3.8301040910598411E-2</v>
      </c>
      <c r="H105">
        <f t="shared" si="146"/>
        <v>-3.8999549350368805E-2</v>
      </c>
      <c r="I105">
        <f t="shared" si="147"/>
        <v>-1.1733780607600807E-2</v>
      </c>
      <c r="J105">
        <f t="shared" si="148"/>
        <v>3.6665680722955951E-2</v>
      </c>
      <c r="K105">
        <f t="shared" si="149"/>
        <v>-3.4735137150300827E-2</v>
      </c>
      <c r="L105">
        <f t="shared" si="150"/>
        <v>-3.6396366146060954E-2</v>
      </c>
      <c r="M105">
        <f t="shared" si="151"/>
        <v>-9.7247742457943417E-3</v>
      </c>
      <c r="N105">
        <f t="shared" si="152"/>
        <v>3.5737357996268496E-2</v>
      </c>
      <c r="O105">
        <f t="shared" si="153"/>
        <v>-3.3626502018252236E-2</v>
      </c>
      <c r="P105">
        <f t="shared" si="154"/>
        <v>-3.7505808964479026E-2</v>
      </c>
      <c r="Q105">
        <f t="shared" si="155"/>
        <v>-8.9673095133707987E-3</v>
      </c>
      <c r="R105">
        <f t="shared" si="156"/>
        <v>3.3442840656281191E-2</v>
      </c>
      <c r="S105">
        <f t="shared" si="157"/>
        <v>-3.1419445897850326E-2</v>
      </c>
      <c r="T105">
        <f t="shared" si="158"/>
        <v>-3.3021083515100393E-2</v>
      </c>
      <c r="U105">
        <f t="shared" si="159"/>
        <v>-7.4033744084714042E-3</v>
      </c>
      <c r="V105">
        <f t="shared" si="160"/>
        <v>3.3643958851334983E-2</v>
      </c>
      <c r="W105">
        <f t="shared" si="161"/>
        <v>-3.1900059446999807E-2</v>
      </c>
      <c r="X105">
        <f t="shared" si="162"/>
        <v>-3.392159590751806E-2</v>
      </c>
      <c r="Y105">
        <f t="shared" si="163"/>
        <v>-5.1950849159602712E-3</v>
      </c>
      <c r="Z105">
        <f t="shared" ref="Z105:Z136" si="164">BD$2+BD$3*$V104+BD$4*$W104+BD$5*$X104+BD$6*$Y104</f>
        <v>3.4391425146351629E-2</v>
      </c>
      <c r="AA105">
        <f t="shared" ref="AA105:AA136" si="165">BE$2+BE$3*$V104+BE$4*$W104+BE$5*$X104+BE$6*$Y104</f>
        <v>-3.2301852977386511E-2</v>
      </c>
      <c r="AB105">
        <f t="shared" ref="AB105:AB136" si="166">BF$2+BF$3*$V104+BF$4*$W104+BF$5*$X104+BF$6*$Y104</f>
        <v>-3.5080575356481396E-2</v>
      </c>
      <c r="AC105">
        <f t="shared" ref="AC105:AC136" si="167">BG$2+BG$3*$V104+BG$4*$W104+BG$5*$X104+BG$6*$Y104</f>
        <v>-1.1959517517796205E-2</v>
      </c>
      <c r="AD105">
        <f t="shared" si="120"/>
        <v>3.450809443088932E-2</v>
      </c>
      <c r="AE105">
        <f t="shared" si="121"/>
        <v>-3.1964160479959772E-2</v>
      </c>
      <c r="AF105">
        <f t="shared" si="122"/>
        <v>-3.5184773861567487E-2</v>
      </c>
      <c r="AG105">
        <f t="shared" si="123"/>
        <v>-3.0198038512249132E-3</v>
      </c>
      <c r="AH105">
        <f t="shared" si="124"/>
        <v>3.7238199883465363E-2</v>
      </c>
      <c r="AI105">
        <f t="shared" si="125"/>
        <v>-3.4779989997031698E-2</v>
      </c>
      <c r="AJ105">
        <f t="shared" si="126"/>
        <v>-4.2733303611655879E-2</v>
      </c>
      <c r="AK105">
        <f t="shared" si="127"/>
        <v>-5.2791974906036699E-3</v>
      </c>
      <c r="AL105">
        <f t="shared" si="128"/>
        <v>3.7632217706267658E-2</v>
      </c>
      <c r="AM105">
        <f t="shared" si="129"/>
        <v>-3.5323867309761753E-2</v>
      </c>
      <c r="AN105">
        <f t="shared" si="130"/>
        <v>-4.4274024624593608E-2</v>
      </c>
      <c r="AO105">
        <f t="shared" si="131"/>
        <v>-4.0037309272552227E-3</v>
      </c>
      <c r="AP105">
        <f t="shared" si="132"/>
        <v>3.7319415410696749E-2</v>
      </c>
      <c r="AQ105">
        <f t="shared" si="133"/>
        <v>-3.533345516481682E-2</v>
      </c>
      <c r="AR105">
        <f t="shared" si="134"/>
        <v>-4.4506561571141266E-2</v>
      </c>
      <c r="AS105">
        <f t="shared" si="135"/>
        <v>7.4294846038132313E-4</v>
      </c>
      <c r="AT105">
        <f t="shared" si="136"/>
        <v>3.813124556349469E-2</v>
      </c>
      <c r="AU105">
        <f t="shared" si="137"/>
        <v>-3.5396959141443272E-2</v>
      </c>
      <c r="AV105">
        <f t="shared" si="138"/>
        <v>-4.5020024116928202E-2</v>
      </c>
      <c r="AW105">
        <f t="shared" si="139"/>
        <v>-4.8642478589911347E-3</v>
      </c>
      <c r="AX105">
        <f t="shared" si="140"/>
        <v>3.8343481230046529E-2</v>
      </c>
      <c r="AY105">
        <f t="shared" si="141"/>
        <v>-3.6104903944766543E-2</v>
      </c>
      <c r="AZ105">
        <f t="shared" si="142"/>
        <v>-4.67726262776028E-2</v>
      </c>
      <c r="BA105">
        <f t="shared" si="143"/>
        <v>-1.7246928845361536E-3</v>
      </c>
    </row>
    <row r="106" spans="1:53" ht="14.4" x14ac:dyDescent="0.55000000000000004">
      <c r="A106" s="4">
        <v>42242</v>
      </c>
      <c r="B106">
        <v>3.8090255021907098E-2</v>
      </c>
      <c r="C106">
        <v>-3.5728104321810103E-2</v>
      </c>
      <c r="D106">
        <v>-3.70244066765094E-2</v>
      </c>
      <c r="E106">
        <v>-1.30388715065185E-2</v>
      </c>
      <c r="F106">
        <f t="shared" si="144"/>
        <v>3.820506975977047E-2</v>
      </c>
      <c r="G106">
        <f t="shared" si="145"/>
        <v>-3.6227807737164865E-2</v>
      </c>
      <c r="H106">
        <f t="shared" si="146"/>
        <v>-3.5397267145520744E-2</v>
      </c>
      <c r="I106">
        <f t="shared" si="147"/>
        <v>-1.2111420072616898E-2</v>
      </c>
      <c r="J106">
        <f t="shared" si="148"/>
        <v>3.9059920950981541E-2</v>
      </c>
      <c r="K106">
        <f t="shared" si="149"/>
        <v>-3.6719202405357157E-2</v>
      </c>
      <c r="L106">
        <f t="shared" si="150"/>
        <v>-3.949472103324031E-2</v>
      </c>
      <c r="M106">
        <f t="shared" si="151"/>
        <v>-8.9666485716801934E-3</v>
      </c>
      <c r="N106">
        <f t="shared" si="152"/>
        <v>3.656820010394473E-2</v>
      </c>
      <c r="O106">
        <f t="shared" si="153"/>
        <v>-3.4238836171637123E-2</v>
      </c>
      <c r="P106">
        <f t="shared" si="154"/>
        <v>-3.7263653987782724E-2</v>
      </c>
      <c r="Q106">
        <f t="shared" si="155"/>
        <v>-8.9012296447108803E-3</v>
      </c>
      <c r="R106">
        <f t="shared" si="156"/>
        <v>3.6062215543612781E-2</v>
      </c>
      <c r="S106">
        <f t="shared" si="157"/>
        <v>-3.3674470067750227E-2</v>
      </c>
      <c r="T106">
        <f t="shared" si="158"/>
        <v>-3.8366904940037007E-2</v>
      </c>
      <c r="U106">
        <f t="shared" si="159"/>
        <v>-9.1217914111231049E-3</v>
      </c>
      <c r="V106">
        <f t="shared" si="160"/>
        <v>3.412686485307323E-2</v>
      </c>
      <c r="W106">
        <f t="shared" si="161"/>
        <v>-3.1817440947261903E-2</v>
      </c>
      <c r="X106">
        <f t="shared" si="162"/>
        <v>-3.4297202645689591E-2</v>
      </c>
      <c r="Y106">
        <f t="shared" si="163"/>
        <v>-8.1983992220616038E-3</v>
      </c>
      <c r="Z106">
        <f t="shared" si="164"/>
        <v>3.4271666766359669E-2</v>
      </c>
      <c r="AA106">
        <f t="shared" si="165"/>
        <v>-3.2243881755639796E-2</v>
      </c>
      <c r="AB106">
        <f t="shared" si="166"/>
        <v>-3.514521940586101E-2</v>
      </c>
      <c r="AC106">
        <f t="shared" si="167"/>
        <v>-6.0396681955013163E-3</v>
      </c>
      <c r="AD106">
        <f t="shared" ref="AD106:AD137" si="168">BD$2+BD$3*$Z105+BD$4*$AA105+BD$5*$AB105+BD$6*$AC105</f>
        <v>3.5015700209257976E-2</v>
      </c>
      <c r="AE106">
        <f t="shared" ref="AE106:AE137" si="169">BE$2+BE$3*$Z105+BE$4*$AA105+BE$5*$AB105+BE$6*$AC105</f>
        <v>-3.2638383433139705E-2</v>
      </c>
      <c r="AF106">
        <f t="shared" ref="AF106:AF137" si="170">BF$2+BF$3*$Z105+BF$4*$AA105+BF$5*$AB105+BF$6*$AC105</f>
        <v>-3.6146660867300499E-2</v>
      </c>
      <c r="AG106">
        <f t="shared" ref="AG106:AG137" si="171">BG$2+BG$3*$Z105+BG$4*$AA105+BG$5*$AB105+BG$6*$AC105</f>
        <v>-1.2467447691416061E-2</v>
      </c>
      <c r="AH106">
        <f t="shared" si="124"/>
        <v>3.4992558528347928E-2</v>
      </c>
      <c r="AI106">
        <f t="shared" si="125"/>
        <v>-3.2234234569543815E-2</v>
      </c>
      <c r="AJ106">
        <f t="shared" si="126"/>
        <v>-3.6299802413791361E-2</v>
      </c>
      <c r="AK106">
        <f t="shared" si="127"/>
        <v>-3.7295790660447194E-3</v>
      </c>
      <c r="AL106">
        <f t="shared" si="128"/>
        <v>3.7477874728219208E-2</v>
      </c>
      <c r="AM106">
        <f t="shared" si="129"/>
        <v>-3.4876871214263402E-2</v>
      </c>
      <c r="AN106">
        <f t="shared" si="130"/>
        <v>-4.3217847157246629E-2</v>
      </c>
      <c r="AO106">
        <f t="shared" si="131"/>
        <v>-5.6916989608053765E-3</v>
      </c>
      <c r="AP106">
        <f t="shared" si="132"/>
        <v>3.7834739586389228E-2</v>
      </c>
      <c r="AQ106">
        <f t="shared" si="133"/>
        <v>-3.5403994350861959E-2</v>
      </c>
      <c r="AR106">
        <f t="shared" si="134"/>
        <v>-4.4650532387055603E-2</v>
      </c>
      <c r="AS106">
        <f t="shared" si="135"/>
        <v>-4.4812124477239023E-3</v>
      </c>
      <c r="AT106">
        <f t="shared" si="136"/>
        <v>3.7535499793849368E-2</v>
      </c>
      <c r="AU106">
        <f t="shared" si="137"/>
        <v>-3.5445987503762551E-2</v>
      </c>
      <c r="AV106">
        <f t="shared" si="138"/>
        <v>-4.4917856768984903E-2</v>
      </c>
      <c r="AW106">
        <f t="shared" si="139"/>
        <v>-4.2818045290388324E-5</v>
      </c>
      <c r="AX106">
        <f t="shared" si="140"/>
        <v>3.8285475640163283E-2</v>
      </c>
      <c r="AY106">
        <f t="shared" si="141"/>
        <v>-3.5457742787182306E-2</v>
      </c>
      <c r="AZ106">
        <f t="shared" si="142"/>
        <v>-4.5318455272476431E-2</v>
      </c>
      <c r="BA106">
        <f t="shared" si="143"/>
        <v>-5.219673649755464E-3</v>
      </c>
    </row>
    <row r="107" spans="1:53" ht="14.4" x14ac:dyDescent="0.55000000000000004">
      <c r="A107" s="4">
        <v>42277</v>
      </c>
      <c r="B107">
        <v>4.2331403798457699E-2</v>
      </c>
      <c r="C107">
        <v>-4.0271944452216497E-2</v>
      </c>
      <c r="D107">
        <v>-3.9710233718323898E-2</v>
      </c>
      <c r="E107">
        <v>-3.0127515050222601E-2</v>
      </c>
      <c r="F107">
        <f t="shared" si="144"/>
        <v>3.7658480879278249E-2</v>
      </c>
      <c r="G107">
        <f t="shared" si="145"/>
        <v>-3.4850701933979635E-2</v>
      </c>
      <c r="H107">
        <f t="shared" si="146"/>
        <v>-3.774979043119548E-2</v>
      </c>
      <c r="I107">
        <f t="shared" si="147"/>
        <v>-1.1349661952377039E-2</v>
      </c>
      <c r="J107">
        <f t="shared" si="148"/>
        <v>3.7535666619272337E-2</v>
      </c>
      <c r="K107">
        <f t="shared" si="149"/>
        <v>-3.501485447507767E-2</v>
      </c>
      <c r="L107">
        <f t="shared" si="150"/>
        <v>-3.6218248004470543E-2</v>
      </c>
      <c r="M107">
        <f t="shared" si="151"/>
        <v>-9.9061060724206854E-3</v>
      </c>
      <c r="N107">
        <f t="shared" si="152"/>
        <v>3.8439244785405322E-2</v>
      </c>
      <c r="O107">
        <f t="shared" si="153"/>
        <v>-3.5691072494015173E-2</v>
      </c>
      <c r="P107">
        <f t="shared" si="154"/>
        <v>-4.0041603888328003E-2</v>
      </c>
      <c r="Q107">
        <f t="shared" si="155"/>
        <v>-7.2192640278874246E-3</v>
      </c>
      <c r="R107">
        <f t="shared" si="156"/>
        <v>3.6606597359724977E-2</v>
      </c>
      <c r="S107">
        <f t="shared" si="157"/>
        <v>-3.3956077115718006E-2</v>
      </c>
      <c r="T107">
        <f t="shared" si="158"/>
        <v>-3.8091859253490165E-2</v>
      </c>
      <c r="U107">
        <f t="shared" si="159"/>
        <v>-8.442676835680148E-3</v>
      </c>
      <c r="V107">
        <f t="shared" si="160"/>
        <v>3.6381638757357976E-2</v>
      </c>
      <c r="W107">
        <f t="shared" si="161"/>
        <v>-3.3750965751843165E-2</v>
      </c>
      <c r="X107">
        <f t="shared" si="162"/>
        <v>-3.9157302803210656E-2</v>
      </c>
      <c r="Y107">
        <f t="shared" si="163"/>
        <v>-9.2911269013270202E-3</v>
      </c>
      <c r="Z107">
        <f t="shared" si="164"/>
        <v>3.4730351355363863E-2</v>
      </c>
      <c r="AA107">
        <f t="shared" si="165"/>
        <v>-3.2157949163238921E-2</v>
      </c>
      <c r="AB107">
        <f t="shared" si="166"/>
        <v>-3.5452250750743708E-2</v>
      </c>
      <c r="AC107">
        <f t="shared" si="167"/>
        <v>-8.8333171961148191E-3</v>
      </c>
      <c r="AD107">
        <f t="shared" si="168"/>
        <v>3.4834243177191422E-2</v>
      </c>
      <c r="AE107">
        <f t="shared" si="169"/>
        <v>-3.2547121969277795E-2</v>
      </c>
      <c r="AF107">
        <f t="shared" si="170"/>
        <v>-3.625390356820811E-2</v>
      </c>
      <c r="AG107">
        <f t="shared" si="171"/>
        <v>-6.7514385902637929E-3</v>
      </c>
      <c r="AH107">
        <f t="shared" ref="AH107:AH138" si="172">BD$2+BD$3*$AD106+BD$4*$AE106+BD$5*$AF106+BD$6*$AG106</f>
        <v>3.5556720997494136E-2</v>
      </c>
      <c r="AI107">
        <f t="shared" ref="AI107:AI138" si="173">BE$2+BE$3*$AD106+BE$4*$AE106+BE$5*$AF106+BE$6*$AG106</f>
        <v>-3.2912464692533845E-2</v>
      </c>
      <c r="AJ107">
        <f t="shared" ref="AJ107:AJ138" si="174">BF$2+BF$3*$AD106+BF$4*$AE106+BF$5*$AF106+BF$6*$AG106</f>
        <v>-3.7109765198619818E-2</v>
      </c>
      <c r="AK107">
        <f t="shared" ref="AK107:AK138" si="175">BG$2+BG$3*$AD106+BG$4*$AE106+BG$5*$AF106+BG$6*$AG106</f>
        <v>-1.2816004212749397E-2</v>
      </c>
      <c r="AL107">
        <f t="shared" si="128"/>
        <v>3.5442305278707918E-2</v>
      </c>
      <c r="AM107">
        <f t="shared" si="129"/>
        <v>-3.2494022965385227E-2</v>
      </c>
      <c r="AN107">
        <f t="shared" si="130"/>
        <v>-3.7315443012853916E-2</v>
      </c>
      <c r="AO107">
        <f t="shared" si="131"/>
        <v>-4.3741336668766326E-3</v>
      </c>
      <c r="AP107">
        <f t="shared" si="132"/>
        <v>3.7699231210566196E-2</v>
      </c>
      <c r="AQ107">
        <f t="shared" si="133"/>
        <v>-3.4968225766596868E-2</v>
      </c>
      <c r="AR107">
        <f t="shared" si="134"/>
        <v>-4.3657015534913905E-2</v>
      </c>
      <c r="AS107">
        <f t="shared" si="135"/>
        <v>-6.0625228820233822E-3</v>
      </c>
      <c r="AT107">
        <f t="shared" si="136"/>
        <v>3.8021288649205398E-2</v>
      </c>
      <c r="AU107">
        <f t="shared" si="137"/>
        <v>-3.5477414187151772E-2</v>
      </c>
      <c r="AV107">
        <f t="shared" si="138"/>
        <v>-4.4989822807910099E-2</v>
      </c>
      <c r="AW107">
        <f t="shared" si="139"/>
        <v>-4.913738370029592E-3</v>
      </c>
      <c r="AX107">
        <f t="shared" si="140"/>
        <v>3.773743806133982E-2</v>
      </c>
      <c r="AY107">
        <f t="shared" si="141"/>
        <v>-3.5551019688997536E-2</v>
      </c>
      <c r="AZ107">
        <f t="shared" si="142"/>
        <v>-4.528688748547384E-2</v>
      </c>
      <c r="BA107">
        <f t="shared" si="143"/>
        <v>-7.721571158697811E-4</v>
      </c>
    </row>
    <row r="108" spans="1:53" ht="14.4" x14ac:dyDescent="0.55000000000000004">
      <c r="A108" s="4">
        <v>42305</v>
      </c>
      <c r="B108">
        <v>4.0515695674873099E-2</v>
      </c>
      <c r="C108">
        <v>-3.78409962038301E-2</v>
      </c>
      <c r="D108">
        <v>-3.6250859177556397E-2</v>
      </c>
      <c r="E108">
        <v>-2.50319310756024E-2</v>
      </c>
      <c r="F108">
        <f t="shared" si="144"/>
        <v>4.0941123885480962E-2</v>
      </c>
      <c r="G108">
        <f t="shared" si="145"/>
        <v>-3.8151615187389805E-2</v>
      </c>
      <c r="H108">
        <f t="shared" si="146"/>
        <v>-3.9908265730309214E-2</v>
      </c>
      <c r="I108">
        <f t="shared" si="147"/>
        <v>-2.5596795080438606E-2</v>
      </c>
      <c r="J108">
        <f t="shared" si="148"/>
        <v>3.7454918481001291E-2</v>
      </c>
      <c r="K108">
        <f t="shared" si="149"/>
        <v>-3.4304286408745062E-2</v>
      </c>
      <c r="L108">
        <f t="shared" si="150"/>
        <v>-3.8470334772074358E-2</v>
      </c>
      <c r="M108">
        <f t="shared" si="151"/>
        <v>-1.0260725220921403E-2</v>
      </c>
      <c r="N108">
        <f t="shared" si="152"/>
        <v>3.7185641438025663E-2</v>
      </c>
      <c r="O108">
        <f t="shared" si="153"/>
        <v>-3.4254513475400643E-2</v>
      </c>
      <c r="P108">
        <f t="shared" si="154"/>
        <v>-3.7046541154982363E-2</v>
      </c>
      <c r="Q108">
        <f t="shared" si="155"/>
        <v>-8.5244190361751567E-3</v>
      </c>
      <c r="R108">
        <f t="shared" si="156"/>
        <v>3.8091240216816452E-2</v>
      </c>
      <c r="S108">
        <f t="shared" si="157"/>
        <v>-3.5041386302086745E-2</v>
      </c>
      <c r="T108">
        <f t="shared" si="158"/>
        <v>-4.0605723153540489E-2</v>
      </c>
      <c r="U108">
        <f t="shared" si="159"/>
        <v>-6.1613795622633798E-3</v>
      </c>
      <c r="V108">
        <f t="shared" si="160"/>
        <v>3.6729138973719613E-2</v>
      </c>
      <c r="W108">
        <f t="shared" si="161"/>
        <v>-3.3816004404108736E-2</v>
      </c>
      <c r="X108">
        <f t="shared" si="162"/>
        <v>-3.8872527207470808E-2</v>
      </c>
      <c r="Y108">
        <f t="shared" si="163"/>
        <v>-8.219370914948218E-3</v>
      </c>
      <c r="Z108">
        <f t="shared" si="164"/>
        <v>3.6688107182734693E-2</v>
      </c>
      <c r="AA108">
        <f t="shared" si="165"/>
        <v>-3.3843113189490528E-2</v>
      </c>
      <c r="AB108">
        <f t="shared" si="166"/>
        <v>-3.9881320251628383E-2</v>
      </c>
      <c r="AC108">
        <f t="shared" si="167"/>
        <v>-9.455975390229375E-3</v>
      </c>
      <c r="AD108">
        <f t="shared" si="168"/>
        <v>3.5265272993581218E-2</v>
      </c>
      <c r="AE108">
        <f t="shared" si="169"/>
        <v>-3.2452521247955224E-2</v>
      </c>
      <c r="AF108">
        <f t="shared" si="170"/>
        <v>-3.64992222303165E-2</v>
      </c>
      <c r="AG108">
        <f t="shared" si="171"/>
        <v>-9.3370847164042578E-3</v>
      </c>
      <c r="AH108">
        <f t="shared" si="172"/>
        <v>3.5339218147361323E-2</v>
      </c>
      <c r="AI108">
        <f t="shared" si="173"/>
        <v>-3.2815826879904669E-2</v>
      </c>
      <c r="AJ108">
        <f t="shared" si="174"/>
        <v>-3.7259176815094955E-2</v>
      </c>
      <c r="AK108">
        <f t="shared" si="175"/>
        <v>-7.3487886106609777E-3</v>
      </c>
      <c r="AL108">
        <f t="shared" ref="AL108:AL139" si="176">BD$2+BD$3*$AH107+BD$4*$AI107+BD$5*$AJ107+BD$6*$AK107</f>
        <v>3.6029227358176305E-2</v>
      </c>
      <c r="AM108">
        <f t="shared" ref="AM108:AM139" si="177">BE$2+BE$3*$AH107+BE$4*$AI107+BE$5*$AJ107+BE$6*$AK107</f>
        <v>-3.3139451834744704E-2</v>
      </c>
      <c r="AN108">
        <f t="shared" ref="AN108:AN139" si="178">BF$2+BF$3*$AH107+BF$4*$AI107+BF$5*$AJ107+BF$6*$AK107</f>
        <v>-3.7981959618561399E-2</v>
      </c>
      <c r="AO108">
        <f t="shared" ref="AO108:AO139" si="179">BG$2+BG$3*$AH107+BG$4*$AI107+BG$5*$AJ107+BG$6*$AK107</f>
        <v>-1.3040708435872574E-2</v>
      </c>
      <c r="AP108">
        <f t="shared" si="132"/>
        <v>3.5856944704462934E-2</v>
      </c>
      <c r="AQ108">
        <f t="shared" si="133"/>
        <v>-3.2739908903719264E-2</v>
      </c>
      <c r="AR108">
        <f t="shared" si="134"/>
        <v>-3.8240044818362191E-2</v>
      </c>
      <c r="AS108">
        <f t="shared" si="135"/>
        <v>-4.9521410782699948E-3</v>
      </c>
      <c r="AT108">
        <f t="shared" si="136"/>
        <v>3.7902570104140512E-2</v>
      </c>
      <c r="AU108">
        <f t="shared" si="137"/>
        <v>-3.5052944643122363E-2</v>
      </c>
      <c r="AV108">
        <f t="shared" si="138"/>
        <v>-4.4054838140722169E-2</v>
      </c>
      <c r="AW108">
        <f t="shared" si="139"/>
        <v>-6.3927580577197484E-3</v>
      </c>
      <c r="AX108">
        <f t="shared" si="140"/>
        <v>3.8192375210007998E-2</v>
      </c>
      <c r="AY108">
        <f t="shared" si="141"/>
        <v>-3.5543700061517941E-2</v>
      </c>
      <c r="AZ108">
        <f t="shared" si="142"/>
        <v>-4.5295334582458664E-2</v>
      </c>
      <c r="BA108">
        <f t="shared" si="143"/>
        <v>-5.3033378107899725E-3</v>
      </c>
    </row>
    <row r="109" spans="1:53" ht="14.4" x14ac:dyDescent="0.55000000000000004">
      <c r="A109" s="4">
        <v>42333</v>
      </c>
      <c r="B109">
        <v>4.1994439409345802E-2</v>
      </c>
      <c r="C109">
        <v>-3.7997148673300403E-2</v>
      </c>
      <c r="D109">
        <v>-3.2948497608467103E-2</v>
      </c>
      <c r="E109">
        <v>-2.62070799526853E-2</v>
      </c>
      <c r="F109">
        <f t="shared" si="144"/>
        <v>3.9419778345142459E-2</v>
      </c>
      <c r="G109">
        <f t="shared" si="145"/>
        <v>-3.6089218588244966E-2</v>
      </c>
      <c r="H109">
        <f t="shared" si="146"/>
        <v>-3.6800966918690337E-2</v>
      </c>
      <c r="I109">
        <f t="shared" si="147"/>
        <v>-2.1238146406612639E-2</v>
      </c>
      <c r="J109">
        <f t="shared" si="148"/>
        <v>4.0042117866261016E-2</v>
      </c>
      <c r="K109">
        <f t="shared" si="149"/>
        <v>-3.6708204723807737E-2</v>
      </c>
      <c r="L109">
        <f t="shared" si="150"/>
        <v>-4.0209995784029375E-2</v>
      </c>
      <c r="M109">
        <f t="shared" si="151"/>
        <v>-2.2349734183713457E-2</v>
      </c>
      <c r="N109">
        <f t="shared" si="152"/>
        <v>3.7400601086150592E-2</v>
      </c>
      <c r="O109">
        <f t="shared" si="153"/>
        <v>-3.398255303784653E-2</v>
      </c>
      <c r="P109">
        <f t="shared" si="154"/>
        <v>-3.9168394219666704E-2</v>
      </c>
      <c r="Q109">
        <f t="shared" si="155"/>
        <v>-9.5738623577565993E-3</v>
      </c>
      <c r="R109">
        <f t="shared" si="156"/>
        <v>3.7046505749531784E-2</v>
      </c>
      <c r="S109">
        <f t="shared" si="157"/>
        <v>-3.3801582274258904E-2</v>
      </c>
      <c r="T109">
        <f t="shared" si="158"/>
        <v>-3.7856763765557862E-2</v>
      </c>
      <c r="U109">
        <f t="shared" si="159"/>
        <v>-7.6946359217675512E-3</v>
      </c>
      <c r="V109">
        <f t="shared" si="160"/>
        <v>3.7924819842291839E-2</v>
      </c>
      <c r="W109">
        <f t="shared" si="161"/>
        <v>-3.4648893858013161E-2</v>
      </c>
      <c r="X109">
        <f t="shared" si="162"/>
        <v>-4.1164875091558778E-2</v>
      </c>
      <c r="Y109">
        <f t="shared" si="163"/>
        <v>-5.5653797174768354E-3</v>
      </c>
      <c r="Z109">
        <f t="shared" si="164"/>
        <v>3.6900840012769998E-2</v>
      </c>
      <c r="AA109">
        <f t="shared" si="165"/>
        <v>-3.3769955907724664E-2</v>
      </c>
      <c r="AB109">
        <f t="shared" si="166"/>
        <v>-3.9601716191078773E-2</v>
      </c>
      <c r="AC109">
        <f t="shared" si="167"/>
        <v>-8.143349915376831E-3</v>
      </c>
      <c r="AD109">
        <f t="shared" si="168"/>
        <v>3.6977274800304924E-2</v>
      </c>
      <c r="AE109">
        <f t="shared" si="169"/>
        <v>-3.3942440382006056E-2</v>
      </c>
      <c r="AF109">
        <f t="shared" si="170"/>
        <v>-4.0543612381152727E-2</v>
      </c>
      <c r="AG109">
        <f t="shared" si="171"/>
        <v>-9.6048655662540842E-3</v>
      </c>
      <c r="AH109">
        <f t="shared" si="172"/>
        <v>3.5741168386134142E-2</v>
      </c>
      <c r="AI109">
        <f t="shared" si="173"/>
        <v>-3.2709860021300621E-2</v>
      </c>
      <c r="AJ109">
        <f t="shared" si="174"/>
        <v>-3.7449432389088134E-2</v>
      </c>
      <c r="AK109">
        <f t="shared" si="175"/>
        <v>-9.7325083351112555E-3</v>
      </c>
      <c r="AL109">
        <f t="shared" si="176"/>
        <v>3.5793012151325743E-2</v>
      </c>
      <c r="AM109">
        <f t="shared" si="177"/>
        <v>-3.3054905367716221E-2</v>
      </c>
      <c r="AN109">
        <f t="shared" si="178"/>
        <v>-3.8171314007222228E-2</v>
      </c>
      <c r="AO109">
        <f t="shared" si="179"/>
        <v>-7.8472529509288069E-3</v>
      </c>
      <c r="AP109">
        <f t="shared" ref="AP109:AP140" si="180">BD$2+BD$3*$AL108+BD$4*$AM108+BD$5*$AN108+BD$6*$AO108</f>
        <v>3.6444500067355196E-2</v>
      </c>
      <c r="AQ109">
        <f t="shared" ref="AQ109:AQ140" si="181">BE$2+BE$3*$AL108+BE$4*$AM108+BE$5*$AN108+BE$6*$AO108</f>
        <v>-3.3330486578451293E-2</v>
      </c>
      <c r="AR109">
        <f t="shared" ref="AR109:AR140" si="182">BF$2+BF$3*$AL108+BF$4*$AM108+BF$5*$AN108+BF$6*$AO108</f>
        <v>-3.8773480115959887E-2</v>
      </c>
      <c r="AS109">
        <f t="shared" ref="AS109:AS140" si="183">BG$2+BG$3*$AL108+BG$4*$AM108+BG$5*$AN108+BG$6*$AO108</f>
        <v>-1.3168384424490375E-2</v>
      </c>
      <c r="AT109">
        <f t="shared" si="136"/>
        <v>3.6237258518230252E-2</v>
      </c>
      <c r="AU109">
        <f t="shared" si="137"/>
        <v>-3.2970075516330972E-2</v>
      </c>
      <c r="AV109">
        <f t="shared" si="138"/>
        <v>-3.9081501344029435E-2</v>
      </c>
      <c r="AW109">
        <f t="shared" si="139"/>
        <v>-5.4651430389839242E-3</v>
      </c>
      <c r="AX109">
        <f t="shared" si="140"/>
        <v>3.8088604355934343E-2</v>
      </c>
      <c r="AY109">
        <f t="shared" si="141"/>
        <v>-3.5130580877003791E-2</v>
      </c>
      <c r="AZ109">
        <f t="shared" si="142"/>
        <v>-4.4415083402456257E-2</v>
      </c>
      <c r="BA109">
        <f t="shared" si="143"/>
        <v>-6.6844610575486586E-3</v>
      </c>
    </row>
    <row r="110" spans="1:53" ht="14.4" x14ac:dyDescent="0.55000000000000004">
      <c r="A110" s="4">
        <v>42368</v>
      </c>
      <c r="B110">
        <v>4.1165722500309698E-2</v>
      </c>
      <c r="C110">
        <v>-3.6537015521682599E-2</v>
      </c>
      <c r="D110">
        <v>-2.8799778872131299E-2</v>
      </c>
      <c r="E110">
        <v>-2.25106364912438E-2</v>
      </c>
      <c r="F110">
        <f t="shared" si="144"/>
        <v>4.025233580108805E-2</v>
      </c>
      <c r="G110">
        <f t="shared" si="145"/>
        <v>-3.5497368643545302E-2</v>
      </c>
      <c r="H110">
        <f t="shared" si="146"/>
        <v>-3.3608470199632735E-2</v>
      </c>
      <c r="I110">
        <f t="shared" si="147"/>
        <v>-2.0819348633949443E-2</v>
      </c>
      <c r="J110">
        <f t="shared" si="148"/>
        <v>3.8750065977992437E-2</v>
      </c>
      <c r="K110">
        <f t="shared" si="149"/>
        <v>-3.4932441163941987E-2</v>
      </c>
      <c r="L110">
        <f t="shared" si="150"/>
        <v>-3.7410971538857266E-2</v>
      </c>
      <c r="M110">
        <f t="shared" si="151"/>
        <v>-1.8567188164627185E-2</v>
      </c>
      <c r="N110">
        <f t="shared" si="152"/>
        <v>3.9477881333995442E-2</v>
      </c>
      <c r="O110">
        <f t="shared" si="153"/>
        <v>-3.5733767991435295E-2</v>
      </c>
      <c r="P110">
        <f t="shared" si="154"/>
        <v>-4.0570793265409265E-2</v>
      </c>
      <c r="Q110">
        <f t="shared" si="155"/>
        <v>-1.9993151465573011E-2</v>
      </c>
      <c r="R110">
        <f t="shared" si="156"/>
        <v>3.7441520694063583E-2</v>
      </c>
      <c r="S110">
        <f t="shared" si="157"/>
        <v>-3.3812127158786592E-2</v>
      </c>
      <c r="T110">
        <f t="shared" si="158"/>
        <v>-3.9833489840362384E-2</v>
      </c>
      <c r="U110">
        <f t="shared" si="159"/>
        <v>-9.1531982682464107E-3</v>
      </c>
      <c r="V110">
        <f t="shared" si="160"/>
        <v>3.7043885030788544E-2</v>
      </c>
      <c r="W110">
        <f t="shared" si="161"/>
        <v>-3.3555802933169031E-2</v>
      </c>
      <c r="X110">
        <f t="shared" si="162"/>
        <v>-3.8633439661017059E-2</v>
      </c>
      <c r="Y110">
        <f t="shared" si="163"/>
        <v>-7.2302169945165787E-3</v>
      </c>
      <c r="Z110">
        <f t="shared" si="164"/>
        <v>3.7877402196361161E-2</v>
      </c>
      <c r="AA110">
        <f t="shared" si="165"/>
        <v>-3.4429849528984952E-2</v>
      </c>
      <c r="AB110">
        <f t="shared" si="166"/>
        <v>-4.1705220749140549E-2</v>
      </c>
      <c r="AC110">
        <f t="shared" si="167"/>
        <v>-5.2748229582137186E-3</v>
      </c>
      <c r="AD110">
        <f t="shared" si="168"/>
        <v>3.7098269529661609E-2</v>
      </c>
      <c r="AE110">
        <f t="shared" si="169"/>
        <v>-3.3784638847936227E-2</v>
      </c>
      <c r="AF110">
        <f t="shared" si="170"/>
        <v>-4.0278434594649679E-2</v>
      </c>
      <c r="AG110">
        <f t="shared" si="171"/>
        <v>-8.1554682892347689E-3</v>
      </c>
      <c r="AH110">
        <f t="shared" si="172"/>
        <v>3.7246919093950816E-2</v>
      </c>
      <c r="AI110">
        <f t="shared" si="173"/>
        <v>-3.4043482866531055E-2</v>
      </c>
      <c r="AJ110">
        <f t="shared" si="174"/>
        <v>-4.114890603142763E-2</v>
      </c>
      <c r="AK110">
        <f t="shared" si="175"/>
        <v>-9.7315804589230403E-3</v>
      </c>
      <c r="AL110">
        <f t="shared" si="176"/>
        <v>3.6165767421446927E-2</v>
      </c>
      <c r="AM110">
        <f t="shared" si="177"/>
        <v>-3.2936611546502306E-2</v>
      </c>
      <c r="AN110">
        <f t="shared" si="178"/>
        <v>-3.8312804946812794E-2</v>
      </c>
      <c r="AO110">
        <f t="shared" si="179"/>
        <v>-1.0037820531753679E-2</v>
      </c>
      <c r="AP110">
        <f t="shared" si="180"/>
        <v>3.6201161110356213E-2</v>
      </c>
      <c r="AQ110">
        <f t="shared" si="181"/>
        <v>-3.3268396879058811E-2</v>
      </c>
      <c r="AR110">
        <f t="shared" si="182"/>
        <v>-3.8999496503085609E-2</v>
      </c>
      <c r="AS110">
        <f t="shared" si="183"/>
        <v>-8.2600837231178344E-3</v>
      </c>
      <c r="AT110">
        <f t="shared" ref="AT110:AT141" si="184">BD$2+BD$3*$AP109+BD$4*$AQ109+BD$5*$AR109+BD$6*$AS109</f>
        <v>3.6811315647744189E-2</v>
      </c>
      <c r="AU110">
        <f t="shared" ref="AU110:AU141" si="185">BE$2+BE$3*$AP109+BE$4*$AQ109+BE$5*$AR109+BE$6*$AS109</f>
        <v>-3.3493722421885419E-2</v>
      </c>
      <c r="AV110">
        <f t="shared" ref="AV110:AV141" si="186">BF$2+BF$3*$AP109+BF$4*$AQ109+BF$5*$AR109+BF$6*$AS109</f>
        <v>-3.9493103306758794E-2</v>
      </c>
      <c r="AW110">
        <f t="shared" ref="AW110:AW141" si="187">BG$2+BG$3*$AP109+BG$4*$AQ109+BG$5*$AR109+BG$6*$AS109</f>
        <v>-1.3219557086185987E-2</v>
      </c>
      <c r="AX110">
        <f t="shared" si="140"/>
        <v>3.6584742930381484E-2</v>
      </c>
      <c r="AY110">
        <f t="shared" si="141"/>
        <v>-3.3183884393902165E-2</v>
      </c>
      <c r="AZ110">
        <f t="shared" si="142"/>
        <v>-3.984718675360957E-2</v>
      </c>
      <c r="BA110">
        <f t="shared" si="143"/>
        <v>-5.9164170225990817E-3</v>
      </c>
    </row>
    <row r="111" spans="1:53" ht="14.4" x14ac:dyDescent="0.55000000000000004">
      <c r="A111" s="4">
        <v>42396</v>
      </c>
      <c r="B111">
        <v>4.1322568845402301E-2</v>
      </c>
      <c r="C111">
        <v>-3.5448487374218803E-2</v>
      </c>
      <c r="D111">
        <v>-3.6798147170796901E-2</v>
      </c>
      <c r="E111">
        <v>-3.1782542275979403E-2</v>
      </c>
      <c r="F111">
        <f t="shared" si="144"/>
        <v>3.9343339471628151E-2</v>
      </c>
      <c r="G111">
        <f t="shared" si="145"/>
        <v>-3.3935854899502328E-2</v>
      </c>
      <c r="H111">
        <f t="shared" si="146"/>
        <v>-2.9785887340821191E-2</v>
      </c>
      <c r="I111">
        <f t="shared" si="147"/>
        <v>-1.6962486393501595E-2</v>
      </c>
      <c r="J111">
        <f t="shared" si="148"/>
        <v>3.9151257917320964E-2</v>
      </c>
      <c r="K111">
        <f t="shared" si="149"/>
        <v>-3.3870512888244671E-2</v>
      </c>
      <c r="L111">
        <f t="shared" si="150"/>
        <v>-3.4370935319474917E-2</v>
      </c>
      <c r="M111">
        <f t="shared" si="151"/>
        <v>-1.709849017056761E-2</v>
      </c>
      <c r="N111">
        <f t="shared" si="152"/>
        <v>3.8367514633824609E-2</v>
      </c>
      <c r="O111">
        <f t="shared" si="153"/>
        <v>-3.4185162947027233E-2</v>
      </c>
      <c r="P111">
        <f t="shared" si="154"/>
        <v>-3.8043865538292955E-2</v>
      </c>
      <c r="Q111">
        <f t="shared" si="155"/>
        <v>-1.6669319194804546E-2</v>
      </c>
      <c r="R111">
        <f t="shared" si="156"/>
        <v>3.9140242588460036E-2</v>
      </c>
      <c r="S111">
        <f t="shared" si="157"/>
        <v>-3.5083893161499825E-2</v>
      </c>
      <c r="T111">
        <f t="shared" si="158"/>
        <v>-4.0960802000963498E-2</v>
      </c>
      <c r="U111">
        <f t="shared" si="159"/>
        <v>-1.825462658635325E-2</v>
      </c>
      <c r="V111">
        <f t="shared" si="160"/>
        <v>3.7540941294320083E-2</v>
      </c>
      <c r="W111">
        <f t="shared" si="161"/>
        <v>-3.3742477859052024E-2</v>
      </c>
      <c r="X111">
        <f t="shared" si="162"/>
        <v>-4.0459953738879804E-2</v>
      </c>
      <c r="Y111">
        <f t="shared" si="163"/>
        <v>-8.9059876671083917E-3</v>
      </c>
      <c r="Z111">
        <f t="shared" si="164"/>
        <v>3.712702864182918E-2</v>
      </c>
      <c r="AA111">
        <f t="shared" si="165"/>
        <v>-3.3448102198016458E-2</v>
      </c>
      <c r="AB111">
        <f t="shared" si="166"/>
        <v>-3.9367773394677258E-2</v>
      </c>
      <c r="AC111">
        <f t="shared" si="167"/>
        <v>-7.0036095848524105E-3</v>
      </c>
      <c r="AD111">
        <f t="shared" si="168"/>
        <v>3.7906158898921544E-2</v>
      </c>
      <c r="AE111">
        <f t="shared" si="169"/>
        <v>-3.4326534800220493E-2</v>
      </c>
      <c r="AF111">
        <f t="shared" si="170"/>
        <v>-4.2218585404074957E-2</v>
      </c>
      <c r="AG111">
        <f t="shared" si="171"/>
        <v>-5.1825821338379752E-3</v>
      </c>
      <c r="AH111">
        <f t="shared" si="172"/>
        <v>3.7305946600365875E-2</v>
      </c>
      <c r="AI111">
        <f t="shared" si="173"/>
        <v>-3.383739044020153E-2</v>
      </c>
      <c r="AJ111">
        <f t="shared" si="174"/>
        <v>-4.0903572207409693E-2</v>
      </c>
      <c r="AK111">
        <f t="shared" si="175"/>
        <v>-8.2164028094839064E-3</v>
      </c>
      <c r="AL111">
        <f t="shared" si="176"/>
        <v>3.7496218107905634E-2</v>
      </c>
      <c r="AM111">
        <f t="shared" si="177"/>
        <v>-3.4142818554981857E-2</v>
      </c>
      <c r="AN111">
        <f t="shared" si="178"/>
        <v>-4.1701831124241306E-2</v>
      </c>
      <c r="AO111">
        <f t="shared" si="179"/>
        <v>-9.8333607645510659E-3</v>
      </c>
      <c r="AP111">
        <f t="shared" si="180"/>
        <v>3.6545437286202645E-2</v>
      </c>
      <c r="AQ111">
        <f t="shared" si="181"/>
        <v>-3.3137923629035358E-2</v>
      </c>
      <c r="AR111">
        <f t="shared" si="182"/>
        <v>-3.9098094089136184E-2</v>
      </c>
      <c r="AS111">
        <f t="shared" si="183"/>
        <v>-1.0267805788227261E-2</v>
      </c>
      <c r="AT111">
        <f t="shared" si="184"/>
        <v>3.6568483621463935E-2</v>
      </c>
      <c r="AU111">
        <f t="shared" si="185"/>
        <v>-3.34596664546448E-2</v>
      </c>
      <c r="AV111">
        <f t="shared" si="186"/>
        <v>-3.975194527753486E-2</v>
      </c>
      <c r="AW111">
        <f t="shared" si="187"/>
        <v>-8.5986799758651471E-3</v>
      </c>
      <c r="AX111">
        <f t="shared" ref="AX111:AX142" si="188">BD$2+BD$3*$AT110+BD$4*$AU110+BD$5*$AV110+BD$6*$AW110</f>
        <v>3.7136619812113587E-2</v>
      </c>
      <c r="AY111">
        <f t="shared" ref="AY111:AY142" si="189">BE$2+BE$3*$AT110+BE$4*$AU110+BE$5*$AV110+BE$6*$AW110</f>
        <v>-3.3635183397127975E-2</v>
      </c>
      <c r="AZ111">
        <f t="shared" ref="AZ111:AZ142" si="190">BF$2+BF$3*$AT110+BF$4*$AU110+BF$5*$AV110+BF$6*$AW110</f>
        <v>-4.0148426172858291E-2</v>
      </c>
      <c r="BA111">
        <f t="shared" ref="BA111:BA142" si="191">BG$2+BG$3*$AT110+BG$4*$AU110+BG$5*$AV110+BG$6*$AW110</f>
        <v>-1.3210146029018443E-2</v>
      </c>
    </row>
    <row r="112" spans="1:53" ht="14.4" x14ac:dyDescent="0.55000000000000004">
      <c r="A112" s="4">
        <v>42424</v>
      </c>
      <c r="B112">
        <v>4.2274528072045799E-2</v>
      </c>
      <c r="C112">
        <v>-3.6223972187793198E-2</v>
      </c>
      <c r="D112">
        <v>-3.8697369875178099E-2</v>
      </c>
      <c r="E112">
        <v>-4.3173662470625901E-2</v>
      </c>
      <c r="F112">
        <f t="shared" si="144"/>
        <v>4.0436326339888515E-2</v>
      </c>
      <c r="G112">
        <f t="shared" si="145"/>
        <v>-3.4138192080254086E-2</v>
      </c>
      <c r="H112">
        <f t="shared" si="146"/>
        <v>-3.7237274112325885E-2</v>
      </c>
      <c r="I112">
        <f t="shared" si="147"/>
        <v>-2.8030677821289079E-2</v>
      </c>
      <c r="J112">
        <f t="shared" si="148"/>
        <v>3.8217686583742125E-2</v>
      </c>
      <c r="K112">
        <f t="shared" si="149"/>
        <v>-3.2283046522949943E-2</v>
      </c>
      <c r="L112">
        <f t="shared" si="150"/>
        <v>-3.0860764084252007E-2</v>
      </c>
      <c r="M112">
        <f t="shared" si="151"/>
        <v>-1.322176653142918E-2</v>
      </c>
      <c r="N112">
        <f t="shared" si="152"/>
        <v>3.8485007975045143E-2</v>
      </c>
      <c r="O112">
        <f t="shared" si="153"/>
        <v>-3.2843060171382978E-2</v>
      </c>
      <c r="P112">
        <f t="shared" si="154"/>
        <v>-3.5179734259942419E-2</v>
      </c>
      <c r="Q112">
        <f t="shared" si="155"/>
        <v>-1.4526101555396837E-2</v>
      </c>
      <c r="R112">
        <f t="shared" si="156"/>
        <v>3.8176322461654887E-2</v>
      </c>
      <c r="S112">
        <f t="shared" si="157"/>
        <v>-3.3718795932884363E-2</v>
      </c>
      <c r="T112">
        <f t="shared" si="158"/>
        <v>-3.8675614767377048E-2</v>
      </c>
      <c r="U112">
        <f t="shared" si="159"/>
        <v>-1.5302856617394767E-2</v>
      </c>
      <c r="V112">
        <f t="shared" si="160"/>
        <v>3.8954581132151993E-2</v>
      </c>
      <c r="W112">
        <f t="shared" si="161"/>
        <v>-3.4658327061676548E-2</v>
      </c>
      <c r="X112">
        <f t="shared" si="162"/>
        <v>-4.136032548713299E-2</v>
      </c>
      <c r="Y112">
        <f t="shared" si="163"/>
        <v>-1.6945582155639134E-2</v>
      </c>
      <c r="Z112">
        <f t="shared" si="164"/>
        <v>3.7674060822754436E-2</v>
      </c>
      <c r="AA112">
        <f t="shared" si="165"/>
        <v>-3.3738908963688329E-2</v>
      </c>
      <c r="AB112">
        <f t="shared" si="166"/>
        <v>-4.1045307665450004E-2</v>
      </c>
      <c r="AC112">
        <f t="shared" si="167"/>
        <v>-8.7692872483016073E-3</v>
      </c>
      <c r="AD112">
        <f t="shared" si="168"/>
        <v>3.7261523498741345E-2</v>
      </c>
      <c r="AE112">
        <f t="shared" si="169"/>
        <v>-3.3431028829349785E-2</v>
      </c>
      <c r="AF112">
        <f t="shared" si="170"/>
        <v>-4.0055426839804946E-2</v>
      </c>
      <c r="AG112">
        <f t="shared" si="171"/>
        <v>-6.928053902058362E-3</v>
      </c>
      <c r="AH112">
        <f t="shared" si="172"/>
        <v>3.7981933780547934E-2</v>
      </c>
      <c r="AI112">
        <f t="shared" si="173"/>
        <v>-3.4299281278712582E-2</v>
      </c>
      <c r="AJ112">
        <f t="shared" si="174"/>
        <v>-4.2700595034065647E-2</v>
      </c>
      <c r="AK112">
        <f t="shared" si="175"/>
        <v>-5.2156590311829287E-3</v>
      </c>
      <c r="AL112">
        <f t="shared" si="176"/>
        <v>3.7513841840320014E-2</v>
      </c>
      <c r="AM112">
        <f t="shared" si="177"/>
        <v>-3.3912887829959937E-2</v>
      </c>
      <c r="AN112">
        <f t="shared" si="178"/>
        <v>-4.147917362296269E-2</v>
      </c>
      <c r="AO112">
        <f t="shared" si="179"/>
        <v>-8.300419051372819E-3</v>
      </c>
      <c r="AP112">
        <f t="shared" si="180"/>
        <v>3.7725254871197302E-2</v>
      </c>
      <c r="AQ112">
        <f t="shared" si="181"/>
        <v>-3.4238401850953136E-2</v>
      </c>
      <c r="AR112">
        <f t="shared" si="182"/>
        <v>-4.2206817883167477E-2</v>
      </c>
      <c r="AS112">
        <f t="shared" si="183"/>
        <v>-9.9096751749975041E-3</v>
      </c>
      <c r="AT112">
        <f t="shared" si="184"/>
        <v>3.6885502636319886E-2</v>
      </c>
      <c r="AU112">
        <f t="shared" si="185"/>
        <v>-3.3317841662774503E-2</v>
      </c>
      <c r="AV112">
        <f t="shared" si="186"/>
        <v>-3.9813058824722511E-2</v>
      </c>
      <c r="AW112">
        <f t="shared" si="187"/>
        <v>-1.0434610986678259E-2</v>
      </c>
      <c r="AX112">
        <f t="shared" si="188"/>
        <v>3.6899206964328246E-2</v>
      </c>
      <c r="AY112">
        <f t="shared" si="189"/>
        <v>-3.3631547824961534E-2</v>
      </c>
      <c r="AZ112">
        <f t="shared" si="190"/>
        <v>-4.0436033175239541E-2</v>
      </c>
      <c r="BA112">
        <f t="shared" si="191"/>
        <v>-8.8729130406011159E-3</v>
      </c>
    </row>
    <row r="113" spans="1:53" ht="14.4" x14ac:dyDescent="0.55000000000000004">
      <c r="A113" s="4">
        <v>42459</v>
      </c>
      <c r="B113">
        <v>4.1917158876804597E-2</v>
      </c>
      <c r="C113">
        <v>-3.6885699021302898E-2</v>
      </c>
      <c r="D113">
        <v>-3.7271923577756202E-2</v>
      </c>
      <c r="E113">
        <v>-3.9556557454862799E-2</v>
      </c>
      <c r="F113">
        <f t="shared" si="144"/>
        <v>4.1442599144183176E-2</v>
      </c>
      <c r="G113">
        <f t="shared" si="145"/>
        <v>-3.4943027767560184E-2</v>
      </c>
      <c r="H113">
        <f t="shared" si="146"/>
        <v>-3.8890553028944785E-2</v>
      </c>
      <c r="I113">
        <f t="shared" si="147"/>
        <v>-3.8984959171879607E-2</v>
      </c>
      <c r="J113">
        <f t="shared" si="148"/>
        <v>3.9871694229025548E-2</v>
      </c>
      <c r="K113">
        <f t="shared" si="149"/>
        <v>-3.3278790314959665E-2</v>
      </c>
      <c r="L113">
        <f t="shared" si="150"/>
        <v>-3.7729282201012612E-2</v>
      </c>
      <c r="M113">
        <f t="shared" si="151"/>
        <v>-2.5177761533075344E-2</v>
      </c>
      <c r="N113">
        <f t="shared" si="152"/>
        <v>3.756262404832738E-2</v>
      </c>
      <c r="O113">
        <f t="shared" si="153"/>
        <v>-3.1278517827611103E-2</v>
      </c>
      <c r="P113">
        <f t="shared" si="154"/>
        <v>-3.1964762763405236E-2</v>
      </c>
      <c r="Q113">
        <f t="shared" si="155"/>
        <v>-1.0719976150545277E-2</v>
      </c>
      <c r="R113">
        <f t="shared" si="156"/>
        <v>3.8111248256360961E-2</v>
      </c>
      <c r="S113">
        <f t="shared" si="157"/>
        <v>-3.22254317699966E-2</v>
      </c>
      <c r="T113">
        <f t="shared" si="158"/>
        <v>-3.5998015373226687E-2</v>
      </c>
      <c r="U113">
        <f t="shared" si="159"/>
        <v>-1.2743412049472411E-2</v>
      </c>
      <c r="V113">
        <f t="shared" si="160"/>
        <v>3.8110676509088101E-2</v>
      </c>
      <c r="W113">
        <f t="shared" si="161"/>
        <v>-3.3444287169678864E-2</v>
      </c>
      <c r="X113">
        <f t="shared" si="162"/>
        <v>-3.9291044030610053E-2</v>
      </c>
      <c r="Y113">
        <f t="shared" si="163"/>
        <v>-1.4301071777167433E-2</v>
      </c>
      <c r="Z113">
        <f t="shared" si="164"/>
        <v>3.8869552922258618E-2</v>
      </c>
      <c r="AA113">
        <f t="shared" si="165"/>
        <v>-3.4387503407978026E-2</v>
      </c>
      <c r="AB113">
        <f t="shared" si="166"/>
        <v>-4.1756628889783882E-2</v>
      </c>
      <c r="AC113">
        <f t="shared" si="167"/>
        <v>-1.5935623119043674E-2</v>
      </c>
      <c r="AD113">
        <f t="shared" si="168"/>
        <v>3.7824305926225578E-2</v>
      </c>
      <c r="AE113">
        <f t="shared" si="169"/>
        <v>-3.3777689725506724E-2</v>
      </c>
      <c r="AF113">
        <f t="shared" si="170"/>
        <v>-4.1589150573293758E-2</v>
      </c>
      <c r="AG113">
        <f t="shared" si="171"/>
        <v>-8.700705832825428E-3</v>
      </c>
      <c r="AH113">
        <f t="shared" si="172"/>
        <v>3.7424235110514452E-2</v>
      </c>
      <c r="AI113">
        <f t="shared" si="173"/>
        <v>-3.3472109423461134E-2</v>
      </c>
      <c r="AJ113">
        <f t="shared" si="174"/>
        <v>-4.069499109685696E-2</v>
      </c>
      <c r="AK113">
        <f t="shared" si="175"/>
        <v>-6.9449520007844826E-3</v>
      </c>
      <c r="AL113">
        <f t="shared" si="176"/>
        <v>3.8085019786793538E-2</v>
      </c>
      <c r="AM113">
        <f t="shared" si="177"/>
        <v>-3.4320927648842009E-2</v>
      </c>
      <c r="AN113">
        <f t="shared" si="178"/>
        <v>-4.3149393539451096E-2</v>
      </c>
      <c r="AO113">
        <f t="shared" si="179"/>
        <v>-5.3246391862219709E-3</v>
      </c>
      <c r="AP113">
        <f t="shared" si="180"/>
        <v>3.7715647039880951E-2</v>
      </c>
      <c r="AQ113">
        <f t="shared" si="181"/>
        <v>-3.4000865415179056E-2</v>
      </c>
      <c r="AR113">
        <f t="shared" si="182"/>
        <v>-4.2007947929278408E-2</v>
      </c>
      <c r="AS113">
        <f t="shared" si="183"/>
        <v>-8.3910558056295489E-3</v>
      </c>
      <c r="AT113">
        <f t="shared" si="184"/>
        <v>3.7934679275926725E-2</v>
      </c>
      <c r="AU113">
        <f t="shared" si="185"/>
        <v>-3.4329105360982354E-2</v>
      </c>
      <c r="AV113">
        <f t="shared" si="186"/>
        <v>-4.2668038448874596E-2</v>
      </c>
      <c r="AW113">
        <f t="shared" si="187"/>
        <v>-9.96138314781061E-3</v>
      </c>
      <c r="AX113">
        <f t="shared" si="188"/>
        <v>3.7190477287486902E-2</v>
      </c>
      <c r="AY113">
        <f t="shared" si="189"/>
        <v>-3.3479590577638357E-2</v>
      </c>
      <c r="AZ113">
        <f t="shared" si="190"/>
        <v>-4.0464602215650063E-2</v>
      </c>
      <c r="BA113">
        <f t="shared" si="191"/>
        <v>-1.0548333611791178E-2</v>
      </c>
    </row>
    <row r="114" spans="1:53" ht="14.4" x14ac:dyDescent="0.55000000000000004">
      <c r="A114" s="4">
        <v>42487</v>
      </c>
      <c r="B114">
        <v>4.4270245598214499E-2</v>
      </c>
      <c r="C114">
        <v>-3.9477546823605103E-2</v>
      </c>
      <c r="D114">
        <v>-3.7323759876347298E-2</v>
      </c>
      <c r="E114">
        <v>-4.57452746067597E-2</v>
      </c>
      <c r="F114">
        <f t="shared" si="144"/>
        <v>4.091746271283158E-2</v>
      </c>
      <c r="G114">
        <f t="shared" si="145"/>
        <v>-3.5330686006162564E-2</v>
      </c>
      <c r="H114">
        <f t="shared" si="146"/>
        <v>-3.75914897192983E-2</v>
      </c>
      <c r="I114">
        <f t="shared" si="147"/>
        <v>-3.5167125068863846E-2</v>
      </c>
      <c r="J114">
        <f t="shared" si="148"/>
        <v>4.0886888875822959E-2</v>
      </c>
      <c r="K114">
        <f t="shared" si="149"/>
        <v>-3.4059110226377615E-2</v>
      </c>
      <c r="L114">
        <f t="shared" si="150"/>
        <v>-3.9151264964889659E-2</v>
      </c>
      <c r="M114">
        <f t="shared" si="151"/>
        <v>-3.5612550292463296E-2</v>
      </c>
      <c r="N114">
        <f t="shared" si="152"/>
        <v>3.952512876624522E-2</v>
      </c>
      <c r="O114">
        <f t="shared" si="153"/>
        <v>-3.2731577002170456E-2</v>
      </c>
      <c r="P114">
        <f t="shared" si="154"/>
        <v>-3.8245428036641924E-2</v>
      </c>
      <c r="Q114">
        <f t="shared" si="155"/>
        <v>-2.2960280641356468E-2</v>
      </c>
      <c r="R114">
        <f t="shared" si="156"/>
        <v>3.7222229945706217E-2</v>
      </c>
      <c r="S114">
        <f t="shared" si="157"/>
        <v>-3.071451768812734E-2</v>
      </c>
      <c r="T114">
        <f t="shared" si="158"/>
        <v>-3.3059294585453244E-2</v>
      </c>
      <c r="U114">
        <f t="shared" si="159"/>
        <v>-9.0641519117215831E-3</v>
      </c>
      <c r="V114">
        <f t="shared" si="160"/>
        <v>3.7931953534755369E-2</v>
      </c>
      <c r="W114">
        <f t="shared" si="161"/>
        <v>-3.1886367366955916E-2</v>
      </c>
      <c r="X114">
        <f t="shared" si="162"/>
        <v>-3.6802149121299511E-2</v>
      </c>
      <c r="Y114">
        <f t="shared" si="163"/>
        <v>-1.1502454951928025E-2</v>
      </c>
      <c r="Z114">
        <f t="shared" si="164"/>
        <v>3.8125543033180699E-2</v>
      </c>
      <c r="AA114">
        <f t="shared" si="165"/>
        <v>-3.330003748563308E-2</v>
      </c>
      <c r="AB114">
        <f t="shared" si="166"/>
        <v>-3.9880991604303813E-2</v>
      </c>
      <c r="AC114">
        <f t="shared" si="167"/>
        <v>-1.3549189920601674E-2</v>
      </c>
      <c r="AD114">
        <f t="shared" si="168"/>
        <v>3.8849949622463437E-2</v>
      </c>
      <c r="AE114">
        <f t="shared" si="169"/>
        <v>-3.4223176194606485E-2</v>
      </c>
      <c r="AF114">
        <f t="shared" si="170"/>
        <v>-4.2141725277403126E-2</v>
      </c>
      <c r="AG114">
        <f t="shared" si="171"/>
        <v>-1.5134704057901547E-2</v>
      </c>
      <c r="AH114">
        <f t="shared" si="172"/>
        <v>3.7980761681780884E-2</v>
      </c>
      <c r="AI114">
        <f t="shared" si="173"/>
        <v>-3.3842673164742439E-2</v>
      </c>
      <c r="AJ114">
        <f t="shared" si="174"/>
        <v>-4.2092398677065178E-2</v>
      </c>
      <c r="AK114">
        <f t="shared" si="175"/>
        <v>-8.6719889206130808E-3</v>
      </c>
      <c r="AL114">
        <f t="shared" si="176"/>
        <v>3.7599796972195412E-2</v>
      </c>
      <c r="AM114">
        <f t="shared" si="177"/>
        <v>-3.3549233437326013E-2</v>
      </c>
      <c r="AN114">
        <f t="shared" si="178"/>
        <v>-4.1286940236430231E-2</v>
      </c>
      <c r="AO114">
        <f t="shared" si="179"/>
        <v>-7.0151038061178565E-3</v>
      </c>
      <c r="AP114">
        <f t="shared" si="180"/>
        <v>3.8202227423808389E-2</v>
      </c>
      <c r="AQ114">
        <f t="shared" si="181"/>
        <v>-3.4372969008029851E-2</v>
      </c>
      <c r="AR114">
        <f t="shared" si="182"/>
        <v>-4.3564762613415034E-2</v>
      </c>
      <c r="AS114">
        <f t="shared" si="183"/>
        <v>-5.4763725296460087E-3</v>
      </c>
      <c r="AT114">
        <f t="shared" si="184"/>
        <v>3.7907578348076461E-2</v>
      </c>
      <c r="AU114">
        <f t="shared" si="185"/>
        <v>-3.4094532259635713E-2</v>
      </c>
      <c r="AV114">
        <f t="shared" si="186"/>
        <v>-4.2492941273334861E-2</v>
      </c>
      <c r="AW114">
        <f t="shared" si="187"/>
        <v>-8.4781415366536189E-3</v>
      </c>
      <c r="AX114">
        <f t="shared" si="188"/>
        <v>3.8125478847406379E-2</v>
      </c>
      <c r="AY114">
        <f t="shared" si="189"/>
        <v>-3.4414405487554346E-2</v>
      </c>
      <c r="AZ114">
        <f t="shared" si="190"/>
        <v>-4.3089378084861775E-2</v>
      </c>
      <c r="BA114">
        <f t="shared" si="191"/>
        <v>-9.9901688861237323E-3</v>
      </c>
    </row>
    <row r="115" spans="1:53" ht="14.4" x14ac:dyDescent="0.55000000000000004">
      <c r="A115" s="4">
        <v>42515</v>
      </c>
      <c r="B115">
        <v>4.3176047384200798E-2</v>
      </c>
      <c r="C115">
        <v>-3.7138395885979399E-2</v>
      </c>
      <c r="D115">
        <v>-3.4211055815614497E-2</v>
      </c>
      <c r="E115">
        <v>-4.4635389355262303E-2</v>
      </c>
      <c r="F115">
        <f t="shared" si="144"/>
        <v>4.2548023018552469E-2</v>
      </c>
      <c r="G115">
        <f t="shared" si="145"/>
        <v>-3.6997064054174994E-2</v>
      </c>
      <c r="H115">
        <f t="shared" si="146"/>
        <v>-3.7459051388636054E-2</v>
      </c>
      <c r="I115">
        <f t="shared" si="147"/>
        <v>-3.9497445945275371E-2</v>
      </c>
      <c r="J115">
        <f t="shared" si="148"/>
        <v>4.0270111122765302E-2</v>
      </c>
      <c r="K115">
        <f t="shared" si="149"/>
        <v>-3.4275204830469558E-2</v>
      </c>
      <c r="L115">
        <f t="shared" si="150"/>
        <v>-3.7982693528125069E-2</v>
      </c>
      <c r="M115">
        <f t="shared" si="151"/>
        <v>-3.1769411974173406E-2</v>
      </c>
      <c r="N115">
        <f t="shared" si="152"/>
        <v>4.0520194260087489E-2</v>
      </c>
      <c r="O115">
        <f t="shared" si="153"/>
        <v>-3.3454541607623275E-2</v>
      </c>
      <c r="P115">
        <f t="shared" si="154"/>
        <v>-3.9453146841743433E-2</v>
      </c>
      <c r="Q115">
        <f t="shared" si="155"/>
        <v>-3.2832431456988331E-2</v>
      </c>
      <c r="R115">
        <f t="shared" si="156"/>
        <v>3.9325187507181961E-2</v>
      </c>
      <c r="S115">
        <f t="shared" si="157"/>
        <v>-3.2400150312126862E-2</v>
      </c>
      <c r="T115">
        <f t="shared" si="158"/>
        <v>-3.8766723736877388E-2</v>
      </c>
      <c r="U115">
        <f t="shared" si="159"/>
        <v>-2.1195086344028998E-2</v>
      </c>
      <c r="V115">
        <f t="shared" si="160"/>
        <v>3.7089289432285344E-2</v>
      </c>
      <c r="W115">
        <f t="shared" si="161"/>
        <v>-3.0447415892389893E-2</v>
      </c>
      <c r="X115">
        <f t="shared" si="162"/>
        <v>-3.4120147693035202E-2</v>
      </c>
      <c r="Y115">
        <f t="shared" si="163"/>
        <v>-7.9831343016691508E-3</v>
      </c>
      <c r="Z115">
        <f t="shared" si="164"/>
        <v>3.7879825084845602E-2</v>
      </c>
      <c r="AA115">
        <f t="shared" si="165"/>
        <v>-3.1735109623475755E-2</v>
      </c>
      <c r="AB115">
        <f t="shared" si="166"/>
        <v>-3.7577515700631059E-2</v>
      </c>
      <c r="AC115">
        <f t="shared" si="167"/>
        <v>-1.0632130732940807E-2</v>
      </c>
      <c r="AD115">
        <f t="shared" si="168"/>
        <v>3.8190269405113261E-2</v>
      </c>
      <c r="AE115">
        <f t="shared" si="169"/>
        <v>-3.3243503602389576E-2</v>
      </c>
      <c r="AF115">
        <f t="shared" si="170"/>
        <v>-4.0440344724575812E-2</v>
      </c>
      <c r="AG115">
        <f t="shared" si="171"/>
        <v>-1.2968412373419265E-2</v>
      </c>
      <c r="AH115">
        <f t="shared" si="172"/>
        <v>3.8871737114967449E-2</v>
      </c>
      <c r="AI115">
        <f t="shared" si="173"/>
        <v>-3.4131907958904688E-2</v>
      </c>
      <c r="AJ115">
        <f t="shared" si="174"/>
        <v>-4.2510845361274183E-2</v>
      </c>
      <c r="AK115">
        <f t="shared" si="175"/>
        <v>-1.4480739528291341E-2</v>
      </c>
      <c r="AL115">
        <f t="shared" si="176"/>
        <v>3.8136390064543953E-2</v>
      </c>
      <c r="AM115">
        <f t="shared" si="177"/>
        <v>-3.3922948592277069E-2</v>
      </c>
      <c r="AN115">
        <f t="shared" si="178"/>
        <v>-4.255676934112463E-2</v>
      </c>
      <c r="AO115">
        <f t="shared" si="179"/>
        <v>-8.6645728877314653E-3</v>
      </c>
      <c r="AP115">
        <f t="shared" si="180"/>
        <v>3.7778176123275817E-2</v>
      </c>
      <c r="AQ115">
        <f t="shared" si="181"/>
        <v>-3.3647448958804144E-2</v>
      </c>
      <c r="AR115">
        <f t="shared" si="182"/>
        <v>-4.1832918567257356E-2</v>
      </c>
      <c r="AS115">
        <f t="shared" si="183"/>
        <v>-7.1126307277207387E-3</v>
      </c>
      <c r="AT115">
        <f t="shared" si="184"/>
        <v>3.8324850966205928E-2</v>
      </c>
      <c r="AU115">
        <f t="shared" si="185"/>
        <v>-3.4442882845105521E-2</v>
      </c>
      <c r="AV115">
        <f t="shared" si="186"/>
        <v>-4.3947520504300064E-2</v>
      </c>
      <c r="AW115">
        <f t="shared" si="187"/>
        <v>-5.6488962421906283E-3</v>
      </c>
      <c r="AX115">
        <f t="shared" si="188"/>
        <v>3.8087549919809609E-2</v>
      </c>
      <c r="AY115">
        <f t="shared" si="189"/>
        <v>-3.4189475920193897E-2</v>
      </c>
      <c r="AZ115">
        <f t="shared" si="190"/>
        <v>-4.2937321383722124E-2</v>
      </c>
      <c r="BA115">
        <f t="shared" si="191"/>
        <v>-8.5557355663517295E-3</v>
      </c>
    </row>
    <row r="116" spans="1:53" ht="14.4" x14ac:dyDescent="0.55000000000000004">
      <c r="A116" s="4">
        <v>42550</v>
      </c>
      <c r="B116">
        <v>4.12235414630861E-2</v>
      </c>
      <c r="C116">
        <v>-3.5667459707940101E-2</v>
      </c>
      <c r="D116">
        <v>-3.7465001591329102E-2</v>
      </c>
      <c r="E116">
        <v>-5.1090208300908102E-2</v>
      </c>
      <c r="F116">
        <f t="shared" si="144"/>
        <v>4.1662739007592896E-2</v>
      </c>
      <c r="G116">
        <f t="shared" si="145"/>
        <v>-3.494679769640692E-2</v>
      </c>
      <c r="H116">
        <f t="shared" si="146"/>
        <v>-3.4611246003701156E-2</v>
      </c>
      <c r="I116">
        <f t="shared" si="147"/>
        <v>-3.8729068088287397E-2</v>
      </c>
      <c r="J116">
        <f t="shared" si="148"/>
        <v>4.1398967882148412E-2</v>
      </c>
      <c r="K116">
        <f t="shared" si="149"/>
        <v>-3.5304902098918269E-2</v>
      </c>
      <c r="L116">
        <f t="shared" si="150"/>
        <v>-3.7733009888292368E-2</v>
      </c>
      <c r="M116">
        <f t="shared" si="151"/>
        <v>-3.4797893086720454E-2</v>
      </c>
      <c r="N116">
        <f t="shared" si="152"/>
        <v>3.9862431229236862E-2</v>
      </c>
      <c r="O116">
        <f t="shared" si="153"/>
        <v>-3.3568018619345837E-2</v>
      </c>
      <c r="P116">
        <f t="shared" si="154"/>
        <v>-3.8413148612360011E-2</v>
      </c>
      <c r="Q116">
        <f t="shared" si="155"/>
        <v>-2.9076655641053523E-2</v>
      </c>
      <c r="R116">
        <f t="shared" si="156"/>
        <v>4.0282209102511318E-2</v>
      </c>
      <c r="S116">
        <f t="shared" si="157"/>
        <v>-3.3047142572813486E-2</v>
      </c>
      <c r="T116">
        <f t="shared" si="158"/>
        <v>-3.9778203153094834E-2</v>
      </c>
      <c r="U116">
        <f t="shared" si="159"/>
        <v>-3.0487993817833861E-2</v>
      </c>
      <c r="V116">
        <f t="shared" si="160"/>
        <v>3.9222698816659643E-2</v>
      </c>
      <c r="W116">
        <f t="shared" si="161"/>
        <v>-3.2217518137103551E-2</v>
      </c>
      <c r="X116">
        <f t="shared" si="162"/>
        <v>-3.9280873825575401E-2</v>
      </c>
      <c r="Y116">
        <f t="shared" si="163"/>
        <v>-1.9754836939781549E-2</v>
      </c>
      <c r="Z116">
        <f t="shared" si="164"/>
        <v>3.7090345902064087E-2</v>
      </c>
      <c r="AA116">
        <f t="shared" si="165"/>
        <v>-3.03780980055815E-2</v>
      </c>
      <c r="AB116">
        <f t="shared" si="166"/>
        <v>-3.5132866288867678E-2</v>
      </c>
      <c r="AC116">
        <f t="shared" si="167"/>
        <v>-7.2902251559527551E-3</v>
      </c>
      <c r="AD116">
        <f t="shared" si="168"/>
        <v>3.7908850214867292E-2</v>
      </c>
      <c r="AE116">
        <f t="shared" si="169"/>
        <v>-3.1709019213127743E-2</v>
      </c>
      <c r="AF116">
        <f t="shared" si="170"/>
        <v>-3.8315593166157874E-2</v>
      </c>
      <c r="AG116">
        <f t="shared" si="171"/>
        <v>-1.0014625069116134E-2</v>
      </c>
      <c r="AH116">
        <f t="shared" si="172"/>
        <v>3.8284140852790423E-2</v>
      </c>
      <c r="AI116">
        <f t="shared" si="173"/>
        <v>-3.324536161739669E-2</v>
      </c>
      <c r="AJ116">
        <f t="shared" si="174"/>
        <v>-4.0966686375189576E-2</v>
      </c>
      <c r="AK116">
        <f t="shared" si="175"/>
        <v>-1.250482111774468E-2</v>
      </c>
      <c r="AL116">
        <f t="shared" si="176"/>
        <v>3.891860927155455E-2</v>
      </c>
      <c r="AM116">
        <f t="shared" si="177"/>
        <v>-3.4090543351342012E-2</v>
      </c>
      <c r="AN116">
        <f t="shared" si="178"/>
        <v>-4.2861381682483303E-2</v>
      </c>
      <c r="AO116">
        <f t="shared" si="179"/>
        <v>-1.3930998829372179E-2</v>
      </c>
      <c r="AP116">
        <f t="shared" si="180"/>
        <v>3.8286796428723471E-2</v>
      </c>
      <c r="AQ116">
        <f t="shared" si="181"/>
        <v>-3.4011212968707877E-2</v>
      </c>
      <c r="AR116">
        <f t="shared" si="182"/>
        <v>-4.2984433343868977E-2</v>
      </c>
      <c r="AS116">
        <f t="shared" si="183"/>
        <v>-8.6665075305037611E-3</v>
      </c>
      <c r="AT116">
        <f t="shared" si="184"/>
        <v>3.7952986520053314E-2</v>
      </c>
      <c r="AU116">
        <f t="shared" si="185"/>
        <v>-3.3756739126594194E-2</v>
      </c>
      <c r="AV116">
        <f t="shared" si="186"/>
        <v>-4.2335258429533798E-2</v>
      </c>
      <c r="AW116">
        <f t="shared" si="187"/>
        <v>-7.2207667019644631E-3</v>
      </c>
      <c r="AX116">
        <f t="shared" si="188"/>
        <v>3.8447258593132305E-2</v>
      </c>
      <c r="AY116">
        <f t="shared" si="189"/>
        <v>-3.4522272994423286E-2</v>
      </c>
      <c r="AZ116">
        <f t="shared" si="190"/>
        <v>-4.4299113705680571E-2</v>
      </c>
      <c r="BA116">
        <f t="shared" si="191"/>
        <v>-5.8279158167555897E-3</v>
      </c>
    </row>
    <row r="117" spans="1:53" ht="14.4" x14ac:dyDescent="0.55000000000000004">
      <c r="A117" s="4">
        <v>42578</v>
      </c>
      <c r="B117">
        <v>3.7228147156907698E-2</v>
      </c>
      <c r="C117">
        <v>-3.166069106924E-2</v>
      </c>
      <c r="D117">
        <v>-3.1189074490741899E-2</v>
      </c>
      <c r="E117">
        <v>-4.1673581221003897E-2</v>
      </c>
      <c r="F117">
        <f t="shared" si="144"/>
        <v>4.0731995137580662E-2</v>
      </c>
      <c r="G117">
        <f t="shared" si="145"/>
        <v>-3.4676105497694655E-2</v>
      </c>
      <c r="H117">
        <f t="shared" si="146"/>
        <v>-3.7738809859296188E-2</v>
      </c>
      <c r="I117">
        <f t="shared" si="147"/>
        <v>-4.712795418293568E-2</v>
      </c>
      <c r="J117">
        <f t="shared" si="148"/>
        <v>4.0671847444730326E-2</v>
      </c>
      <c r="K117">
        <f t="shared" si="149"/>
        <v>-3.347957447609437E-2</v>
      </c>
      <c r="L117">
        <f t="shared" si="150"/>
        <v>-3.5119204709310972E-2</v>
      </c>
      <c r="M117">
        <f t="shared" si="151"/>
        <v>-3.4258465147472821E-2</v>
      </c>
      <c r="N117">
        <f t="shared" si="152"/>
        <v>4.064306472970447E-2</v>
      </c>
      <c r="O117">
        <f t="shared" si="153"/>
        <v>-3.4161596165030804E-2</v>
      </c>
      <c r="P117">
        <f t="shared" si="154"/>
        <v>-3.8092167856675484E-2</v>
      </c>
      <c r="Q117">
        <f t="shared" si="155"/>
        <v>-3.1191274007484282E-2</v>
      </c>
      <c r="R117">
        <f t="shared" si="156"/>
        <v>3.9616614319085669E-2</v>
      </c>
      <c r="S117">
        <f t="shared" si="157"/>
        <v>-3.3103843939869627E-2</v>
      </c>
      <c r="T117">
        <f t="shared" si="158"/>
        <v>-3.8861152435085297E-2</v>
      </c>
      <c r="U117">
        <f t="shared" si="159"/>
        <v>-2.6889347323493087E-2</v>
      </c>
      <c r="V117">
        <f t="shared" si="160"/>
        <v>4.0131299617607342E-2</v>
      </c>
      <c r="W117">
        <f t="shared" si="161"/>
        <v>-3.2779443210872047E-2</v>
      </c>
      <c r="X117">
        <f t="shared" si="162"/>
        <v>-4.0114223173615307E-2</v>
      </c>
      <c r="Y117">
        <f t="shared" si="163"/>
        <v>-2.8469480400209267E-2</v>
      </c>
      <c r="Z117">
        <f t="shared" si="164"/>
        <v>3.918392989908278E-2</v>
      </c>
      <c r="AA117">
        <f t="shared" si="165"/>
        <v>-3.2137132548124669E-2</v>
      </c>
      <c r="AB117">
        <f t="shared" si="166"/>
        <v>-3.9780154060791981E-2</v>
      </c>
      <c r="AC117">
        <f t="shared" si="167"/>
        <v>-1.8550930581089219E-2</v>
      </c>
      <c r="AD117">
        <f t="shared" si="168"/>
        <v>3.7175314996033298E-2</v>
      </c>
      <c r="AE117">
        <f t="shared" si="169"/>
        <v>-3.0438337666092552E-2</v>
      </c>
      <c r="AF117">
        <f t="shared" si="170"/>
        <v>-3.6089559891316458E-2</v>
      </c>
      <c r="AG117">
        <f t="shared" si="171"/>
        <v>-6.8572425893854115E-3</v>
      </c>
      <c r="AH117">
        <f t="shared" si="172"/>
        <v>3.7987744283720398E-2</v>
      </c>
      <c r="AI117">
        <f t="shared" si="173"/>
        <v>-3.1764966264167416E-2</v>
      </c>
      <c r="AJ117">
        <f t="shared" si="174"/>
        <v>-3.9011948345663169E-2</v>
      </c>
      <c r="AK117">
        <f t="shared" si="175"/>
        <v>-9.5690267731938141E-3</v>
      </c>
      <c r="AL117">
        <f t="shared" si="176"/>
        <v>3.8393296208046698E-2</v>
      </c>
      <c r="AM117">
        <f t="shared" si="177"/>
        <v>-3.3285451512604987E-2</v>
      </c>
      <c r="AN117">
        <f t="shared" si="178"/>
        <v>-4.1459365952226358E-2</v>
      </c>
      <c r="AO117">
        <f t="shared" si="179"/>
        <v>-1.2121677450095169E-2</v>
      </c>
      <c r="AP117">
        <f t="shared" si="180"/>
        <v>3.8979595195620151E-2</v>
      </c>
      <c r="AQ117">
        <f t="shared" si="181"/>
        <v>-3.4083063234220105E-2</v>
      </c>
      <c r="AR117">
        <f t="shared" si="182"/>
        <v>-4.3192161932398832E-2</v>
      </c>
      <c r="AS117">
        <f t="shared" si="183"/>
        <v>-1.3456131716960281E-2</v>
      </c>
      <c r="AT117">
        <f t="shared" si="184"/>
        <v>3.8429376618108677E-2</v>
      </c>
      <c r="AU117">
        <f t="shared" si="185"/>
        <v>-3.410264181204925E-2</v>
      </c>
      <c r="AV117">
        <f t="shared" si="186"/>
        <v>-4.3377783155522334E-2</v>
      </c>
      <c r="AW117">
        <f t="shared" si="187"/>
        <v>-8.6703288873948691E-3</v>
      </c>
      <c r="AX117">
        <f t="shared" si="188"/>
        <v>3.812032190899866E-2</v>
      </c>
      <c r="AY117">
        <f t="shared" si="189"/>
        <v>-3.3870480110954858E-2</v>
      </c>
      <c r="AZ117">
        <f t="shared" si="190"/>
        <v>-4.279665701418385E-2</v>
      </c>
      <c r="BA117">
        <f t="shared" si="191"/>
        <v>-7.3289463928184612E-3</v>
      </c>
    </row>
    <row r="118" spans="1:53" ht="14.4" x14ac:dyDescent="0.55000000000000004">
      <c r="A118" s="4">
        <v>42613</v>
      </c>
      <c r="B118">
        <v>3.45250500158579E-2</v>
      </c>
      <c r="C118">
        <v>-2.8755960735606399E-2</v>
      </c>
      <c r="D118">
        <v>-2.7478877811003999E-2</v>
      </c>
      <c r="E118">
        <v>-3.1833759763943502E-2</v>
      </c>
      <c r="F118">
        <f t="shared" si="144"/>
        <v>3.7397736021259828E-2</v>
      </c>
      <c r="G118">
        <f t="shared" si="145"/>
        <v>-3.1411600059160071E-2</v>
      </c>
      <c r="H118">
        <f t="shared" si="146"/>
        <v>-3.2138965061096994E-2</v>
      </c>
      <c r="I118">
        <f t="shared" si="147"/>
        <v>-3.9341709067733745E-2</v>
      </c>
      <c r="J118">
        <f t="shared" si="148"/>
        <v>4.0415624251406712E-2</v>
      </c>
      <c r="K118">
        <f t="shared" si="149"/>
        <v>-3.3964513769925112E-2</v>
      </c>
      <c r="L118">
        <f t="shared" si="150"/>
        <v>-3.8053971674246921E-2</v>
      </c>
      <c r="M118">
        <f t="shared" si="151"/>
        <v>-4.3759765147097889E-2</v>
      </c>
      <c r="N118">
        <f t="shared" si="152"/>
        <v>4.0037491190056146E-2</v>
      </c>
      <c r="O118">
        <f t="shared" si="153"/>
        <v>-3.2515353301390805E-2</v>
      </c>
      <c r="P118">
        <f t="shared" si="154"/>
        <v>-3.5687127447062018E-2</v>
      </c>
      <c r="Q118">
        <f t="shared" si="155"/>
        <v>-3.0802636463085731E-2</v>
      </c>
      <c r="R118">
        <f t="shared" si="156"/>
        <v>4.0155678694413215E-2</v>
      </c>
      <c r="S118">
        <f t="shared" si="157"/>
        <v>-3.3400507423357123E-2</v>
      </c>
      <c r="T118">
        <f t="shared" si="158"/>
        <v>-3.8500202085104726E-2</v>
      </c>
      <c r="U118">
        <f t="shared" si="159"/>
        <v>-2.8360772323419575E-2</v>
      </c>
      <c r="V118">
        <f t="shared" si="160"/>
        <v>3.947904567969418E-2</v>
      </c>
      <c r="W118">
        <f t="shared" si="161"/>
        <v>-3.280935643297965E-2</v>
      </c>
      <c r="X118">
        <f t="shared" si="162"/>
        <v>-3.9312354369631236E-2</v>
      </c>
      <c r="Y118">
        <f t="shared" si="163"/>
        <v>-2.506858079449132E-2</v>
      </c>
      <c r="Z118">
        <f t="shared" si="164"/>
        <v>4.0038787496735333E-2</v>
      </c>
      <c r="AA118">
        <f t="shared" si="165"/>
        <v>-3.2611178546734586E-2</v>
      </c>
      <c r="AB118">
        <f t="shared" si="166"/>
        <v>-4.0452991410812322E-2</v>
      </c>
      <c r="AC118">
        <f t="shared" si="167"/>
        <v>-2.669970517243915E-2</v>
      </c>
      <c r="AD118">
        <f t="shared" si="168"/>
        <v>3.9185839879575045E-2</v>
      </c>
      <c r="AE118">
        <f t="shared" si="169"/>
        <v>-3.2126655975585762E-2</v>
      </c>
      <c r="AF118">
        <f t="shared" si="170"/>
        <v>-4.0259944458470344E-2</v>
      </c>
      <c r="AG118">
        <f t="shared" si="171"/>
        <v>-1.7521645868018784E-2</v>
      </c>
      <c r="AH118">
        <f t="shared" si="172"/>
        <v>3.731027113132962E-2</v>
      </c>
      <c r="AI118">
        <f t="shared" si="173"/>
        <v>-3.0581325533604944E-2</v>
      </c>
      <c r="AJ118">
        <f t="shared" si="174"/>
        <v>-3.6986705050754631E-2</v>
      </c>
      <c r="AK118">
        <f t="shared" si="175"/>
        <v>-6.5965003584084895E-3</v>
      </c>
      <c r="AL118">
        <f t="shared" si="176"/>
        <v>3.8095396800694806E-2</v>
      </c>
      <c r="AM118">
        <f t="shared" si="177"/>
        <v>-3.1873347829643892E-2</v>
      </c>
      <c r="AN118">
        <f t="shared" si="178"/>
        <v>-3.9664854095417083E-2</v>
      </c>
      <c r="AO118">
        <f t="shared" si="179"/>
        <v>-9.2399514309811238E-3</v>
      </c>
      <c r="AP118">
        <f t="shared" si="180"/>
        <v>3.8508588298700748E-2</v>
      </c>
      <c r="AQ118">
        <f t="shared" si="181"/>
        <v>-3.3349959986640011E-2</v>
      </c>
      <c r="AR118">
        <f t="shared" si="182"/>
        <v>-4.1918863574581536E-2</v>
      </c>
      <c r="AS118">
        <f t="shared" si="183"/>
        <v>-1.1794079718734096E-2</v>
      </c>
      <c r="AT118">
        <f t="shared" si="184"/>
        <v>3.9047398788406525E-2</v>
      </c>
      <c r="AU118">
        <f t="shared" si="185"/>
        <v>-3.40983987015267E-2</v>
      </c>
      <c r="AV118">
        <f t="shared" si="186"/>
        <v>-4.3502950421948065E-2</v>
      </c>
      <c r="AW118">
        <f t="shared" si="187"/>
        <v>-1.3036022897171998E-2</v>
      </c>
      <c r="AX118">
        <f t="shared" si="188"/>
        <v>3.856272833577333E-2</v>
      </c>
      <c r="AY118">
        <f t="shared" si="189"/>
        <v>-3.4194107175389787E-2</v>
      </c>
      <c r="AZ118">
        <f t="shared" si="190"/>
        <v>-4.3739280916080932E-2</v>
      </c>
      <c r="BA118">
        <f t="shared" si="191"/>
        <v>-8.6715916968631169E-3</v>
      </c>
    </row>
    <row r="119" spans="1:53" ht="14.4" x14ac:dyDescent="0.55000000000000004">
      <c r="A119" s="4">
        <v>42641</v>
      </c>
      <c r="B119">
        <v>3.6978139172955303E-2</v>
      </c>
      <c r="C119">
        <v>-3.1312438227212198E-2</v>
      </c>
      <c r="D119">
        <v>-3.1165860215383201E-2</v>
      </c>
      <c r="E119">
        <v>-3.7750691554084198E-2</v>
      </c>
      <c r="F119">
        <f t="shared" si="144"/>
        <v>3.5148657734947429E-2</v>
      </c>
      <c r="G119">
        <f t="shared" si="145"/>
        <v>-2.906674848261975E-2</v>
      </c>
      <c r="H119">
        <f t="shared" si="146"/>
        <v>-2.8878105372912244E-2</v>
      </c>
      <c r="I119">
        <f t="shared" si="147"/>
        <v>-3.0833687115455213E-2</v>
      </c>
      <c r="J119">
        <f t="shared" si="148"/>
        <v>3.7594449369372819E-2</v>
      </c>
      <c r="K119">
        <f t="shared" si="149"/>
        <v>-3.1260182635185395E-2</v>
      </c>
      <c r="L119">
        <f t="shared" si="150"/>
        <v>-3.3039292794801119E-2</v>
      </c>
      <c r="M119">
        <f t="shared" si="151"/>
        <v>-3.7233566704313131E-2</v>
      </c>
      <c r="N119">
        <f t="shared" si="152"/>
        <v>4.0217497258694973E-2</v>
      </c>
      <c r="O119">
        <f t="shared" si="153"/>
        <v>-3.3453502665786783E-2</v>
      </c>
      <c r="P119">
        <f t="shared" si="154"/>
        <v>-3.8393217644887186E-2</v>
      </c>
      <c r="Q119">
        <f t="shared" si="155"/>
        <v>-4.0836252371005625E-2</v>
      </c>
      <c r="R119">
        <f t="shared" si="156"/>
        <v>3.9644998239252986E-2</v>
      </c>
      <c r="S119">
        <f t="shared" si="157"/>
        <v>-3.1900169673142444E-2</v>
      </c>
      <c r="T119">
        <f t="shared" si="158"/>
        <v>-3.6282932152879331E-2</v>
      </c>
      <c r="U119">
        <f t="shared" si="159"/>
        <v>-2.8068790933543582E-2</v>
      </c>
      <c r="V119">
        <f t="shared" si="160"/>
        <v>3.9850637368523345E-2</v>
      </c>
      <c r="W119">
        <f t="shared" si="161"/>
        <v>-3.2905646575911149E-2</v>
      </c>
      <c r="X119">
        <f t="shared" si="162"/>
        <v>-3.893263183740444E-2</v>
      </c>
      <c r="Y119">
        <f t="shared" si="163"/>
        <v>-2.6085837429389143E-2</v>
      </c>
      <c r="Z119">
        <f t="shared" si="164"/>
        <v>3.9412888451732235E-2</v>
      </c>
      <c r="AA119">
        <f t="shared" si="165"/>
        <v>-3.2633458995401578E-2</v>
      </c>
      <c r="AB119">
        <f t="shared" si="166"/>
        <v>-3.9757446560273413E-2</v>
      </c>
      <c r="AC119">
        <f t="shared" si="167"/>
        <v>-2.3517528617424524E-2</v>
      </c>
      <c r="AD119">
        <f t="shared" si="168"/>
        <v>3.9984976681079379E-2</v>
      </c>
      <c r="AE119">
        <f t="shared" si="169"/>
        <v>-3.2514068559351579E-2</v>
      </c>
      <c r="AF119">
        <f t="shared" si="170"/>
        <v>-4.0789046363526808E-2</v>
      </c>
      <c r="AG119">
        <f t="shared" si="171"/>
        <v>-2.5124127052113664E-2</v>
      </c>
      <c r="AH119">
        <f t="shared" si="172"/>
        <v>3.9212782635399873E-2</v>
      </c>
      <c r="AI119">
        <f t="shared" si="173"/>
        <v>-3.2163627114977229E-2</v>
      </c>
      <c r="AJ119">
        <f t="shared" si="174"/>
        <v>-4.071771647316938E-2</v>
      </c>
      <c r="AK119">
        <f t="shared" si="175"/>
        <v>-1.6623903374888373E-2</v>
      </c>
      <c r="AL119">
        <f t="shared" si="176"/>
        <v>3.7472439635776664E-2</v>
      </c>
      <c r="AM119">
        <f t="shared" si="177"/>
        <v>-3.0775088563392741E-2</v>
      </c>
      <c r="AN119">
        <f t="shared" si="178"/>
        <v>-3.7823635329794832E-2</v>
      </c>
      <c r="AO119">
        <f t="shared" si="179"/>
        <v>-6.4482963669638526E-3</v>
      </c>
      <c r="AP119">
        <f t="shared" si="180"/>
        <v>3.8217710725115324E-2</v>
      </c>
      <c r="AQ119">
        <f t="shared" si="181"/>
        <v>-3.2013931318615386E-2</v>
      </c>
      <c r="AR119">
        <f t="shared" si="182"/>
        <v>-4.0274340771459465E-2</v>
      </c>
      <c r="AS119">
        <f t="shared" si="183"/>
        <v>-8.9896448190153345E-3</v>
      </c>
      <c r="AT119">
        <f t="shared" si="184"/>
        <v>3.8624100840553753E-2</v>
      </c>
      <c r="AU119">
        <f t="shared" si="185"/>
        <v>-3.3429464188723848E-2</v>
      </c>
      <c r="AV119">
        <f t="shared" si="186"/>
        <v>-4.2346357575750233E-2</v>
      </c>
      <c r="AW119">
        <f t="shared" si="187"/>
        <v>-1.1505260419445463E-2</v>
      </c>
      <c r="AX119">
        <f t="shared" si="188"/>
        <v>3.9117247309291593E-2</v>
      </c>
      <c r="AY119">
        <f t="shared" si="189"/>
        <v>-3.4128912504208249E-2</v>
      </c>
      <c r="AZ119">
        <f t="shared" si="190"/>
        <v>-4.3794107538674361E-2</v>
      </c>
      <c r="BA119">
        <f t="shared" si="191"/>
        <v>-1.2656917477287763E-2</v>
      </c>
    </row>
    <row r="120" spans="1:53" ht="14.4" x14ac:dyDescent="0.55000000000000004">
      <c r="A120" s="4">
        <v>42669</v>
      </c>
      <c r="B120">
        <v>3.9936634128740302E-2</v>
      </c>
      <c r="C120">
        <v>-3.3532763629017998E-2</v>
      </c>
      <c r="D120">
        <v>-3.2833055946422503E-2</v>
      </c>
      <c r="E120">
        <v>-3.85897892369573E-2</v>
      </c>
      <c r="F120">
        <f t="shared" si="144"/>
        <v>3.7173803584251507E-2</v>
      </c>
      <c r="G120">
        <f t="shared" si="145"/>
        <v>-3.1130098854299394E-2</v>
      </c>
      <c r="H120">
        <f t="shared" si="146"/>
        <v>-3.2158641759997782E-2</v>
      </c>
      <c r="I120">
        <f t="shared" si="147"/>
        <v>-3.5689652897020856E-2</v>
      </c>
      <c r="J120">
        <f t="shared" si="148"/>
        <v>3.5695018361661821E-2</v>
      </c>
      <c r="K120">
        <f t="shared" si="149"/>
        <v>-2.9341477905071706E-2</v>
      </c>
      <c r="L120">
        <f t="shared" si="150"/>
        <v>-3.0164579897450375E-2</v>
      </c>
      <c r="M120">
        <f t="shared" si="151"/>
        <v>-2.9785598345475978E-2</v>
      </c>
      <c r="N120">
        <f t="shared" si="152"/>
        <v>3.7801343811531288E-2</v>
      </c>
      <c r="O120">
        <f t="shared" si="153"/>
        <v>-3.1178522696185713E-2</v>
      </c>
      <c r="P120">
        <f t="shared" si="154"/>
        <v>-3.3889616639514279E-2</v>
      </c>
      <c r="Q120">
        <f t="shared" si="155"/>
        <v>-3.5299865737767944E-2</v>
      </c>
      <c r="R120">
        <f t="shared" si="156"/>
        <v>4.009842010979326E-2</v>
      </c>
      <c r="S120">
        <f t="shared" si="157"/>
        <v>-3.3087469879035665E-2</v>
      </c>
      <c r="T120">
        <f t="shared" si="158"/>
        <v>-3.8744774093205397E-2</v>
      </c>
      <c r="U120">
        <f t="shared" si="159"/>
        <v>-3.8252537730390022E-2</v>
      </c>
      <c r="V120">
        <f t="shared" si="160"/>
        <v>3.9415244920859994E-2</v>
      </c>
      <c r="W120">
        <f t="shared" si="161"/>
        <v>-3.1526932950879993E-2</v>
      </c>
      <c r="X120">
        <f t="shared" si="162"/>
        <v>-3.6885363806578177E-2</v>
      </c>
      <c r="Y120">
        <f t="shared" si="163"/>
        <v>-2.5853168863768948E-2</v>
      </c>
      <c r="Z120">
        <f t="shared" si="164"/>
        <v>3.9668469132799658E-2</v>
      </c>
      <c r="AA120">
        <f t="shared" si="165"/>
        <v>-3.2596251165986703E-2</v>
      </c>
      <c r="AB120">
        <f t="shared" si="166"/>
        <v>-3.937313982305999E-2</v>
      </c>
      <c r="AC120">
        <f t="shared" si="167"/>
        <v>-2.4212804558546779E-2</v>
      </c>
      <c r="AD120">
        <f t="shared" si="168"/>
        <v>3.9392930253257456E-2</v>
      </c>
      <c r="AE120">
        <f t="shared" si="169"/>
        <v>-3.2540514420821398E-2</v>
      </c>
      <c r="AF120">
        <f t="shared" si="170"/>
        <v>-4.0190565292440424E-2</v>
      </c>
      <c r="AG120">
        <f t="shared" si="171"/>
        <v>-2.2168569920478616E-2</v>
      </c>
      <c r="AH120">
        <f t="shared" si="172"/>
        <v>3.9956392645983725E-2</v>
      </c>
      <c r="AI120">
        <f t="shared" si="173"/>
        <v>-3.246818706369848E-2</v>
      </c>
      <c r="AJ120">
        <f t="shared" si="174"/>
        <v>-4.1118820226422811E-2</v>
      </c>
      <c r="AK120">
        <f t="shared" si="175"/>
        <v>-2.3703952019820999E-2</v>
      </c>
      <c r="AL120">
        <f t="shared" si="176"/>
        <v>3.9254217550230806E-2</v>
      </c>
      <c r="AM120">
        <f t="shared" si="177"/>
        <v>-3.2232447908406917E-2</v>
      </c>
      <c r="AN120">
        <f t="shared" si="178"/>
        <v>-4.1152335289495329E-2</v>
      </c>
      <c r="AO120">
        <f t="shared" si="179"/>
        <v>-1.5827544493572113E-2</v>
      </c>
      <c r="AP120">
        <f t="shared" si="180"/>
        <v>3.7646722061453655E-2</v>
      </c>
      <c r="AQ120">
        <f t="shared" si="181"/>
        <v>-3.0997918912875653E-2</v>
      </c>
      <c r="AR120">
        <f t="shared" si="182"/>
        <v>-3.8601508164513784E-2</v>
      </c>
      <c r="AS120">
        <f t="shared" si="183"/>
        <v>-6.3722306559176331E-3</v>
      </c>
      <c r="AT120">
        <f t="shared" si="184"/>
        <v>3.834541014424394E-2</v>
      </c>
      <c r="AU120">
        <f t="shared" si="185"/>
        <v>-3.2172967470338286E-2</v>
      </c>
      <c r="AV120">
        <f t="shared" si="186"/>
        <v>-4.08415484257506E-2</v>
      </c>
      <c r="AW120">
        <f t="shared" si="187"/>
        <v>-8.7925049539126429E-3</v>
      </c>
      <c r="AX120">
        <f t="shared" si="188"/>
        <v>3.8736121465630956E-2</v>
      </c>
      <c r="AY120">
        <f t="shared" si="189"/>
        <v>-3.3517573886374219E-2</v>
      </c>
      <c r="AZ120">
        <f t="shared" si="190"/>
        <v>-4.274343236001299E-2</v>
      </c>
      <c r="BA120">
        <f t="shared" si="191"/>
        <v>-1.1244022201808175E-2</v>
      </c>
    </row>
    <row r="121" spans="1:53" ht="14.4" x14ac:dyDescent="0.55000000000000004">
      <c r="A121" s="4">
        <v>42704</v>
      </c>
      <c r="B121">
        <v>3.8281222395338398E-2</v>
      </c>
      <c r="C121">
        <v>-3.1942557823032597E-2</v>
      </c>
      <c r="D121">
        <v>-2.7764925864035599E-2</v>
      </c>
      <c r="E121">
        <v>-1.30871456335488E-2</v>
      </c>
      <c r="F121">
        <f t="shared" si="144"/>
        <v>3.9349533140912323E-2</v>
      </c>
      <c r="G121">
        <f t="shared" si="145"/>
        <v>-3.2493214395255057E-2</v>
      </c>
      <c r="H121">
        <f t="shared" si="146"/>
        <v>-3.3549123805234053E-2</v>
      </c>
      <c r="I121">
        <f t="shared" si="147"/>
        <v>-3.4900253667359202E-2</v>
      </c>
      <c r="J121">
        <f t="shared" si="148"/>
        <v>3.7391976419872512E-2</v>
      </c>
      <c r="K121">
        <f t="shared" si="149"/>
        <v>-3.1035796460254627E-2</v>
      </c>
      <c r="L121">
        <f t="shared" si="150"/>
        <v>-3.3095739729602558E-2</v>
      </c>
      <c r="M121">
        <f t="shared" si="151"/>
        <v>-3.3830101912346151E-2</v>
      </c>
      <c r="N121">
        <f t="shared" si="152"/>
        <v>3.6175814702875217E-2</v>
      </c>
      <c r="O121">
        <f t="shared" si="153"/>
        <v>-2.9589376585500267E-2</v>
      </c>
      <c r="P121">
        <f t="shared" si="154"/>
        <v>-3.1349765801635288E-2</v>
      </c>
      <c r="Q121">
        <f t="shared" si="155"/>
        <v>-2.8712244398497375E-2</v>
      </c>
      <c r="R121">
        <f t="shared" si="156"/>
        <v>3.800752354511916E-2</v>
      </c>
      <c r="S121">
        <f t="shared" si="157"/>
        <v>-3.1147077910983909E-2</v>
      </c>
      <c r="T121">
        <f t="shared" si="158"/>
        <v>-3.4690900865389236E-2</v>
      </c>
      <c r="U121">
        <f t="shared" si="159"/>
        <v>-3.3506598239606951E-2</v>
      </c>
      <c r="V121">
        <f t="shared" si="160"/>
        <v>4.003149487578362E-2</v>
      </c>
      <c r="W121">
        <f t="shared" si="161"/>
        <v>-3.282724338641349E-2</v>
      </c>
      <c r="X121">
        <f t="shared" si="162"/>
        <v>-3.9100662547140771E-2</v>
      </c>
      <c r="Y121">
        <f t="shared" si="163"/>
        <v>-3.5934666801483529E-2</v>
      </c>
      <c r="Z121">
        <f t="shared" si="164"/>
        <v>3.9293769742934158E-2</v>
      </c>
      <c r="AA121">
        <f t="shared" si="165"/>
        <v>-3.1321146396282418E-2</v>
      </c>
      <c r="AB121">
        <f t="shared" si="166"/>
        <v>-3.7480600576634278E-2</v>
      </c>
      <c r="AC121">
        <f t="shared" si="167"/>
        <v>-2.4013847444071985E-2</v>
      </c>
      <c r="AD121">
        <f t="shared" si="168"/>
        <v>3.9568227456070408E-2</v>
      </c>
      <c r="AE121">
        <f t="shared" si="169"/>
        <v>-3.2416060048193446E-2</v>
      </c>
      <c r="AF121">
        <f t="shared" si="170"/>
        <v>-3.9811020980419352E-2</v>
      </c>
      <c r="AG121">
        <f t="shared" si="171"/>
        <v>-2.2634471756003929E-2</v>
      </c>
      <c r="AH121">
        <f t="shared" si="172"/>
        <v>3.9402003179736252E-2</v>
      </c>
      <c r="AI121">
        <f t="shared" si="173"/>
        <v>-3.2505639671291602E-2</v>
      </c>
      <c r="AJ121">
        <f t="shared" si="174"/>
        <v>-4.0608185752131286E-2</v>
      </c>
      <c r="AK121">
        <f t="shared" si="175"/>
        <v>-2.0974347657707892E-2</v>
      </c>
      <c r="AL121">
        <f t="shared" si="176"/>
        <v>3.9943864761661271E-2</v>
      </c>
      <c r="AM121">
        <f t="shared" si="177"/>
        <v>-3.2459435629593289E-2</v>
      </c>
      <c r="AN121">
        <f t="shared" si="178"/>
        <v>-4.1440043183088152E-2</v>
      </c>
      <c r="AO121">
        <f t="shared" si="179"/>
        <v>-2.2411340579926716E-2</v>
      </c>
      <c r="AP121">
        <f t="shared" si="180"/>
        <v>3.9303120926333888E-2</v>
      </c>
      <c r="AQ121">
        <f t="shared" si="181"/>
        <v>-3.2322289161837672E-2</v>
      </c>
      <c r="AR121">
        <f t="shared" si="182"/>
        <v>-4.1563580591342228E-2</v>
      </c>
      <c r="AS121">
        <f t="shared" si="183"/>
        <v>-1.5111360109876182E-2</v>
      </c>
      <c r="AT121">
        <f t="shared" si="184"/>
        <v>3.782328706788235E-2</v>
      </c>
      <c r="AU121">
        <f t="shared" si="185"/>
        <v>-3.1235199998315033E-2</v>
      </c>
      <c r="AV121">
        <f t="shared" si="186"/>
        <v>-3.9322601760026499E-2</v>
      </c>
      <c r="AW121">
        <f t="shared" si="187"/>
        <v>-6.3411848452745506E-3</v>
      </c>
      <c r="AX121">
        <f t="shared" si="188"/>
        <v>3.8472520912881551E-2</v>
      </c>
      <c r="AY121">
        <f t="shared" si="189"/>
        <v>-3.2341185913284366E-2</v>
      </c>
      <c r="AZ121">
        <f t="shared" si="190"/>
        <v>-4.1368287005382358E-2</v>
      </c>
      <c r="BA121">
        <f t="shared" si="191"/>
        <v>-8.6312848745856516E-3</v>
      </c>
    </row>
    <row r="122" spans="1:53" ht="14.4" thickBot="1" x14ac:dyDescent="0.55000000000000004">
      <c r="A122" s="6">
        <v>42732</v>
      </c>
      <c r="B122" s="7">
        <v>3.6972173047363402E-2</v>
      </c>
      <c r="C122" s="7">
        <v>-3.0961514666616199E-2</v>
      </c>
      <c r="D122" s="7">
        <v>-2.2993008807461201E-2</v>
      </c>
      <c r="E122" s="7">
        <v>-7.0540348055155803E-3</v>
      </c>
      <c r="F122">
        <f t="shared" si="144"/>
        <v>3.7370104751269131E-2</v>
      </c>
      <c r="G122">
        <f t="shared" si="145"/>
        <v>-3.0603737214083312E-2</v>
      </c>
      <c r="H122">
        <f t="shared" si="146"/>
        <v>-2.9054231021196673E-2</v>
      </c>
      <c r="I122">
        <f t="shared" si="147"/>
        <v>-9.9079711601020512E-3</v>
      </c>
      <c r="J122">
        <f t="shared" si="148"/>
        <v>3.9009385620366981E-2</v>
      </c>
      <c r="K122">
        <f t="shared" si="149"/>
        <v>-3.1822129421726776E-2</v>
      </c>
      <c r="L122">
        <f t="shared" si="150"/>
        <v>-3.4283510883134437E-2</v>
      </c>
      <c r="M122">
        <f t="shared" si="151"/>
        <v>-3.1961306181290283E-2</v>
      </c>
      <c r="N122">
        <f t="shared" si="152"/>
        <v>3.761688585478401E-2</v>
      </c>
      <c r="O122">
        <f t="shared" si="153"/>
        <v>-3.100342554849914E-2</v>
      </c>
      <c r="P122">
        <f t="shared" si="154"/>
        <v>-3.3977525507871614E-2</v>
      </c>
      <c r="Q122">
        <f t="shared" si="155"/>
        <v>-3.2126100643550225E-2</v>
      </c>
      <c r="R122">
        <f t="shared" si="156"/>
        <v>3.6600358092896759E-2</v>
      </c>
      <c r="S122">
        <f t="shared" si="157"/>
        <v>-2.9817062571929093E-2</v>
      </c>
      <c r="T122">
        <f t="shared" si="158"/>
        <v>-3.2443608554020405E-2</v>
      </c>
      <c r="U122">
        <f t="shared" si="159"/>
        <v>-2.7630604247063512E-2</v>
      </c>
      <c r="V122">
        <f t="shared" si="160"/>
        <v>3.8206211984032824E-2</v>
      </c>
      <c r="W122">
        <f t="shared" si="161"/>
        <v>-3.1152121091242997E-2</v>
      </c>
      <c r="X122">
        <f t="shared" si="162"/>
        <v>-3.5444961221833576E-2</v>
      </c>
      <c r="Y122">
        <f t="shared" si="163"/>
        <v>-3.1830228391657639E-2</v>
      </c>
      <c r="Z122">
        <f t="shared" si="164"/>
        <v>3.9998339027956777E-2</v>
      </c>
      <c r="AA122">
        <f t="shared" si="165"/>
        <v>-3.2645108243954328E-2</v>
      </c>
      <c r="AB122">
        <f t="shared" si="166"/>
        <v>-3.9455520936445672E-2</v>
      </c>
      <c r="AC122">
        <f t="shared" si="167"/>
        <v>-3.3830168704663328E-2</v>
      </c>
      <c r="AD122">
        <f t="shared" si="168"/>
        <v>3.9243207780156802E-2</v>
      </c>
      <c r="AE122">
        <f t="shared" si="169"/>
        <v>-3.123097713209547E-2</v>
      </c>
      <c r="AF122">
        <f t="shared" si="170"/>
        <v>-3.8059903177230354E-2</v>
      </c>
      <c r="AG122">
        <f t="shared" si="171"/>
        <v>-2.2451840089818847E-2</v>
      </c>
      <c r="AH122">
        <f t="shared" si="172"/>
        <v>3.9521808885388081E-2</v>
      </c>
      <c r="AI122">
        <f t="shared" si="173"/>
        <v>-3.2325854634608409E-2</v>
      </c>
      <c r="AJ122">
        <f t="shared" si="174"/>
        <v>-4.0239414874952834E-2</v>
      </c>
      <c r="AK122">
        <f t="shared" si="175"/>
        <v>-2.1275905338093808E-2</v>
      </c>
      <c r="AL122">
        <f t="shared" si="176"/>
        <v>3.9428497726171192E-2</v>
      </c>
      <c r="AM122">
        <f t="shared" si="177"/>
        <v>-3.2511433863311075E-2</v>
      </c>
      <c r="AN122">
        <f t="shared" si="178"/>
        <v>-4.1008359242722725E-2</v>
      </c>
      <c r="AO122">
        <f t="shared" si="179"/>
        <v>-1.990155776953615E-2</v>
      </c>
      <c r="AP122">
        <f t="shared" si="180"/>
        <v>3.9941194801136358E-2</v>
      </c>
      <c r="AQ122">
        <f t="shared" si="181"/>
        <v>-3.2477786034406722E-2</v>
      </c>
      <c r="AR122">
        <f t="shared" si="182"/>
        <v>-4.1751331399824843E-2</v>
      </c>
      <c r="AS122">
        <f t="shared" si="183"/>
        <v>-2.1226078841469452E-2</v>
      </c>
      <c r="AT122">
        <f t="shared" si="184"/>
        <v>3.9354884378451534E-2</v>
      </c>
      <c r="AU122">
        <f t="shared" si="185"/>
        <v>-3.2425634913987408E-2</v>
      </c>
      <c r="AV122">
        <f t="shared" si="186"/>
        <v>-4.1951818668145416E-2</v>
      </c>
      <c r="AW122">
        <f t="shared" si="187"/>
        <v>-1.4460335409310927E-2</v>
      </c>
      <c r="AX122">
        <f t="shared" si="188"/>
        <v>3.7995901714126833E-2</v>
      </c>
      <c r="AY122">
        <f t="shared" si="189"/>
        <v>-3.1477203762668216E-2</v>
      </c>
      <c r="AZ122">
        <f t="shared" si="190"/>
        <v>-3.9989840043712123E-2</v>
      </c>
      <c r="BA122">
        <f t="shared" si="191"/>
        <v>-6.3371508311442903E-3</v>
      </c>
    </row>
    <row r="123" spans="1:53" ht="14.4" x14ac:dyDescent="0.55000000000000004">
      <c r="A123" s="1">
        <v>42760</v>
      </c>
      <c r="B123">
        <v>3.6788029974677103E-2</v>
      </c>
      <c r="C123">
        <v>-3.0626389551929499E-2</v>
      </c>
      <c r="D123">
        <v>-2.4422414984739901E-2</v>
      </c>
      <c r="E123">
        <v>-6.0465804532164802E-3</v>
      </c>
      <c r="F123">
        <f t="shared" si="144"/>
        <v>3.5954136842839803E-2</v>
      </c>
      <c r="G123">
        <f t="shared" si="145"/>
        <v>-2.9425889686730461E-2</v>
      </c>
      <c r="H123">
        <f t="shared" si="146"/>
        <v>-2.4685482537157979E-2</v>
      </c>
      <c r="I123">
        <f t="shared" si="147"/>
        <v>-3.7746733747751633E-3</v>
      </c>
      <c r="J123">
        <f t="shared" si="148"/>
        <v>3.6874289951292688E-2</v>
      </c>
      <c r="K123">
        <f t="shared" si="149"/>
        <v>-2.9839850264569021E-2</v>
      </c>
      <c r="L123">
        <f t="shared" si="150"/>
        <v>-3.0342899302941245E-2</v>
      </c>
      <c r="M123">
        <f t="shared" si="151"/>
        <v>-7.8313741037663379E-3</v>
      </c>
      <c r="N123">
        <f t="shared" si="152"/>
        <v>3.883352322237589E-2</v>
      </c>
      <c r="O123">
        <f t="shared" si="153"/>
        <v>-3.1406757773759286E-2</v>
      </c>
      <c r="P123">
        <f t="shared" si="154"/>
        <v>-3.5014979869561313E-2</v>
      </c>
      <c r="Q123">
        <f t="shared" si="155"/>
        <v>-2.955991965801974E-2</v>
      </c>
      <c r="R123">
        <f t="shared" si="156"/>
        <v>3.7838469399666855E-2</v>
      </c>
      <c r="S123">
        <f t="shared" si="157"/>
        <v>-3.1014794673337041E-2</v>
      </c>
      <c r="T123">
        <f t="shared" si="158"/>
        <v>-3.4805632516936247E-2</v>
      </c>
      <c r="U123">
        <f t="shared" si="159"/>
        <v>-3.0546139952719632E-2</v>
      </c>
      <c r="V123">
        <f t="shared" si="160"/>
        <v>3.6976195211662739E-2</v>
      </c>
      <c r="W123">
        <f t="shared" si="161"/>
        <v>-3.0029300780149433E-2</v>
      </c>
      <c r="X123">
        <f t="shared" si="162"/>
        <v>-3.3454805510316696E-2</v>
      </c>
      <c r="Y123">
        <f t="shared" si="163"/>
        <v>-2.6553410236290181E-2</v>
      </c>
      <c r="Z123">
        <f t="shared" si="164"/>
        <v>3.8393418841010968E-2</v>
      </c>
      <c r="AA123">
        <f t="shared" si="165"/>
        <v>-3.1183963696983702E-2</v>
      </c>
      <c r="AB123">
        <f t="shared" si="166"/>
        <v>-3.6154093114408002E-2</v>
      </c>
      <c r="AC123">
        <f t="shared" si="167"/>
        <v>-3.0254369775537131E-2</v>
      </c>
      <c r="AD123">
        <f t="shared" si="168"/>
        <v>3.9986459387060941E-2</v>
      </c>
      <c r="AE123">
        <f t="shared" si="169"/>
        <v>-3.2521346796674018E-2</v>
      </c>
      <c r="AF123">
        <f t="shared" si="170"/>
        <v>-3.9805787134385415E-2</v>
      </c>
      <c r="AG123">
        <f t="shared" si="171"/>
        <v>-3.1901498984633854E-2</v>
      </c>
      <c r="AH123">
        <f t="shared" si="172"/>
        <v>3.9238034027756323E-2</v>
      </c>
      <c r="AI123">
        <f t="shared" si="173"/>
        <v>-3.1220351284833553E-2</v>
      </c>
      <c r="AJ123">
        <f t="shared" si="174"/>
        <v>-3.8617988785318906E-2</v>
      </c>
      <c r="AK123">
        <f t="shared" si="175"/>
        <v>-2.1097962826477631E-2</v>
      </c>
      <c r="AL123">
        <f t="shared" si="176"/>
        <v>3.9510005055434012E-2</v>
      </c>
      <c r="AM123">
        <f t="shared" si="177"/>
        <v>-3.2298272070749486E-2</v>
      </c>
      <c r="AN123">
        <f t="shared" si="178"/>
        <v>-4.065408239826656E-2</v>
      </c>
      <c r="AO123">
        <f t="shared" si="179"/>
        <v>-2.0084576260918679E-2</v>
      </c>
      <c r="AP123">
        <f t="shared" si="180"/>
        <v>3.9464637194607709E-2</v>
      </c>
      <c r="AQ123">
        <f t="shared" si="181"/>
        <v>-3.2545703260753005E-2</v>
      </c>
      <c r="AR123">
        <f t="shared" si="182"/>
        <v>-4.1390187955263037E-2</v>
      </c>
      <c r="AS123">
        <f t="shared" si="183"/>
        <v>-1.8926637400665081E-2</v>
      </c>
      <c r="AT123">
        <f t="shared" si="184"/>
        <v>3.9944232915391557E-2</v>
      </c>
      <c r="AU123">
        <f t="shared" si="185"/>
        <v>-3.2516057213677237E-2</v>
      </c>
      <c r="AV123">
        <f t="shared" si="186"/>
        <v>-4.205190249784227E-2</v>
      </c>
      <c r="AW123">
        <f t="shared" si="187"/>
        <v>-2.0133266952417184E-2</v>
      </c>
      <c r="AX123">
        <f t="shared" si="188"/>
        <v>3.9406551623695038E-2</v>
      </c>
      <c r="AY123">
        <f t="shared" si="189"/>
        <v>-3.2537270911676498E-2</v>
      </c>
      <c r="AZ123">
        <f t="shared" si="190"/>
        <v>-4.2317779223007251E-2</v>
      </c>
      <c r="BA123">
        <f t="shared" si="191"/>
        <v>-1.3863739699906777E-2</v>
      </c>
    </row>
    <row r="124" spans="1:53" ht="14.4" x14ac:dyDescent="0.55000000000000004">
      <c r="A124" s="1">
        <v>42788</v>
      </c>
      <c r="B124">
        <v>3.8197342344677102E-2</v>
      </c>
      <c r="C124">
        <v>-3.14981047171254E-2</v>
      </c>
      <c r="D124">
        <v>-2.57237086627486E-2</v>
      </c>
      <c r="E124">
        <v>-1.3619536507237301E-2</v>
      </c>
      <c r="F124">
        <f t="shared" si="144"/>
        <v>3.5957035499734495E-2</v>
      </c>
      <c r="G124">
        <f t="shared" si="145"/>
        <v>-2.935956191459228E-2</v>
      </c>
      <c r="H124">
        <f t="shared" si="146"/>
        <v>-2.6047176088942605E-2</v>
      </c>
      <c r="I124">
        <f t="shared" si="147"/>
        <v>-3.2792443531788245E-3</v>
      </c>
      <c r="J124">
        <f t="shared" si="148"/>
        <v>3.5431036391706687E-2</v>
      </c>
      <c r="K124">
        <f t="shared" si="149"/>
        <v>-2.857518632541884E-2</v>
      </c>
      <c r="L124">
        <f t="shared" si="150"/>
        <v>-2.636044116335105E-2</v>
      </c>
      <c r="M124">
        <f t="shared" si="151"/>
        <v>-1.7878800826962157E-3</v>
      </c>
      <c r="N124">
        <f t="shared" si="152"/>
        <v>3.6653730891465494E-2</v>
      </c>
      <c r="O124">
        <f t="shared" si="153"/>
        <v>-2.9463865700420498E-2</v>
      </c>
      <c r="P124">
        <f t="shared" si="154"/>
        <v>-3.1598385548164604E-2</v>
      </c>
      <c r="Q124">
        <f t="shared" si="155"/>
        <v>-6.503754738124019E-3</v>
      </c>
      <c r="R124">
        <f t="shared" si="156"/>
        <v>3.8765214581074688E-2</v>
      </c>
      <c r="S124">
        <f t="shared" si="157"/>
        <v>-3.1168687156973893E-2</v>
      </c>
      <c r="T124">
        <f t="shared" si="158"/>
        <v>-3.573000619280145E-2</v>
      </c>
      <c r="U124">
        <f t="shared" si="159"/>
        <v>-2.7548070356088139E-2</v>
      </c>
      <c r="V124">
        <f t="shared" si="160"/>
        <v>3.8050546873441872E-2</v>
      </c>
      <c r="W124">
        <f t="shared" si="161"/>
        <v>-3.1057201272425242E-2</v>
      </c>
      <c r="X124">
        <f t="shared" si="162"/>
        <v>-3.5582437183451762E-2</v>
      </c>
      <c r="Y124">
        <f t="shared" si="163"/>
        <v>-2.9068583435457686E-2</v>
      </c>
      <c r="Z124">
        <f t="shared" si="164"/>
        <v>3.7309541152901443E-2</v>
      </c>
      <c r="AA124">
        <f t="shared" si="165"/>
        <v>-3.022953480083582E-2</v>
      </c>
      <c r="AB124">
        <f t="shared" si="166"/>
        <v>-3.4391013803818704E-2</v>
      </c>
      <c r="AC124">
        <f t="shared" si="167"/>
        <v>-2.5490237550835557E-2</v>
      </c>
      <c r="AD124">
        <f t="shared" si="168"/>
        <v>3.8567020579525373E-2</v>
      </c>
      <c r="AE124">
        <f t="shared" si="169"/>
        <v>-3.1235722867675599E-2</v>
      </c>
      <c r="AF124">
        <f t="shared" si="170"/>
        <v>-3.6820824965291973E-2</v>
      </c>
      <c r="AG124">
        <f t="shared" si="171"/>
        <v>-2.8767493642522596E-2</v>
      </c>
      <c r="AH124">
        <f t="shared" si="172"/>
        <v>3.9987428847788137E-2</v>
      </c>
      <c r="AI124">
        <f t="shared" si="173"/>
        <v>-3.2441831427340015E-2</v>
      </c>
      <c r="AJ124">
        <f t="shared" si="174"/>
        <v>-4.014913406688727E-2</v>
      </c>
      <c r="AK124">
        <f t="shared" si="175"/>
        <v>-3.0121486631466063E-2</v>
      </c>
      <c r="AL124">
        <f t="shared" si="176"/>
        <v>3.9260912194754978E-2</v>
      </c>
      <c r="AM124">
        <f t="shared" si="177"/>
        <v>-3.1264152957120796E-2</v>
      </c>
      <c r="AN124">
        <f t="shared" si="178"/>
        <v>-3.9151907990121457E-2</v>
      </c>
      <c r="AO124">
        <f t="shared" si="179"/>
        <v>-1.9903710399705572E-2</v>
      </c>
      <c r="AP124">
        <f t="shared" si="180"/>
        <v>3.9519760381237348E-2</v>
      </c>
      <c r="AQ124">
        <f t="shared" si="181"/>
        <v>-3.2314198421917253E-2</v>
      </c>
      <c r="AR124">
        <f t="shared" si="182"/>
        <v>-4.1052560392938552E-2</v>
      </c>
      <c r="AS124">
        <f t="shared" si="183"/>
        <v>-1.9023507693855461E-2</v>
      </c>
      <c r="AT124">
        <f t="shared" si="184"/>
        <v>3.9505280706202003E-2</v>
      </c>
      <c r="AU124">
        <f t="shared" si="185"/>
        <v>-3.2599879554881021E-2</v>
      </c>
      <c r="AV124">
        <f t="shared" si="186"/>
        <v>-4.1753464394763157E-2</v>
      </c>
      <c r="AW124">
        <f t="shared" si="187"/>
        <v>-1.803277301420933E-2</v>
      </c>
      <c r="AX124">
        <f t="shared" si="188"/>
        <v>3.995023681835267E-2</v>
      </c>
      <c r="AY124">
        <f t="shared" si="189"/>
        <v>-3.2569063941037535E-2</v>
      </c>
      <c r="AZ124">
        <f t="shared" si="190"/>
        <v>-4.2341379433250316E-2</v>
      </c>
      <c r="BA124">
        <f t="shared" si="191"/>
        <v>-1.9121714562329768E-2</v>
      </c>
    </row>
    <row r="125" spans="1:53" ht="14.4" x14ac:dyDescent="0.55000000000000004">
      <c r="A125" s="1">
        <v>42823</v>
      </c>
      <c r="B125">
        <v>3.8293980188769498E-2</v>
      </c>
      <c r="C125">
        <v>-2.9811931130246001E-2</v>
      </c>
      <c r="D125">
        <v>-2.5236464254791199E-2</v>
      </c>
      <c r="E125">
        <v>-1.6346952230173E-2</v>
      </c>
      <c r="F125">
        <f t="shared" si="144"/>
        <v>3.718093151296134E-2</v>
      </c>
      <c r="G125">
        <f t="shared" si="145"/>
        <v>-3.001700800052649E-2</v>
      </c>
      <c r="H125">
        <f t="shared" si="146"/>
        <v>-2.7138864666767591E-2</v>
      </c>
      <c r="I125">
        <f t="shared" si="147"/>
        <v>-1.0091350139278431E-2</v>
      </c>
      <c r="J125">
        <f t="shared" si="148"/>
        <v>3.5551239681211252E-2</v>
      </c>
      <c r="K125">
        <f t="shared" si="149"/>
        <v>-2.8683362804662962E-2</v>
      </c>
      <c r="L125">
        <f t="shared" si="150"/>
        <v>-2.7643672538562737E-2</v>
      </c>
      <c r="M125">
        <f t="shared" si="151"/>
        <v>-1.6274404878285397E-3</v>
      </c>
      <c r="N125">
        <f t="shared" si="152"/>
        <v>3.5234150706472213E-2</v>
      </c>
      <c r="O125">
        <f t="shared" si="153"/>
        <v>-2.8184195626387607E-2</v>
      </c>
      <c r="P125">
        <f t="shared" si="154"/>
        <v>-2.7980252272006831E-2</v>
      </c>
      <c r="Q125">
        <f t="shared" si="155"/>
        <v>-6.6885537242343052E-4</v>
      </c>
      <c r="R125">
        <f t="shared" si="156"/>
        <v>3.6612347125643818E-2</v>
      </c>
      <c r="S125">
        <f t="shared" si="157"/>
        <v>-2.9346681794505728E-2</v>
      </c>
      <c r="T125">
        <f t="shared" si="158"/>
        <v>-3.2800936845923508E-2</v>
      </c>
      <c r="U125">
        <f t="shared" si="159"/>
        <v>-5.6815010212439071E-3</v>
      </c>
      <c r="V125">
        <f t="shared" si="160"/>
        <v>3.8765692850961632E-2</v>
      </c>
      <c r="W125">
        <f t="shared" si="161"/>
        <v>-3.1053375664167937E-2</v>
      </c>
      <c r="X125">
        <f t="shared" si="162"/>
        <v>-3.6420312093835054E-2</v>
      </c>
      <c r="Y125">
        <f t="shared" si="163"/>
        <v>-2.5822824907149926E-2</v>
      </c>
      <c r="Z125">
        <f t="shared" si="164"/>
        <v>3.8249558131529082E-2</v>
      </c>
      <c r="AA125">
        <f t="shared" si="165"/>
        <v>-3.1121748423390418E-2</v>
      </c>
      <c r="AB125">
        <f t="shared" si="166"/>
        <v>-3.6310712023324497E-2</v>
      </c>
      <c r="AC125">
        <f t="shared" si="167"/>
        <v>-2.7678520424263102E-2</v>
      </c>
      <c r="AD125">
        <f t="shared" si="168"/>
        <v>3.7605590600819416E-2</v>
      </c>
      <c r="AE125">
        <f t="shared" si="169"/>
        <v>-3.0420261786032386E-2</v>
      </c>
      <c r="AF125">
        <f t="shared" si="170"/>
        <v>-3.5259012466106805E-2</v>
      </c>
      <c r="AG125">
        <f t="shared" si="171"/>
        <v>-2.4448287537410903E-2</v>
      </c>
      <c r="AH125">
        <f t="shared" si="172"/>
        <v>3.8726127664553724E-2</v>
      </c>
      <c r="AI125">
        <f t="shared" si="173"/>
        <v>-3.1302466076525391E-2</v>
      </c>
      <c r="AJ125">
        <f t="shared" si="174"/>
        <v>-3.7447757371475064E-2</v>
      </c>
      <c r="AK125">
        <f t="shared" si="175"/>
        <v>-2.7361352157258621E-2</v>
      </c>
      <c r="AL125">
        <f t="shared" si="176"/>
        <v>3.9995621155734712E-2</v>
      </c>
      <c r="AM125">
        <f t="shared" si="177"/>
        <v>-3.2396349310554268E-2</v>
      </c>
      <c r="AN125">
        <f t="shared" si="178"/>
        <v>-4.0484079392606551E-2</v>
      </c>
      <c r="AO125">
        <f t="shared" si="179"/>
        <v>-2.8470174052416069E-2</v>
      </c>
      <c r="AP125">
        <f t="shared" si="180"/>
        <v>3.9300159659867773E-2</v>
      </c>
      <c r="AQ125">
        <f t="shared" si="181"/>
        <v>-3.1344886233272667E-2</v>
      </c>
      <c r="AR125">
        <f t="shared" si="182"/>
        <v>-3.9660270790267016E-2</v>
      </c>
      <c r="AS125">
        <f t="shared" si="183"/>
        <v>-1.883491998340282E-2</v>
      </c>
      <c r="AT125">
        <f t="shared" si="184"/>
        <v>3.9542267995730421E-2</v>
      </c>
      <c r="AU125">
        <f t="shared" si="185"/>
        <v>-3.2360260642671133E-2</v>
      </c>
      <c r="AV125">
        <f t="shared" si="186"/>
        <v>-4.1433578552252409E-2</v>
      </c>
      <c r="AW125">
        <f t="shared" si="187"/>
        <v>-1.806651601080415E-2</v>
      </c>
      <c r="AX125">
        <f t="shared" si="188"/>
        <v>3.9547093569112228E-2</v>
      </c>
      <c r="AY125">
        <f t="shared" si="189"/>
        <v>-3.2667920206425928E-2</v>
      </c>
      <c r="AZ125">
        <f t="shared" si="190"/>
        <v>-4.2098424819740958E-2</v>
      </c>
      <c r="BA125">
        <f t="shared" si="191"/>
        <v>-1.7207825673971833E-2</v>
      </c>
    </row>
    <row r="126" spans="1:53" ht="14.4" x14ac:dyDescent="0.55000000000000004">
      <c r="A126" s="1">
        <v>42851</v>
      </c>
      <c r="B126">
        <v>4.2078362721222798E-2</v>
      </c>
      <c r="C126">
        <v>-3.2133028190651801E-2</v>
      </c>
      <c r="D126">
        <v>-2.9579062437202101E-2</v>
      </c>
      <c r="E126">
        <v>-3.0504159206895101E-2</v>
      </c>
      <c r="F126">
        <f t="shared" si="144"/>
        <v>3.7428282559385476E-2</v>
      </c>
      <c r="G126">
        <f t="shared" si="145"/>
        <v>-2.8610037618041855E-2</v>
      </c>
      <c r="H126">
        <f t="shared" si="146"/>
        <v>-2.6665166651635295E-2</v>
      </c>
      <c r="I126">
        <f t="shared" si="147"/>
        <v>-1.2935074389617095E-2</v>
      </c>
      <c r="J126">
        <f t="shared" si="148"/>
        <v>3.6624843506850392E-2</v>
      </c>
      <c r="K126">
        <f t="shared" si="149"/>
        <v>-2.9172264001602635E-2</v>
      </c>
      <c r="L126">
        <f t="shared" si="150"/>
        <v>-2.8554522254179111E-2</v>
      </c>
      <c r="M126">
        <f t="shared" si="151"/>
        <v>-7.7850173187625294E-3</v>
      </c>
      <c r="N126">
        <f t="shared" si="152"/>
        <v>3.5424395694515658E-2</v>
      </c>
      <c r="O126">
        <f t="shared" si="153"/>
        <v>-2.8402317115848265E-2</v>
      </c>
      <c r="P126">
        <f t="shared" si="154"/>
        <v>-2.9180325340665045E-2</v>
      </c>
      <c r="Q126">
        <f t="shared" si="155"/>
        <v>-7.2264301101506432E-4</v>
      </c>
      <c r="R126">
        <f t="shared" si="156"/>
        <v>3.5247875199792736E-2</v>
      </c>
      <c r="S126">
        <f t="shared" si="157"/>
        <v>-2.8097688115606017E-2</v>
      </c>
      <c r="T126">
        <f t="shared" si="158"/>
        <v>-2.9522591429348894E-2</v>
      </c>
      <c r="U126">
        <f t="shared" si="159"/>
        <v>-1.2562407029242451E-4</v>
      </c>
      <c r="V126">
        <f t="shared" si="160"/>
        <v>3.6684510299735941E-2</v>
      </c>
      <c r="W126">
        <f t="shared" si="161"/>
        <v>-2.9399397330563553E-2</v>
      </c>
      <c r="X126">
        <f t="shared" si="162"/>
        <v>-3.3939432061061883E-2</v>
      </c>
      <c r="Y126">
        <f t="shared" si="163"/>
        <v>-5.1972272923897249E-3</v>
      </c>
      <c r="Z126">
        <f t="shared" si="164"/>
        <v>3.8808617855998498E-2</v>
      </c>
      <c r="AA126">
        <f t="shared" si="165"/>
        <v>-3.1022873633111955E-2</v>
      </c>
      <c r="AB126">
        <f t="shared" si="166"/>
        <v>-3.7081163546788906E-2</v>
      </c>
      <c r="AC126">
        <f t="shared" si="167"/>
        <v>-2.4312507798676886E-2</v>
      </c>
      <c r="AD126">
        <f t="shared" si="168"/>
        <v>3.8433692797010949E-2</v>
      </c>
      <c r="AE126">
        <f t="shared" si="169"/>
        <v>-3.120217713289665E-2</v>
      </c>
      <c r="AF126">
        <f t="shared" si="170"/>
        <v>-3.6993396969021548E-2</v>
      </c>
      <c r="AG126">
        <f t="shared" si="171"/>
        <v>-2.6365596714038944E-2</v>
      </c>
      <c r="AH126">
        <f t="shared" si="172"/>
        <v>3.78687432831179E-2</v>
      </c>
      <c r="AI126">
        <f t="shared" si="173"/>
        <v>-3.060329756292849E-2</v>
      </c>
      <c r="AJ126">
        <f t="shared" si="174"/>
        <v>-3.6064830923640032E-2</v>
      </c>
      <c r="AK126">
        <f t="shared" si="175"/>
        <v>-2.3432955404280656E-2</v>
      </c>
      <c r="AL126">
        <f t="shared" si="176"/>
        <v>3.8870650645412778E-2</v>
      </c>
      <c r="AM126">
        <f t="shared" si="177"/>
        <v>-3.1380618068017251E-2</v>
      </c>
      <c r="AN126">
        <f t="shared" si="178"/>
        <v>-3.8037460797797455E-2</v>
      </c>
      <c r="AO126">
        <f t="shared" si="179"/>
        <v>-2.6029897027941659E-2</v>
      </c>
      <c r="AP126">
        <f t="shared" si="180"/>
        <v>4.0007333552569663E-2</v>
      </c>
      <c r="AQ126">
        <f t="shared" si="181"/>
        <v>-3.2377436247311292E-2</v>
      </c>
      <c r="AR126">
        <f t="shared" si="182"/>
        <v>-4.080971624801135E-2</v>
      </c>
      <c r="AS126">
        <f t="shared" si="183"/>
        <v>-2.6932624992270011E-2</v>
      </c>
      <c r="AT126">
        <f t="shared" si="184"/>
        <v>3.9347988327040617E-2</v>
      </c>
      <c r="AU126">
        <f t="shared" si="185"/>
        <v>-3.1450354554803411E-2</v>
      </c>
      <c r="AV126">
        <f t="shared" si="186"/>
        <v>-4.0142714622432442E-2</v>
      </c>
      <c r="AW126">
        <f t="shared" si="187"/>
        <v>-1.7867372588911759E-2</v>
      </c>
      <c r="AX126">
        <f t="shared" si="188"/>
        <v>3.9571648399592721E-2</v>
      </c>
      <c r="AY126">
        <f t="shared" si="189"/>
        <v>-3.2427082642609587E-2</v>
      </c>
      <c r="AZ126">
        <f t="shared" si="190"/>
        <v>-4.1796658217165633E-2</v>
      </c>
      <c r="BA126">
        <f t="shared" si="191"/>
        <v>-1.7194906947861653E-2</v>
      </c>
    </row>
    <row r="127" spans="1:53" ht="14.4" x14ac:dyDescent="0.55000000000000004">
      <c r="A127" s="1">
        <v>42886</v>
      </c>
      <c r="B127">
        <v>4.1006227734247697E-2</v>
      </c>
      <c r="C127">
        <v>-2.9546092684003399E-2</v>
      </c>
      <c r="D127">
        <v>-3.0466537010882502E-2</v>
      </c>
      <c r="E127">
        <v>-3.08288702510012E-2</v>
      </c>
      <c r="F127">
        <f t="shared" si="144"/>
        <v>4.0684587231894297E-2</v>
      </c>
      <c r="G127">
        <f t="shared" si="145"/>
        <v>-3.0382679400870038E-2</v>
      </c>
      <c r="H127">
        <f t="shared" si="146"/>
        <v>-3.0435424291099335E-2</v>
      </c>
      <c r="I127">
        <f t="shared" si="147"/>
        <v>-2.5368002669131084E-2</v>
      </c>
      <c r="J127">
        <f t="shared" si="148"/>
        <v>3.6961276419223997E-2</v>
      </c>
      <c r="K127">
        <f t="shared" si="149"/>
        <v>-2.7960978066754998E-2</v>
      </c>
      <c r="L127">
        <f t="shared" si="150"/>
        <v>-2.8083310162465958E-2</v>
      </c>
      <c r="M127">
        <f t="shared" si="151"/>
        <v>-1.0611486043185504E-2</v>
      </c>
      <c r="N127">
        <f t="shared" si="152"/>
        <v>3.6374043043442696E-2</v>
      </c>
      <c r="O127">
        <f t="shared" si="153"/>
        <v>-2.8756887554467602E-2</v>
      </c>
      <c r="P127">
        <f t="shared" si="154"/>
        <v>-2.9934541447617723E-2</v>
      </c>
      <c r="Q127">
        <f t="shared" si="155"/>
        <v>-6.3090686134727276E-3</v>
      </c>
      <c r="R127">
        <f t="shared" si="156"/>
        <v>3.5476410775425606E-2</v>
      </c>
      <c r="S127">
        <f t="shared" si="157"/>
        <v>-2.8381783678696641E-2</v>
      </c>
      <c r="T127">
        <f t="shared" si="158"/>
        <v>-3.0638765099883117E-2</v>
      </c>
      <c r="U127">
        <f t="shared" si="159"/>
        <v>-3.1175587650482449E-4</v>
      </c>
      <c r="V127">
        <f t="shared" si="160"/>
        <v>3.5393381414267365E-2</v>
      </c>
      <c r="W127">
        <f t="shared" si="161"/>
        <v>-2.820897744775671E-2</v>
      </c>
      <c r="X127">
        <f t="shared" si="162"/>
        <v>-3.0975425074002413E-2</v>
      </c>
      <c r="Y127">
        <f t="shared" si="163"/>
        <v>4.1783498443406086E-5</v>
      </c>
      <c r="Z127">
        <f t="shared" si="164"/>
        <v>3.6825656618022118E-2</v>
      </c>
      <c r="AA127">
        <f t="shared" si="165"/>
        <v>-2.9560989532698746E-2</v>
      </c>
      <c r="AB127">
        <f t="shared" si="166"/>
        <v>-3.5008513284273547E-2</v>
      </c>
      <c r="AC127">
        <f t="shared" si="167"/>
        <v>-4.9363217791335342E-3</v>
      </c>
      <c r="AD127">
        <f t="shared" si="168"/>
        <v>3.8876230898539595E-2</v>
      </c>
      <c r="AE127">
        <f t="shared" si="169"/>
        <v>-3.1050763919569319E-2</v>
      </c>
      <c r="AF127">
        <f t="shared" si="170"/>
        <v>-3.7710196513747712E-2</v>
      </c>
      <c r="AG127">
        <f t="shared" si="171"/>
        <v>-2.2967096084341061E-2</v>
      </c>
      <c r="AH127">
        <f t="shared" si="172"/>
        <v>3.8602291915273784E-2</v>
      </c>
      <c r="AI127">
        <f t="shared" si="173"/>
        <v>-3.1294056753703885E-2</v>
      </c>
      <c r="AJ127">
        <f t="shared" si="174"/>
        <v>-3.7633451617057598E-2</v>
      </c>
      <c r="AK127">
        <f t="shared" si="175"/>
        <v>-2.5122523208254647E-2</v>
      </c>
      <c r="AL127">
        <f t="shared" si="176"/>
        <v>3.8102768945423596E-2</v>
      </c>
      <c r="AM127">
        <f t="shared" si="177"/>
        <v>-3.0779964837895968E-2</v>
      </c>
      <c r="AN127">
        <f t="shared" si="178"/>
        <v>-3.6813852497783267E-2</v>
      </c>
      <c r="AO127">
        <f t="shared" si="179"/>
        <v>-2.2448245519363034E-2</v>
      </c>
      <c r="AP127">
        <f t="shared" si="180"/>
        <v>3.9001003947723073E-2</v>
      </c>
      <c r="AQ127">
        <f t="shared" si="181"/>
        <v>-3.1467549901146918E-2</v>
      </c>
      <c r="AR127">
        <f t="shared" si="182"/>
        <v>-3.859241296072341E-2</v>
      </c>
      <c r="AS127">
        <f t="shared" si="183"/>
        <v>-2.4768540979221338E-2</v>
      </c>
      <c r="AT127">
        <f t="shared" si="184"/>
        <v>4.0020178946423617E-2</v>
      </c>
      <c r="AU127">
        <f t="shared" si="185"/>
        <v>-3.2379564543179022E-2</v>
      </c>
      <c r="AV127">
        <f t="shared" si="186"/>
        <v>-4.1125527884927335E-2</v>
      </c>
      <c r="AW127">
        <f t="shared" si="187"/>
        <v>-2.5497404890436157E-2</v>
      </c>
      <c r="AX127">
        <f t="shared" si="188"/>
        <v>3.9399284757179596E-2</v>
      </c>
      <c r="AY127">
        <f t="shared" si="189"/>
        <v>-3.1572047520429213E-2</v>
      </c>
      <c r="AZ127">
        <f t="shared" si="190"/>
        <v>-4.0599540064980434E-2</v>
      </c>
      <c r="BA127">
        <f t="shared" si="191"/>
        <v>-1.6983741164079153E-2</v>
      </c>
    </row>
    <row r="128" spans="1:53" ht="14.4" x14ac:dyDescent="0.55000000000000004">
      <c r="A128" s="1">
        <v>42914</v>
      </c>
      <c r="B128">
        <v>3.6208980288204198E-2</v>
      </c>
      <c r="C128">
        <v>-2.4183871878813601E-2</v>
      </c>
      <c r="D128">
        <v>-2.65998659496464E-2</v>
      </c>
      <c r="E128">
        <v>-1.8779446778098698E-2</v>
      </c>
      <c r="F128">
        <f t="shared" si="144"/>
        <v>4.0217989413693998E-2</v>
      </c>
      <c r="G128">
        <f t="shared" si="145"/>
        <v>-2.8642901290987729E-2</v>
      </c>
      <c r="H128">
        <f t="shared" si="146"/>
        <v>-3.1337419835261372E-2</v>
      </c>
      <c r="I128">
        <f t="shared" si="147"/>
        <v>-2.6965742460955414E-2</v>
      </c>
      <c r="J128">
        <f t="shared" si="148"/>
        <v>3.9793134902740342E-2</v>
      </c>
      <c r="K128">
        <f t="shared" si="149"/>
        <v>-2.9312435420358659E-2</v>
      </c>
      <c r="L128">
        <f t="shared" si="150"/>
        <v>-3.1358418180608895E-2</v>
      </c>
      <c r="M128">
        <f t="shared" si="151"/>
        <v>-2.1607890592846908E-2</v>
      </c>
      <c r="N128">
        <f t="shared" si="152"/>
        <v>3.6758065714582629E-2</v>
      </c>
      <c r="O128">
        <f t="shared" si="153"/>
        <v>-2.7684191569461246E-2</v>
      </c>
      <c r="P128">
        <f t="shared" si="154"/>
        <v>-2.9460045744140361E-2</v>
      </c>
      <c r="Q128">
        <f t="shared" si="155"/>
        <v>-9.0336850572811378E-3</v>
      </c>
      <c r="R128">
        <f t="shared" si="156"/>
        <v>3.6322150300707949E-2</v>
      </c>
      <c r="S128">
        <f t="shared" si="157"/>
        <v>-2.8627996521340661E-2</v>
      </c>
      <c r="T128">
        <f t="shared" si="158"/>
        <v>-3.1256950191550462E-2</v>
      </c>
      <c r="U128">
        <f t="shared" si="159"/>
        <v>-5.3937558334103798E-3</v>
      </c>
      <c r="V128">
        <f t="shared" si="160"/>
        <v>3.5639137229149943E-2</v>
      </c>
      <c r="W128">
        <f t="shared" si="161"/>
        <v>-2.8529312303429626E-2</v>
      </c>
      <c r="X128">
        <f t="shared" si="162"/>
        <v>-3.2009477835227923E-2</v>
      </c>
      <c r="Y128">
        <f t="shared" si="163"/>
        <v>-2.2161754471814105E-4</v>
      </c>
      <c r="Z128">
        <f t="shared" si="164"/>
        <v>3.5617267923825247E-2</v>
      </c>
      <c r="AA128">
        <f t="shared" si="165"/>
        <v>-2.8445023285057752E-2</v>
      </c>
      <c r="AB128">
        <f t="shared" si="166"/>
        <v>-3.2333554651023992E-2</v>
      </c>
      <c r="AC128">
        <f t="shared" si="167"/>
        <v>-3.0316956495403639E-5</v>
      </c>
      <c r="AD128">
        <f t="shared" si="168"/>
        <v>3.700576862121132E-2</v>
      </c>
      <c r="AE128">
        <f t="shared" si="169"/>
        <v>-2.9789751802283663E-2</v>
      </c>
      <c r="AF128">
        <f t="shared" si="170"/>
        <v>-3.6006613434639116E-2</v>
      </c>
      <c r="AG128">
        <f t="shared" si="171"/>
        <v>-4.8206611950110702E-3</v>
      </c>
      <c r="AH128">
        <f t="shared" si="172"/>
        <v>3.895668624459208E-2</v>
      </c>
      <c r="AI128">
        <f t="shared" si="173"/>
        <v>-3.1118644788437379E-2</v>
      </c>
      <c r="AJ128">
        <f t="shared" si="174"/>
        <v>-3.8306610246150417E-2</v>
      </c>
      <c r="AK128">
        <f t="shared" si="175"/>
        <v>-2.1751552512128174E-2</v>
      </c>
      <c r="AL128">
        <f t="shared" si="176"/>
        <v>3.8755438081598745E-2</v>
      </c>
      <c r="AM128">
        <f t="shared" si="177"/>
        <v>-3.1394224101961438E-2</v>
      </c>
      <c r="AN128">
        <f t="shared" si="178"/>
        <v>-3.8233762571924929E-2</v>
      </c>
      <c r="AO128">
        <f t="shared" si="179"/>
        <v>-2.3944054170694395E-2</v>
      </c>
      <c r="AP128">
        <f t="shared" si="180"/>
        <v>3.8310929486681064E-2</v>
      </c>
      <c r="AQ128">
        <f t="shared" si="181"/>
        <v>-3.0951227410885459E-2</v>
      </c>
      <c r="AR128">
        <f t="shared" si="182"/>
        <v>-3.7510899071142675E-2</v>
      </c>
      <c r="AS128">
        <f t="shared" si="183"/>
        <v>-2.1497078516223973E-2</v>
      </c>
      <c r="AT128">
        <f t="shared" si="184"/>
        <v>3.9117904916634749E-2</v>
      </c>
      <c r="AU128">
        <f t="shared" si="185"/>
        <v>-3.1561294372494296E-2</v>
      </c>
      <c r="AV128">
        <f t="shared" si="186"/>
        <v>-3.9114962902385877E-2</v>
      </c>
      <c r="AW128">
        <f t="shared" si="187"/>
        <v>-2.3573656137721267E-2</v>
      </c>
      <c r="AX128">
        <f t="shared" si="188"/>
        <v>4.0032665319396366E-2</v>
      </c>
      <c r="AY128">
        <f t="shared" si="189"/>
        <v>-3.2398577109596517E-2</v>
      </c>
      <c r="AZ128">
        <f t="shared" si="190"/>
        <v>-4.1431260383719797E-2</v>
      </c>
      <c r="BA128">
        <f t="shared" si="191"/>
        <v>-2.4155528219457635E-2</v>
      </c>
    </row>
    <row r="129" spans="1:53" ht="14.4" x14ac:dyDescent="0.55000000000000004">
      <c r="A129" s="1">
        <v>42942</v>
      </c>
      <c r="B129">
        <v>3.8927345022142602E-2</v>
      </c>
      <c r="C129">
        <v>-2.6810023673683701E-2</v>
      </c>
      <c r="D129">
        <v>-2.9496746998309099E-2</v>
      </c>
      <c r="E129">
        <v>-2.3202360510637898E-2</v>
      </c>
      <c r="F129">
        <f t="shared" si="144"/>
        <v>3.6580314244085109E-2</v>
      </c>
      <c r="G129">
        <f t="shared" si="145"/>
        <v>-2.4723377794459815E-2</v>
      </c>
      <c r="H129">
        <f t="shared" si="146"/>
        <v>-2.8069286781247885E-2</v>
      </c>
      <c r="I129">
        <f t="shared" si="147"/>
        <v>-1.7842566806547878E-2</v>
      </c>
      <c r="J129">
        <f t="shared" si="148"/>
        <v>3.9722556071824074E-2</v>
      </c>
      <c r="K129">
        <f t="shared" si="149"/>
        <v>-2.8142873544046824E-2</v>
      </c>
      <c r="L129">
        <f t="shared" si="150"/>
        <v>-3.2228756525736077E-2</v>
      </c>
      <c r="M129">
        <f t="shared" si="151"/>
        <v>-2.3971368925142181E-2</v>
      </c>
      <c r="N129">
        <f t="shared" si="152"/>
        <v>3.9242824513742669E-2</v>
      </c>
      <c r="O129">
        <f t="shared" si="153"/>
        <v>-2.8707947357512704E-2</v>
      </c>
      <c r="P129">
        <f t="shared" si="154"/>
        <v>-3.2304409659828878E-2</v>
      </c>
      <c r="Q129">
        <f t="shared" si="155"/>
        <v>-1.8813862353052817E-2</v>
      </c>
      <c r="R129">
        <f t="shared" si="156"/>
        <v>3.6726156066299406E-2</v>
      </c>
      <c r="S129">
        <f t="shared" si="157"/>
        <v>-2.7655031317538385E-2</v>
      </c>
      <c r="T129">
        <f t="shared" si="158"/>
        <v>-3.0776830751784418E-2</v>
      </c>
      <c r="U129">
        <f t="shared" si="159"/>
        <v>-7.9653440105802442E-3</v>
      </c>
      <c r="V129">
        <f t="shared" si="160"/>
        <v>3.6396486616365381E-2</v>
      </c>
      <c r="W129">
        <f t="shared" si="161"/>
        <v>-2.8687194369813929E-2</v>
      </c>
      <c r="X129">
        <f t="shared" si="162"/>
        <v>-3.2509339490813076E-2</v>
      </c>
      <c r="Y129">
        <f t="shared" si="163"/>
        <v>-4.8536936961491072E-3</v>
      </c>
      <c r="Z129">
        <f t="shared" si="164"/>
        <v>3.5866504609909658E-2</v>
      </c>
      <c r="AA129">
        <f t="shared" si="165"/>
        <v>-2.8781688683979279E-2</v>
      </c>
      <c r="AB129">
        <f t="shared" si="166"/>
        <v>-3.3288807905508019E-2</v>
      </c>
      <c r="AC129">
        <f t="shared" si="167"/>
        <v>-3.3434939314738553E-4</v>
      </c>
      <c r="AD129">
        <f t="shared" si="168"/>
        <v>3.588368122089243E-2</v>
      </c>
      <c r="AE129">
        <f t="shared" si="169"/>
        <v>-2.8756081187471385E-2</v>
      </c>
      <c r="AF129">
        <f t="shared" si="170"/>
        <v>-3.3596243418029546E-2</v>
      </c>
      <c r="AG129">
        <f t="shared" si="171"/>
        <v>-2.4957965669509689E-4</v>
      </c>
      <c r="AH129">
        <f t="shared" si="172"/>
        <v>3.7204851602900962E-2</v>
      </c>
      <c r="AI129">
        <f t="shared" si="173"/>
        <v>-3.0057345702043405E-2</v>
      </c>
      <c r="AJ129">
        <f t="shared" si="174"/>
        <v>-3.6934604976312596E-2</v>
      </c>
      <c r="AK129">
        <f t="shared" si="175"/>
        <v>-4.7973075574840257E-3</v>
      </c>
      <c r="AL129">
        <f t="shared" si="176"/>
        <v>3.904220046117042E-2</v>
      </c>
      <c r="AM129">
        <f t="shared" si="177"/>
        <v>-3.1213685427701397E-2</v>
      </c>
      <c r="AN129">
        <f t="shared" si="178"/>
        <v>-3.8870614871193539E-2</v>
      </c>
      <c r="AO129">
        <f t="shared" si="179"/>
        <v>-2.0641200836049353E-2</v>
      </c>
      <c r="AP129">
        <f t="shared" si="180"/>
        <v>3.8893676061278686E-2</v>
      </c>
      <c r="AQ129">
        <f t="shared" si="181"/>
        <v>-3.1500395210795451E-2</v>
      </c>
      <c r="AR129">
        <f t="shared" si="182"/>
        <v>-3.8797088046947328E-2</v>
      </c>
      <c r="AS129">
        <f t="shared" si="183"/>
        <v>-2.2826290380233833E-2</v>
      </c>
      <c r="AT129">
        <f t="shared" si="184"/>
        <v>3.8496070597527104E-2</v>
      </c>
      <c r="AU129">
        <f t="shared" si="185"/>
        <v>-3.111778639816851E-2</v>
      </c>
      <c r="AV129">
        <f t="shared" si="186"/>
        <v>-3.8160301352809331E-2</v>
      </c>
      <c r="AW129">
        <f t="shared" si="187"/>
        <v>-2.0581521171426718E-2</v>
      </c>
      <c r="AX129">
        <f t="shared" si="188"/>
        <v>3.9222238630402022E-2</v>
      </c>
      <c r="AY129">
        <f t="shared" si="189"/>
        <v>-3.1660349095847286E-2</v>
      </c>
      <c r="AZ129">
        <f t="shared" si="190"/>
        <v>-3.9607312808189382E-2</v>
      </c>
      <c r="BA129">
        <f t="shared" si="191"/>
        <v>-2.2442235805646006E-2</v>
      </c>
    </row>
    <row r="130" spans="1:53" ht="14.4" x14ac:dyDescent="0.55000000000000004">
      <c r="A130" s="1">
        <v>42977</v>
      </c>
      <c r="B130">
        <v>3.7990595108383797E-2</v>
      </c>
      <c r="C130">
        <v>-2.59034656251101E-2</v>
      </c>
      <c r="D130">
        <v>-2.8168581244324101E-2</v>
      </c>
      <c r="E130">
        <v>-2.6619208029861001E-2</v>
      </c>
      <c r="F130">
        <f t="shared" si="144"/>
        <v>3.8703723013516898E-2</v>
      </c>
      <c r="G130">
        <f t="shared" si="145"/>
        <v>-2.6667006028534983E-2</v>
      </c>
      <c r="H130">
        <f t="shared" si="146"/>
        <v>-3.0602573155800936E-2</v>
      </c>
      <c r="I130">
        <f t="shared" si="147"/>
        <v>-2.0897744399781953E-2</v>
      </c>
      <c r="J130">
        <f t="shared" si="148"/>
        <v>3.692003678172092E-2</v>
      </c>
      <c r="K130">
        <f t="shared" si="149"/>
        <v>-2.5247592316143416E-2</v>
      </c>
      <c r="L130">
        <f t="shared" si="150"/>
        <v>-2.9433941099193305E-2</v>
      </c>
      <c r="M130">
        <f t="shared" si="151"/>
        <v>-1.6960503864112492E-2</v>
      </c>
      <c r="N130">
        <f t="shared" si="152"/>
        <v>3.94248306179594E-2</v>
      </c>
      <c r="O130">
        <f t="shared" si="153"/>
        <v>-2.7918374550899832E-2</v>
      </c>
      <c r="P130">
        <f t="shared" si="154"/>
        <v>-3.3115740517926213E-2</v>
      </c>
      <c r="Q130">
        <f t="shared" si="155"/>
        <v>-2.1599930717919276E-2</v>
      </c>
      <c r="R130">
        <f t="shared" si="156"/>
        <v>3.8922389141708896E-2</v>
      </c>
      <c r="S130">
        <f t="shared" si="157"/>
        <v>-2.8420556875916058E-2</v>
      </c>
      <c r="T130">
        <f t="shared" si="158"/>
        <v>-3.3244874665281664E-2</v>
      </c>
      <c r="U130">
        <f t="shared" si="159"/>
        <v>-1.6700998215347106E-2</v>
      </c>
      <c r="V130">
        <f t="shared" si="160"/>
        <v>3.6802415638323899E-2</v>
      </c>
      <c r="W130">
        <f t="shared" si="161"/>
        <v>-2.7787655237109861E-2</v>
      </c>
      <c r="X130">
        <f t="shared" si="162"/>
        <v>-3.2023417492594151E-2</v>
      </c>
      <c r="Y130">
        <f t="shared" si="163"/>
        <v>-7.2437324408521518E-3</v>
      </c>
      <c r="Z130">
        <f t="shared" si="164"/>
        <v>3.6547686738779554E-2</v>
      </c>
      <c r="AA130">
        <f t="shared" si="165"/>
        <v>-2.8866935519419584E-2</v>
      </c>
      <c r="AB130">
        <f t="shared" si="166"/>
        <v>-3.3685688175981193E-2</v>
      </c>
      <c r="AC130">
        <f t="shared" si="167"/>
        <v>-4.5619081970290796E-3</v>
      </c>
      <c r="AD130">
        <f t="shared" si="168"/>
        <v>3.6127669893985845E-2</v>
      </c>
      <c r="AE130">
        <f t="shared" si="169"/>
        <v>-2.9095934243339148E-2</v>
      </c>
      <c r="AF130">
        <f t="shared" si="170"/>
        <v>-3.4476901845748954E-2</v>
      </c>
      <c r="AG130">
        <f t="shared" si="171"/>
        <v>-5.7024260235339383E-4</v>
      </c>
      <c r="AH130">
        <f t="shared" si="172"/>
        <v>3.6168848701904711E-2</v>
      </c>
      <c r="AI130">
        <f t="shared" si="173"/>
        <v>-2.9108513982122153E-2</v>
      </c>
      <c r="AJ130">
        <f t="shared" si="174"/>
        <v>-3.4765593372023881E-2</v>
      </c>
      <c r="AK130">
        <f t="shared" si="175"/>
        <v>-5.5396968908876887E-4</v>
      </c>
      <c r="AL130">
        <f t="shared" si="176"/>
        <v>3.7409796401964311E-2</v>
      </c>
      <c r="AM130">
        <f t="shared" si="177"/>
        <v>-3.034467049554912E-2</v>
      </c>
      <c r="AN130">
        <f t="shared" si="178"/>
        <v>-3.7794878662624626E-2</v>
      </c>
      <c r="AO130">
        <f t="shared" si="179"/>
        <v>-4.8306678470228783E-3</v>
      </c>
      <c r="AP130">
        <f t="shared" si="180"/>
        <v>3.9127770085254365E-2</v>
      </c>
      <c r="AQ130">
        <f t="shared" si="181"/>
        <v>-3.1326927226992443E-2</v>
      </c>
      <c r="AR130">
        <f t="shared" si="182"/>
        <v>-3.9403054937252151E-2</v>
      </c>
      <c r="AS130">
        <f t="shared" si="183"/>
        <v>-1.961852010994642E-2</v>
      </c>
      <c r="AT130">
        <f t="shared" si="184"/>
        <v>3.9017823631255118E-2</v>
      </c>
      <c r="AU130">
        <f t="shared" si="185"/>
        <v>-3.1610896856882072E-2</v>
      </c>
      <c r="AV130">
        <f t="shared" si="186"/>
        <v>-3.9326027423651037E-2</v>
      </c>
      <c r="AW130">
        <f t="shared" si="187"/>
        <v>-2.1766206713164142E-2</v>
      </c>
      <c r="AX130">
        <f t="shared" si="188"/>
        <v>3.8660691552156415E-2</v>
      </c>
      <c r="AY130">
        <f t="shared" si="189"/>
        <v>-3.1280149640984231E-2</v>
      </c>
      <c r="AZ130">
        <f t="shared" si="190"/>
        <v>-3.8765957957189109E-2</v>
      </c>
      <c r="BA130">
        <f t="shared" si="191"/>
        <v>-1.970296078368948E-2</v>
      </c>
    </row>
    <row r="131" spans="1:53" ht="14.4" x14ac:dyDescent="0.55000000000000004">
      <c r="A131" s="1">
        <v>43005</v>
      </c>
      <c r="B131">
        <v>3.7513411821951399E-2</v>
      </c>
      <c r="C131">
        <v>-2.5498940699152699E-2</v>
      </c>
      <c r="D131">
        <v>-2.4271801056171102E-2</v>
      </c>
      <c r="E131">
        <v>-2.13374934123963E-2</v>
      </c>
      <c r="F131">
        <f t="shared" si="144"/>
        <v>3.8028567550284872E-2</v>
      </c>
      <c r="G131">
        <f t="shared" si="145"/>
        <v>-2.6020699468702148E-2</v>
      </c>
      <c r="H131">
        <f t="shared" si="146"/>
        <v>-2.9386405465266979E-2</v>
      </c>
      <c r="I131">
        <f t="shared" si="147"/>
        <v>-2.4614695437077339E-2</v>
      </c>
      <c r="J131">
        <f t="shared" si="148"/>
        <v>3.8606463489060237E-2</v>
      </c>
      <c r="K131">
        <f t="shared" si="149"/>
        <v>-2.6707059622888517E-2</v>
      </c>
      <c r="L131">
        <f t="shared" si="150"/>
        <v>-3.1670117637816006E-2</v>
      </c>
      <c r="M131">
        <f t="shared" si="151"/>
        <v>-1.9038587115844684E-2</v>
      </c>
      <c r="N131">
        <f t="shared" si="152"/>
        <v>3.722910895053691E-2</v>
      </c>
      <c r="O131">
        <f t="shared" si="153"/>
        <v>-2.5754110407857106E-2</v>
      </c>
      <c r="P131">
        <f t="shared" si="154"/>
        <v>-3.0701550776630528E-2</v>
      </c>
      <c r="Q131">
        <f t="shared" si="155"/>
        <v>-1.6127721369574653E-2</v>
      </c>
      <c r="R131">
        <f t="shared" si="156"/>
        <v>3.9259297662274567E-2</v>
      </c>
      <c r="S131">
        <f t="shared" si="157"/>
        <v>-2.7880815861544218E-2</v>
      </c>
      <c r="T131">
        <f t="shared" si="158"/>
        <v>-3.3982455797678508E-2</v>
      </c>
      <c r="U131">
        <f t="shared" si="159"/>
        <v>-1.9679905826678796E-2</v>
      </c>
      <c r="V131">
        <f t="shared" si="160"/>
        <v>3.8755195763283769E-2</v>
      </c>
      <c r="W131">
        <f t="shared" si="161"/>
        <v>-2.834725860542886E-2</v>
      </c>
      <c r="X131">
        <f t="shared" si="162"/>
        <v>-3.4161640046210556E-2</v>
      </c>
      <c r="Y131">
        <f t="shared" si="163"/>
        <v>-1.5071237887865054E-2</v>
      </c>
      <c r="Z131">
        <f t="shared" si="164"/>
        <v>3.6944018420343415E-2</v>
      </c>
      <c r="AA131">
        <f t="shared" si="165"/>
        <v>-2.8023134427371012E-2</v>
      </c>
      <c r="AB131">
        <f t="shared" si="166"/>
        <v>-3.3195088140993791E-2</v>
      </c>
      <c r="AC131">
        <f t="shared" si="167"/>
        <v>-6.757086731976291E-3</v>
      </c>
      <c r="AD131">
        <f t="shared" si="168"/>
        <v>3.6742485978356658E-2</v>
      </c>
      <c r="AE131">
        <f t="shared" si="169"/>
        <v>-2.9121050900328051E-2</v>
      </c>
      <c r="AF131">
        <f t="shared" si="170"/>
        <v>-3.4784179367754332E-2</v>
      </c>
      <c r="AG131">
        <f t="shared" si="171"/>
        <v>-4.4318154091943663E-3</v>
      </c>
      <c r="AH131">
        <f t="shared" si="172"/>
        <v>3.6402265470317573E-2</v>
      </c>
      <c r="AI131">
        <f t="shared" si="173"/>
        <v>-2.9443055731865925E-2</v>
      </c>
      <c r="AJ131">
        <f t="shared" si="174"/>
        <v>-3.5576303923926321E-2</v>
      </c>
      <c r="AK131">
        <f t="shared" si="175"/>
        <v>-8.7588498424201195E-4</v>
      </c>
      <c r="AL131">
        <f t="shared" si="176"/>
        <v>3.645728808870196E-2</v>
      </c>
      <c r="AM131">
        <f t="shared" si="177"/>
        <v>-2.9479801039401954E-2</v>
      </c>
      <c r="AN131">
        <f t="shared" si="178"/>
        <v>-3.5845441276330631E-2</v>
      </c>
      <c r="AO131">
        <f t="shared" si="179"/>
        <v>-9.0229128991319745E-4</v>
      </c>
      <c r="AP131">
        <f t="shared" si="180"/>
        <v>3.7612205596088522E-2</v>
      </c>
      <c r="AQ131">
        <f t="shared" si="181"/>
        <v>-3.0638996191419979E-2</v>
      </c>
      <c r="AR131">
        <f t="shared" si="182"/>
        <v>-3.8590719591530646E-2</v>
      </c>
      <c r="AS131">
        <f t="shared" si="183"/>
        <v>-4.8970599726618344E-3</v>
      </c>
      <c r="AT131">
        <f t="shared" si="184"/>
        <v>3.9210284123089731E-2</v>
      </c>
      <c r="AU131">
        <f t="shared" si="185"/>
        <v>-3.145210351480713E-2</v>
      </c>
      <c r="AV131">
        <f t="shared" si="186"/>
        <v>-3.99051545330402E-2</v>
      </c>
      <c r="AW131">
        <f t="shared" si="187"/>
        <v>-1.8670924649911269E-2</v>
      </c>
      <c r="AX131">
        <f t="shared" si="188"/>
        <v>3.9128844684435005E-2</v>
      </c>
      <c r="AY131">
        <f t="shared" si="189"/>
        <v>-3.172448112900933E-2</v>
      </c>
      <c r="AZ131">
        <f t="shared" si="190"/>
        <v>-3.9823007314293106E-2</v>
      </c>
      <c r="BA131">
        <f t="shared" si="191"/>
        <v>-2.0761334423069273E-2</v>
      </c>
    </row>
    <row r="132" spans="1:53" ht="14.4" x14ac:dyDescent="0.55000000000000004">
      <c r="A132" s="1">
        <v>43033</v>
      </c>
      <c r="B132">
        <v>3.6878518855383902E-2</v>
      </c>
      <c r="C132">
        <v>-2.3673291626641901E-2</v>
      </c>
      <c r="D132">
        <v>-2.3112000733552501E-2</v>
      </c>
      <c r="E132">
        <v>-1.5981855864028002E-2</v>
      </c>
      <c r="F132">
        <f t="shared" ref="F132:F168" si="192">BD$2+BD$3*$B131+BD$4*$C131+BD$5*$D131+BD$6*$E131</f>
        <v>3.7273879938393394E-2</v>
      </c>
      <c r="G132">
        <f t="shared" ref="G132:G168" si="193">BE$2+BE$3*$B131+BE$4*$C131+BE$5*$D131+BE$6*$E131</f>
        <v>-2.5244812432595413E-2</v>
      </c>
      <c r="H132">
        <f t="shared" ref="H132:H168" si="194">BF$2+BF$3*$B131+BF$4*$C131+BF$5*$D131+BF$6*$E131</f>
        <v>-2.5787298266232619E-2</v>
      </c>
      <c r="I132">
        <f t="shared" ref="I132:I168" si="195">BG$2+BG$3*$B131+BG$4*$C131+BG$5*$D131+BG$6*$E131</f>
        <v>-1.8868016153346594E-2</v>
      </c>
      <c r="J132">
        <f t="shared" si="148"/>
        <v>3.8118034211203272E-2</v>
      </c>
      <c r="K132">
        <f t="shared" si="149"/>
        <v>-2.6231512189037753E-2</v>
      </c>
      <c r="L132">
        <f t="shared" si="150"/>
        <v>-3.0541801142905525E-2</v>
      </c>
      <c r="M132">
        <f t="shared" si="151"/>
        <v>-2.2886521198781862E-2</v>
      </c>
      <c r="N132">
        <f t="shared" si="152"/>
        <v>3.8590683239381002E-2</v>
      </c>
      <c r="O132">
        <f t="shared" si="153"/>
        <v>-2.6868446778580485E-2</v>
      </c>
      <c r="P132">
        <f t="shared" si="154"/>
        <v>-3.2690994353087865E-2</v>
      </c>
      <c r="Q132">
        <f t="shared" si="155"/>
        <v>-1.7504791824041684E-2</v>
      </c>
      <c r="R132">
        <f t="shared" si="156"/>
        <v>3.7509084385874296E-2</v>
      </c>
      <c r="S132">
        <f t="shared" si="157"/>
        <v>-2.6241664044566473E-2</v>
      </c>
      <c r="T132">
        <f t="shared" si="158"/>
        <v>-3.1879369141518177E-2</v>
      </c>
      <c r="U132">
        <f t="shared" si="159"/>
        <v>-1.5340537097971122E-2</v>
      </c>
      <c r="V132">
        <f t="shared" si="160"/>
        <v>3.9180953626301314E-2</v>
      </c>
      <c r="W132">
        <f t="shared" si="161"/>
        <v>-2.7968752596389021E-2</v>
      </c>
      <c r="X132">
        <f t="shared" si="162"/>
        <v>-3.4819058275531667E-2</v>
      </c>
      <c r="Y132">
        <f t="shared" si="163"/>
        <v>-1.8091399678828002E-2</v>
      </c>
      <c r="Z132">
        <f t="shared" si="164"/>
        <v>3.8688625303245579E-2</v>
      </c>
      <c r="AA132">
        <f t="shared" si="165"/>
        <v>-2.8416767481168823E-2</v>
      </c>
      <c r="AB132">
        <f t="shared" si="166"/>
        <v>-3.5043588179049463E-2</v>
      </c>
      <c r="AC132">
        <f t="shared" si="167"/>
        <v>-1.3786840686018877E-2</v>
      </c>
      <c r="AD132">
        <f t="shared" si="168"/>
        <v>3.7122156221418068E-2</v>
      </c>
      <c r="AE132">
        <f t="shared" si="169"/>
        <v>-2.8321189867690243E-2</v>
      </c>
      <c r="AF132">
        <f t="shared" si="170"/>
        <v>-3.4290754127394581E-2</v>
      </c>
      <c r="AG132">
        <f t="shared" si="171"/>
        <v>-6.4288958835872576E-3</v>
      </c>
      <c r="AH132">
        <f t="shared" si="172"/>
        <v>3.6958714443288902E-2</v>
      </c>
      <c r="AI132">
        <f t="shared" si="173"/>
        <v>-2.9418166176862059E-2</v>
      </c>
      <c r="AJ132">
        <f t="shared" si="174"/>
        <v>-3.5805704303439219E-2</v>
      </c>
      <c r="AK132">
        <f t="shared" si="175"/>
        <v>-4.4047131773941855E-3</v>
      </c>
      <c r="AL132">
        <f t="shared" si="176"/>
        <v>3.6677105059982E-2</v>
      </c>
      <c r="AM132">
        <f t="shared" si="177"/>
        <v>-2.9803706433323716E-2</v>
      </c>
      <c r="AN132">
        <f t="shared" si="178"/>
        <v>-3.6591002537065084E-2</v>
      </c>
      <c r="AO132">
        <f t="shared" si="179"/>
        <v>-1.2159293732988896E-3</v>
      </c>
      <c r="AP132">
        <f t="shared" si="180"/>
        <v>3.67391817285566E-2</v>
      </c>
      <c r="AQ132">
        <f t="shared" si="181"/>
        <v>-2.985507535900021E-2</v>
      </c>
      <c r="AR132">
        <f t="shared" si="182"/>
        <v>-3.6840613358110244E-2</v>
      </c>
      <c r="AS132">
        <f t="shared" si="183"/>
        <v>-1.2676256711103716E-3</v>
      </c>
      <c r="AT132">
        <f t="shared" si="184"/>
        <v>3.7806888986539347E-2</v>
      </c>
      <c r="AU132">
        <f t="shared" si="185"/>
        <v>-3.0931974798860354E-2</v>
      </c>
      <c r="AV132">
        <f t="shared" si="186"/>
        <v>-3.9325888436594514E-2</v>
      </c>
      <c r="AW132">
        <f t="shared" si="187"/>
        <v>-4.9809504092314591E-3</v>
      </c>
      <c r="AX132">
        <f t="shared" si="188"/>
        <v>3.9287910747829891E-2</v>
      </c>
      <c r="AY132">
        <f t="shared" si="189"/>
        <v>-3.1584819686487978E-2</v>
      </c>
      <c r="AZ132">
        <f t="shared" si="190"/>
        <v>-4.0378346237433464E-2</v>
      </c>
      <c r="BA132">
        <f t="shared" si="191"/>
        <v>-1.7789228411505646E-2</v>
      </c>
    </row>
    <row r="133" spans="1:53" ht="14.4" x14ac:dyDescent="0.55000000000000004">
      <c r="A133" s="1">
        <v>43068</v>
      </c>
      <c r="B133">
        <v>3.40899829954227E-2</v>
      </c>
      <c r="C133">
        <v>-1.9196711979483E-2</v>
      </c>
      <c r="D133">
        <v>-1.7820867264482902E-2</v>
      </c>
      <c r="E133">
        <v>-1.27269735668285E-2</v>
      </c>
      <c r="F133">
        <f t="shared" si="192"/>
        <v>3.6782833034893464E-2</v>
      </c>
      <c r="G133">
        <f t="shared" si="193"/>
        <v>-2.3694502431517106E-2</v>
      </c>
      <c r="H133">
        <f t="shared" si="194"/>
        <v>-2.4776087697578903E-2</v>
      </c>
      <c r="I133">
        <f t="shared" si="195"/>
        <v>-1.4042858644788145E-2</v>
      </c>
      <c r="J133">
        <f t="shared" ref="J133:J168" si="196">BD$2+BD$3*$F132+BD$4*$G132+BD$5*$H132+BD$6*$I132</f>
        <v>3.7209002870667238E-2</v>
      </c>
      <c r="K133">
        <f t="shared" ref="K133:K168" si="197">BE$2+BE$3*$F132+BE$4*$G132+BE$5*$H132+BE$6*$I132</f>
        <v>-2.5247266654477567E-2</v>
      </c>
      <c r="L133">
        <f t="shared" ref="L133:L168" si="198">BF$2+BF$3*$F132+BF$4*$G132+BF$5*$H132+BF$6*$I132</f>
        <v>-2.7242345040330906E-2</v>
      </c>
      <c r="M133">
        <f t="shared" ref="M133:M168" si="199">BG$2+BG$3*$F132+BG$4*$G132+BG$5*$H132+BG$6*$I132</f>
        <v>-1.6971891840154261E-2</v>
      </c>
      <c r="N133">
        <f t="shared" si="152"/>
        <v>3.8236308644926303E-2</v>
      </c>
      <c r="O133">
        <f t="shared" si="153"/>
        <v>-2.6502542393526819E-2</v>
      </c>
      <c r="P133">
        <f t="shared" si="154"/>
        <v>-3.1633444919175399E-2</v>
      </c>
      <c r="Q133">
        <f t="shared" si="155"/>
        <v>-2.1369379162435333E-2</v>
      </c>
      <c r="R133">
        <f t="shared" si="156"/>
        <v>3.8625833724211293E-2</v>
      </c>
      <c r="S133">
        <f t="shared" si="157"/>
        <v>-2.7108504899574042E-2</v>
      </c>
      <c r="T133">
        <f t="shared" si="158"/>
        <v>-3.3660847681539034E-2</v>
      </c>
      <c r="U133">
        <f t="shared" si="159"/>
        <v>-1.6212467371744633E-2</v>
      </c>
      <c r="V133">
        <f t="shared" si="160"/>
        <v>3.776184124842543E-2</v>
      </c>
      <c r="W133">
        <f t="shared" si="161"/>
        <v>-2.6709740103610359E-2</v>
      </c>
      <c r="X133">
        <f t="shared" si="162"/>
        <v>-3.2974159330994818E-2</v>
      </c>
      <c r="Y133">
        <f t="shared" si="163"/>
        <v>-1.4596443018456175E-2</v>
      </c>
      <c r="Z133">
        <f t="shared" si="164"/>
        <v>3.9159004516452232E-2</v>
      </c>
      <c r="AA133">
        <f t="shared" si="165"/>
        <v>-2.8139606738123369E-2</v>
      </c>
      <c r="AB133">
        <f t="shared" si="166"/>
        <v>-3.5619825887381593E-2</v>
      </c>
      <c r="AC133">
        <f t="shared" si="167"/>
        <v>-1.6750389140912515E-2</v>
      </c>
      <c r="AD133">
        <f t="shared" si="168"/>
        <v>3.8686693400968877E-2</v>
      </c>
      <c r="AE133">
        <f t="shared" si="169"/>
        <v>-2.8579831776914949E-2</v>
      </c>
      <c r="AF133">
        <f t="shared" si="170"/>
        <v>-3.5884378430772135E-2</v>
      </c>
      <c r="AG133">
        <f t="shared" si="171"/>
        <v>-1.2751940886978865E-2</v>
      </c>
      <c r="AH133">
        <f t="shared" si="172"/>
        <v>3.7317675318082916E-2</v>
      </c>
      <c r="AI133">
        <f t="shared" si="173"/>
        <v>-2.8654451911950304E-2</v>
      </c>
      <c r="AJ133">
        <f t="shared" si="174"/>
        <v>-3.5311654619085191E-2</v>
      </c>
      <c r="AK133">
        <f t="shared" si="175"/>
        <v>-6.2069947796136128E-3</v>
      </c>
      <c r="AL133">
        <f t="shared" si="176"/>
        <v>3.7181825322960708E-2</v>
      </c>
      <c r="AM133">
        <f t="shared" si="177"/>
        <v>-2.9737131105815894E-2</v>
      </c>
      <c r="AN133">
        <f t="shared" si="178"/>
        <v>-3.6752842080716448E-2</v>
      </c>
      <c r="AO133">
        <f t="shared" si="179"/>
        <v>-4.4411045250750776E-3</v>
      </c>
      <c r="AP133">
        <f t="shared" si="180"/>
        <v>3.6943902612931907E-2</v>
      </c>
      <c r="AQ133">
        <f t="shared" si="181"/>
        <v>-3.0165176113775359E-2</v>
      </c>
      <c r="AR133">
        <f t="shared" si="182"/>
        <v>-3.7525787963011134E-2</v>
      </c>
      <c r="AS133">
        <f t="shared" si="183"/>
        <v>-1.5673921497630109E-3</v>
      </c>
      <c r="AT133">
        <f t="shared" si="184"/>
        <v>3.7008560076571703E-2</v>
      </c>
      <c r="AU133">
        <f t="shared" si="185"/>
        <v>-3.022472248123062E-2</v>
      </c>
      <c r="AV133">
        <f t="shared" si="186"/>
        <v>-3.7756427321057467E-2</v>
      </c>
      <c r="AW133">
        <f t="shared" si="187"/>
        <v>-1.632789917444617E-3</v>
      </c>
      <c r="AX133">
        <f t="shared" si="188"/>
        <v>3.7990823886011355E-2</v>
      </c>
      <c r="AY133">
        <f t="shared" si="189"/>
        <v>-3.1218261870684012E-2</v>
      </c>
      <c r="AZ133">
        <f t="shared" si="190"/>
        <v>-4.0004343925934917E-2</v>
      </c>
      <c r="BA133">
        <f t="shared" si="191"/>
        <v>-5.0723527420089001E-3</v>
      </c>
    </row>
    <row r="134" spans="1:53" ht="14.4" x14ac:dyDescent="0.55000000000000004">
      <c r="A134" s="1">
        <v>43096</v>
      </c>
      <c r="B134">
        <v>3.1061909427072001E-2</v>
      </c>
      <c r="C134">
        <v>-1.53964009392859E-2</v>
      </c>
      <c r="D134">
        <v>-1.1319776873787201E-2</v>
      </c>
      <c r="E134">
        <v>-6.4030775782370399E-3</v>
      </c>
      <c r="F134">
        <f t="shared" si="192"/>
        <v>3.4602255813210352E-2</v>
      </c>
      <c r="G134">
        <f t="shared" si="193"/>
        <v>-1.9990444592924362E-2</v>
      </c>
      <c r="H134">
        <f t="shared" si="194"/>
        <v>-1.999711475079342E-2</v>
      </c>
      <c r="I134">
        <f t="shared" si="195"/>
        <v>-1.1982859529613768E-2</v>
      </c>
      <c r="J134">
        <f t="shared" si="196"/>
        <v>3.6821285746432626E-2</v>
      </c>
      <c r="K134">
        <f t="shared" si="197"/>
        <v>-2.3913286281327235E-2</v>
      </c>
      <c r="L134">
        <f t="shared" si="198"/>
        <v>-2.6358149288617971E-2</v>
      </c>
      <c r="M134">
        <f t="shared" si="199"/>
        <v>-1.2571154050162188E-2</v>
      </c>
      <c r="N134">
        <f t="shared" ref="N134:N168" si="200">BD$2+BD$3*$J133+BD$4*$K133+BD$5*$L133+BD$6*$M133</f>
        <v>3.7254990580268377E-2</v>
      </c>
      <c r="O134">
        <f t="shared" ref="O134:O168" si="201">BE$2+BE$3*$J133+BE$4*$K133+BE$5*$L133+BE$6*$M133</f>
        <v>-2.5418790263390147E-2</v>
      </c>
      <c r="P134">
        <f t="shared" ref="P134:P168" si="202">BF$2+BF$3*$J133+BF$4*$K133+BF$5*$L133+BF$6*$M133</f>
        <v>-2.8626071767562874E-2</v>
      </c>
      <c r="Q134">
        <f t="shared" ref="Q134:Q168" si="203">BG$2+BG$3*$J133+BG$4*$K133+BG$5*$L133+BG$6*$M133</f>
        <v>-1.5481507841971165E-2</v>
      </c>
      <c r="R134">
        <f t="shared" si="156"/>
        <v>3.8368344328958394E-2</v>
      </c>
      <c r="S134">
        <f t="shared" si="157"/>
        <v>-2.6810785803498799E-2</v>
      </c>
      <c r="T134">
        <f t="shared" si="158"/>
        <v>-3.2661916054267659E-2</v>
      </c>
      <c r="U134">
        <f t="shared" si="159"/>
        <v>-2.0017449270870818E-2</v>
      </c>
      <c r="V134">
        <f t="shared" si="160"/>
        <v>3.8691269531378455E-2</v>
      </c>
      <c r="W134">
        <f t="shared" si="161"/>
        <v>-2.739781718936074E-2</v>
      </c>
      <c r="X134">
        <f t="shared" si="162"/>
        <v>-3.4578001265624027E-2</v>
      </c>
      <c r="Y134">
        <f t="shared" si="163"/>
        <v>-1.5102844861154541E-2</v>
      </c>
      <c r="Z134">
        <f t="shared" si="164"/>
        <v>3.7989404271204522E-2</v>
      </c>
      <c r="AA134">
        <f t="shared" si="165"/>
        <v>-2.7158318778835861E-2</v>
      </c>
      <c r="AB134">
        <f t="shared" si="166"/>
        <v>-3.3992194818832644E-2</v>
      </c>
      <c r="AC134">
        <f t="shared" si="167"/>
        <v>-1.389364984306151E-2</v>
      </c>
      <c r="AD134">
        <f t="shared" si="168"/>
        <v>3.9172488104087536E-2</v>
      </c>
      <c r="AE134">
        <f t="shared" si="169"/>
        <v>-2.8363912236078929E-2</v>
      </c>
      <c r="AF134">
        <f t="shared" si="170"/>
        <v>-3.6381811866735982E-2</v>
      </c>
      <c r="AG134">
        <f t="shared" si="171"/>
        <v>-1.5597773600023054E-2</v>
      </c>
      <c r="AH134">
        <f t="shared" si="172"/>
        <v>3.8724924502659651E-2</v>
      </c>
      <c r="AI134">
        <f t="shared" si="173"/>
        <v>-2.8802498729586259E-2</v>
      </c>
      <c r="AJ134">
        <f t="shared" si="174"/>
        <v>-3.6680874549960718E-2</v>
      </c>
      <c r="AK134">
        <f t="shared" si="175"/>
        <v>-1.1899731822244722E-2</v>
      </c>
      <c r="AL134">
        <f t="shared" si="176"/>
        <v>3.7518050790637705E-2</v>
      </c>
      <c r="AM134">
        <f t="shared" si="177"/>
        <v>-2.9004473753004498E-2</v>
      </c>
      <c r="AN134">
        <f t="shared" si="178"/>
        <v>-3.626046972302454E-2</v>
      </c>
      <c r="AO134">
        <f t="shared" si="179"/>
        <v>-6.0559987789985305E-3</v>
      </c>
      <c r="AP134">
        <f t="shared" si="180"/>
        <v>3.7402489200389827E-2</v>
      </c>
      <c r="AQ134">
        <f t="shared" si="181"/>
        <v>-3.0063846978101303E-2</v>
      </c>
      <c r="AR134">
        <f t="shared" si="182"/>
        <v>-3.7629168461014197E-2</v>
      </c>
      <c r="AS134">
        <f t="shared" si="183"/>
        <v>-4.5146837249495928E-3</v>
      </c>
      <c r="AT134">
        <f t="shared" si="184"/>
        <v>3.7197694804722549E-2</v>
      </c>
      <c r="AU134">
        <f t="shared" si="185"/>
        <v>-3.0519304395066411E-2</v>
      </c>
      <c r="AV134">
        <f t="shared" si="186"/>
        <v>-3.8385824665333176E-2</v>
      </c>
      <c r="AW134">
        <f t="shared" si="187"/>
        <v>-1.9157091236244104E-3</v>
      </c>
      <c r="AX134">
        <f t="shared" si="188"/>
        <v>3.7262047060199276E-2</v>
      </c>
      <c r="AY134">
        <f t="shared" si="189"/>
        <v>-3.0582717196831085E-2</v>
      </c>
      <c r="AZ134">
        <f t="shared" si="190"/>
        <v>-3.8598364428545223E-2</v>
      </c>
      <c r="BA134">
        <f t="shared" si="191"/>
        <v>-1.9871992506760279E-3</v>
      </c>
    </row>
    <row r="135" spans="1:53" ht="14.4" x14ac:dyDescent="0.55000000000000004">
      <c r="A135" s="1">
        <v>43131</v>
      </c>
      <c r="B135">
        <v>2.9102550570945102E-2</v>
      </c>
      <c r="C135">
        <v>-1.2355285708798701E-2</v>
      </c>
      <c r="D135">
        <v>-5.2920708976137302E-3</v>
      </c>
      <c r="E135">
        <v>6.2610495454638497E-3</v>
      </c>
      <c r="F135">
        <f t="shared" si="192"/>
        <v>3.20126742009266E-2</v>
      </c>
      <c r="G135">
        <f t="shared" si="193"/>
        <v>-1.6694008806782613E-2</v>
      </c>
      <c r="H135">
        <f t="shared" si="194"/>
        <v>-1.4111463141807109E-2</v>
      </c>
      <c r="I135">
        <f t="shared" si="195"/>
        <v>-6.6272358339171875E-3</v>
      </c>
      <c r="J135">
        <f t="shared" si="196"/>
        <v>3.508854696826498E-2</v>
      </c>
      <c r="K135">
        <f t="shared" si="197"/>
        <v>-2.0779353015336455E-2</v>
      </c>
      <c r="L135">
        <f t="shared" si="198"/>
        <v>-2.2015952050819531E-2</v>
      </c>
      <c r="M135">
        <f t="shared" si="199"/>
        <v>-1.1328395541382145E-2</v>
      </c>
      <c r="N135">
        <f t="shared" si="200"/>
        <v>3.694216499696229E-2</v>
      </c>
      <c r="O135">
        <f t="shared" si="201"/>
        <v>-2.4258273878775983E-2</v>
      </c>
      <c r="P135">
        <f t="shared" si="202"/>
        <v>-2.7851796242299439E-2</v>
      </c>
      <c r="Q135">
        <f t="shared" si="203"/>
        <v>-1.1429184944831307E-2</v>
      </c>
      <c r="R135">
        <f t="shared" ref="R135:R168" si="204">BD$2+BD$3*$N134+BD$4*$O134+BD$5*$P134+BD$6*$Q134</f>
        <v>3.7368548337529381E-2</v>
      </c>
      <c r="S135">
        <f t="shared" ref="S135:S168" si="205">BE$2+BE$3*$N134+BE$4*$O134+BE$5*$P134+BE$6*$Q134</f>
        <v>-2.5699107045720655E-2</v>
      </c>
      <c r="T135">
        <f t="shared" ref="T135:T168" si="206">BF$2+BF$3*$N134+BF$4*$O134+BF$5*$P134+BF$6*$Q134</f>
        <v>-2.9933252303820053E-2</v>
      </c>
      <c r="U135">
        <f t="shared" ref="U135:U168" si="207">BG$2+BG$3*$N134+BG$4*$O134+BG$5*$P134+BG$6*$Q134</f>
        <v>-1.4280845502569871E-2</v>
      </c>
      <c r="V135">
        <f t="shared" si="160"/>
        <v>3.8504335235498913E-2</v>
      </c>
      <c r="W135">
        <f t="shared" si="161"/>
        <v>-2.7140423784172491E-2</v>
      </c>
      <c r="X135">
        <f t="shared" si="162"/>
        <v>-3.3628988895617565E-2</v>
      </c>
      <c r="Y135">
        <f t="shared" si="163"/>
        <v>-1.8798392618844601E-2</v>
      </c>
      <c r="Z135">
        <f t="shared" si="164"/>
        <v>3.8773172642556981E-2</v>
      </c>
      <c r="AA135">
        <f t="shared" si="165"/>
        <v>-2.7716160844453337E-2</v>
      </c>
      <c r="AB135">
        <f t="shared" si="166"/>
        <v>-3.5442529808366603E-2</v>
      </c>
      <c r="AC135">
        <f t="shared" si="167"/>
        <v>-1.4134580932875788E-2</v>
      </c>
      <c r="AD135">
        <f t="shared" si="168"/>
        <v>3.8193828667039971E-2</v>
      </c>
      <c r="AE135">
        <f t="shared" si="169"/>
        <v>-2.7587695325267576E-2</v>
      </c>
      <c r="AF135">
        <f t="shared" si="170"/>
        <v>-3.4939273829046873E-2</v>
      </c>
      <c r="AG135">
        <f t="shared" si="171"/>
        <v>-1.3230785821167945E-2</v>
      </c>
      <c r="AH135">
        <f t="shared" si="172"/>
        <v>3.9207234056438278E-2</v>
      </c>
      <c r="AI135">
        <f t="shared" si="173"/>
        <v>-2.8621313848513633E-2</v>
      </c>
      <c r="AJ135">
        <f t="shared" si="174"/>
        <v>-3.7103916593604132E-2</v>
      </c>
      <c r="AK135">
        <f t="shared" si="175"/>
        <v>-1.4591768221868449E-2</v>
      </c>
      <c r="AL135">
        <f t="shared" si="176"/>
        <v>3.8786792582663883E-2</v>
      </c>
      <c r="AM135">
        <f t="shared" si="177"/>
        <v>-2.9061433407493256E-2</v>
      </c>
      <c r="AN135">
        <f t="shared" si="178"/>
        <v>-3.7432061860977209E-2</v>
      </c>
      <c r="AO135">
        <f t="shared" si="179"/>
        <v>-1.1183563391917933E-2</v>
      </c>
      <c r="AP135">
        <f t="shared" si="180"/>
        <v>3.7715290386155828E-2</v>
      </c>
      <c r="AQ135">
        <f t="shared" si="181"/>
        <v>-2.9358964192920434E-2</v>
      </c>
      <c r="AR135">
        <f t="shared" si="182"/>
        <v>-3.7140720365784821E-2</v>
      </c>
      <c r="AS135">
        <f t="shared" si="183"/>
        <v>-5.9520601011543647E-3</v>
      </c>
      <c r="AT135">
        <f t="shared" si="184"/>
        <v>3.7614928962201609E-2</v>
      </c>
      <c r="AU135">
        <f t="shared" si="185"/>
        <v>-3.0389065819657366E-2</v>
      </c>
      <c r="AV135">
        <f t="shared" si="186"/>
        <v>-3.8438791777088893E-2</v>
      </c>
      <c r="AW135">
        <f t="shared" si="187"/>
        <v>-4.608172160941895E-3</v>
      </c>
      <c r="AX135">
        <f t="shared" si="188"/>
        <v>3.7435752042674728E-2</v>
      </c>
      <c r="AY135">
        <f t="shared" si="189"/>
        <v>-3.08610357159032E-2</v>
      </c>
      <c r="AZ135">
        <f t="shared" si="190"/>
        <v>-3.9176371014485158E-2</v>
      </c>
      <c r="BA135">
        <f t="shared" si="191"/>
        <v>-2.2520115315999151E-3</v>
      </c>
    </row>
    <row r="136" spans="1:53" ht="14.4" x14ac:dyDescent="0.55000000000000004">
      <c r="A136" s="1">
        <v>43159</v>
      </c>
      <c r="B136">
        <v>3.2157952993671302E-2</v>
      </c>
      <c r="C136">
        <v>-1.5321978416049599E-2</v>
      </c>
      <c r="D136">
        <v>-5.8950612118208803E-3</v>
      </c>
      <c r="E136">
        <v>3.0401265460420698E-3</v>
      </c>
      <c r="F136">
        <f t="shared" si="192"/>
        <v>3.0087115584354153E-2</v>
      </c>
      <c r="G136">
        <f t="shared" si="193"/>
        <v>-1.3751063196702391E-2</v>
      </c>
      <c r="H136">
        <f t="shared" si="194"/>
        <v>-8.6517664078840355E-3</v>
      </c>
      <c r="I136">
        <f t="shared" si="195"/>
        <v>5.549759394610998E-3</v>
      </c>
      <c r="J136">
        <f t="shared" si="196"/>
        <v>3.2850848265776264E-2</v>
      </c>
      <c r="K136">
        <f t="shared" si="197"/>
        <v>-1.7883017812762244E-2</v>
      </c>
      <c r="L136">
        <f t="shared" si="198"/>
        <v>-1.6676094428158018E-2</v>
      </c>
      <c r="M136">
        <f t="shared" si="199"/>
        <v>-6.7338281218498166E-3</v>
      </c>
      <c r="N136">
        <f t="shared" si="200"/>
        <v>3.5543359158378751E-2</v>
      </c>
      <c r="O136">
        <f t="shared" si="201"/>
        <v>-2.1551715690450796E-2</v>
      </c>
      <c r="P136">
        <f t="shared" si="202"/>
        <v>-2.3887681221065524E-2</v>
      </c>
      <c r="Q136">
        <f t="shared" si="203"/>
        <v>-1.0740208095185735E-2</v>
      </c>
      <c r="R136">
        <f t="shared" si="204"/>
        <v>3.7110600658787039E-2</v>
      </c>
      <c r="S136">
        <f t="shared" si="205"/>
        <v>-2.4680535977979805E-2</v>
      </c>
      <c r="T136">
        <f t="shared" si="206"/>
        <v>-2.9255081710360807E-2</v>
      </c>
      <c r="U136">
        <f t="shared" si="207"/>
        <v>-1.052189408743417E-2</v>
      </c>
      <c r="V136">
        <f t="shared" ref="V136:V168" si="208">BD$2+BD$3*$R135+BD$4*$S135+BD$5*$T135+BD$6*$U135</f>
        <v>3.7520530802954317E-2</v>
      </c>
      <c r="W136">
        <f t="shared" ref="W136:W168" si="209">BE$2+BE$3*$R135+BE$4*$S135+BE$5*$T135+BE$6*$U135</f>
        <v>-2.6046833011367721E-2</v>
      </c>
      <c r="X136">
        <f t="shared" ref="X136:X168" si="210">BF$2+BF$3*$R135+BF$4*$S135+BF$5*$T135+BF$6*$U135</f>
        <v>-3.1162380543188494E-2</v>
      </c>
      <c r="Y136">
        <f t="shared" ref="Y136:Y168" si="211">BG$2+BG$3*$R135+BG$4*$S135+BG$5*$T135+BG$6*$U135</f>
        <v>-1.3289616334534031E-2</v>
      </c>
      <c r="Z136">
        <f t="shared" si="164"/>
        <v>3.8638054083801318E-2</v>
      </c>
      <c r="AA136">
        <f t="shared" si="165"/>
        <v>-2.7480620146616418E-2</v>
      </c>
      <c r="AB136">
        <f t="shared" si="166"/>
        <v>-3.4537153029056605E-2</v>
      </c>
      <c r="AC136">
        <f t="shared" si="167"/>
        <v>-1.7689188849631686E-2</v>
      </c>
      <c r="AD136">
        <f t="shared" si="168"/>
        <v>3.8862419078350523E-2</v>
      </c>
      <c r="AE136">
        <f t="shared" si="169"/>
        <v>-2.8049691198821662E-2</v>
      </c>
      <c r="AF136">
        <f t="shared" si="170"/>
        <v>-3.6255623938777952E-2</v>
      </c>
      <c r="AG136">
        <f t="shared" si="171"/>
        <v>-1.3278415085532255E-2</v>
      </c>
      <c r="AH136">
        <f t="shared" si="172"/>
        <v>3.8377126327039372E-2</v>
      </c>
      <c r="AI136">
        <f t="shared" si="173"/>
        <v>-2.799835932163185E-2</v>
      </c>
      <c r="AJ136">
        <f t="shared" si="174"/>
        <v>-3.5820742024356318E-2</v>
      </c>
      <c r="AK136">
        <f t="shared" si="175"/>
        <v>-1.2606700980336689E-2</v>
      </c>
      <c r="AL136">
        <f t="shared" si="176"/>
        <v>3.925375417055265E-2</v>
      </c>
      <c r="AM136">
        <f t="shared" si="177"/>
        <v>-2.8897785535315322E-2</v>
      </c>
      <c r="AN136">
        <f t="shared" si="178"/>
        <v>-3.7786249724408874E-2</v>
      </c>
      <c r="AO136">
        <f t="shared" si="179"/>
        <v>-1.3702620637407823E-2</v>
      </c>
      <c r="AP136">
        <f t="shared" si="180"/>
        <v>3.8861250934342964E-2</v>
      </c>
      <c r="AQ136">
        <f t="shared" si="181"/>
        <v>-2.9340665339977801E-2</v>
      </c>
      <c r="AR136">
        <f t="shared" si="182"/>
        <v>-3.8138304057747076E-2</v>
      </c>
      <c r="AS136">
        <f t="shared" si="183"/>
        <v>-1.0570760105327252E-2</v>
      </c>
      <c r="AT136">
        <f t="shared" si="184"/>
        <v>3.7904484102439025E-2</v>
      </c>
      <c r="AU136">
        <f t="shared" si="185"/>
        <v>-2.9709867908167431E-2</v>
      </c>
      <c r="AV136">
        <f t="shared" si="186"/>
        <v>-3.7956365963600344E-2</v>
      </c>
      <c r="AW136">
        <f t="shared" si="187"/>
        <v>-5.8792371137847887E-3</v>
      </c>
      <c r="AX136">
        <f t="shared" si="188"/>
        <v>3.7815769039949577E-2</v>
      </c>
      <c r="AY136">
        <f t="shared" si="189"/>
        <v>-3.0706864895239265E-2</v>
      </c>
      <c r="AZ136">
        <f t="shared" si="190"/>
        <v>-3.9186045202171636E-2</v>
      </c>
      <c r="BA136">
        <f t="shared" si="191"/>
        <v>-4.7104388192920274E-3</v>
      </c>
    </row>
    <row r="137" spans="1:53" ht="14.4" x14ac:dyDescent="0.55000000000000004">
      <c r="A137" s="1">
        <v>43187</v>
      </c>
      <c r="B137">
        <v>3.18166733235343E-2</v>
      </c>
      <c r="C137">
        <v>-1.4220633080133599E-2</v>
      </c>
      <c r="D137">
        <v>-5.4569856971406101E-3</v>
      </c>
      <c r="E137">
        <v>-5.7355290999821997E-4</v>
      </c>
      <c r="F137">
        <f t="shared" si="192"/>
        <v>3.2208421395794655E-2</v>
      </c>
      <c r="G137">
        <f t="shared" si="193"/>
        <v>-1.559527664193649E-2</v>
      </c>
      <c r="H137">
        <f t="shared" si="194"/>
        <v>-9.017396469821172E-3</v>
      </c>
      <c r="I137">
        <f t="shared" si="195"/>
        <v>4.4468028566779739E-3</v>
      </c>
      <c r="J137">
        <f t="shared" si="196"/>
        <v>3.0999402582492053E-2</v>
      </c>
      <c r="K137">
        <f t="shared" si="197"/>
        <v>-1.5088897663549299E-2</v>
      </c>
      <c r="L137">
        <f t="shared" si="198"/>
        <v>-1.1744673706575261E-2</v>
      </c>
      <c r="M137">
        <f t="shared" si="199"/>
        <v>4.8716784061017086E-3</v>
      </c>
      <c r="N137">
        <f t="shared" si="200"/>
        <v>3.3592764231244437E-2</v>
      </c>
      <c r="O137">
        <f t="shared" si="201"/>
        <v>-1.8979251053834939E-2</v>
      </c>
      <c r="P137">
        <f t="shared" si="202"/>
        <v>-1.9034731728056874E-2</v>
      </c>
      <c r="Q137">
        <f t="shared" si="203"/>
        <v>-6.7535219244977173E-3</v>
      </c>
      <c r="R137">
        <f t="shared" si="204"/>
        <v>3.5964217766636941E-2</v>
      </c>
      <c r="S137">
        <f t="shared" si="205"/>
        <v>-2.2300238649220865E-2</v>
      </c>
      <c r="T137">
        <f t="shared" si="206"/>
        <v>-2.5622493591074869E-2</v>
      </c>
      <c r="U137">
        <f t="shared" si="207"/>
        <v>-1.0202956696381422E-2</v>
      </c>
      <c r="V137">
        <f t="shared" si="208"/>
        <v>3.7303328483482175E-2</v>
      </c>
      <c r="W137">
        <f t="shared" si="209"/>
        <v>-2.5146692154529023E-2</v>
      </c>
      <c r="X137">
        <f t="shared" si="210"/>
        <v>-3.0568931475091241E-2</v>
      </c>
      <c r="Y137">
        <f t="shared" si="211"/>
        <v>-9.7836297202955266E-3</v>
      </c>
      <c r="Z137">
        <f t="shared" ref="Z137:Z168" si="212">BD$2+BD$3*$V136+BD$4*$W136+BD$5*$X136+BD$6*$Y136</f>
        <v>3.7691538468280314E-2</v>
      </c>
      <c r="AA137">
        <f t="shared" ref="AA137:AA168" si="213">BE$2+BE$3*$V136+BE$4*$W136+BE$5*$X136+BE$6*$Y136</f>
        <v>-2.6433678041598786E-2</v>
      </c>
      <c r="AB137">
        <f t="shared" ref="AB137:AB168" si="214">BF$2+BF$3*$V136+BF$4*$W136+BF$5*$X136+BF$6*$Y136</f>
        <v>-3.2314351975585097E-2</v>
      </c>
      <c r="AC137">
        <f t="shared" ref="AC137:AC168" si="215">BG$2+BG$3*$V136+BG$4*$W136+BG$5*$X136+BG$6*$Y136</f>
        <v>-1.245224989610785E-2</v>
      </c>
      <c r="AD137">
        <f t="shared" si="168"/>
        <v>3.8765702991207004E-2</v>
      </c>
      <c r="AE137">
        <f t="shared" si="169"/>
        <v>-2.7823991047800423E-2</v>
      </c>
      <c r="AF137">
        <f t="shared" si="170"/>
        <v>-3.538929055901828E-2</v>
      </c>
      <c r="AG137">
        <f t="shared" si="171"/>
        <v>-1.667325323057741E-2</v>
      </c>
      <c r="AH137">
        <f t="shared" si="172"/>
        <v>3.8953100430344681E-2</v>
      </c>
      <c r="AI137">
        <f t="shared" si="173"/>
        <v>-2.838898521150824E-2</v>
      </c>
      <c r="AJ137">
        <f t="shared" si="174"/>
        <v>-3.7019157882633484E-2</v>
      </c>
      <c r="AK137">
        <f t="shared" si="175"/>
        <v>-1.2513462935998068E-2</v>
      </c>
      <c r="AL137">
        <f t="shared" si="176"/>
        <v>3.8541220768622979E-2</v>
      </c>
      <c r="AM137">
        <f t="shared" si="177"/>
        <v>-2.8390913546999838E-2</v>
      </c>
      <c r="AN137">
        <f t="shared" si="178"/>
        <v>-3.6641519704133797E-2</v>
      </c>
      <c r="AO137">
        <f t="shared" si="179"/>
        <v>-1.2020343062867181E-2</v>
      </c>
      <c r="AP137">
        <f t="shared" si="180"/>
        <v>3.9305779085098337E-2</v>
      </c>
      <c r="AQ137">
        <f t="shared" si="181"/>
        <v>-2.9183696885879039E-2</v>
      </c>
      <c r="AR137">
        <f t="shared" si="182"/>
        <v>-3.8429693455664563E-2</v>
      </c>
      <c r="AS137">
        <f t="shared" si="183"/>
        <v>-1.2908942612895082E-2</v>
      </c>
      <c r="AT137">
        <f t="shared" si="184"/>
        <v>3.8941018926930422E-2</v>
      </c>
      <c r="AU137">
        <f t="shared" si="185"/>
        <v>-2.9629327903365758E-2</v>
      </c>
      <c r="AV137">
        <f t="shared" si="186"/>
        <v>-3.8800835232269779E-2</v>
      </c>
      <c r="AW137">
        <f t="shared" si="187"/>
        <v>-1.0038330097305937E-2</v>
      </c>
      <c r="AX137">
        <f t="shared" si="188"/>
        <v>3.8082802172568868E-2</v>
      </c>
      <c r="AY137">
        <f t="shared" si="189"/>
        <v>-3.0052034662147564E-2</v>
      </c>
      <c r="AZ137">
        <f t="shared" si="190"/>
        <v>-3.871153821423267E-2</v>
      </c>
      <c r="BA137">
        <f t="shared" si="191"/>
        <v>-5.8269836658347562E-3</v>
      </c>
    </row>
    <row r="138" spans="1:53" ht="14.4" x14ac:dyDescent="0.55000000000000004">
      <c r="A138" s="1">
        <v>43215</v>
      </c>
      <c r="B138">
        <v>3.1254906161661197E-2</v>
      </c>
      <c r="C138">
        <v>-1.2034848543085201E-2</v>
      </c>
      <c r="D138">
        <v>-2.19951892822706E-3</v>
      </c>
      <c r="E138">
        <v>7.5230563150345204E-3</v>
      </c>
      <c r="F138">
        <f t="shared" si="192"/>
        <v>3.2085175076024E-2</v>
      </c>
      <c r="G138">
        <f t="shared" si="193"/>
        <v>-1.4774339743051691E-2</v>
      </c>
      <c r="H138">
        <f t="shared" si="194"/>
        <v>-8.605027547553561E-3</v>
      </c>
      <c r="I138">
        <f t="shared" si="195"/>
        <v>6.0707450557933554E-4</v>
      </c>
      <c r="J138">
        <f t="shared" si="196"/>
        <v>3.2469637576796155E-2</v>
      </c>
      <c r="K138">
        <f t="shared" si="197"/>
        <v>-1.6173634368527375E-2</v>
      </c>
      <c r="L138">
        <f t="shared" si="198"/>
        <v>-1.1957296979846568E-2</v>
      </c>
      <c r="M138">
        <f t="shared" si="199"/>
        <v>5.1870386214711781E-3</v>
      </c>
      <c r="N138">
        <f t="shared" si="200"/>
        <v>3.1838784342908898E-2</v>
      </c>
      <c r="O138">
        <f t="shared" si="201"/>
        <v>-1.636222536443821E-2</v>
      </c>
      <c r="P138">
        <f t="shared" si="202"/>
        <v>-1.4591257632575899E-2</v>
      </c>
      <c r="Q138">
        <f t="shared" si="203"/>
        <v>4.2381534506181961E-3</v>
      </c>
      <c r="R138">
        <f t="shared" si="204"/>
        <v>3.4251568261782606E-2</v>
      </c>
      <c r="S138">
        <f t="shared" si="205"/>
        <v>-1.9994930311913559E-2</v>
      </c>
      <c r="T138">
        <f t="shared" si="206"/>
        <v>-2.1206003820776025E-2</v>
      </c>
      <c r="U138">
        <f t="shared" si="207"/>
        <v>-6.7095218133799003E-3</v>
      </c>
      <c r="V138">
        <f t="shared" si="208"/>
        <v>3.6350617859922746E-2</v>
      </c>
      <c r="W138">
        <f t="shared" si="209"/>
        <v>-2.3020634403947922E-2</v>
      </c>
      <c r="X138">
        <f t="shared" si="210"/>
        <v>-2.7230238099453546E-2</v>
      </c>
      <c r="Y138">
        <f t="shared" si="211"/>
        <v>-9.7066877617839262E-3</v>
      </c>
      <c r="Z138">
        <f t="shared" si="212"/>
        <v>3.7505058786632031E-2</v>
      </c>
      <c r="AA138">
        <f t="shared" si="213"/>
        <v>-2.5634123764503611E-2</v>
      </c>
      <c r="AB138">
        <f t="shared" si="214"/>
        <v>-3.1796072361800973E-2</v>
      </c>
      <c r="AC138">
        <f t="shared" si="215"/>
        <v>-9.1690595305602765E-3</v>
      </c>
      <c r="AD138">
        <f t="shared" ref="AD138:AD168" si="216">BD$2+BD$3*$Z137+BD$4*$AA137+BD$5*$AB137+BD$6*$AC137</f>
        <v>3.7868864092391007E-2</v>
      </c>
      <c r="AE138">
        <f t="shared" ref="AE138:AE168" si="217">BE$2+BE$3*$Z137+BE$4*$AA137+BE$5*$AB137+BE$6*$AC137</f>
        <v>-2.6840417945320307E-2</v>
      </c>
      <c r="AF138">
        <f t="shared" ref="AF138:AF168" si="218">BF$2+BF$3*$Z137+BF$4*$AA137+BF$5*$AB137+BF$6*$AC137</f>
        <v>-3.3391564140116889E-2</v>
      </c>
      <c r="AG138">
        <f t="shared" ref="AG138:AG168" si="219">BG$2+BG$3*$Z137+BG$4*$AA137+BG$5*$AB137+BG$6*$AC137</f>
        <v>-1.1730253712899683E-2</v>
      </c>
      <c r="AH138">
        <f t="shared" si="172"/>
        <v>3.8885119896258084E-2</v>
      </c>
      <c r="AI138">
        <f t="shared" si="173"/>
        <v>-2.8165542729996405E-2</v>
      </c>
      <c r="AJ138">
        <f t="shared" si="174"/>
        <v>-3.6188461570237168E-2</v>
      </c>
      <c r="AK138">
        <f t="shared" si="175"/>
        <v>-1.5738442240116123E-2</v>
      </c>
      <c r="AL138">
        <f t="shared" si="176"/>
        <v>3.9041500374006534E-2</v>
      </c>
      <c r="AM138">
        <f t="shared" si="177"/>
        <v>-2.8727682390582779E-2</v>
      </c>
      <c r="AN138">
        <f t="shared" si="178"/>
        <v>-3.7735397261979081E-2</v>
      </c>
      <c r="AO138">
        <f t="shared" si="179"/>
        <v>-1.1824646108834857E-2</v>
      </c>
      <c r="AP138">
        <f t="shared" si="180"/>
        <v>3.8687921477870146E-2</v>
      </c>
      <c r="AQ138">
        <f t="shared" si="181"/>
        <v>-2.8766020063450096E-2</v>
      </c>
      <c r="AR138">
        <f t="shared" si="182"/>
        <v>-3.7406131016824995E-2</v>
      </c>
      <c r="AS138">
        <f t="shared" si="183"/>
        <v>-1.1470681855694144E-2</v>
      </c>
      <c r="AT138">
        <f t="shared" si="184"/>
        <v>3.9359244241337014E-2</v>
      </c>
      <c r="AU138">
        <f t="shared" si="185"/>
        <v>-2.9472469207366434E-2</v>
      </c>
      <c r="AV138">
        <f t="shared" si="186"/>
        <v>-3.9035604994413775E-2</v>
      </c>
      <c r="AW138">
        <f t="shared" si="187"/>
        <v>-1.2195164071270954E-2</v>
      </c>
      <c r="AX138">
        <f t="shared" si="188"/>
        <v>3.9021394788880712E-2</v>
      </c>
      <c r="AY138">
        <f t="shared" si="189"/>
        <v>-2.9920087937171422E-2</v>
      </c>
      <c r="AZ138">
        <f t="shared" si="190"/>
        <v>-3.9421414644679291E-2</v>
      </c>
      <c r="BA138">
        <f t="shared" si="191"/>
        <v>-9.5699882728517861E-3</v>
      </c>
    </row>
    <row r="139" spans="1:53" ht="14.4" x14ac:dyDescent="0.55000000000000004">
      <c r="A139" s="1">
        <v>43250</v>
      </c>
      <c r="B139">
        <v>2.9507211670019701E-2</v>
      </c>
      <c r="C139">
        <v>-9.3520555415721792E-3</v>
      </c>
      <c r="D139">
        <v>-3.42917595299747E-3</v>
      </c>
      <c r="E139">
        <v>5.9481659593298899E-3</v>
      </c>
      <c r="F139">
        <f t="shared" si="192"/>
        <v>3.1453651398086868E-2</v>
      </c>
      <c r="G139">
        <f t="shared" si="193"/>
        <v>-1.2620489323918753E-2</v>
      </c>
      <c r="H139">
        <f t="shared" si="194"/>
        <v>-5.638454745393792E-3</v>
      </c>
      <c r="I139">
        <f t="shared" si="195"/>
        <v>8.571319785571966E-3</v>
      </c>
      <c r="J139">
        <f t="shared" si="196"/>
        <v>3.2489251099757685E-2</v>
      </c>
      <c r="K139">
        <f t="shared" si="197"/>
        <v>-1.5537581145965542E-2</v>
      </c>
      <c r="L139">
        <f t="shared" si="198"/>
        <v>-1.155444771495839E-2</v>
      </c>
      <c r="M139">
        <f t="shared" si="199"/>
        <v>1.2898570911227141E-3</v>
      </c>
      <c r="N139">
        <f t="shared" si="200"/>
        <v>3.2855007633240535E-2</v>
      </c>
      <c r="O139">
        <f t="shared" si="201"/>
        <v>-1.6938405498506351E-2</v>
      </c>
      <c r="P139">
        <f t="shared" si="202"/>
        <v>-1.4708426565372051E-2</v>
      </c>
      <c r="Q139">
        <f t="shared" si="203"/>
        <v>5.48693552885422E-3</v>
      </c>
      <c r="R139">
        <f t="shared" si="204"/>
        <v>3.2607053590590199E-2</v>
      </c>
      <c r="S139">
        <f t="shared" si="205"/>
        <v>-1.7568271754549121E-2</v>
      </c>
      <c r="T139">
        <f t="shared" si="206"/>
        <v>-1.7210892057047514E-2</v>
      </c>
      <c r="U139">
        <f t="shared" si="207"/>
        <v>3.6539710325313155E-3</v>
      </c>
      <c r="V139">
        <f t="shared" si="208"/>
        <v>3.4838015618866396E-2</v>
      </c>
      <c r="W139">
        <f t="shared" si="209"/>
        <v>-2.0939666026318204E-2</v>
      </c>
      <c r="X139">
        <f t="shared" si="210"/>
        <v>-2.3206493197354461E-2</v>
      </c>
      <c r="Y139">
        <f t="shared" si="211"/>
        <v>-6.6195418631901032E-3</v>
      </c>
      <c r="Z139">
        <f t="shared" si="212"/>
        <v>3.6703304629876754E-2</v>
      </c>
      <c r="AA139">
        <f t="shared" si="213"/>
        <v>-2.3710641050178727E-2</v>
      </c>
      <c r="AB139">
        <f t="shared" si="214"/>
        <v>-2.8720285012970113E-2</v>
      </c>
      <c r="AC139">
        <f t="shared" si="215"/>
        <v>-9.245021191969913E-3</v>
      </c>
      <c r="AD139">
        <f t="shared" si="216"/>
        <v>3.770596022851775E-2</v>
      </c>
      <c r="AE139">
        <f t="shared" si="217"/>
        <v>-2.6127649777325623E-2</v>
      </c>
      <c r="AF139">
        <f t="shared" si="218"/>
        <v>-3.2940305204539111E-2</v>
      </c>
      <c r="AG139">
        <f t="shared" si="219"/>
        <v>-8.6468701016666188E-3</v>
      </c>
      <c r="AH139">
        <f t="shared" ref="AH139:AH168" si="220">BD$2+BD$3*$AD138+BD$4*$AE138+BD$5*$AF138+BD$6*$AG138</f>
        <v>3.8044377216377011E-2</v>
      </c>
      <c r="AI139">
        <f t="shared" ref="AI139:AI168" si="221">BE$2+BE$3*$AD138+BE$4*$AE138+BE$5*$AF138+BE$6*$AG138</f>
        <v>-2.7254097326683876E-2</v>
      </c>
      <c r="AJ139">
        <f t="shared" ref="AJ139:AJ168" si="222">BF$2+BF$3*$AD138+BF$4*$AE138+BF$5*$AF138+BF$6*$AG138</f>
        <v>-3.4397306728565079E-2</v>
      </c>
      <c r="AK139">
        <f t="shared" ref="AK139:AK168" si="223">BG$2+BG$3*$AD138+BG$4*$AE138+BG$5*$AF138+BG$6*$AG138</f>
        <v>-1.109691636085635E-2</v>
      </c>
      <c r="AL139">
        <f t="shared" si="176"/>
        <v>3.8995231873692623E-2</v>
      </c>
      <c r="AM139">
        <f t="shared" si="177"/>
        <v>-2.8501934374824942E-2</v>
      </c>
      <c r="AN139">
        <f t="shared" si="178"/>
        <v>-3.6937763838314229E-2</v>
      </c>
      <c r="AO139">
        <f t="shared" si="179"/>
        <v>-1.4875675760407058E-2</v>
      </c>
      <c r="AP139">
        <f t="shared" si="180"/>
        <v>3.9125387170221619E-2</v>
      </c>
      <c r="AQ139">
        <f t="shared" si="181"/>
        <v>-2.9061541020811908E-2</v>
      </c>
      <c r="AR139">
        <f t="shared" si="182"/>
        <v>-3.8406803522952192E-2</v>
      </c>
      <c r="AS139">
        <f t="shared" si="183"/>
        <v>-1.1200911600291335E-2</v>
      </c>
      <c r="AT139">
        <f t="shared" si="184"/>
        <v>3.8818911196533065E-2</v>
      </c>
      <c r="AU139">
        <f t="shared" si="185"/>
        <v>-2.9124364914292496E-2</v>
      </c>
      <c r="AV139">
        <f t="shared" si="186"/>
        <v>-3.8118733563129066E-2</v>
      </c>
      <c r="AW139">
        <f t="shared" si="187"/>
        <v>-1.0956665861466999E-2</v>
      </c>
      <c r="AX139">
        <f t="shared" si="188"/>
        <v>3.941158795216039E-2</v>
      </c>
      <c r="AY139">
        <f t="shared" si="189"/>
        <v>-2.9759641588403836E-2</v>
      </c>
      <c r="AZ139">
        <f t="shared" si="190"/>
        <v>-3.9605615233141926E-2</v>
      </c>
      <c r="BA139">
        <f t="shared" si="191"/>
        <v>-1.1549766926373311E-2</v>
      </c>
    </row>
    <row r="140" spans="1:53" ht="14.4" x14ac:dyDescent="0.55000000000000004">
      <c r="A140" s="1">
        <v>43278</v>
      </c>
      <c r="B140">
        <v>3.0002494129235401E-2</v>
      </c>
      <c r="C140">
        <v>-9.1055586915143993E-3</v>
      </c>
      <c r="D140">
        <v>-3.7584719418454199E-4</v>
      </c>
      <c r="E140">
        <v>1.85999757482202E-3</v>
      </c>
      <c r="F140">
        <f t="shared" si="192"/>
        <v>3.0537376207438745E-2</v>
      </c>
      <c r="G140">
        <f t="shared" si="193"/>
        <v>-1.1010314551035502E-2</v>
      </c>
      <c r="H140">
        <f t="shared" si="194"/>
        <v>-6.8907525208481511E-3</v>
      </c>
      <c r="I140">
        <f t="shared" si="195"/>
        <v>5.2937939748745879E-3</v>
      </c>
      <c r="J140">
        <f t="shared" si="196"/>
        <v>3.1829636279696275E-2</v>
      </c>
      <c r="K140">
        <f t="shared" si="197"/>
        <v>-1.3462646542662547E-2</v>
      </c>
      <c r="L140">
        <f t="shared" si="198"/>
        <v>-8.8640150191696757E-3</v>
      </c>
      <c r="M140">
        <f t="shared" si="199"/>
        <v>9.0267772409492603E-3</v>
      </c>
      <c r="N140">
        <f t="shared" si="200"/>
        <v>3.2965896563120892E-2</v>
      </c>
      <c r="O140">
        <f t="shared" si="201"/>
        <v>-1.6422310109383536E-2</v>
      </c>
      <c r="P140">
        <f t="shared" si="202"/>
        <v>-1.4305534645928784E-2</v>
      </c>
      <c r="Q140">
        <f t="shared" si="203"/>
        <v>1.6429316953480483E-3</v>
      </c>
      <c r="R140">
        <f t="shared" si="204"/>
        <v>3.3306510439631225E-2</v>
      </c>
      <c r="S140">
        <f t="shared" si="205"/>
        <v>-1.7808952039868858E-2</v>
      </c>
      <c r="T140">
        <f t="shared" si="206"/>
        <v>-1.727159307819787E-2</v>
      </c>
      <c r="U140">
        <f t="shared" si="207"/>
        <v>5.50067416451323E-3</v>
      </c>
      <c r="V140">
        <f t="shared" si="208"/>
        <v>3.330746930740857E-2</v>
      </c>
      <c r="W140">
        <f t="shared" si="209"/>
        <v>-1.8706744046827962E-2</v>
      </c>
      <c r="X140">
        <f t="shared" si="210"/>
        <v>-1.9621732731509432E-2</v>
      </c>
      <c r="Y140">
        <f t="shared" si="211"/>
        <v>3.1197574554845003E-3</v>
      </c>
      <c r="Z140">
        <f t="shared" si="212"/>
        <v>3.536104082944494E-2</v>
      </c>
      <c r="AA140">
        <f t="shared" si="213"/>
        <v>-2.1821156608822383E-2</v>
      </c>
      <c r="AB140">
        <f t="shared" si="214"/>
        <v>-2.505103780091774E-2</v>
      </c>
      <c r="AC140">
        <f t="shared" si="215"/>
        <v>-6.4972145995341544E-3</v>
      </c>
      <c r="AD140">
        <f t="shared" si="216"/>
        <v>3.7023784525007611E-2</v>
      </c>
      <c r="AE140">
        <f t="shared" si="217"/>
        <v>-2.4369346729782602E-2</v>
      </c>
      <c r="AF140">
        <f t="shared" si="218"/>
        <v>-3.0101453579888502E-2</v>
      </c>
      <c r="AG140">
        <f t="shared" si="219"/>
        <v>-8.8139130519044404E-3</v>
      </c>
      <c r="AH140">
        <f t="shared" si="220"/>
        <v>3.7899918271331184E-2</v>
      </c>
      <c r="AI140">
        <f t="shared" si="221"/>
        <v>-2.6617219497724078E-2</v>
      </c>
      <c r="AJ140">
        <f t="shared" si="222"/>
        <v>-3.4006015692113936E-2</v>
      </c>
      <c r="AK140">
        <f t="shared" si="223"/>
        <v>-8.1954015566441281E-3</v>
      </c>
      <c r="AL140">
        <f t="shared" ref="AL140:AL168" si="224">BD$2+BD$3*$AH139+BD$4*$AI139+BD$5*$AJ139+BD$6*$AK139</f>
        <v>3.8213060341390569E-2</v>
      </c>
      <c r="AM140">
        <f t="shared" ref="AM140:AM168" si="225">BE$2+BE$3*$AH139+BE$4*$AI139+BE$5*$AJ139+BE$6*$AK139</f>
        <v>-2.7666088018643831E-2</v>
      </c>
      <c r="AN140">
        <f t="shared" ref="AN140:AN168" si="226">BF$2+BF$3*$AH139+BF$4*$AI139+BF$5*$AJ139+BF$6*$AK139</f>
        <v>-3.5335351612588176E-2</v>
      </c>
      <c r="AO140">
        <f t="shared" ref="AO140:AO168" si="227">BG$2+BG$3*$AH139+BG$4*$AI139+BG$5*$AJ139+BG$6*$AK139</f>
        <v>-1.0533638316410444E-2</v>
      </c>
      <c r="AP140">
        <f t="shared" si="180"/>
        <v>3.9095679664730189E-2</v>
      </c>
      <c r="AQ140">
        <f t="shared" si="181"/>
        <v>-2.8830966837334299E-2</v>
      </c>
      <c r="AR140">
        <f t="shared" si="182"/>
        <v>-3.7640243288690992E-2</v>
      </c>
      <c r="AS140">
        <f t="shared" si="183"/>
        <v>-1.4077986904034265E-2</v>
      </c>
      <c r="AT140">
        <f t="shared" si="184"/>
        <v>3.9203525526204562E-2</v>
      </c>
      <c r="AU140">
        <f t="shared" si="185"/>
        <v>-2.9387783044404061E-2</v>
      </c>
      <c r="AV140">
        <f t="shared" si="186"/>
        <v>-3.90359048198771E-2</v>
      </c>
      <c r="AW140">
        <f t="shared" si="187"/>
        <v>-1.063399927897352E-2</v>
      </c>
      <c r="AX140">
        <f t="shared" si="188"/>
        <v>3.8935741719592756E-2</v>
      </c>
      <c r="AY140">
        <f t="shared" si="189"/>
        <v>-2.946663549841878E-2</v>
      </c>
      <c r="AZ140">
        <f t="shared" si="190"/>
        <v>-3.8783147361210996E-2</v>
      </c>
      <c r="BA140">
        <f t="shared" si="191"/>
        <v>-1.0477200286158637E-2</v>
      </c>
    </row>
    <row r="141" spans="1:53" ht="14.4" x14ac:dyDescent="0.55000000000000004">
      <c r="A141" s="1">
        <v>43306</v>
      </c>
      <c r="B141">
        <v>2.9994851301705899E-2</v>
      </c>
      <c r="C141">
        <v>-8.1119485344443298E-3</v>
      </c>
      <c r="D141">
        <v>-2.2079105131945999E-4</v>
      </c>
      <c r="E141">
        <v>6.3275949566066704E-3</v>
      </c>
      <c r="F141">
        <f t="shared" si="192"/>
        <v>3.0738798445284189E-2</v>
      </c>
      <c r="G141">
        <f t="shared" si="193"/>
        <v>-1.0378299862342765E-2</v>
      </c>
      <c r="H141">
        <f t="shared" si="194"/>
        <v>-3.967976734424645E-3</v>
      </c>
      <c r="I141">
        <f t="shared" si="195"/>
        <v>2.2008625479749077E-3</v>
      </c>
      <c r="J141">
        <f t="shared" si="196"/>
        <v>3.1465688892697734E-2</v>
      </c>
      <c r="K141">
        <f t="shared" si="197"/>
        <v>-1.2562005821822819E-2</v>
      </c>
      <c r="L141">
        <f t="shared" si="198"/>
        <v>-1.0076108189421657E-2</v>
      </c>
      <c r="M141">
        <f t="shared" si="199"/>
        <v>4.723798521478275E-3</v>
      </c>
      <c r="N141">
        <f t="shared" si="200"/>
        <v>3.2305319960205491E-2</v>
      </c>
      <c r="O141">
        <f t="shared" si="201"/>
        <v>-1.4454537577427498E-2</v>
      </c>
      <c r="P141">
        <f t="shared" si="202"/>
        <v>-1.1874261378703652E-2</v>
      </c>
      <c r="Q141">
        <f t="shared" si="203"/>
        <v>9.0940158912407153E-3</v>
      </c>
      <c r="R141">
        <f t="shared" si="204"/>
        <v>3.3473437985712708E-2</v>
      </c>
      <c r="S141">
        <f t="shared" si="205"/>
        <v>-1.7369024714076978E-2</v>
      </c>
      <c r="T141">
        <f t="shared" si="206"/>
        <v>-1.6863512231250675E-2</v>
      </c>
      <c r="U141">
        <f t="shared" si="207"/>
        <v>1.7805676592504004E-3</v>
      </c>
      <c r="V141">
        <f t="shared" si="208"/>
        <v>3.378578318273795E-2</v>
      </c>
      <c r="W141">
        <f t="shared" si="209"/>
        <v>-1.8730913742674327E-2</v>
      </c>
      <c r="X141">
        <f t="shared" si="210"/>
        <v>-1.965211033720304E-2</v>
      </c>
      <c r="Y141">
        <f t="shared" si="211"/>
        <v>5.3328038640376709E-3</v>
      </c>
      <c r="Z141">
        <f t="shared" si="212"/>
        <v>3.3944114304626613E-2</v>
      </c>
      <c r="AA141">
        <f t="shared" si="213"/>
        <v>-1.9778936588879727E-2</v>
      </c>
      <c r="AB141">
        <f t="shared" si="214"/>
        <v>-2.18406716674353E-2</v>
      </c>
      <c r="AC141">
        <f t="shared" si="215"/>
        <v>2.6336017093427284E-3</v>
      </c>
      <c r="AD141">
        <f t="shared" si="216"/>
        <v>3.5828169489228741E-2</v>
      </c>
      <c r="AE141">
        <f t="shared" si="217"/>
        <v>-2.2645684464869743E-2</v>
      </c>
      <c r="AF141">
        <f t="shared" si="218"/>
        <v>-2.6752970995070912E-2</v>
      </c>
      <c r="AG141">
        <f t="shared" si="219"/>
        <v>-6.3531040046707283E-3</v>
      </c>
      <c r="AH141">
        <f t="shared" si="220"/>
        <v>3.7313995724055297E-2</v>
      </c>
      <c r="AI141">
        <f t="shared" si="221"/>
        <v>-2.4996725752301056E-2</v>
      </c>
      <c r="AJ141">
        <f t="shared" si="222"/>
        <v>-3.1381981979590426E-2</v>
      </c>
      <c r="AK141">
        <f t="shared" si="223"/>
        <v>-8.4108162232417877E-3</v>
      </c>
      <c r="AL141">
        <f t="shared" si="224"/>
        <v>3.8083331626803364E-2</v>
      </c>
      <c r="AM141">
        <f t="shared" si="225"/>
        <v>-2.7096312043333213E-2</v>
      </c>
      <c r="AN141">
        <f t="shared" si="226"/>
        <v>-3.4997849073116358E-2</v>
      </c>
      <c r="AO141">
        <f t="shared" si="227"/>
        <v>-7.7996262128878068E-3</v>
      </c>
      <c r="AP141">
        <f t="shared" ref="AP141:AP168" si="228">BD$2+BD$3*$AL140+BD$4*$AM140+BD$5*$AN140+BD$6*$AO140</f>
        <v>3.8371997633770735E-2</v>
      </c>
      <c r="AQ141">
        <f t="shared" ref="AQ141:AQ168" si="229">BE$2+BE$3*$AL140+BE$4*$AM140+BE$5*$AN140+BE$6*$AO140</f>
        <v>-2.8070742142511498E-2</v>
      </c>
      <c r="AR141">
        <f t="shared" ref="AR141:AR168" si="230">BF$2+BF$3*$AL140+BF$4*$AM140+BF$5*$AN140+BF$6*$AO140</f>
        <v>-3.6209680538611407E-2</v>
      </c>
      <c r="AS141">
        <f t="shared" ref="AS141:AS168" si="231">BG$2+BG$3*$AL140+BG$4*$AM140+BG$5*$AN140+BG$6*$AO140</f>
        <v>-1.0027393199492292E-2</v>
      </c>
      <c r="AT141">
        <f t="shared" si="184"/>
        <v>3.9186560835205324E-2</v>
      </c>
      <c r="AU141">
        <f t="shared" si="185"/>
        <v>-2.9151228270359222E-2</v>
      </c>
      <c r="AV141">
        <f t="shared" si="186"/>
        <v>-3.8298838949387931E-2</v>
      </c>
      <c r="AW141">
        <f t="shared" si="187"/>
        <v>-1.3339868172188841E-2</v>
      </c>
      <c r="AX141">
        <f t="shared" si="188"/>
        <v>3.9275340647110822E-2</v>
      </c>
      <c r="AY141">
        <f t="shared" si="189"/>
        <v>-2.970463953051369E-2</v>
      </c>
      <c r="AZ141">
        <f t="shared" si="190"/>
        <v>-3.9625212445523757E-2</v>
      </c>
      <c r="BA141">
        <f t="shared" si="191"/>
        <v>-1.0117589772334559E-2</v>
      </c>
    </row>
    <row r="142" spans="1:53" ht="14.4" x14ac:dyDescent="0.55000000000000004">
      <c r="A142" s="1">
        <v>43341</v>
      </c>
      <c r="B142">
        <v>3.2161107975715801E-2</v>
      </c>
      <c r="C142">
        <v>-1.0491134725706199E-2</v>
      </c>
      <c r="D142">
        <v>9.5873865618418402E-4</v>
      </c>
      <c r="E142">
        <v>-4.2968915693938903E-3</v>
      </c>
      <c r="F142">
        <f t="shared" si="192"/>
        <v>3.074224899848069E-2</v>
      </c>
      <c r="G142">
        <f t="shared" si="193"/>
        <v>-9.4989912690111294E-3</v>
      </c>
      <c r="H142">
        <f t="shared" si="194"/>
        <v>-3.857223882730485E-3</v>
      </c>
      <c r="I142">
        <f t="shared" si="195"/>
        <v>6.4180449443374437E-3</v>
      </c>
      <c r="J142">
        <f t="shared" si="196"/>
        <v>3.1477934289482846E-2</v>
      </c>
      <c r="K142">
        <f t="shared" si="197"/>
        <v>-1.1685998104345991E-2</v>
      </c>
      <c r="L142">
        <f t="shared" si="198"/>
        <v>-7.3004302693571894E-3</v>
      </c>
      <c r="M142">
        <f t="shared" si="199"/>
        <v>2.3459543604003306E-3</v>
      </c>
      <c r="N142">
        <f t="shared" si="200"/>
        <v>3.2301908289116811E-2</v>
      </c>
      <c r="O142">
        <f t="shared" si="201"/>
        <v>-1.4014550645558625E-2</v>
      </c>
      <c r="P142">
        <f t="shared" si="202"/>
        <v>-1.3008447570621938E-2</v>
      </c>
      <c r="Q142">
        <f t="shared" si="203"/>
        <v>4.2255457357795569E-3</v>
      </c>
      <c r="R142">
        <f t="shared" si="204"/>
        <v>3.282909384305082E-2</v>
      </c>
      <c r="S142">
        <f t="shared" si="205"/>
        <v>-1.5523953606631719E-2</v>
      </c>
      <c r="T142">
        <f t="shared" si="206"/>
        <v>-1.4673444578851159E-2</v>
      </c>
      <c r="U142">
        <f t="shared" si="207"/>
        <v>8.9122123576692545E-3</v>
      </c>
      <c r="V142">
        <f t="shared" si="208"/>
        <v>3.3984828879841292E-2</v>
      </c>
      <c r="W142">
        <f t="shared" si="209"/>
        <v>-1.8337931089885406E-2</v>
      </c>
      <c r="X142">
        <f t="shared" si="210"/>
        <v>-1.9236592328565991E-2</v>
      </c>
      <c r="Y142">
        <f t="shared" si="211"/>
        <v>1.7799361475873546E-3</v>
      </c>
      <c r="Z142">
        <f t="shared" si="212"/>
        <v>3.4267941795371092E-2</v>
      </c>
      <c r="AA142">
        <f t="shared" si="213"/>
        <v>-1.9668064110210014E-2</v>
      </c>
      <c r="AB142">
        <f t="shared" si="214"/>
        <v>-2.1858006152520353E-2</v>
      </c>
      <c r="AC142">
        <f t="shared" si="215"/>
        <v>5.0537007068882879E-3</v>
      </c>
      <c r="AD142">
        <f t="shared" si="216"/>
        <v>3.4521467289921594E-2</v>
      </c>
      <c r="AE142">
        <f t="shared" si="217"/>
        <v>-2.0787121886142554E-2</v>
      </c>
      <c r="AF142">
        <f t="shared" si="218"/>
        <v>-2.3883344133420706E-2</v>
      </c>
      <c r="AG142">
        <f t="shared" si="219"/>
        <v>2.1921426806916352E-3</v>
      </c>
      <c r="AH142">
        <f t="shared" si="220"/>
        <v>3.6245818460683234E-2</v>
      </c>
      <c r="AI142">
        <f t="shared" si="221"/>
        <v>-2.3418469602784826E-2</v>
      </c>
      <c r="AJ142">
        <f t="shared" si="222"/>
        <v>-2.8324315664273767E-2</v>
      </c>
      <c r="AK142">
        <f t="shared" si="223"/>
        <v>-6.1954395081358646E-3</v>
      </c>
      <c r="AL142">
        <f t="shared" si="224"/>
        <v>3.7576088430293766E-2</v>
      </c>
      <c r="AM142">
        <f t="shared" si="225"/>
        <v>-2.5593321279424874E-2</v>
      </c>
      <c r="AN142">
        <f t="shared" si="226"/>
        <v>-3.2569524731312728E-2</v>
      </c>
      <c r="AO142">
        <f t="shared" si="227"/>
        <v>-8.0341154104617736E-3</v>
      </c>
      <c r="AP142">
        <f t="shared" si="228"/>
        <v>3.8254282149763473E-2</v>
      </c>
      <c r="AQ142">
        <f t="shared" si="229"/>
        <v>-2.7560826926769279E-2</v>
      </c>
      <c r="AR142">
        <f t="shared" si="230"/>
        <v>-3.5920497391970181E-2</v>
      </c>
      <c r="AS142">
        <f t="shared" si="231"/>
        <v>-7.4490602704850514E-3</v>
      </c>
      <c r="AT142">
        <f t="shared" ref="AT142:AT168" si="232">BD$2+BD$3*$AP141+BD$4*$AQ141+BD$5*$AR141+BD$6*$AS141</f>
        <v>3.8519677721297524E-2</v>
      </c>
      <c r="AU142">
        <f t="shared" ref="AU142:AU168" si="233">BE$2+BE$3*$AP141+BE$4*$AQ141+BE$5*$AR141+BE$6*$AS141</f>
        <v>-2.846445835084916E-2</v>
      </c>
      <c r="AV142">
        <f t="shared" ref="AV142:AV168" si="234">BF$2+BF$3*$AP141+BF$4*$AQ141+BF$5*$AR141+BF$6*$AS141</f>
        <v>-3.7024307326007123E-2</v>
      </c>
      <c r="AW142">
        <f t="shared" ref="AW142:AW168" si="235">BG$2+BG$3*$AP141+BG$4*$AQ141+BG$5*$AR141+BG$6*$AS141</f>
        <v>-9.568973654762258E-3</v>
      </c>
      <c r="AX142">
        <f t="shared" si="188"/>
        <v>3.9268255028803802E-2</v>
      </c>
      <c r="AY142">
        <f t="shared" si="189"/>
        <v>-2.9461848682189092E-2</v>
      </c>
      <c r="AZ142">
        <f t="shared" si="190"/>
        <v>-3.8916351173456619E-2</v>
      </c>
      <c r="BA142">
        <f t="shared" si="191"/>
        <v>-1.2656822739245602E-2</v>
      </c>
    </row>
    <row r="143" spans="1:53" ht="14.4" x14ac:dyDescent="0.55000000000000004">
      <c r="A143" s="1">
        <v>43369</v>
      </c>
      <c r="B143">
        <v>3.2771672074705799E-2</v>
      </c>
      <c r="C143">
        <v>-1.06840064512098E-2</v>
      </c>
      <c r="D143">
        <v>2.7299158009159502E-3</v>
      </c>
      <c r="E143">
        <v>-6.697231323049E-4</v>
      </c>
      <c r="F143">
        <f t="shared" si="192"/>
        <v>3.2221203028600605E-2</v>
      </c>
      <c r="G143">
        <f t="shared" si="193"/>
        <v>-1.0940733138800778E-2</v>
      </c>
      <c r="H143">
        <f t="shared" si="194"/>
        <v>-2.5488659095655357E-3</v>
      </c>
      <c r="I143">
        <f t="shared" si="195"/>
        <v>-2.1188478236896266E-3</v>
      </c>
      <c r="J143">
        <f t="shared" si="196"/>
        <v>3.1486487777210977E-2</v>
      </c>
      <c r="K143">
        <f t="shared" si="197"/>
        <v>-1.090538633830004E-2</v>
      </c>
      <c r="L143">
        <f t="shared" si="198"/>
        <v>-7.2285057414834212E-3</v>
      </c>
      <c r="M143">
        <f t="shared" si="199"/>
        <v>6.3357180174053512E-3</v>
      </c>
      <c r="N143">
        <f t="shared" si="200"/>
        <v>3.2196210949684619E-2</v>
      </c>
      <c r="O143">
        <f t="shared" si="201"/>
        <v>-1.2991686727775507E-2</v>
      </c>
      <c r="P143">
        <f t="shared" si="202"/>
        <v>-1.0387204422558046E-2</v>
      </c>
      <c r="Q143">
        <f t="shared" si="203"/>
        <v>2.367292598861754E-3</v>
      </c>
      <c r="R143">
        <f t="shared" si="204"/>
        <v>3.3054930736298484E-2</v>
      </c>
      <c r="S143">
        <f t="shared" si="205"/>
        <v>-1.5374852056408215E-2</v>
      </c>
      <c r="T143">
        <f t="shared" si="206"/>
        <v>-1.570893052821672E-2</v>
      </c>
      <c r="U143">
        <f t="shared" si="207"/>
        <v>3.7879021104523622E-3</v>
      </c>
      <c r="V143">
        <f t="shared" si="208"/>
        <v>3.3367159463083877E-2</v>
      </c>
      <c r="W143">
        <f t="shared" si="209"/>
        <v>-1.6622563491014805E-2</v>
      </c>
      <c r="X143">
        <f t="shared" si="210"/>
        <v>-1.7269626692110612E-2</v>
      </c>
      <c r="Y143">
        <f t="shared" si="211"/>
        <v>8.5754485892304833E-3</v>
      </c>
      <c r="Z143">
        <f t="shared" si="212"/>
        <v>3.4483006885338882E-2</v>
      </c>
      <c r="AA143">
        <f t="shared" si="213"/>
        <v>-1.9302810794354395E-2</v>
      </c>
      <c r="AB143">
        <f t="shared" si="214"/>
        <v>-2.1434661514314831E-2</v>
      </c>
      <c r="AC143">
        <f t="shared" si="215"/>
        <v>1.6927298959023823E-3</v>
      </c>
      <c r="AD143">
        <f t="shared" si="216"/>
        <v>3.4737301615324422E-2</v>
      </c>
      <c r="AE143">
        <f t="shared" si="217"/>
        <v>-2.0596659372575033E-2</v>
      </c>
      <c r="AF143">
        <f t="shared" si="218"/>
        <v>-2.3898814751688972E-2</v>
      </c>
      <c r="AG143">
        <f t="shared" si="219"/>
        <v>4.7102785769595279E-3</v>
      </c>
      <c r="AH143">
        <f t="shared" si="220"/>
        <v>3.5044122313746637E-2</v>
      </c>
      <c r="AI143">
        <f t="shared" si="221"/>
        <v>-2.1734138968359188E-2</v>
      </c>
      <c r="AJ143">
        <f t="shared" si="222"/>
        <v>-2.5764168553947003E-2</v>
      </c>
      <c r="AK143">
        <f t="shared" si="223"/>
        <v>1.7912882306243788E-3</v>
      </c>
      <c r="AL143">
        <f t="shared" si="224"/>
        <v>3.6619517127410559E-2</v>
      </c>
      <c r="AM143">
        <f t="shared" si="225"/>
        <v>-2.4143923282177054E-2</v>
      </c>
      <c r="AN143">
        <f t="shared" si="226"/>
        <v>-2.9775943790666032E-2</v>
      </c>
      <c r="AO143">
        <f t="shared" si="227"/>
        <v>-6.0306526572658928E-3</v>
      </c>
      <c r="AP143">
        <f t="shared" si="228"/>
        <v>3.7812280639589836E-2</v>
      </c>
      <c r="AQ143">
        <f t="shared" si="229"/>
        <v>-2.6160029366976943E-2</v>
      </c>
      <c r="AR143">
        <f t="shared" si="230"/>
        <v>-3.367116743418392E-2</v>
      </c>
      <c r="AS143">
        <f t="shared" si="231"/>
        <v>-7.68275077497922E-3</v>
      </c>
      <c r="AT143">
        <f t="shared" si="232"/>
        <v>3.8411963802523812E-2</v>
      </c>
      <c r="AU143">
        <f t="shared" si="233"/>
        <v>-2.8008315800606341E-2</v>
      </c>
      <c r="AV143">
        <f t="shared" si="234"/>
        <v>-3.6778563696668404E-2</v>
      </c>
      <c r="AW143">
        <f t="shared" si="235"/>
        <v>-7.1363228723270652E-3</v>
      </c>
      <c r="AX143">
        <f t="shared" ref="AX143:AX168" si="236">BD$2+BD$3*$AT142+BD$4*$AU142+BD$5*$AV142+BD$6*$AW142</f>
        <v>3.8655514356252356E-2</v>
      </c>
      <c r="AY143">
        <f t="shared" ref="AY143:AY168" si="237">BE$2+BE$3*$AT142+BE$4*$AU142+BE$5*$AV142+BE$6*$AW142</f>
        <v>-2.8845035098757958E-2</v>
      </c>
      <c r="AZ143">
        <f t="shared" ref="AZ143:AZ168" si="238">BF$2+BF$3*$AT142+BF$4*$AU142+BF$5*$AV142+BF$6*$AW142</f>
        <v>-3.7783164669578942E-2</v>
      </c>
      <c r="BA143">
        <f t="shared" ref="BA143:BA168" si="239">BG$2+BG$3*$AT142+BG$4*$AU142+BG$5*$AV142+BG$6*$AW142</f>
        <v>-9.1517815545766913E-3</v>
      </c>
    </row>
    <row r="144" spans="1:53" ht="14.4" x14ac:dyDescent="0.55000000000000004">
      <c r="A144" s="1">
        <v>43404</v>
      </c>
      <c r="B144">
        <v>3.7979702061328703E-2</v>
      </c>
      <c r="C144">
        <v>-1.39570573225135E-2</v>
      </c>
      <c r="D144">
        <v>-4.3206880460148504E-3</v>
      </c>
      <c r="E144">
        <v>-1.00124130160547E-2</v>
      </c>
      <c r="F144">
        <f t="shared" si="192"/>
        <v>3.2444997897034755E-2</v>
      </c>
      <c r="G144">
        <f t="shared" si="193"/>
        <v>-1.0694796302008112E-2</v>
      </c>
      <c r="H144">
        <f t="shared" si="194"/>
        <v>-8.7458301765264211E-4</v>
      </c>
      <c r="I144">
        <f t="shared" si="195"/>
        <v>2.2062406711597505E-3</v>
      </c>
      <c r="J144">
        <f t="shared" si="196"/>
        <v>3.2492511375908563E-2</v>
      </c>
      <c r="K144">
        <f t="shared" si="197"/>
        <v>-1.1696897501367444E-2</v>
      </c>
      <c r="L144">
        <f t="shared" si="198"/>
        <v>-5.8546944144826276E-3</v>
      </c>
      <c r="M144">
        <f t="shared" si="199"/>
        <v>-6.7114480519808229E-4</v>
      </c>
      <c r="N144">
        <f t="shared" si="200"/>
        <v>3.2206028497743774E-2</v>
      </c>
      <c r="O144">
        <f t="shared" si="201"/>
        <v>-1.2297497502758733E-2</v>
      </c>
      <c r="P144">
        <f t="shared" si="202"/>
        <v>-1.0349513978431282E-2</v>
      </c>
      <c r="Q144">
        <f t="shared" si="203"/>
        <v>6.1472196272763305E-3</v>
      </c>
      <c r="R144">
        <f t="shared" si="204"/>
        <v>3.2879418313988058E-2</v>
      </c>
      <c r="S144">
        <f t="shared" si="205"/>
        <v>-1.4271481685127964E-2</v>
      </c>
      <c r="T144">
        <f t="shared" si="206"/>
        <v>-1.3243392771012916E-2</v>
      </c>
      <c r="U144">
        <f t="shared" si="207"/>
        <v>2.3125100908120196E-3</v>
      </c>
      <c r="V144">
        <f t="shared" si="208"/>
        <v>3.373284651882219E-2</v>
      </c>
      <c r="W144">
        <f t="shared" si="209"/>
        <v>-1.6649309741631087E-2</v>
      </c>
      <c r="X144">
        <f t="shared" si="210"/>
        <v>-1.819685445487524E-2</v>
      </c>
      <c r="Y144">
        <f t="shared" si="211"/>
        <v>3.4011203217959962E-3</v>
      </c>
      <c r="Z144">
        <f t="shared" si="212"/>
        <v>3.3897901170027514E-2</v>
      </c>
      <c r="AA144">
        <f t="shared" si="213"/>
        <v>-1.7718489977278044E-2</v>
      </c>
      <c r="AB144">
        <f t="shared" si="214"/>
        <v>-1.9673072719651751E-2</v>
      </c>
      <c r="AC144">
        <f t="shared" si="215"/>
        <v>8.1467954248958026E-3</v>
      </c>
      <c r="AD144">
        <f t="shared" si="216"/>
        <v>3.4957682801948352E-2</v>
      </c>
      <c r="AE144">
        <f t="shared" si="217"/>
        <v>-2.0246767912073166E-2</v>
      </c>
      <c r="AF144">
        <f t="shared" si="218"/>
        <v>-2.3468405021979579E-2</v>
      </c>
      <c r="AG144">
        <f t="shared" si="219"/>
        <v>1.5532059965256166E-3</v>
      </c>
      <c r="AH144">
        <f t="shared" si="220"/>
        <v>3.5184417916032683E-2</v>
      </c>
      <c r="AI144">
        <f t="shared" si="221"/>
        <v>-2.150152006805775E-2</v>
      </c>
      <c r="AJ144">
        <f t="shared" si="222"/>
        <v>-2.5784771990927595E-2</v>
      </c>
      <c r="AK144">
        <f t="shared" si="223"/>
        <v>4.3334029314636494E-3</v>
      </c>
      <c r="AL144">
        <f t="shared" si="224"/>
        <v>3.5516609086589608E-2</v>
      </c>
      <c r="AM144">
        <f t="shared" si="225"/>
        <v>-2.2623117816693752E-2</v>
      </c>
      <c r="AN144">
        <f t="shared" si="226"/>
        <v>-2.7496405953135714E-2</v>
      </c>
      <c r="AO144">
        <f t="shared" si="227"/>
        <v>1.4266822220869813E-3</v>
      </c>
      <c r="AP144">
        <f t="shared" si="228"/>
        <v>3.6954072547692715E-2</v>
      </c>
      <c r="AQ144">
        <f t="shared" si="229"/>
        <v>-2.4825831322872159E-2</v>
      </c>
      <c r="AR144">
        <f t="shared" si="230"/>
        <v>-3.1117709653068922E-2</v>
      </c>
      <c r="AS144">
        <f t="shared" si="231"/>
        <v>-5.8637736218362206E-3</v>
      </c>
      <c r="AT144">
        <f t="shared" si="232"/>
        <v>3.8024765579341077E-2</v>
      </c>
      <c r="AU144">
        <f t="shared" si="233"/>
        <v>-2.6697952985298257E-2</v>
      </c>
      <c r="AV144">
        <f t="shared" si="234"/>
        <v>-3.4693451967479395E-2</v>
      </c>
      <c r="AW144">
        <f t="shared" si="235"/>
        <v>-7.3559708014747571E-3</v>
      </c>
      <c r="AX144">
        <f t="shared" si="236"/>
        <v>3.8556291202669214E-2</v>
      </c>
      <c r="AY144">
        <f t="shared" si="237"/>
        <v>-2.8437451121473882E-2</v>
      </c>
      <c r="AZ144">
        <f t="shared" si="238"/>
        <v>-3.7576478612637527E-2</v>
      </c>
      <c r="BA144">
        <f t="shared" si="239"/>
        <v>-6.8561440171804981E-3</v>
      </c>
    </row>
    <row r="145" spans="1:53" ht="14.4" x14ac:dyDescent="0.55000000000000004">
      <c r="A145" s="1">
        <v>43432</v>
      </c>
      <c r="B145">
        <v>3.9576578808668897E-2</v>
      </c>
      <c r="C145">
        <v>-1.49484397275791E-2</v>
      </c>
      <c r="D145">
        <v>-7.8253015865020793E-3</v>
      </c>
      <c r="E145">
        <v>-1.6383308389605701E-2</v>
      </c>
      <c r="F145">
        <f t="shared" si="192"/>
        <v>3.6837559062382681E-2</v>
      </c>
      <c r="G145">
        <f t="shared" si="193"/>
        <v>-1.3196411979789413E-2</v>
      </c>
      <c r="H145">
        <f t="shared" si="194"/>
        <v>-7.1405711654510939E-3</v>
      </c>
      <c r="I145">
        <f t="shared" si="195"/>
        <v>-5.1916039115854585E-3</v>
      </c>
      <c r="J145">
        <f t="shared" si="196"/>
        <v>3.2464390125085452E-2</v>
      </c>
      <c r="K145">
        <f t="shared" si="197"/>
        <v>-1.1184055683546003E-2</v>
      </c>
      <c r="L145">
        <f t="shared" si="198"/>
        <v>-4.2991679060373975E-3</v>
      </c>
      <c r="M145">
        <f t="shared" si="199"/>
        <v>4.0257565265433776E-3</v>
      </c>
      <c r="N145">
        <f t="shared" si="200"/>
        <v>3.2887576198895221E-2</v>
      </c>
      <c r="O145">
        <f t="shared" si="201"/>
        <v>-1.2639039399721243E-2</v>
      </c>
      <c r="P145">
        <f t="shared" si="202"/>
        <v>-8.9531134942265507E-3</v>
      </c>
      <c r="Q145">
        <f t="shared" si="203"/>
        <v>2.7855446684210824E-4</v>
      </c>
      <c r="R145">
        <f t="shared" si="204"/>
        <v>3.2888124286357109E-2</v>
      </c>
      <c r="S145">
        <f t="shared" si="205"/>
        <v>-1.3653840203144169E-2</v>
      </c>
      <c r="T145">
        <f t="shared" si="206"/>
        <v>-1.3236001474622101E-2</v>
      </c>
      <c r="U145">
        <f t="shared" si="207"/>
        <v>5.8964601773485066E-3</v>
      </c>
      <c r="V145">
        <f t="shared" si="208"/>
        <v>3.35197184102385E-2</v>
      </c>
      <c r="W145">
        <f t="shared" si="209"/>
        <v>-1.5510447585963424E-2</v>
      </c>
      <c r="X145">
        <f t="shared" si="210"/>
        <v>-1.5884381467050009E-2</v>
      </c>
      <c r="Y145">
        <f t="shared" si="211"/>
        <v>2.2126453187985315E-3</v>
      </c>
      <c r="Z145">
        <f t="shared" si="212"/>
        <v>3.4342998881117415E-2</v>
      </c>
      <c r="AA145">
        <f t="shared" si="213"/>
        <v>-1.7843843916829839E-2</v>
      </c>
      <c r="AB145">
        <f t="shared" si="214"/>
        <v>-2.0489821698732182E-2</v>
      </c>
      <c r="AC145">
        <f t="shared" si="215"/>
        <v>3.0567177864322661E-3</v>
      </c>
      <c r="AD145">
        <f t="shared" si="216"/>
        <v>3.4407991929817042E-2</v>
      </c>
      <c r="AE145">
        <f t="shared" si="217"/>
        <v>-1.879116035631195E-2</v>
      </c>
      <c r="AF145">
        <f t="shared" si="218"/>
        <v>-2.1895173049506604E-2</v>
      </c>
      <c r="AG145">
        <f t="shared" si="219"/>
        <v>7.6680664029478126E-3</v>
      </c>
      <c r="AH145">
        <f t="shared" si="220"/>
        <v>3.5403123799872059E-2</v>
      </c>
      <c r="AI145">
        <f t="shared" si="221"/>
        <v>-2.11592822950935E-2</v>
      </c>
      <c r="AJ145">
        <f t="shared" si="222"/>
        <v>-2.5348731197423785E-2</v>
      </c>
      <c r="AK145">
        <f t="shared" si="223"/>
        <v>1.3837450519472118E-3</v>
      </c>
      <c r="AL145">
        <f t="shared" si="224"/>
        <v>3.5604042825767179E-2</v>
      </c>
      <c r="AM145">
        <f t="shared" si="225"/>
        <v>-2.2373316514937843E-2</v>
      </c>
      <c r="AN145">
        <f t="shared" si="226"/>
        <v>-2.7526287385693543E-2</v>
      </c>
      <c r="AO145">
        <f t="shared" si="227"/>
        <v>3.9430151078234778E-3</v>
      </c>
      <c r="AP145">
        <f t="shared" si="228"/>
        <v>3.5943281974958816E-2</v>
      </c>
      <c r="AQ145">
        <f t="shared" si="229"/>
        <v>-2.3457297348857379E-2</v>
      </c>
      <c r="AR145">
        <f t="shared" si="230"/>
        <v>-2.9092229975592177E-2</v>
      </c>
      <c r="AS145">
        <f t="shared" si="231"/>
        <v>1.0939998298678526E-3</v>
      </c>
      <c r="AT145">
        <f t="shared" si="232"/>
        <v>3.7253694508681857E-2</v>
      </c>
      <c r="AU145">
        <f t="shared" si="233"/>
        <v>-2.5467487762416186E-2</v>
      </c>
      <c r="AV145">
        <f t="shared" si="234"/>
        <v>-3.235856254421899E-2</v>
      </c>
      <c r="AW145">
        <f t="shared" si="235"/>
        <v>-5.6987275856344635E-3</v>
      </c>
      <c r="AX145">
        <f t="shared" si="236"/>
        <v>3.8215654341088541E-2</v>
      </c>
      <c r="AY145">
        <f t="shared" si="237"/>
        <v>-2.7208304249171478E-2</v>
      </c>
      <c r="AZ145">
        <f t="shared" si="238"/>
        <v>-3.5642407528228219E-2</v>
      </c>
      <c r="BA145">
        <f t="shared" si="239"/>
        <v>-7.0531732915388714E-3</v>
      </c>
    </row>
    <row r="146" spans="1:53" ht="14.4" x14ac:dyDescent="0.55000000000000004">
      <c r="A146" s="1">
        <v>43460</v>
      </c>
      <c r="B146">
        <v>3.5716231832911297E-2</v>
      </c>
      <c r="C146">
        <v>-1.0071152479175E-2</v>
      </c>
      <c r="D146">
        <v>-1.03134170501343E-2</v>
      </c>
      <c r="E146">
        <v>-1.3132376195156101E-2</v>
      </c>
      <c r="F146">
        <f t="shared" si="192"/>
        <v>3.8364498878822692E-2</v>
      </c>
      <c r="G146">
        <f t="shared" si="193"/>
        <v>-1.4166825040658717E-2</v>
      </c>
      <c r="H146">
        <f t="shared" si="194"/>
        <v>-1.0300339634350569E-2</v>
      </c>
      <c r="I146">
        <f t="shared" si="195"/>
        <v>-1.12103263995629E-2</v>
      </c>
      <c r="J146">
        <f t="shared" si="196"/>
        <v>3.6215052243669735E-2</v>
      </c>
      <c r="K146">
        <f t="shared" si="197"/>
        <v>-1.3118089007085132E-2</v>
      </c>
      <c r="L146">
        <f t="shared" si="198"/>
        <v>-9.8886061757312849E-3</v>
      </c>
      <c r="M146">
        <f t="shared" si="199"/>
        <v>-1.8657170023252774E-3</v>
      </c>
      <c r="N146">
        <f t="shared" si="200"/>
        <v>3.2699798544483447E-2</v>
      </c>
      <c r="O146">
        <f t="shared" si="201"/>
        <v>-1.1975624873103953E-2</v>
      </c>
      <c r="P146">
        <f t="shared" si="202"/>
        <v>-7.5265921088215667E-3</v>
      </c>
      <c r="Q146">
        <f t="shared" si="203"/>
        <v>5.1273622508573591E-3</v>
      </c>
      <c r="R146">
        <f t="shared" si="204"/>
        <v>3.3347873359542375E-2</v>
      </c>
      <c r="S146">
        <f t="shared" si="205"/>
        <v>-1.3685145671106323E-2</v>
      </c>
      <c r="T146">
        <f t="shared" si="206"/>
        <v>-1.1845689139558076E-2</v>
      </c>
      <c r="U146">
        <f t="shared" si="207"/>
        <v>8.8954590309354889E-4</v>
      </c>
      <c r="V146">
        <f t="shared" si="208"/>
        <v>3.3525924739540136E-2</v>
      </c>
      <c r="W146">
        <f t="shared" si="209"/>
        <v>-1.496122754047953E-2</v>
      </c>
      <c r="X146">
        <f t="shared" si="210"/>
        <v>-1.5903858579360049E-2</v>
      </c>
      <c r="Y146">
        <f t="shared" si="211"/>
        <v>5.6119196015563463E-3</v>
      </c>
      <c r="Z146">
        <f t="shared" si="212"/>
        <v>3.4113504823051082E-2</v>
      </c>
      <c r="AA146">
        <f t="shared" si="213"/>
        <v>-1.6699736739086056E-2</v>
      </c>
      <c r="AB146">
        <f t="shared" si="214"/>
        <v>-1.8325333273727051E-2</v>
      </c>
      <c r="AC146">
        <f t="shared" si="215"/>
        <v>2.0875169686756802E-3</v>
      </c>
      <c r="AD146">
        <f t="shared" si="216"/>
        <v>3.4892043110165971E-2</v>
      </c>
      <c r="AE146">
        <f t="shared" si="217"/>
        <v>-1.8963924071083334E-2</v>
      </c>
      <c r="AF146">
        <f t="shared" si="218"/>
        <v>-2.2603892788501122E-2</v>
      </c>
      <c r="AG146">
        <f t="shared" si="219"/>
        <v>2.7473547770257259E-3</v>
      </c>
      <c r="AH146">
        <f t="shared" si="220"/>
        <v>3.488970266828656E-2</v>
      </c>
      <c r="AI146">
        <f t="shared" si="221"/>
        <v>-1.9827737683270959E-2</v>
      </c>
      <c r="AJ146">
        <f t="shared" si="222"/>
        <v>-2.3947731241542869E-2</v>
      </c>
      <c r="AK146">
        <f t="shared" si="223"/>
        <v>7.1665646229995541E-3</v>
      </c>
      <c r="AL146">
        <f t="shared" si="224"/>
        <v>3.5816626527660808E-2</v>
      </c>
      <c r="AM146">
        <f t="shared" si="225"/>
        <v>-2.2034170130328896E-2</v>
      </c>
      <c r="AN146">
        <f t="shared" si="226"/>
        <v>-2.7086401757218773E-2</v>
      </c>
      <c r="AO146">
        <f t="shared" si="227"/>
        <v>1.1986867060173891E-3</v>
      </c>
      <c r="AP146">
        <f t="shared" si="228"/>
        <v>3.5993718154844236E-2</v>
      </c>
      <c r="AQ146">
        <f t="shared" si="229"/>
        <v>-2.3206690554127662E-2</v>
      </c>
      <c r="AR146">
        <f t="shared" si="230"/>
        <v>-2.9133605667553252E-2</v>
      </c>
      <c r="AS146">
        <f t="shared" si="231"/>
        <v>3.5516677472445372E-3</v>
      </c>
      <c r="AT146">
        <f t="shared" si="232"/>
        <v>3.6328255426520559E-2</v>
      </c>
      <c r="AU146">
        <f t="shared" si="233"/>
        <v>-2.4239907509546087E-2</v>
      </c>
      <c r="AV146">
        <f t="shared" si="234"/>
        <v>-3.0562801537799406E-2</v>
      </c>
      <c r="AW146">
        <f t="shared" si="235"/>
        <v>7.8912664132490379E-4</v>
      </c>
      <c r="AX146">
        <f t="shared" si="236"/>
        <v>3.7522091713599895E-2</v>
      </c>
      <c r="AY146">
        <f t="shared" si="237"/>
        <v>-2.6071793328065834E-2</v>
      </c>
      <c r="AZ146">
        <f t="shared" si="238"/>
        <v>-3.3506643315133575E-2</v>
      </c>
      <c r="BA146">
        <f t="shared" si="239"/>
        <v>-5.5385591538240093E-3</v>
      </c>
    </row>
    <row r="147" spans="1:53" ht="14.4" x14ac:dyDescent="0.55000000000000004">
      <c r="A147" s="1">
        <v>43495</v>
      </c>
      <c r="B147">
        <v>3.9161405419912303E-2</v>
      </c>
      <c r="C147">
        <v>-1.3666906596897401E-2</v>
      </c>
      <c r="D147">
        <v>-1.50242777365689E-2</v>
      </c>
      <c r="E147">
        <v>-2.50778406444516E-2</v>
      </c>
      <c r="F147">
        <f t="shared" si="192"/>
        <v>3.6098449708150002E-2</v>
      </c>
      <c r="G147">
        <f t="shared" si="193"/>
        <v>-1.133918834379505E-2</v>
      </c>
      <c r="H147">
        <f t="shared" si="194"/>
        <v>-1.2892505052914761E-2</v>
      </c>
      <c r="I147">
        <f t="shared" si="195"/>
        <v>-1.1591110926477648E-2</v>
      </c>
      <c r="J147">
        <f t="shared" si="196"/>
        <v>3.7654741501160889E-2</v>
      </c>
      <c r="K147">
        <f t="shared" si="197"/>
        <v>-1.4039414100320845E-2</v>
      </c>
      <c r="L147">
        <f t="shared" si="198"/>
        <v>-1.2730534017717506E-2</v>
      </c>
      <c r="M147">
        <f t="shared" si="199"/>
        <v>-7.5005725151806278E-3</v>
      </c>
      <c r="N147">
        <f t="shared" si="200"/>
        <v>3.5936425224783519E-2</v>
      </c>
      <c r="O147">
        <f t="shared" si="201"/>
        <v>-1.348791927456288E-2</v>
      </c>
      <c r="P147">
        <f t="shared" si="202"/>
        <v>-1.252774385474255E-2</v>
      </c>
      <c r="Q147">
        <f t="shared" si="203"/>
        <v>4.189862221558201E-4</v>
      </c>
      <c r="R147">
        <f t="shared" si="204"/>
        <v>3.3063217440635714E-2</v>
      </c>
      <c r="S147">
        <f t="shared" si="205"/>
        <v>-1.2949090403407892E-2</v>
      </c>
      <c r="T147">
        <f t="shared" si="206"/>
        <v>-1.0550786970638699E-2</v>
      </c>
      <c r="U147">
        <f t="shared" si="207"/>
        <v>5.7437831062122791E-3</v>
      </c>
      <c r="V147">
        <f t="shared" si="208"/>
        <v>3.3834776388462176E-2</v>
      </c>
      <c r="W147">
        <f t="shared" si="209"/>
        <v>-1.4779881814764938E-2</v>
      </c>
      <c r="X147">
        <f t="shared" si="210"/>
        <v>-1.4538515647780137E-2</v>
      </c>
      <c r="Y147">
        <f t="shared" si="211"/>
        <v>1.2706845035939441E-3</v>
      </c>
      <c r="Z147">
        <f t="shared" si="212"/>
        <v>3.4116482978862411E-2</v>
      </c>
      <c r="AA147">
        <f t="shared" si="213"/>
        <v>-1.6212104070192055E-2</v>
      </c>
      <c r="AB147">
        <f t="shared" si="214"/>
        <v>-1.8368643099596006E-2</v>
      </c>
      <c r="AC147">
        <f t="shared" si="215"/>
        <v>5.3116562275012814E-3</v>
      </c>
      <c r="AD147">
        <f t="shared" si="216"/>
        <v>3.4659933245249248E-2</v>
      </c>
      <c r="AE147">
        <f t="shared" si="217"/>
        <v>-1.7834612165130322E-2</v>
      </c>
      <c r="AF147">
        <f t="shared" si="218"/>
        <v>-2.0580868048904535E-2</v>
      </c>
      <c r="AG147">
        <f t="shared" si="219"/>
        <v>1.9494217561606881E-3</v>
      </c>
      <c r="AH147">
        <f t="shared" si="220"/>
        <v>3.5386003935861207E-2</v>
      </c>
      <c r="AI147">
        <f t="shared" si="221"/>
        <v>-2.0014599873484112E-2</v>
      </c>
      <c r="AJ147">
        <f t="shared" si="222"/>
        <v>-2.4553726282569775E-2</v>
      </c>
      <c r="AK147">
        <f t="shared" si="223"/>
        <v>2.4667163743472028E-3</v>
      </c>
      <c r="AL147">
        <f t="shared" si="224"/>
        <v>3.5339047001411411E-2</v>
      </c>
      <c r="AM147">
        <f t="shared" si="225"/>
        <v>-2.082065007505925E-2</v>
      </c>
      <c r="AN147">
        <f t="shared" si="226"/>
        <v>-2.5842502388594608E-2</v>
      </c>
      <c r="AO147">
        <f t="shared" si="227"/>
        <v>6.6597422501521297E-3</v>
      </c>
      <c r="AP147">
        <f t="shared" si="228"/>
        <v>3.6197468631547235E-2</v>
      </c>
      <c r="AQ147">
        <f t="shared" si="229"/>
        <v>-2.2868174561879749E-2</v>
      </c>
      <c r="AR147">
        <f t="shared" si="230"/>
        <v>-2.8691802283712074E-2</v>
      </c>
      <c r="AS147">
        <f t="shared" si="231"/>
        <v>1.0069697727237263E-3</v>
      </c>
      <c r="AT147">
        <f t="shared" si="232"/>
        <v>3.635280918786396E-2</v>
      </c>
      <c r="AU147">
        <f t="shared" si="233"/>
        <v>-2.3998957979701582E-2</v>
      </c>
      <c r="AV147">
        <f t="shared" si="234"/>
        <v>-3.0616597441689319E-2</v>
      </c>
      <c r="AW147">
        <f t="shared" si="235"/>
        <v>3.166958249953904E-3</v>
      </c>
      <c r="AX147">
        <f t="shared" si="236"/>
        <v>3.6675370476788552E-2</v>
      </c>
      <c r="AY147">
        <f t="shared" si="237"/>
        <v>-2.4974095079181042E-2</v>
      </c>
      <c r="AZ147">
        <f t="shared" si="238"/>
        <v>-3.1918344236854773E-2</v>
      </c>
      <c r="BA147">
        <f t="shared" si="239"/>
        <v>5.0825982527365199E-4</v>
      </c>
    </row>
    <row r="148" spans="1:53" ht="14.4" x14ac:dyDescent="0.55000000000000004">
      <c r="A148" s="1">
        <v>43523</v>
      </c>
      <c r="B148">
        <v>3.9798370983463803E-2</v>
      </c>
      <c r="C148">
        <v>-1.4064586534152801E-2</v>
      </c>
      <c r="D148">
        <v>-1.6724364832843199E-2</v>
      </c>
      <c r="E148">
        <v>-2.5797363058568799E-2</v>
      </c>
      <c r="F148">
        <f t="shared" si="192"/>
        <v>3.8963811540534826E-2</v>
      </c>
      <c r="G148">
        <f t="shared" si="193"/>
        <v>-1.4231704906192081E-2</v>
      </c>
      <c r="H148">
        <f t="shared" si="194"/>
        <v>-1.703623703291E-2</v>
      </c>
      <c r="I148">
        <f t="shared" si="195"/>
        <v>-2.1867514595145437E-2</v>
      </c>
      <c r="J148">
        <f t="shared" si="196"/>
        <v>3.6460219862907796E-2</v>
      </c>
      <c r="K148">
        <f t="shared" si="197"/>
        <v>-1.2578969673866788E-2</v>
      </c>
      <c r="L148">
        <f t="shared" si="198"/>
        <v>-1.5300162735693484E-2</v>
      </c>
      <c r="M148">
        <f t="shared" si="199"/>
        <v>-1.0222833067069455E-2</v>
      </c>
      <c r="N148">
        <f t="shared" si="200"/>
        <v>3.7280429244866103E-2</v>
      </c>
      <c r="O148">
        <f t="shared" si="201"/>
        <v>-1.4344170902394208E-2</v>
      </c>
      <c r="P148">
        <f t="shared" si="202"/>
        <v>-1.5078492365052898E-2</v>
      </c>
      <c r="Q148">
        <f t="shared" si="203"/>
        <v>-4.8218099121024819E-3</v>
      </c>
      <c r="R148">
        <f t="shared" si="204"/>
        <v>3.5881204838191787E-2</v>
      </c>
      <c r="S148">
        <f t="shared" si="205"/>
        <v>-1.4144666111032513E-2</v>
      </c>
      <c r="T148">
        <f t="shared" si="206"/>
        <v>-1.5036825104688451E-2</v>
      </c>
      <c r="U148">
        <f t="shared" si="207"/>
        <v>1.9772531145932082E-3</v>
      </c>
      <c r="V148">
        <f t="shared" si="208"/>
        <v>3.3495644734495816E-2</v>
      </c>
      <c r="W148">
        <f t="shared" si="209"/>
        <v>-1.4022641407556186E-2</v>
      </c>
      <c r="X148">
        <f t="shared" si="210"/>
        <v>-1.3372940965728573E-2</v>
      </c>
      <c r="Y148">
        <f t="shared" si="211"/>
        <v>6.0345413322116306E-3</v>
      </c>
      <c r="Z148">
        <f t="shared" si="212"/>
        <v>3.432329420401576E-2</v>
      </c>
      <c r="AA148">
        <f t="shared" si="213"/>
        <v>-1.5886331952592089E-2</v>
      </c>
      <c r="AB148">
        <f t="shared" si="214"/>
        <v>-1.7040402033920529E-2</v>
      </c>
      <c r="AC148">
        <f t="shared" si="215"/>
        <v>1.4960579855745155E-3</v>
      </c>
      <c r="AD148">
        <f t="shared" si="216"/>
        <v>3.4659388636987538E-2</v>
      </c>
      <c r="AE148">
        <f t="shared" si="217"/>
        <v>-1.7402704313187353E-2</v>
      </c>
      <c r="AF148">
        <f t="shared" si="218"/>
        <v>-2.0645292610359522E-2</v>
      </c>
      <c r="AG148">
        <f t="shared" si="219"/>
        <v>5.0067515699057053E-3</v>
      </c>
      <c r="AH148">
        <f t="shared" si="220"/>
        <v>3.5159916965295739E-2</v>
      </c>
      <c r="AI148">
        <f t="shared" si="221"/>
        <v>-1.8913084127855667E-2</v>
      </c>
      <c r="AJ148">
        <f t="shared" si="222"/>
        <v>-2.2664876115092027E-2</v>
      </c>
      <c r="AK148">
        <f t="shared" si="223"/>
        <v>1.8056705112695656E-3</v>
      </c>
      <c r="AL148">
        <f t="shared" si="224"/>
        <v>3.5830330196653021E-2</v>
      </c>
      <c r="AM148">
        <f t="shared" si="225"/>
        <v>-2.1000532482754148E-2</v>
      </c>
      <c r="AN148">
        <f t="shared" si="226"/>
        <v>-2.6352706153994779E-2</v>
      </c>
      <c r="AO148">
        <f t="shared" si="227"/>
        <v>2.2094008040732492E-3</v>
      </c>
      <c r="AP148">
        <f t="shared" si="228"/>
        <v>3.5754505451705089E-2</v>
      </c>
      <c r="AQ148">
        <f t="shared" si="229"/>
        <v>-2.176588262801608E-2</v>
      </c>
      <c r="AR148">
        <f t="shared" si="230"/>
        <v>-2.7590902579025699E-2</v>
      </c>
      <c r="AS148">
        <f t="shared" si="231"/>
        <v>6.1584118467612877E-3</v>
      </c>
      <c r="AT148">
        <f t="shared" si="232"/>
        <v>3.6546191727796919E-2</v>
      </c>
      <c r="AU148">
        <f t="shared" si="233"/>
        <v>-2.3659993620930436E-2</v>
      </c>
      <c r="AV148">
        <f t="shared" si="234"/>
        <v>-3.0174807633816678E-2</v>
      </c>
      <c r="AW148">
        <f t="shared" si="235"/>
        <v>8.1394400295419574E-4</v>
      </c>
      <c r="AX148">
        <f t="shared" si="236"/>
        <v>3.6681843978756158E-2</v>
      </c>
      <c r="AY148">
        <f t="shared" si="237"/>
        <v>-2.4749213988583135E-2</v>
      </c>
      <c r="AZ148">
        <f t="shared" si="238"/>
        <v>-3.1984637178502175E-2</v>
      </c>
      <c r="BA148">
        <f t="shared" si="239"/>
        <v>2.7931986026249367E-3</v>
      </c>
    </row>
    <row r="149" spans="1:53" ht="14.4" x14ac:dyDescent="0.55000000000000004">
      <c r="A149" s="1">
        <v>43551</v>
      </c>
      <c r="B149">
        <v>3.93607217796643E-2</v>
      </c>
      <c r="C149">
        <v>-1.35846271061606E-2</v>
      </c>
      <c r="D149">
        <v>-2.34145677130056E-2</v>
      </c>
      <c r="E149">
        <v>-3.1929874304795297E-2</v>
      </c>
      <c r="F149">
        <f t="shared" si="192"/>
        <v>3.9567751158617083E-2</v>
      </c>
      <c r="G149">
        <f t="shared" si="193"/>
        <v>-1.4633865367967791E-2</v>
      </c>
      <c r="H149">
        <f t="shared" si="194"/>
        <v>-1.8592803863080914E-2</v>
      </c>
      <c r="I149">
        <f t="shared" si="195"/>
        <v>-2.2550975647903405E-2</v>
      </c>
      <c r="J149">
        <f t="shared" si="196"/>
        <v>3.8879012570079294E-2</v>
      </c>
      <c r="K149">
        <f t="shared" si="197"/>
        <v>-1.4938022302123778E-2</v>
      </c>
      <c r="L149">
        <f t="shared" si="198"/>
        <v>-1.8956793463428007E-2</v>
      </c>
      <c r="M149">
        <f t="shared" si="199"/>
        <v>-1.917582713695596E-2</v>
      </c>
      <c r="N149">
        <f t="shared" si="200"/>
        <v>3.6797266490524998E-2</v>
      </c>
      <c r="O149">
        <f t="shared" si="201"/>
        <v>-1.3781441342872285E-2</v>
      </c>
      <c r="P149">
        <f t="shared" si="202"/>
        <v>-1.7546784298630675E-2</v>
      </c>
      <c r="Q149">
        <f t="shared" si="203"/>
        <v>-9.0010274785805415E-3</v>
      </c>
      <c r="R149">
        <f t="shared" si="204"/>
        <v>3.7126924920865098E-2</v>
      </c>
      <c r="S149">
        <f t="shared" si="205"/>
        <v>-1.4927955394707581E-2</v>
      </c>
      <c r="T149">
        <f t="shared" si="206"/>
        <v>-1.7322051086541702E-2</v>
      </c>
      <c r="U149">
        <f t="shared" si="207"/>
        <v>-2.8732284761055485E-3</v>
      </c>
      <c r="V149">
        <f t="shared" si="208"/>
        <v>3.5967193592586738E-2</v>
      </c>
      <c r="W149">
        <f t="shared" si="209"/>
        <v>-1.497770026673194E-2</v>
      </c>
      <c r="X149">
        <f t="shared" si="210"/>
        <v>-1.7405356250048951E-2</v>
      </c>
      <c r="Y149">
        <f t="shared" si="211"/>
        <v>3.0273674864623929E-3</v>
      </c>
      <c r="Z149">
        <f t="shared" si="212"/>
        <v>3.3958034827339098E-2</v>
      </c>
      <c r="AA149">
        <f t="shared" si="213"/>
        <v>-1.5141161549620846E-2</v>
      </c>
      <c r="AB149">
        <f t="shared" si="214"/>
        <v>-1.5998820110141612E-2</v>
      </c>
      <c r="AC149">
        <f t="shared" si="215"/>
        <v>6.1085888989867512E-3</v>
      </c>
      <c r="AD149">
        <f t="shared" si="216"/>
        <v>3.4797735259289163E-2</v>
      </c>
      <c r="AE149">
        <f t="shared" si="217"/>
        <v>-1.6980266654848242E-2</v>
      </c>
      <c r="AF149">
        <f t="shared" si="218"/>
        <v>-1.9361650614451532E-2</v>
      </c>
      <c r="AG149">
        <f t="shared" si="219"/>
        <v>1.6158478361360173E-3</v>
      </c>
      <c r="AH149">
        <f t="shared" si="220"/>
        <v>3.5155834361826087E-2</v>
      </c>
      <c r="AI149">
        <f t="shared" si="221"/>
        <v>-1.8531783585715687E-2</v>
      </c>
      <c r="AJ149">
        <f t="shared" si="222"/>
        <v>-2.2747959855226478E-2</v>
      </c>
      <c r="AK149">
        <f t="shared" si="223"/>
        <v>4.7036716164010296E-3</v>
      </c>
      <c r="AL149">
        <f t="shared" si="224"/>
        <v>3.5615444050394518E-2</v>
      </c>
      <c r="AM149">
        <f t="shared" si="225"/>
        <v>-1.993497221106395E-2</v>
      </c>
      <c r="AN149">
        <f t="shared" si="226"/>
        <v>-2.4590420667648591E-2</v>
      </c>
      <c r="AO149">
        <f t="shared" si="227"/>
        <v>1.6603202452507388E-3</v>
      </c>
      <c r="AP149">
        <f t="shared" si="228"/>
        <v>3.6229946187767433E-2</v>
      </c>
      <c r="AQ149">
        <f t="shared" si="229"/>
        <v>-2.1926025149786525E-2</v>
      </c>
      <c r="AR149">
        <f t="shared" si="230"/>
        <v>-2.8013057650750749E-2</v>
      </c>
      <c r="AS149">
        <f t="shared" si="231"/>
        <v>1.9708155462158177E-3</v>
      </c>
      <c r="AT149">
        <f t="shared" si="232"/>
        <v>3.6136151312003192E-2</v>
      </c>
      <c r="AU149">
        <f t="shared" si="233"/>
        <v>-2.2661798748093747E-2</v>
      </c>
      <c r="AV149">
        <f t="shared" si="234"/>
        <v>-2.920383448890743E-2</v>
      </c>
      <c r="AW149">
        <f t="shared" si="235"/>
        <v>5.6689537286555786E-3</v>
      </c>
      <c r="AX149">
        <f t="shared" si="236"/>
        <v>3.6864113737563042E-2</v>
      </c>
      <c r="AY149">
        <f t="shared" si="237"/>
        <v>-2.4409611494971655E-2</v>
      </c>
      <c r="AZ149">
        <f t="shared" si="238"/>
        <v>-3.1544710991165237E-2</v>
      </c>
      <c r="BA149">
        <f t="shared" si="239"/>
        <v>6.2260845907921244E-4</v>
      </c>
    </row>
    <row r="150" spans="1:53" ht="14.4" x14ac:dyDescent="0.55000000000000004">
      <c r="A150" s="1">
        <v>43579</v>
      </c>
      <c r="B150">
        <v>3.94586717946242E-2</v>
      </c>
      <c r="C150">
        <v>-1.42266172390295E-2</v>
      </c>
      <c r="D150">
        <v>-2.03373813173147E-2</v>
      </c>
      <c r="E150">
        <v>-2.8495339766012699E-2</v>
      </c>
      <c r="F150">
        <f t="shared" si="192"/>
        <v>3.9980151938573891E-2</v>
      </c>
      <c r="G150">
        <f t="shared" si="193"/>
        <v>-1.5253762864273972E-2</v>
      </c>
      <c r="H150">
        <f t="shared" si="194"/>
        <v>-2.4865257452418514E-2</v>
      </c>
      <c r="I150">
        <f t="shared" si="195"/>
        <v>-3.0432279890102169E-2</v>
      </c>
      <c r="J150">
        <f t="shared" si="196"/>
        <v>3.9444254650412083E-2</v>
      </c>
      <c r="K150">
        <f t="shared" si="197"/>
        <v>-1.5332745575675195E-2</v>
      </c>
      <c r="L150">
        <f t="shared" si="198"/>
        <v>-2.0380489181260956E-2</v>
      </c>
      <c r="M150">
        <f t="shared" si="199"/>
        <v>-1.9807363182465686E-2</v>
      </c>
      <c r="N150">
        <f t="shared" si="200"/>
        <v>3.8866205416862872E-2</v>
      </c>
      <c r="O150">
        <f t="shared" si="201"/>
        <v>-1.5729471902149753E-2</v>
      </c>
      <c r="P150">
        <f t="shared" si="202"/>
        <v>-2.0781194008720284E-2</v>
      </c>
      <c r="Q150">
        <f t="shared" si="203"/>
        <v>-1.6884360187339274E-2</v>
      </c>
      <c r="R150">
        <f t="shared" si="204"/>
        <v>3.7107724088083521E-2</v>
      </c>
      <c r="S150">
        <f t="shared" si="205"/>
        <v>-1.4941164749800664E-2</v>
      </c>
      <c r="T150">
        <f t="shared" si="206"/>
        <v>-1.9642590179944758E-2</v>
      </c>
      <c r="U150">
        <f t="shared" si="207"/>
        <v>-7.9061248755015953E-3</v>
      </c>
      <c r="V150">
        <f t="shared" si="208"/>
        <v>3.7115782689888889E-2</v>
      </c>
      <c r="W150">
        <f t="shared" si="209"/>
        <v>-1.5685459141348217E-2</v>
      </c>
      <c r="X150">
        <f t="shared" si="210"/>
        <v>-1.9449324946309705E-2</v>
      </c>
      <c r="Y150">
        <f t="shared" si="211"/>
        <v>-1.4453098977737474E-3</v>
      </c>
      <c r="Z150">
        <f t="shared" si="212"/>
        <v>3.6138657504690218E-2</v>
      </c>
      <c r="AA150">
        <f t="shared" si="213"/>
        <v>-1.5911482811964344E-2</v>
      </c>
      <c r="AB150">
        <f t="shared" si="214"/>
        <v>-1.9629909837623045E-2</v>
      </c>
      <c r="AC150">
        <f t="shared" si="215"/>
        <v>3.7206979545247338E-3</v>
      </c>
      <c r="AD150">
        <f t="shared" si="216"/>
        <v>3.4425026974701081E-2</v>
      </c>
      <c r="AE150">
        <f t="shared" si="217"/>
        <v>-1.6267960880931735E-2</v>
      </c>
      <c r="AF150">
        <f t="shared" si="218"/>
        <v>-1.8436947278029591E-2</v>
      </c>
      <c r="AG150">
        <f t="shared" si="219"/>
        <v>6.040006405624021E-3</v>
      </c>
      <c r="AH150">
        <f t="shared" si="220"/>
        <v>3.5248709685606679E-2</v>
      </c>
      <c r="AI150">
        <f t="shared" si="221"/>
        <v>-1.8046167656963864E-2</v>
      </c>
      <c r="AJ150">
        <f t="shared" si="222"/>
        <v>-2.1513243655983075E-2</v>
      </c>
      <c r="AK150">
        <f t="shared" si="223"/>
        <v>1.6638475946822806E-3</v>
      </c>
      <c r="AL150">
        <f t="shared" si="224"/>
        <v>3.5607982184684826E-2</v>
      </c>
      <c r="AM150">
        <f t="shared" si="225"/>
        <v>-1.9599745729750449E-2</v>
      </c>
      <c r="AN150">
        <f t="shared" si="226"/>
        <v>-2.4689930398475227E-2</v>
      </c>
      <c r="AO150">
        <f t="shared" si="227"/>
        <v>4.4058784013964094E-3</v>
      </c>
      <c r="AP150">
        <f t="shared" si="228"/>
        <v>3.6029116757463314E-2</v>
      </c>
      <c r="AQ150">
        <f t="shared" si="229"/>
        <v>-2.0901262320924738E-2</v>
      </c>
      <c r="AR150">
        <f t="shared" si="230"/>
        <v>-2.6369699051528323E-2</v>
      </c>
      <c r="AS150">
        <f t="shared" si="231"/>
        <v>1.5153505940827814E-3</v>
      </c>
      <c r="AT150">
        <f t="shared" si="232"/>
        <v>3.6589299421760542E-2</v>
      </c>
      <c r="AU150">
        <f t="shared" si="233"/>
        <v>-2.2795052442355329E-2</v>
      </c>
      <c r="AV150">
        <f t="shared" si="234"/>
        <v>-2.9545952560114858E-2</v>
      </c>
      <c r="AW150">
        <f t="shared" si="235"/>
        <v>1.7470818359029458E-3</v>
      </c>
      <c r="AX150">
        <f t="shared" si="236"/>
        <v>3.648505459813238E-2</v>
      </c>
      <c r="AY150">
        <f t="shared" si="237"/>
        <v>-2.3508328792237833E-2</v>
      </c>
      <c r="AZ150">
        <f t="shared" si="238"/>
        <v>-3.0691591145078172E-2</v>
      </c>
      <c r="BA150">
        <f t="shared" si="239"/>
        <v>5.1948279591527823E-3</v>
      </c>
    </row>
    <row r="151" spans="1:53" ht="14.4" x14ac:dyDescent="0.55000000000000004">
      <c r="A151" s="1">
        <v>43614</v>
      </c>
      <c r="B151">
        <v>3.6431022519423602E-2</v>
      </c>
      <c r="C151">
        <v>-1.0767377195917201E-2</v>
      </c>
      <c r="D151">
        <v>-2.4645334065017999E-2</v>
      </c>
      <c r="E151">
        <v>-2.6656317863978998E-2</v>
      </c>
      <c r="F151">
        <f t="shared" si="192"/>
        <v>3.9659201018435668E-2</v>
      </c>
      <c r="G151">
        <f t="shared" si="193"/>
        <v>-1.5323258971499528E-2</v>
      </c>
      <c r="H151">
        <f t="shared" si="194"/>
        <v>-2.1988001571175673E-2</v>
      </c>
      <c r="I151">
        <f t="shared" si="195"/>
        <v>-2.6176704532653548E-2</v>
      </c>
      <c r="J151">
        <f t="shared" si="196"/>
        <v>4.0382355712453896E-2</v>
      </c>
      <c r="K151">
        <f t="shared" si="197"/>
        <v>-1.6626063419553177E-2</v>
      </c>
      <c r="L151">
        <f t="shared" si="198"/>
        <v>-2.6197400817667842E-2</v>
      </c>
      <c r="M151">
        <f t="shared" si="199"/>
        <v>-2.8642689917193914E-2</v>
      </c>
      <c r="N151">
        <f t="shared" si="200"/>
        <v>3.9390323708423956E-2</v>
      </c>
      <c r="O151">
        <f t="shared" si="201"/>
        <v>-1.6109486683521801E-2</v>
      </c>
      <c r="P151">
        <f t="shared" si="202"/>
        <v>-2.2082496124917122E-2</v>
      </c>
      <c r="Q151">
        <f t="shared" si="203"/>
        <v>-1.7456205962773058E-2</v>
      </c>
      <c r="R151">
        <f t="shared" si="204"/>
        <v>3.8897737887653563E-2</v>
      </c>
      <c r="S151">
        <f t="shared" si="205"/>
        <v>-1.656729159830973E-2</v>
      </c>
      <c r="T151">
        <f t="shared" si="206"/>
        <v>-2.2508240191768284E-2</v>
      </c>
      <c r="U151">
        <f t="shared" si="207"/>
        <v>-1.4908501839212163E-2</v>
      </c>
      <c r="V151">
        <f t="shared" si="208"/>
        <v>3.7391290944194147E-2</v>
      </c>
      <c r="W151">
        <f t="shared" si="209"/>
        <v>-1.6055164656528231E-2</v>
      </c>
      <c r="X151">
        <f t="shared" si="210"/>
        <v>-2.1597443447038331E-2</v>
      </c>
      <c r="Y151">
        <f t="shared" si="211"/>
        <v>-6.9233447341767625E-3</v>
      </c>
      <c r="Z151">
        <f t="shared" si="212"/>
        <v>3.719359960611153E-2</v>
      </c>
      <c r="AA151">
        <f t="shared" si="213"/>
        <v>-1.6544562171394633E-2</v>
      </c>
      <c r="AB151">
        <f t="shared" si="214"/>
        <v>-2.1455291749314969E-2</v>
      </c>
      <c r="AC151">
        <f t="shared" si="215"/>
        <v>-3.9193541382930041E-4</v>
      </c>
      <c r="AD151">
        <f t="shared" si="216"/>
        <v>3.6358125827577359E-2</v>
      </c>
      <c r="AE151">
        <f t="shared" si="217"/>
        <v>-1.6894782092641683E-2</v>
      </c>
      <c r="AF151">
        <f t="shared" si="218"/>
        <v>-2.1711652748614356E-2</v>
      </c>
      <c r="AG151">
        <f t="shared" si="219"/>
        <v>4.1622225034896928E-3</v>
      </c>
      <c r="AH151">
        <f t="shared" si="220"/>
        <v>3.4880602118463069E-2</v>
      </c>
      <c r="AI151">
        <f t="shared" si="221"/>
        <v>-1.737903795153297E-2</v>
      </c>
      <c r="AJ151">
        <f t="shared" si="222"/>
        <v>-2.0697374831389153E-2</v>
      </c>
      <c r="AK151">
        <f t="shared" si="223"/>
        <v>5.8788840288049324E-3</v>
      </c>
      <c r="AL151">
        <f t="shared" si="224"/>
        <v>3.5671060340529144E-2</v>
      </c>
      <c r="AM151">
        <f t="shared" si="225"/>
        <v>-1.9074473366602368E-2</v>
      </c>
      <c r="AN151">
        <f t="shared" si="226"/>
        <v>-2.3506310404820756E-2</v>
      </c>
      <c r="AO151">
        <f t="shared" si="227"/>
        <v>1.6626601930406237E-3</v>
      </c>
      <c r="AP151">
        <f t="shared" si="228"/>
        <v>3.6018536950269707E-2</v>
      </c>
      <c r="AQ151">
        <f t="shared" si="229"/>
        <v>-2.0608045854133495E-2</v>
      </c>
      <c r="AR151">
        <f t="shared" si="230"/>
        <v>-2.6483594448537946E-2</v>
      </c>
      <c r="AS151">
        <f t="shared" si="231"/>
        <v>4.114923627671606E-3</v>
      </c>
      <c r="AT151">
        <f t="shared" si="232"/>
        <v>3.6403844134111574E-2</v>
      </c>
      <c r="AU151">
        <f t="shared" si="233"/>
        <v>-2.1813667871961429E-2</v>
      </c>
      <c r="AV151">
        <f t="shared" si="234"/>
        <v>-2.8014042218225794E-2</v>
      </c>
      <c r="AW151">
        <f t="shared" si="235"/>
        <v>1.3714570306402646E-3</v>
      </c>
      <c r="AX151">
        <f t="shared" si="236"/>
        <v>3.6912404735654325E-2</v>
      </c>
      <c r="AY151">
        <f t="shared" si="237"/>
        <v>-2.3611287716554394E-2</v>
      </c>
      <c r="AZ151">
        <f t="shared" si="238"/>
        <v>-3.0961604772083512E-2</v>
      </c>
      <c r="BA151">
        <f t="shared" si="239"/>
        <v>1.5349476735836119E-3</v>
      </c>
    </row>
    <row r="152" spans="1:53" ht="14.4" x14ac:dyDescent="0.55000000000000004">
      <c r="A152" s="1">
        <v>43642</v>
      </c>
      <c r="B152">
        <v>3.7284407872310202E-2</v>
      </c>
      <c r="C152">
        <v>-1.4248949337298899E-2</v>
      </c>
      <c r="D152">
        <v>-2.9915051982951999E-2</v>
      </c>
      <c r="E152">
        <v>-3.2409951519656997E-2</v>
      </c>
      <c r="F152">
        <f t="shared" si="192"/>
        <v>3.806483721187473E-2</v>
      </c>
      <c r="G152">
        <f t="shared" si="193"/>
        <v>-1.3702944839674562E-2</v>
      </c>
      <c r="H152">
        <f t="shared" si="194"/>
        <v>-2.6229308057595869E-2</v>
      </c>
      <c r="I152">
        <f t="shared" si="195"/>
        <v>-2.7643352816158394E-2</v>
      </c>
      <c r="J152">
        <f t="shared" si="196"/>
        <v>3.9805597732025175E-2</v>
      </c>
      <c r="K152">
        <f t="shared" si="197"/>
        <v>-1.633888580883476E-2</v>
      </c>
      <c r="L152">
        <f t="shared" si="198"/>
        <v>-2.3538923669549794E-2</v>
      </c>
      <c r="M152">
        <f t="shared" si="199"/>
        <v>-2.3961585432012246E-2</v>
      </c>
      <c r="N152">
        <f t="shared" si="200"/>
        <v>4.0634651075817388E-2</v>
      </c>
      <c r="O152">
        <f t="shared" si="201"/>
        <v>-1.7787642626790959E-2</v>
      </c>
      <c r="P152">
        <f t="shared" si="202"/>
        <v>-2.7433245496975536E-2</v>
      </c>
      <c r="Q152">
        <f t="shared" si="203"/>
        <v>-2.6712386442444506E-2</v>
      </c>
      <c r="R152">
        <f t="shared" si="204"/>
        <v>3.9380417982292248E-2</v>
      </c>
      <c r="S152">
        <f t="shared" si="205"/>
        <v>-1.6928454320067673E-2</v>
      </c>
      <c r="T152">
        <f t="shared" si="206"/>
        <v>-2.3697213046523464E-2</v>
      </c>
      <c r="U152">
        <f t="shared" si="207"/>
        <v>-1.5418168606289593E-2</v>
      </c>
      <c r="V152">
        <f t="shared" si="208"/>
        <v>3.8955028127291243E-2</v>
      </c>
      <c r="W152">
        <f t="shared" si="209"/>
        <v>-1.7424962208826524E-2</v>
      </c>
      <c r="X152">
        <f t="shared" si="210"/>
        <v>-2.4139052525693233E-2</v>
      </c>
      <c r="Y152">
        <f t="shared" si="211"/>
        <v>-1.3187209204339613E-2</v>
      </c>
      <c r="Z152">
        <f t="shared" si="212"/>
        <v>3.7648651478586349E-2</v>
      </c>
      <c r="AA152">
        <f t="shared" si="213"/>
        <v>-1.7122131904090097E-2</v>
      </c>
      <c r="AB152">
        <f t="shared" si="214"/>
        <v>-2.342074295837511E-2</v>
      </c>
      <c r="AC152">
        <f t="shared" si="215"/>
        <v>-6.041210888362316E-3</v>
      </c>
      <c r="AD152">
        <f t="shared" si="216"/>
        <v>3.7324274213084742E-2</v>
      </c>
      <c r="AE152">
        <f t="shared" si="217"/>
        <v>-1.7456155154062743E-2</v>
      </c>
      <c r="AF152">
        <f t="shared" si="218"/>
        <v>-2.3339442120635941E-2</v>
      </c>
      <c r="AG152">
        <f t="shared" si="219"/>
        <v>3.8899425793426562E-4</v>
      </c>
      <c r="AH152">
        <f t="shared" si="220"/>
        <v>3.6600701477614683E-2</v>
      </c>
      <c r="AI152">
        <f t="shared" si="221"/>
        <v>-1.7893182406561309E-2</v>
      </c>
      <c r="AJ152">
        <f t="shared" si="222"/>
        <v>-2.3654655432154996E-2</v>
      </c>
      <c r="AK152">
        <f t="shared" si="223"/>
        <v>4.4247800337965503E-3</v>
      </c>
      <c r="AL152">
        <f t="shared" si="224"/>
        <v>3.531507920397034E-2</v>
      </c>
      <c r="AM152">
        <f t="shared" si="225"/>
        <v>-1.8459100511202257E-2</v>
      </c>
      <c r="AN152">
        <f t="shared" si="226"/>
        <v>-2.2790866229796324E-2</v>
      </c>
      <c r="AO152">
        <f t="shared" si="227"/>
        <v>5.6588557083298713E-3</v>
      </c>
      <c r="AP152">
        <f t="shared" si="228"/>
        <v>3.6062438387299854E-2</v>
      </c>
      <c r="AQ152">
        <f t="shared" si="229"/>
        <v>-2.0059672408084189E-2</v>
      </c>
      <c r="AR152">
        <f t="shared" si="230"/>
        <v>-2.535178602184018E-2</v>
      </c>
      <c r="AS152">
        <f t="shared" si="231"/>
        <v>1.6272846450719736E-3</v>
      </c>
      <c r="AT152">
        <f t="shared" si="232"/>
        <v>3.6390462405187285E-2</v>
      </c>
      <c r="AU152">
        <f t="shared" si="233"/>
        <v>-2.1558783415459321E-2</v>
      </c>
      <c r="AV152">
        <f t="shared" si="234"/>
        <v>-2.8140453614545109E-2</v>
      </c>
      <c r="AW152">
        <f t="shared" si="235"/>
        <v>3.831185166207526E-3</v>
      </c>
      <c r="AX152">
        <f t="shared" si="236"/>
        <v>3.6742639922948302E-2</v>
      </c>
      <c r="AY152">
        <f t="shared" si="237"/>
        <v>-2.2674332140634402E-2</v>
      </c>
      <c r="AZ152">
        <f t="shared" si="238"/>
        <v>-2.9533938240556046E-2</v>
      </c>
      <c r="BA152">
        <f t="shared" si="239"/>
        <v>1.228580412836745E-3</v>
      </c>
    </row>
    <row r="153" spans="1:53" ht="14.4" x14ac:dyDescent="0.55000000000000004">
      <c r="A153" s="1">
        <v>43677</v>
      </c>
      <c r="B153">
        <v>3.8638200715777601E-2</v>
      </c>
      <c r="C153">
        <v>-1.5244242009962701E-2</v>
      </c>
      <c r="D153">
        <v>-2.8162720377318901E-2</v>
      </c>
      <c r="E153">
        <v>-3.9003814300393597E-2</v>
      </c>
      <c r="F153">
        <f t="shared" si="192"/>
        <v>3.8923016102106543E-2</v>
      </c>
      <c r="G153">
        <f t="shared" si="193"/>
        <v>-1.7057835883081345E-2</v>
      </c>
      <c r="H153">
        <f t="shared" si="194"/>
        <v>-3.1080976726600509E-2</v>
      </c>
      <c r="I153">
        <f t="shared" si="195"/>
        <v>-3.3364722586017345E-2</v>
      </c>
      <c r="J153">
        <f t="shared" si="196"/>
        <v>3.9161520913249863E-2</v>
      </c>
      <c r="K153">
        <f t="shared" si="197"/>
        <v>-1.5925345048566991E-2</v>
      </c>
      <c r="L153">
        <f t="shared" si="198"/>
        <v>-2.7609164164735935E-2</v>
      </c>
      <c r="M153">
        <f t="shared" si="199"/>
        <v>-2.7536991280938172E-2</v>
      </c>
      <c r="N153">
        <f t="shared" si="200"/>
        <v>3.9912219380086537E-2</v>
      </c>
      <c r="O153">
        <f t="shared" si="201"/>
        <v>-1.7289951466683908E-2</v>
      </c>
      <c r="P153">
        <f t="shared" si="202"/>
        <v>-2.4998762730081177E-2</v>
      </c>
      <c r="Q153">
        <f t="shared" si="203"/>
        <v>-2.1869491735161999E-2</v>
      </c>
      <c r="R153">
        <f t="shared" si="204"/>
        <v>4.0783862200676702E-2</v>
      </c>
      <c r="S153">
        <f t="shared" si="205"/>
        <v>-1.8798068941464376E-2</v>
      </c>
      <c r="T153">
        <f t="shared" si="206"/>
        <v>-2.8588635678842324E-2</v>
      </c>
      <c r="U153">
        <f t="shared" si="207"/>
        <v>-2.4742412386569056E-2</v>
      </c>
      <c r="V153">
        <f t="shared" si="208"/>
        <v>3.9397292927561528E-2</v>
      </c>
      <c r="W153">
        <f t="shared" si="209"/>
        <v>-1.7765211422572633E-2</v>
      </c>
      <c r="X153">
        <f t="shared" si="210"/>
        <v>-2.5225207734777814E-2</v>
      </c>
      <c r="Y153">
        <f t="shared" si="211"/>
        <v>-1.3635558332393192E-2</v>
      </c>
      <c r="Z153">
        <f t="shared" si="212"/>
        <v>3.9025734135791641E-2</v>
      </c>
      <c r="AA153">
        <f t="shared" si="213"/>
        <v>-1.8284465723987023E-2</v>
      </c>
      <c r="AB153">
        <f t="shared" si="214"/>
        <v>-2.5676224223296351E-2</v>
      </c>
      <c r="AC153">
        <f t="shared" si="215"/>
        <v>-1.1675895146846638E-2</v>
      </c>
      <c r="AD153">
        <f t="shared" si="216"/>
        <v>3.7881084501622767E-2</v>
      </c>
      <c r="AE153">
        <f t="shared" si="217"/>
        <v>-1.8141873101202931E-2</v>
      </c>
      <c r="AF153">
        <f t="shared" si="218"/>
        <v>-2.5121367934212203E-2</v>
      </c>
      <c r="AG153">
        <f t="shared" si="219"/>
        <v>-5.2505327028551756E-3</v>
      </c>
      <c r="AH153">
        <f t="shared" si="220"/>
        <v>3.7483633625872724E-2</v>
      </c>
      <c r="AI153">
        <f t="shared" si="221"/>
        <v>-1.838706662658043E-2</v>
      </c>
      <c r="AJ153">
        <f t="shared" si="222"/>
        <v>-2.5104167717062534E-2</v>
      </c>
      <c r="AK153">
        <f t="shared" si="223"/>
        <v>9.6902111286907957E-4</v>
      </c>
      <c r="AL153">
        <f t="shared" si="224"/>
        <v>3.6850116384150214E-2</v>
      </c>
      <c r="AM153">
        <f t="shared" si="225"/>
        <v>-1.8883881310777655E-2</v>
      </c>
      <c r="AN153">
        <f t="shared" si="226"/>
        <v>-2.5464741759350887E-2</v>
      </c>
      <c r="AO153">
        <f t="shared" si="227"/>
        <v>4.5589617842946989E-3</v>
      </c>
      <c r="AP153">
        <f t="shared" si="228"/>
        <v>3.5723041506167327E-2</v>
      </c>
      <c r="AQ153">
        <f t="shared" si="229"/>
        <v>-1.9498808212932209E-2</v>
      </c>
      <c r="AR153">
        <f t="shared" si="230"/>
        <v>-2.472835876557606E-2</v>
      </c>
      <c r="AS153">
        <f t="shared" si="231"/>
        <v>5.4023093827913317E-3</v>
      </c>
      <c r="AT153">
        <f t="shared" si="232"/>
        <v>3.6422325763214851E-2</v>
      </c>
      <c r="AU153">
        <f t="shared" si="233"/>
        <v>-2.0998986052524465E-2</v>
      </c>
      <c r="AV153">
        <f t="shared" si="234"/>
        <v>-2.7060201185637161E-2</v>
      </c>
      <c r="AW153">
        <f t="shared" si="235"/>
        <v>1.5675857359865994E-3</v>
      </c>
      <c r="AX153">
        <f t="shared" si="236"/>
        <v>3.6726795280202562E-2</v>
      </c>
      <c r="AY153">
        <f t="shared" si="237"/>
        <v>-2.2454426843590149E-2</v>
      </c>
      <c r="AZ153">
        <f t="shared" si="238"/>
        <v>-2.9671149479446317E-2</v>
      </c>
      <c r="BA153">
        <f t="shared" si="239"/>
        <v>3.5543579676549936E-3</v>
      </c>
    </row>
    <row r="154" spans="1:53" ht="14.4" x14ac:dyDescent="0.55000000000000004">
      <c r="A154" s="1">
        <v>43705</v>
      </c>
      <c r="B154">
        <v>3.1625379377212499E-2</v>
      </c>
      <c r="C154">
        <v>-1.12017785740543E-2</v>
      </c>
      <c r="D154">
        <v>-2.4865757470347898E-2</v>
      </c>
      <c r="E154">
        <v>-3.6827917055787002E-2</v>
      </c>
      <c r="F154">
        <f t="shared" si="192"/>
        <v>3.9806654678491461E-2</v>
      </c>
      <c r="G154">
        <f t="shared" si="193"/>
        <v>-1.7435323638181521E-2</v>
      </c>
      <c r="H154">
        <f t="shared" si="194"/>
        <v>-2.9311793719958026E-2</v>
      </c>
      <c r="I154">
        <f t="shared" si="195"/>
        <v>-3.8517698242610574E-2</v>
      </c>
      <c r="J154">
        <f t="shared" si="196"/>
        <v>3.9998729736346626E-2</v>
      </c>
      <c r="K154">
        <f t="shared" si="197"/>
        <v>-1.9124589620978832E-2</v>
      </c>
      <c r="L154">
        <f t="shared" si="198"/>
        <v>-3.2068478593037186E-2</v>
      </c>
      <c r="M154">
        <f t="shared" si="199"/>
        <v>-3.315279564569467E-2</v>
      </c>
      <c r="N154">
        <f t="shared" si="200"/>
        <v>3.9886845141807271E-2</v>
      </c>
      <c r="O154">
        <f t="shared" si="201"/>
        <v>-1.7649611182320068E-2</v>
      </c>
      <c r="P154">
        <f t="shared" si="202"/>
        <v>-2.8836954063661654E-2</v>
      </c>
      <c r="Q154">
        <f t="shared" si="203"/>
        <v>-2.6734898604444692E-2</v>
      </c>
      <c r="R154">
        <f t="shared" si="204"/>
        <v>3.9989365441292411E-2</v>
      </c>
      <c r="S154">
        <f t="shared" si="205"/>
        <v>-1.8187926876065436E-2</v>
      </c>
      <c r="T154">
        <f t="shared" si="206"/>
        <v>-2.6374629680598154E-2</v>
      </c>
      <c r="U154">
        <f t="shared" si="207"/>
        <v>-1.9910733257575648E-2</v>
      </c>
      <c r="V154">
        <f t="shared" si="208"/>
        <v>4.0862551820496695E-2</v>
      </c>
      <c r="W154">
        <f t="shared" si="209"/>
        <v>-1.9698500358219611E-2</v>
      </c>
      <c r="X154">
        <f t="shared" si="210"/>
        <v>-2.9674968852321459E-2</v>
      </c>
      <c r="Y154">
        <f t="shared" si="211"/>
        <v>-2.2799096918672865E-2</v>
      </c>
      <c r="Z154">
        <f t="shared" si="212"/>
        <v>3.9429417678728658E-2</v>
      </c>
      <c r="AA154">
        <f t="shared" si="213"/>
        <v>-1.8603104431457754E-2</v>
      </c>
      <c r="AB154">
        <f t="shared" si="214"/>
        <v>-2.6668449294723767E-2</v>
      </c>
      <c r="AC154">
        <f t="shared" si="215"/>
        <v>-1.2065830955810618E-2</v>
      </c>
      <c r="AD154">
        <f t="shared" si="216"/>
        <v>3.9101792007082102E-2</v>
      </c>
      <c r="AE154">
        <f t="shared" si="217"/>
        <v>-1.9133684036895589E-2</v>
      </c>
      <c r="AF154">
        <f t="shared" si="218"/>
        <v>-2.7123244393382102E-2</v>
      </c>
      <c r="AG154">
        <f t="shared" si="219"/>
        <v>-1.0341486320727563E-2</v>
      </c>
      <c r="AH154">
        <f t="shared" si="220"/>
        <v>3.8090199814701041E-2</v>
      </c>
      <c r="AI154">
        <f t="shared" si="221"/>
        <v>-1.9114931601676564E-2</v>
      </c>
      <c r="AJ154">
        <f t="shared" si="222"/>
        <v>-2.6707656492075696E-2</v>
      </c>
      <c r="AK154">
        <f t="shared" si="223"/>
        <v>-4.5437080363571122E-3</v>
      </c>
      <c r="AL154">
        <f t="shared" si="224"/>
        <v>3.7655706860860692E-2</v>
      </c>
      <c r="AM154">
        <f t="shared" si="225"/>
        <v>-1.9315149239747087E-2</v>
      </c>
      <c r="AN154">
        <f t="shared" si="226"/>
        <v>-2.6753660898880285E-2</v>
      </c>
      <c r="AO154">
        <f t="shared" si="227"/>
        <v>1.3984783238010789E-3</v>
      </c>
      <c r="AP154">
        <f t="shared" si="228"/>
        <v>3.7095999269296555E-2</v>
      </c>
      <c r="AQ154">
        <f t="shared" si="229"/>
        <v>-1.9852077969952777E-2</v>
      </c>
      <c r="AR154">
        <f t="shared" si="230"/>
        <v>-2.7148712479696174E-2</v>
      </c>
      <c r="AS154">
        <f t="shared" si="231"/>
        <v>4.5999727839189306E-3</v>
      </c>
      <c r="AT154">
        <f t="shared" si="232"/>
        <v>3.6101908318193668E-2</v>
      </c>
      <c r="AU154">
        <f t="shared" si="233"/>
        <v>-2.0492864223141057E-2</v>
      </c>
      <c r="AV154">
        <f t="shared" si="234"/>
        <v>-2.652061881835455E-2</v>
      </c>
      <c r="AW154">
        <f t="shared" si="235"/>
        <v>5.1239842746240187E-3</v>
      </c>
      <c r="AX154">
        <f t="shared" si="236"/>
        <v>3.6751367204166517E-2</v>
      </c>
      <c r="AY154">
        <f t="shared" si="237"/>
        <v>-2.1891459384116477E-2</v>
      </c>
      <c r="AZ154">
        <f t="shared" si="238"/>
        <v>-2.8641560042991988E-2</v>
      </c>
      <c r="BA154">
        <f t="shared" si="239"/>
        <v>1.4899897181689917E-3</v>
      </c>
    </row>
    <row r="155" spans="1:53" ht="14.4" x14ac:dyDescent="0.55000000000000004">
      <c r="A155" s="1">
        <v>43733</v>
      </c>
      <c r="B155">
        <v>3.2618368546892602E-2</v>
      </c>
      <c r="C155">
        <v>-1.1194154132890899E-2</v>
      </c>
      <c r="D155">
        <v>-2.4454713778779499E-2</v>
      </c>
      <c r="E155">
        <v>-3.1524793809401798E-2</v>
      </c>
      <c r="F155">
        <f t="shared" si="192"/>
        <v>3.4580699441359088E-2</v>
      </c>
      <c r="G155">
        <f t="shared" si="193"/>
        <v>-1.5268625630012614E-2</v>
      </c>
      <c r="H155">
        <f t="shared" si="194"/>
        <v>-2.6626970701998667E-2</v>
      </c>
      <c r="I155">
        <f t="shared" si="195"/>
        <v>-4.0116059073954519E-2</v>
      </c>
      <c r="J155">
        <f t="shared" si="196"/>
        <v>4.0562545251729608E-2</v>
      </c>
      <c r="K155">
        <f t="shared" si="197"/>
        <v>-1.9084899949040619E-2</v>
      </c>
      <c r="L155">
        <f t="shared" si="198"/>
        <v>-3.0321485655459821E-2</v>
      </c>
      <c r="M155">
        <f t="shared" si="199"/>
        <v>-3.7258344150224894E-2</v>
      </c>
      <c r="N155">
        <f t="shared" si="200"/>
        <v>4.0687506850239384E-2</v>
      </c>
      <c r="O155">
        <f t="shared" si="201"/>
        <v>-2.0677674811603056E-2</v>
      </c>
      <c r="P155">
        <f t="shared" si="202"/>
        <v>-3.293008649736754E-2</v>
      </c>
      <c r="Q155">
        <f t="shared" si="203"/>
        <v>-3.2198459812630309E-2</v>
      </c>
      <c r="R155">
        <f t="shared" si="204"/>
        <v>4.0356009048322851E-2</v>
      </c>
      <c r="S155">
        <f t="shared" si="205"/>
        <v>-1.9024830076526642E-2</v>
      </c>
      <c r="T155">
        <f t="shared" si="206"/>
        <v>-2.9948942846889051E-2</v>
      </c>
      <c r="U155">
        <f t="shared" si="207"/>
        <v>-2.5509323183772036E-2</v>
      </c>
      <c r="V155">
        <f t="shared" si="208"/>
        <v>4.0044476074467907E-2</v>
      </c>
      <c r="W155">
        <f t="shared" si="209"/>
        <v>-1.9040838977847949E-2</v>
      </c>
      <c r="X155">
        <f t="shared" si="210"/>
        <v>-2.7672526656452676E-2</v>
      </c>
      <c r="Y155">
        <f t="shared" si="211"/>
        <v>-1.8089371732338246E-2</v>
      </c>
      <c r="Z155">
        <f t="shared" si="212"/>
        <v>4.0893357105311036E-2</v>
      </c>
      <c r="AA155">
        <f t="shared" si="213"/>
        <v>-2.0517337914552774E-2</v>
      </c>
      <c r="AB155">
        <f t="shared" si="214"/>
        <v>-3.0700555012273274E-2</v>
      </c>
      <c r="AC155">
        <f t="shared" si="215"/>
        <v>-2.0924844556895042E-2</v>
      </c>
      <c r="AD155">
        <f t="shared" si="216"/>
        <v>3.9469184835967161E-2</v>
      </c>
      <c r="AE155">
        <f t="shared" si="217"/>
        <v>-1.9430889150031262E-2</v>
      </c>
      <c r="AF155">
        <f t="shared" si="218"/>
        <v>-2.8029776269621432E-2</v>
      </c>
      <c r="AG155">
        <f t="shared" si="219"/>
        <v>-1.0677076430198388E-2</v>
      </c>
      <c r="AH155">
        <f t="shared" si="220"/>
        <v>3.9178057715640549E-2</v>
      </c>
      <c r="AI155">
        <f t="shared" si="221"/>
        <v>-1.9964590701710548E-2</v>
      </c>
      <c r="AJ155">
        <f t="shared" si="222"/>
        <v>-2.8484107543689623E-2</v>
      </c>
      <c r="AK155">
        <f t="shared" si="223"/>
        <v>-9.158990139346684E-3</v>
      </c>
      <c r="AL155">
        <f t="shared" si="224"/>
        <v>3.8277763196459959E-2</v>
      </c>
      <c r="AM155">
        <f t="shared" si="225"/>
        <v>-2.0042327188041865E-2</v>
      </c>
      <c r="AN155">
        <f t="shared" si="226"/>
        <v>-2.8187406190522943E-2</v>
      </c>
      <c r="AO155">
        <f t="shared" si="227"/>
        <v>-3.9142482187870071E-3</v>
      </c>
      <c r="AP155">
        <f t="shared" si="228"/>
        <v>3.7830142179489407E-2</v>
      </c>
      <c r="AQ155">
        <f t="shared" si="229"/>
        <v>-2.0225867093971533E-2</v>
      </c>
      <c r="AR155">
        <f t="shared" si="230"/>
        <v>-2.8293168203349647E-2</v>
      </c>
      <c r="AS155">
        <f t="shared" si="231"/>
        <v>1.7129795496812941E-3</v>
      </c>
      <c r="AT155">
        <f t="shared" si="232"/>
        <v>3.7331985608809279E-2</v>
      </c>
      <c r="AU155">
        <f t="shared" si="233"/>
        <v>-2.0788467430825078E-2</v>
      </c>
      <c r="AV155">
        <f t="shared" si="234"/>
        <v>-2.8713826346221903E-2</v>
      </c>
      <c r="AW155">
        <f t="shared" si="235"/>
        <v>4.5723882077649373E-3</v>
      </c>
      <c r="AX155">
        <f t="shared" si="236"/>
        <v>3.6450954163820354E-2</v>
      </c>
      <c r="AY155">
        <f t="shared" si="237"/>
        <v>-2.1438696344418723E-2</v>
      </c>
      <c r="AZ155">
        <f t="shared" si="238"/>
        <v>-2.8178028290471377E-2</v>
      </c>
      <c r="BA155">
        <f t="shared" si="239"/>
        <v>4.8334493868885898E-3</v>
      </c>
    </row>
    <row r="156" spans="1:53" ht="14.4" x14ac:dyDescent="0.55000000000000004">
      <c r="A156" s="1">
        <v>43768</v>
      </c>
      <c r="B156">
        <v>3.30035346416271E-2</v>
      </c>
      <c r="C156">
        <v>-1.40607992517596E-2</v>
      </c>
      <c r="D156">
        <v>-2.3169796004744E-2</v>
      </c>
      <c r="E156">
        <v>-2.9363841677216201E-2</v>
      </c>
      <c r="F156">
        <f t="shared" si="192"/>
        <v>3.5204794947940987E-2</v>
      </c>
      <c r="G156">
        <f t="shared" si="193"/>
        <v>-1.4923527734413159E-2</v>
      </c>
      <c r="H156">
        <f t="shared" si="194"/>
        <v>-2.6222399565426841E-2</v>
      </c>
      <c r="I156">
        <f t="shared" si="195"/>
        <v>-3.4298895415675268E-2</v>
      </c>
      <c r="J156">
        <f t="shared" si="196"/>
        <v>3.661853318253068E-2</v>
      </c>
      <c r="K156">
        <f t="shared" si="197"/>
        <v>-1.8167749490349674E-2</v>
      </c>
      <c r="L156">
        <f t="shared" si="198"/>
        <v>-2.8081039601856338E-2</v>
      </c>
      <c r="M156">
        <f t="shared" si="199"/>
        <v>-4.1387867307229334E-2</v>
      </c>
      <c r="N156">
        <f t="shared" si="200"/>
        <v>4.1035251035093374E-2</v>
      </c>
      <c r="O156">
        <f t="shared" si="201"/>
        <v>-2.0359972506484029E-2</v>
      </c>
      <c r="P156">
        <f t="shared" si="202"/>
        <v>-3.1230253788492323E-2</v>
      </c>
      <c r="Q156">
        <f t="shared" si="203"/>
        <v>-3.5532681933034972E-2</v>
      </c>
      <c r="R156">
        <f t="shared" si="204"/>
        <v>4.1111401844701509E-2</v>
      </c>
      <c r="S156">
        <f t="shared" si="205"/>
        <v>-2.1875206425539008E-2</v>
      </c>
      <c r="T156">
        <f t="shared" si="206"/>
        <v>-3.370172075929611E-2</v>
      </c>
      <c r="U156">
        <f t="shared" si="207"/>
        <v>-3.0792168112177078E-2</v>
      </c>
      <c r="V156">
        <f t="shared" si="208"/>
        <v>4.0649039783411084E-2</v>
      </c>
      <c r="W156">
        <f t="shared" si="209"/>
        <v>-2.0154284103640362E-2</v>
      </c>
      <c r="X156">
        <f t="shared" si="210"/>
        <v>-3.0970448590790969E-2</v>
      </c>
      <c r="Y156">
        <f t="shared" si="211"/>
        <v>-2.4045526544060683E-2</v>
      </c>
      <c r="Z156">
        <f t="shared" si="212"/>
        <v>4.0082969697569248E-2</v>
      </c>
      <c r="AA156">
        <f t="shared" si="213"/>
        <v>-1.9854339136958495E-2</v>
      </c>
      <c r="AB156">
        <f t="shared" si="214"/>
        <v>-2.8897626668970288E-2</v>
      </c>
      <c r="AC156">
        <f t="shared" si="215"/>
        <v>-1.6405271409543204E-2</v>
      </c>
      <c r="AD156">
        <f t="shared" si="216"/>
        <v>4.0892006352426992E-2</v>
      </c>
      <c r="AE156">
        <f t="shared" si="217"/>
        <v>-2.1274153581823229E-2</v>
      </c>
      <c r="AF156">
        <f t="shared" si="218"/>
        <v>-3.1671560352961231E-2</v>
      </c>
      <c r="AG156">
        <f t="shared" si="219"/>
        <v>-1.9145630140087456E-2</v>
      </c>
      <c r="AH156">
        <f t="shared" si="220"/>
        <v>3.9511670490520526E-2</v>
      </c>
      <c r="AI156">
        <f t="shared" si="221"/>
        <v>-2.0241079604490491E-2</v>
      </c>
      <c r="AJ156">
        <f t="shared" si="222"/>
        <v>-2.931253514220044E-2</v>
      </c>
      <c r="AK156">
        <f t="shared" si="223"/>
        <v>-9.4448802600029455E-3</v>
      </c>
      <c r="AL156">
        <f t="shared" si="224"/>
        <v>3.9251368078916951E-2</v>
      </c>
      <c r="AM156">
        <f t="shared" si="225"/>
        <v>-2.0771994084011713E-2</v>
      </c>
      <c r="AN156">
        <f t="shared" si="226"/>
        <v>-2.9763051650207872E-2</v>
      </c>
      <c r="AO156">
        <f t="shared" si="227"/>
        <v>-8.1091101389833397E-3</v>
      </c>
      <c r="AP156">
        <f t="shared" si="228"/>
        <v>3.8445582068898275E-2</v>
      </c>
      <c r="AQ156">
        <f t="shared" si="229"/>
        <v>-2.0925377939578382E-2</v>
      </c>
      <c r="AR156">
        <f t="shared" si="230"/>
        <v>-2.9567888424068805E-2</v>
      </c>
      <c r="AS156">
        <f t="shared" si="231"/>
        <v>-3.3564558572359913E-3</v>
      </c>
      <c r="AT156">
        <f t="shared" si="232"/>
        <v>3.8000419222422387E-2</v>
      </c>
      <c r="AU156">
        <f t="shared" si="233"/>
        <v>-2.1109926619270476E-2</v>
      </c>
      <c r="AV156">
        <f t="shared" si="234"/>
        <v>-2.9728488150851166E-2</v>
      </c>
      <c r="AW156">
        <f t="shared" si="235"/>
        <v>1.9379214485678695E-3</v>
      </c>
      <c r="AX156">
        <f t="shared" si="236"/>
        <v>3.7554412359614014E-2</v>
      </c>
      <c r="AY156">
        <f t="shared" si="237"/>
        <v>-2.1687503482793156E-2</v>
      </c>
      <c r="AZ156">
        <f t="shared" si="238"/>
        <v>-3.016745848400262E-2</v>
      </c>
      <c r="BA156">
        <f t="shared" si="239"/>
        <v>4.493447658123052E-3</v>
      </c>
    </row>
    <row r="157" spans="1:53" ht="14.4" x14ac:dyDescent="0.55000000000000004">
      <c r="A157" s="1">
        <v>43796</v>
      </c>
      <c r="B157">
        <v>2.978143619704E-2</v>
      </c>
      <c r="C157">
        <v>-1.08425897450488E-2</v>
      </c>
      <c r="D157">
        <v>-2.04866620183402E-2</v>
      </c>
      <c r="E157">
        <v>-2.0163854689138099E-2</v>
      </c>
      <c r="F157">
        <f t="shared" si="192"/>
        <v>3.5056721558906448E-2</v>
      </c>
      <c r="G157">
        <f t="shared" si="193"/>
        <v>-1.696588237498322E-2</v>
      </c>
      <c r="H157">
        <f t="shared" si="194"/>
        <v>-2.4995182958700322E-2</v>
      </c>
      <c r="I157">
        <f t="shared" si="195"/>
        <v>-3.1115692387101164E-2</v>
      </c>
      <c r="J157">
        <f t="shared" si="196"/>
        <v>3.6989240599937939E-2</v>
      </c>
      <c r="K157">
        <f t="shared" si="197"/>
        <v>-1.762488666928989E-2</v>
      </c>
      <c r="L157">
        <f t="shared" si="198"/>
        <v>-2.7707573008097876E-2</v>
      </c>
      <c r="M157">
        <f t="shared" si="199"/>
        <v>-3.5328986660290246E-2</v>
      </c>
      <c r="N157">
        <f t="shared" si="200"/>
        <v>3.8018036695393644E-2</v>
      </c>
      <c r="O157">
        <f t="shared" si="201"/>
        <v>-2.0259916509225401E-2</v>
      </c>
      <c r="P157">
        <f t="shared" si="202"/>
        <v>-2.9315141958333065E-2</v>
      </c>
      <c r="Q157">
        <f t="shared" si="203"/>
        <v>-4.1325103873392638E-2</v>
      </c>
      <c r="R157">
        <f t="shared" si="204"/>
        <v>4.131451365123389E-2</v>
      </c>
      <c r="S157">
        <f t="shared" si="205"/>
        <v>-2.1375918157230497E-2</v>
      </c>
      <c r="T157">
        <f t="shared" si="206"/>
        <v>-3.20643920904514E-2</v>
      </c>
      <c r="U157">
        <f t="shared" si="207"/>
        <v>-3.3549487446639159E-2</v>
      </c>
      <c r="V157">
        <f t="shared" si="208"/>
        <v>4.1355002645160718E-2</v>
      </c>
      <c r="W157">
        <f t="shared" si="209"/>
        <v>-2.2826455247716679E-2</v>
      </c>
      <c r="X157">
        <f t="shared" si="210"/>
        <v>-3.4407839682399279E-2</v>
      </c>
      <c r="Y157">
        <f t="shared" si="211"/>
        <v>-2.9131563869706289E-2</v>
      </c>
      <c r="Z157">
        <f t="shared" si="212"/>
        <v>4.0821504034109821E-2</v>
      </c>
      <c r="AA157">
        <f t="shared" si="213"/>
        <v>-2.110945516942939E-2</v>
      </c>
      <c r="AB157">
        <f t="shared" si="214"/>
        <v>-3.1919204360703828E-2</v>
      </c>
      <c r="AC157">
        <f t="shared" si="215"/>
        <v>-2.2468501653019245E-2</v>
      </c>
      <c r="AD157">
        <f t="shared" si="216"/>
        <v>4.0108829048295956E-2</v>
      </c>
      <c r="AE157">
        <f t="shared" si="217"/>
        <v>-2.0632444450149182E-2</v>
      </c>
      <c r="AF157">
        <f t="shared" si="218"/>
        <v>-3.0054472313087617E-2</v>
      </c>
      <c r="AG157">
        <f t="shared" si="219"/>
        <v>-1.4855522576109904E-2</v>
      </c>
      <c r="AH157">
        <f t="shared" si="220"/>
        <v>4.0869418037620849E-2</v>
      </c>
      <c r="AI157">
        <f t="shared" si="221"/>
        <v>-2.1982418226943558E-2</v>
      </c>
      <c r="AJ157">
        <f t="shared" si="222"/>
        <v>-3.2592662090835292E-2</v>
      </c>
      <c r="AK157">
        <f t="shared" si="223"/>
        <v>-1.7476202765043865E-2</v>
      </c>
      <c r="AL157">
        <f t="shared" si="224"/>
        <v>3.9553776450008987E-2</v>
      </c>
      <c r="AM157">
        <f t="shared" si="225"/>
        <v>-2.1028799676597289E-2</v>
      </c>
      <c r="AN157">
        <f t="shared" si="226"/>
        <v>-3.0520336541728744E-2</v>
      </c>
      <c r="AO157">
        <f t="shared" si="227"/>
        <v>-8.3501410344490566E-3</v>
      </c>
      <c r="AP157">
        <f t="shared" si="228"/>
        <v>3.9319892717385042E-2</v>
      </c>
      <c r="AQ157">
        <f t="shared" si="229"/>
        <v>-2.1552663866503109E-2</v>
      </c>
      <c r="AR157">
        <f t="shared" si="230"/>
        <v>-3.0964384735321985E-2</v>
      </c>
      <c r="AS157">
        <f t="shared" si="231"/>
        <v>-7.1765895632338334E-3</v>
      </c>
      <c r="AT157">
        <f t="shared" si="232"/>
        <v>3.8595432649223022E-2</v>
      </c>
      <c r="AU157">
        <f t="shared" si="233"/>
        <v>-2.1765578928026243E-2</v>
      </c>
      <c r="AV157">
        <f t="shared" si="234"/>
        <v>-3.0855871138929902E-2</v>
      </c>
      <c r="AW157">
        <f t="shared" si="235"/>
        <v>-2.8652075385317242E-3</v>
      </c>
      <c r="AX157">
        <f t="shared" si="236"/>
        <v>3.8162613125031705E-2</v>
      </c>
      <c r="AY157">
        <f t="shared" si="237"/>
        <v>-2.1961632817135972E-2</v>
      </c>
      <c r="AZ157">
        <f t="shared" si="238"/>
        <v>-3.1065637413608429E-2</v>
      </c>
      <c r="BA157">
        <f t="shared" si="239"/>
        <v>2.0916059371522619E-3</v>
      </c>
    </row>
    <row r="158" spans="1:53" ht="14.4" x14ac:dyDescent="0.55000000000000004">
      <c r="A158" s="1">
        <v>43824</v>
      </c>
      <c r="B158">
        <v>2.9471351475377501E-2</v>
      </c>
      <c r="C158">
        <v>-1.1196901981507299E-2</v>
      </c>
      <c r="D158">
        <v>-1.9974530235247999E-2</v>
      </c>
      <c r="E158">
        <v>-1.39325449686723E-2</v>
      </c>
      <c r="F158">
        <f t="shared" si="192"/>
        <v>3.2548090933533919E-2</v>
      </c>
      <c r="G158">
        <f t="shared" si="193"/>
        <v>-1.4617484610222737E-2</v>
      </c>
      <c r="H158">
        <f t="shared" si="194"/>
        <v>-2.2724899269486336E-2</v>
      </c>
      <c r="I158">
        <f t="shared" si="195"/>
        <v>-2.3807151938100728E-2</v>
      </c>
      <c r="J158">
        <f t="shared" si="196"/>
        <v>3.6508236092835836E-2</v>
      </c>
      <c r="K158">
        <f t="shared" si="197"/>
        <v>-1.9111953726180415E-2</v>
      </c>
      <c r="L158">
        <f t="shared" si="198"/>
        <v>-2.6574178936084474E-2</v>
      </c>
      <c r="M158">
        <f t="shared" si="199"/>
        <v>-3.1600018558456178E-2</v>
      </c>
      <c r="N158">
        <f t="shared" si="200"/>
        <v>3.8215537370871092E-2</v>
      </c>
      <c r="O158">
        <f t="shared" si="201"/>
        <v>-1.9613488496082992E-2</v>
      </c>
      <c r="P158">
        <f t="shared" si="202"/>
        <v>-2.8987190962854317E-2</v>
      </c>
      <c r="Q158">
        <f t="shared" si="203"/>
        <v>-3.5208846375467326E-2</v>
      </c>
      <c r="R158">
        <f t="shared" si="204"/>
        <v>3.8973506188603249E-2</v>
      </c>
      <c r="S158">
        <f t="shared" si="205"/>
        <v>-2.1795201154631676E-2</v>
      </c>
      <c r="T158">
        <f t="shared" si="206"/>
        <v>-3.0389824910137631E-2</v>
      </c>
      <c r="U158">
        <f t="shared" si="207"/>
        <v>-4.0398252657245906E-2</v>
      </c>
      <c r="V158">
        <f t="shared" si="208"/>
        <v>4.1462522721029724E-2</v>
      </c>
      <c r="W158">
        <f t="shared" si="209"/>
        <v>-2.2212291673774684E-2</v>
      </c>
      <c r="X158">
        <f t="shared" si="210"/>
        <v>-3.284181014733116E-2</v>
      </c>
      <c r="Y158">
        <f t="shared" si="211"/>
        <v>-3.1449536000969877E-2</v>
      </c>
      <c r="Z158">
        <f t="shared" si="212"/>
        <v>4.1476861189490441E-2</v>
      </c>
      <c r="AA158">
        <f t="shared" si="213"/>
        <v>-2.3606798113675949E-2</v>
      </c>
      <c r="AB158">
        <f t="shared" si="214"/>
        <v>-3.5065010132296875E-2</v>
      </c>
      <c r="AC158">
        <f t="shared" si="215"/>
        <v>-2.7350000955561268E-2</v>
      </c>
      <c r="AD158">
        <f t="shared" si="216"/>
        <v>4.0911958307497019E-2</v>
      </c>
      <c r="AE158">
        <f t="shared" si="217"/>
        <v>-2.1939759867489503E-2</v>
      </c>
      <c r="AF158">
        <f t="shared" si="218"/>
        <v>-3.2807692862625498E-2</v>
      </c>
      <c r="AG158">
        <f t="shared" si="219"/>
        <v>-2.086154563264905E-2</v>
      </c>
      <c r="AH158">
        <f t="shared" si="220"/>
        <v>4.0125011957917171E-2</v>
      </c>
      <c r="AI158">
        <f t="shared" si="221"/>
        <v>-2.1378051606382772E-2</v>
      </c>
      <c r="AJ158">
        <f t="shared" si="222"/>
        <v>-3.1147117749002341E-2</v>
      </c>
      <c r="AK158">
        <f t="shared" si="223"/>
        <v>-1.3435428453415674E-2</v>
      </c>
      <c r="AL158">
        <f t="shared" si="224"/>
        <v>4.0833161524321503E-2</v>
      </c>
      <c r="AM158">
        <f t="shared" si="225"/>
        <v>-2.2651395259563906E-2</v>
      </c>
      <c r="AN158">
        <f t="shared" si="226"/>
        <v>-3.3467502494804305E-2</v>
      </c>
      <c r="AO158">
        <f t="shared" si="227"/>
        <v>-1.5923696399154984E-2</v>
      </c>
      <c r="AP158">
        <f t="shared" si="228"/>
        <v>3.9593637836149394E-2</v>
      </c>
      <c r="AQ158">
        <f t="shared" si="229"/>
        <v>-2.1790984353554223E-2</v>
      </c>
      <c r="AR158">
        <f t="shared" si="230"/>
        <v>-3.1656892602467596E-2</v>
      </c>
      <c r="AS158">
        <f t="shared" si="231"/>
        <v>-7.3775522561343202E-3</v>
      </c>
      <c r="AT158">
        <f t="shared" si="232"/>
        <v>3.9382687913219465E-2</v>
      </c>
      <c r="AU158">
        <f t="shared" si="233"/>
        <v>-2.2304724059801561E-2</v>
      </c>
      <c r="AV158">
        <f t="shared" si="234"/>
        <v>-3.2092372185641982E-2</v>
      </c>
      <c r="AW158">
        <f t="shared" si="235"/>
        <v>-6.3490606076633564E-3</v>
      </c>
      <c r="AX158">
        <f t="shared" si="236"/>
        <v>3.872901530617185E-2</v>
      </c>
      <c r="AY158">
        <f t="shared" si="237"/>
        <v>-2.2564520144820719E-2</v>
      </c>
      <c r="AZ158">
        <f t="shared" si="238"/>
        <v>-3.205764615202325E-2</v>
      </c>
      <c r="BA158">
        <f t="shared" si="239"/>
        <v>-2.4358082593405801E-3</v>
      </c>
    </row>
    <row r="159" spans="1:53" ht="14.4" x14ac:dyDescent="0.55000000000000004">
      <c r="A159" s="1">
        <v>43859</v>
      </c>
      <c r="B159">
        <v>3.0347396272640499E-2</v>
      </c>
      <c r="C159">
        <v>-1.2517931525808001E-2</v>
      </c>
      <c r="D159">
        <v>-2.3803755958913E-2</v>
      </c>
      <c r="E159">
        <v>-2.7236709719603899E-2</v>
      </c>
      <c r="F159">
        <f t="shared" si="192"/>
        <v>3.2124914479733833E-2</v>
      </c>
      <c r="G159">
        <f t="shared" si="193"/>
        <v>-1.4825118879278848E-2</v>
      </c>
      <c r="H159">
        <f t="shared" si="194"/>
        <v>-2.2300588153600934E-2</v>
      </c>
      <c r="I159">
        <f t="shared" si="195"/>
        <v>-1.7671812704721943E-2</v>
      </c>
      <c r="J159">
        <f t="shared" si="196"/>
        <v>3.4520763237291363E-2</v>
      </c>
      <c r="K159">
        <f t="shared" si="197"/>
        <v>-1.7386076576463485E-2</v>
      </c>
      <c r="L159">
        <f t="shared" si="198"/>
        <v>-2.4636488832815252E-2</v>
      </c>
      <c r="M159">
        <f t="shared" si="199"/>
        <v>-2.5694157408461954E-2</v>
      </c>
      <c r="N159">
        <f t="shared" si="200"/>
        <v>3.7537450073409154E-2</v>
      </c>
      <c r="O159">
        <f t="shared" si="201"/>
        <v>-2.0729444291206326E-2</v>
      </c>
      <c r="P159">
        <f t="shared" si="202"/>
        <v>-2.7966261071341647E-2</v>
      </c>
      <c r="Q159">
        <f t="shared" si="203"/>
        <v>-3.1251152124812553E-2</v>
      </c>
      <c r="R159">
        <f t="shared" si="204"/>
        <v>3.9053422731855567E-2</v>
      </c>
      <c r="S159">
        <f t="shared" si="205"/>
        <v>-2.1107956152188464E-2</v>
      </c>
      <c r="T159">
        <f t="shared" si="206"/>
        <v>-3.011491153463771E-2</v>
      </c>
      <c r="U159">
        <f t="shared" si="207"/>
        <v>-3.4347902054919173E-2</v>
      </c>
      <c r="V159">
        <f t="shared" si="208"/>
        <v>3.9620196331958207E-2</v>
      </c>
      <c r="W159">
        <f t="shared" si="209"/>
        <v>-2.294676225799713E-2</v>
      </c>
      <c r="X159">
        <f t="shared" si="210"/>
        <v>-3.1347139897373769E-2</v>
      </c>
      <c r="Y159">
        <f t="shared" si="211"/>
        <v>-3.8930994884099304E-2</v>
      </c>
      <c r="Z159">
        <f t="shared" si="212"/>
        <v>4.1522320062864541E-2</v>
      </c>
      <c r="AA159">
        <f t="shared" si="213"/>
        <v>-2.2923810023610439E-2</v>
      </c>
      <c r="AB159">
        <f t="shared" si="214"/>
        <v>-3.357465408205848E-2</v>
      </c>
      <c r="AC159">
        <f t="shared" si="215"/>
        <v>-2.9326561862434673E-2</v>
      </c>
      <c r="AD159">
        <f t="shared" si="216"/>
        <v>4.15174417796179E-2</v>
      </c>
      <c r="AE159">
        <f t="shared" si="217"/>
        <v>-2.426810956413723E-2</v>
      </c>
      <c r="AF159">
        <f t="shared" si="218"/>
        <v>-3.5684382747153437E-2</v>
      </c>
      <c r="AG159">
        <f t="shared" si="219"/>
        <v>-2.55363663540976E-2</v>
      </c>
      <c r="AH159">
        <f t="shared" si="220"/>
        <v>4.094713088947758E-2</v>
      </c>
      <c r="AI159">
        <f t="shared" si="221"/>
        <v>-2.2679315873870964E-2</v>
      </c>
      <c r="AJ159">
        <f t="shared" si="222"/>
        <v>-3.3644766853957404E-2</v>
      </c>
      <c r="AK159">
        <f t="shared" si="223"/>
        <v>-1.9279167255337838E-2</v>
      </c>
      <c r="AL159">
        <f t="shared" si="224"/>
        <v>4.0133739893202278E-2</v>
      </c>
      <c r="AM159">
        <f t="shared" si="225"/>
        <v>-2.2093292621677835E-2</v>
      </c>
      <c r="AN159">
        <f t="shared" si="226"/>
        <v>-3.217923086061894E-2</v>
      </c>
      <c r="AO159">
        <f t="shared" si="227"/>
        <v>-1.2139188025618185E-2</v>
      </c>
      <c r="AP159">
        <f t="shared" si="228"/>
        <v>4.0788473700360733E-2</v>
      </c>
      <c r="AQ159">
        <f t="shared" si="229"/>
        <v>-2.3287454247188775E-2</v>
      </c>
      <c r="AR159">
        <f t="shared" si="230"/>
        <v>-3.4299003380429106E-2</v>
      </c>
      <c r="AS159">
        <f t="shared" si="231"/>
        <v>-1.4490132469606544E-2</v>
      </c>
      <c r="AT159">
        <f t="shared" si="232"/>
        <v>3.9630214841823178E-2</v>
      </c>
      <c r="AU159">
        <f t="shared" si="233"/>
        <v>-2.2525824087630195E-2</v>
      </c>
      <c r="AV159">
        <f t="shared" si="234"/>
        <v>-3.2725910121999192E-2</v>
      </c>
      <c r="AW159">
        <f t="shared" si="235"/>
        <v>-6.5145455950888958E-3</v>
      </c>
      <c r="AX159">
        <f t="shared" si="236"/>
        <v>3.9439390444360137E-2</v>
      </c>
      <c r="AY159">
        <f t="shared" si="237"/>
        <v>-2.3027231266742498E-2</v>
      </c>
      <c r="AZ159">
        <f t="shared" si="238"/>
        <v>-3.3151165577934842E-2</v>
      </c>
      <c r="BA159">
        <f t="shared" si="239"/>
        <v>-5.6162446427020975E-3</v>
      </c>
    </row>
    <row r="160" spans="1:53" ht="14.4" x14ac:dyDescent="0.55000000000000004">
      <c r="A160" s="1">
        <v>43887</v>
      </c>
      <c r="B160">
        <v>2.8721160012569399E-2</v>
      </c>
      <c r="C160">
        <v>-1.24434154277108E-2</v>
      </c>
      <c r="D160">
        <v>-2.64145498142354E-2</v>
      </c>
      <c r="E160">
        <v>-2.8520614042161999E-2</v>
      </c>
      <c r="F160">
        <f t="shared" si="192"/>
        <v>3.3221782841815137E-2</v>
      </c>
      <c r="G160">
        <f t="shared" si="193"/>
        <v>-1.6352016746516512E-2</v>
      </c>
      <c r="H160">
        <f t="shared" si="194"/>
        <v>-2.5756506511643816E-2</v>
      </c>
      <c r="I160">
        <f t="shared" si="195"/>
        <v>-3.0879543697249733E-2</v>
      </c>
      <c r="J160">
        <f t="shared" si="196"/>
        <v>3.4036205297837754E-2</v>
      </c>
      <c r="K160">
        <f t="shared" si="197"/>
        <v>-1.7512203482838221E-2</v>
      </c>
      <c r="L160">
        <f t="shared" si="198"/>
        <v>-2.430088273106774E-2</v>
      </c>
      <c r="M160">
        <f t="shared" si="199"/>
        <v>-1.976167612083049E-2</v>
      </c>
      <c r="N160">
        <f t="shared" si="200"/>
        <v>3.5935050771689347E-2</v>
      </c>
      <c r="O160">
        <f t="shared" si="201"/>
        <v>-1.945205299336298E-2</v>
      </c>
      <c r="P160">
        <f t="shared" si="202"/>
        <v>-2.630059157679962E-2</v>
      </c>
      <c r="Q160">
        <f t="shared" si="203"/>
        <v>-2.6400220833811182E-2</v>
      </c>
      <c r="R160">
        <f t="shared" si="204"/>
        <v>3.8269587785899416E-2</v>
      </c>
      <c r="S160">
        <f t="shared" si="205"/>
        <v>-2.1978305291052776E-2</v>
      </c>
      <c r="T160">
        <f t="shared" si="206"/>
        <v>-2.9213618131251021E-2</v>
      </c>
      <c r="U160">
        <f t="shared" si="207"/>
        <v>-3.0368809907570377E-2</v>
      </c>
      <c r="V160">
        <f t="shared" si="208"/>
        <v>3.9621079303602341E-2</v>
      </c>
      <c r="W160">
        <f t="shared" si="209"/>
        <v>-2.2259762330724419E-2</v>
      </c>
      <c r="X160">
        <f t="shared" si="210"/>
        <v>-3.1128198913843146E-2</v>
      </c>
      <c r="Y160">
        <f t="shared" si="211"/>
        <v>-3.3027509925692727E-2</v>
      </c>
      <c r="Z160">
        <f t="shared" si="212"/>
        <v>4.0052279761561886E-2</v>
      </c>
      <c r="AA160">
        <f t="shared" si="213"/>
        <v>-2.3834330612359247E-2</v>
      </c>
      <c r="AB160">
        <f t="shared" si="214"/>
        <v>-3.2216298852640511E-2</v>
      </c>
      <c r="AC160">
        <f t="shared" si="215"/>
        <v>-3.7145052541736431E-2</v>
      </c>
      <c r="AD160">
        <f t="shared" si="216"/>
        <v>4.1523643907307402E-2</v>
      </c>
      <c r="AE160">
        <f t="shared" si="217"/>
        <v>-2.3547985802834029E-2</v>
      </c>
      <c r="AF160">
        <f t="shared" si="218"/>
        <v>-3.4271122476379257E-2</v>
      </c>
      <c r="AG160">
        <f t="shared" si="219"/>
        <v>-2.7241823572050183E-2</v>
      </c>
      <c r="AH160">
        <f t="shared" si="220"/>
        <v>4.1504647668914353E-2</v>
      </c>
      <c r="AI160">
        <f t="shared" si="221"/>
        <v>-2.4845983361496401E-2</v>
      </c>
      <c r="AJ160">
        <f t="shared" si="222"/>
        <v>-3.6273406010935164E-2</v>
      </c>
      <c r="AK160">
        <f t="shared" si="223"/>
        <v>-2.3748853929018078E-2</v>
      </c>
      <c r="AL160">
        <f t="shared" si="224"/>
        <v>4.0945526093987362E-2</v>
      </c>
      <c r="AM160">
        <f t="shared" si="225"/>
        <v>-2.3351643809457874E-2</v>
      </c>
      <c r="AN160">
        <f t="shared" si="226"/>
        <v>-3.4436773071292524E-2</v>
      </c>
      <c r="AO160">
        <f t="shared" si="227"/>
        <v>-1.7756054419655398E-2</v>
      </c>
      <c r="AP160">
        <f t="shared" si="228"/>
        <v>4.0136701198063195E-2</v>
      </c>
      <c r="AQ160">
        <f t="shared" si="229"/>
        <v>-2.2779780668229461E-2</v>
      </c>
      <c r="AR160">
        <f t="shared" si="230"/>
        <v>-3.3154167388695338E-2</v>
      </c>
      <c r="AS160">
        <f t="shared" si="231"/>
        <v>-1.0960367067512689E-2</v>
      </c>
      <c r="AT160">
        <f t="shared" si="232"/>
        <v>4.0738966671377018E-2</v>
      </c>
      <c r="AU160">
        <f t="shared" si="233"/>
        <v>-2.389498134586111E-2</v>
      </c>
      <c r="AV160">
        <f t="shared" si="234"/>
        <v>-3.5089583668711136E-2</v>
      </c>
      <c r="AW160">
        <f t="shared" si="235"/>
        <v>-1.3174151989581238E-2</v>
      </c>
      <c r="AX160">
        <f t="shared" si="236"/>
        <v>3.9663012201212308E-2</v>
      </c>
      <c r="AY160">
        <f t="shared" si="237"/>
        <v>-2.3232378200811313E-2</v>
      </c>
      <c r="AZ160">
        <f t="shared" si="238"/>
        <v>-3.373102195230164E-2</v>
      </c>
      <c r="BA160">
        <f t="shared" si="239"/>
        <v>-5.7505545607360858E-3</v>
      </c>
    </row>
    <row r="161" spans="1:53" ht="14.4" x14ac:dyDescent="0.55000000000000004">
      <c r="A161" s="1">
        <v>43915</v>
      </c>
      <c r="B161">
        <v>2.5467700385861099E-2</v>
      </c>
      <c r="C161">
        <v>-2.2473714453093901E-2</v>
      </c>
      <c r="D161">
        <v>-2.3561766660479301E-2</v>
      </c>
      <c r="E161">
        <v>-3.0558501560194601E-2</v>
      </c>
      <c r="F161">
        <f t="shared" si="192"/>
        <v>3.2251052785110784E-2</v>
      </c>
      <c r="G161">
        <f t="shared" si="193"/>
        <v>-1.6988966698587557E-2</v>
      </c>
      <c r="H161">
        <f t="shared" si="194"/>
        <v>-2.8290174287186731E-2</v>
      </c>
      <c r="I161">
        <f t="shared" si="195"/>
        <v>-3.3612102941038696E-2</v>
      </c>
      <c r="J161">
        <f t="shared" si="196"/>
        <v>3.5244848371018288E-2</v>
      </c>
      <c r="K161">
        <f t="shared" si="197"/>
        <v>-1.9109385714649308E-2</v>
      </c>
      <c r="L161">
        <f t="shared" si="198"/>
        <v>-2.7393672156634453E-2</v>
      </c>
      <c r="M161">
        <f t="shared" si="199"/>
        <v>-3.2631854024772027E-2</v>
      </c>
      <c r="N161">
        <f t="shared" si="200"/>
        <v>3.5423589829439342E-2</v>
      </c>
      <c r="O161">
        <f t="shared" si="201"/>
        <v>-1.9539505889495951E-2</v>
      </c>
      <c r="P161">
        <f t="shared" si="202"/>
        <v>-2.6050698126628337E-2</v>
      </c>
      <c r="Q161">
        <f t="shared" si="203"/>
        <v>-2.073553123616843E-2</v>
      </c>
      <c r="R161">
        <f t="shared" si="204"/>
        <v>3.6955503052991862E-2</v>
      </c>
      <c r="S161">
        <f t="shared" si="205"/>
        <v>-2.1026525296126808E-2</v>
      </c>
      <c r="T161">
        <f t="shared" si="206"/>
        <v>-2.7773560793773862E-2</v>
      </c>
      <c r="U161">
        <f t="shared" si="207"/>
        <v>-2.6323823920453696E-2</v>
      </c>
      <c r="V161">
        <f t="shared" si="208"/>
        <v>3.8792162366999804E-2</v>
      </c>
      <c r="W161">
        <f t="shared" si="209"/>
        <v>-2.2969497101845138E-2</v>
      </c>
      <c r="X161">
        <f t="shared" si="210"/>
        <v>-3.0346357058488784E-2</v>
      </c>
      <c r="Y161">
        <f t="shared" si="211"/>
        <v>-2.9159132595476506E-2</v>
      </c>
      <c r="Z161">
        <f t="shared" si="212"/>
        <v>4.0000813976467757E-2</v>
      </c>
      <c r="AA161">
        <f t="shared" si="213"/>
        <v>-2.3173732557801325E-2</v>
      </c>
      <c r="AB161">
        <f t="shared" si="214"/>
        <v>-3.2053264124638679E-2</v>
      </c>
      <c r="AC161">
        <f t="shared" si="215"/>
        <v>-3.1440097368968037E-2</v>
      </c>
      <c r="AD161">
        <f t="shared" si="216"/>
        <v>4.0335340313805673E-2</v>
      </c>
      <c r="AE161">
        <f t="shared" si="217"/>
        <v>-2.4540540720685747E-2</v>
      </c>
      <c r="AF161">
        <f t="shared" si="218"/>
        <v>-3.3017606373535409E-2</v>
      </c>
      <c r="AG161">
        <f t="shared" si="219"/>
        <v>-3.5191376490299395E-2</v>
      </c>
      <c r="AH161">
        <f t="shared" si="220"/>
        <v>4.1486992662569999E-2</v>
      </c>
      <c r="AI161">
        <f t="shared" si="221"/>
        <v>-2.4110430521506476E-2</v>
      </c>
      <c r="AJ161">
        <f t="shared" si="222"/>
        <v>-3.4936722989917374E-2</v>
      </c>
      <c r="AK161">
        <f t="shared" si="223"/>
        <v>-2.5234222427964942E-2</v>
      </c>
      <c r="AL161">
        <f t="shared" si="224"/>
        <v>4.1457663391612699E-2</v>
      </c>
      <c r="AM161">
        <f t="shared" si="225"/>
        <v>-2.5364749540314518E-2</v>
      </c>
      <c r="AN161">
        <f t="shared" si="226"/>
        <v>-3.6837011597241731E-2</v>
      </c>
      <c r="AO161">
        <f t="shared" si="227"/>
        <v>-2.2024531724075876E-2</v>
      </c>
      <c r="AP161">
        <f t="shared" si="228"/>
        <v>4.0919931149419254E-2</v>
      </c>
      <c r="AQ161">
        <f t="shared" si="229"/>
        <v>-2.3972933469338834E-2</v>
      </c>
      <c r="AR161">
        <f t="shared" si="230"/>
        <v>-3.5188331112432344E-2</v>
      </c>
      <c r="AS161">
        <f t="shared" si="231"/>
        <v>-1.6313301539075276E-2</v>
      </c>
      <c r="AT161">
        <f t="shared" si="232"/>
        <v>4.0135194749400457E-2</v>
      </c>
      <c r="AU161">
        <f t="shared" si="233"/>
        <v>-2.3438779539179208E-2</v>
      </c>
      <c r="AV161">
        <f t="shared" si="234"/>
        <v>-3.4075025281336137E-2</v>
      </c>
      <c r="AW161">
        <f t="shared" si="235"/>
        <v>-9.8922216132931381E-3</v>
      </c>
      <c r="AX161">
        <f t="shared" si="236"/>
        <v>4.0687120505080117E-2</v>
      </c>
      <c r="AY161">
        <f t="shared" si="237"/>
        <v>-2.4477009536115542E-2</v>
      </c>
      <c r="AZ161">
        <f t="shared" si="238"/>
        <v>-3.5841309634273212E-2</v>
      </c>
      <c r="BA161">
        <f t="shared" si="239"/>
        <v>-1.1972212020371268E-2</v>
      </c>
    </row>
    <row r="162" spans="1:53" ht="14.4" x14ac:dyDescent="0.55000000000000004">
      <c r="A162" s="1">
        <v>43950</v>
      </c>
      <c r="B162">
        <v>2.6028885658681101E-2</v>
      </c>
      <c r="C162">
        <v>-2.37958858440711E-2</v>
      </c>
      <c r="D162">
        <v>-2.6822789695408501E-2</v>
      </c>
      <c r="E162">
        <v>-3.8552390814115697E-2</v>
      </c>
      <c r="F162">
        <f t="shared" si="192"/>
        <v>2.8562671345575524E-2</v>
      </c>
      <c r="G162">
        <f t="shared" si="193"/>
        <v>-2.5474127460587439E-2</v>
      </c>
      <c r="H162">
        <f t="shared" si="194"/>
        <v>-2.572566878285007E-2</v>
      </c>
      <c r="I162">
        <f t="shared" si="195"/>
        <v>-3.4691101110467491E-2</v>
      </c>
      <c r="J162">
        <f t="shared" si="196"/>
        <v>3.4716587255413996E-2</v>
      </c>
      <c r="K162">
        <f t="shared" si="197"/>
        <v>-2.0187000310299505E-2</v>
      </c>
      <c r="L162">
        <f t="shared" si="198"/>
        <v>-2.9806285914607513E-2</v>
      </c>
      <c r="M162">
        <f t="shared" si="199"/>
        <v>-3.6281663968955345E-2</v>
      </c>
      <c r="N162">
        <f t="shared" si="200"/>
        <v>3.6671899974834651E-2</v>
      </c>
      <c r="O162">
        <f t="shared" si="201"/>
        <v>-2.1119423569193212E-2</v>
      </c>
      <c r="P162">
        <f t="shared" si="202"/>
        <v>-2.8798084648380868E-2</v>
      </c>
      <c r="Q162">
        <f t="shared" si="203"/>
        <v>-3.3118225532333165E-2</v>
      </c>
      <c r="R162">
        <f t="shared" si="204"/>
        <v>3.6439765629341543E-2</v>
      </c>
      <c r="S162">
        <f t="shared" si="205"/>
        <v>-2.1102834556853758E-2</v>
      </c>
      <c r="T162">
        <f t="shared" si="206"/>
        <v>-2.7604063686638172E-2</v>
      </c>
      <c r="U162">
        <f t="shared" si="207"/>
        <v>-2.0963305505687656E-2</v>
      </c>
      <c r="V162">
        <f t="shared" si="208"/>
        <v>3.7697182929998657E-2</v>
      </c>
      <c r="W162">
        <f t="shared" si="209"/>
        <v>-2.2256225497003568E-2</v>
      </c>
      <c r="X162">
        <f t="shared" si="210"/>
        <v>-2.9095783265683638E-2</v>
      </c>
      <c r="Y162">
        <f t="shared" si="211"/>
        <v>-2.5740423950026452E-2</v>
      </c>
      <c r="Z162">
        <f t="shared" si="212"/>
        <v>3.9166412814366093E-2</v>
      </c>
      <c r="AA162">
        <f t="shared" si="213"/>
        <v>-2.3779934205456876E-2</v>
      </c>
      <c r="AB162">
        <f t="shared" si="214"/>
        <v>-3.1386129939628339E-2</v>
      </c>
      <c r="AC162">
        <f t="shared" si="215"/>
        <v>-2.7763234771054197E-2</v>
      </c>
      <c r="AD162">
        <f t="shared" si="216"/>
        <v>4.0249965174664025E-2</v>
      </c>
      <c r="AE162">
        <f t="shared" si="217"/>
        <v>-2.3922301697469884E-2</v>
      </c>
      <c r="AF162">
        <f t="shared" si="218"/>
        <v>-3.2908500552187435E-2</v>
      </c>
      <c r="AG162">
        <f t="shared" si="219"/>
        <v>-2.9716385099845831E-2</v>
      </c>
      <c r="AH162">
        <f t="shared" si="220"/>
        <v>4.0515064115735126E-2</v>
      </c>
      <c r="AI162">
        <f t="shared" si="221"/>
        <v>-2.5122285653107371E-2</v>
      </c>
      <c r="AJ162">
        <f t="shared" si="222"/>
        <v>-3.3765192834053312E-2</v>
      </c>
      <c r="AK162">
        <f t="shared" si="223"/>
        <v>-3.3171836418326633E-2</v>
      </c>
      <c r="AL162">
        <f t="shared" si="224"/>
        <v>4.1426450412778919E-2</v>
      </c>
      <c r="AM162">
        <f t="shared" si="225"/>
        <v>-2.4628537631145368E-2</v>
      </c>
      <c r="AN162">
        <f t="shared" si="226"/>
        <v>-3.5575140519622656E-2</v>
      </c>
      <c r="AO162">
        <f t="shared" si="227"/>
        <v>-2.3327328558440226E-2</v>
      </c>
      <c r="AP162">
        <f t="shared" si="228"/>
        <v>4.1389625778566398E-2</v>
      </c>
      <c r="AQ162">
        <f t="shared" si="229"/>
        <v>-2.5840958615115452E-2</v>
      </c>
      <c r="AR162">
        <f t="shared" si="230"/>
        <v>-3.7378432575568069E-2</v>
      </c>
      <c r="AS162">
        <f t="shared" si="231"/>
        <v>-2.0385984171020104E-2</v>
      </c>
      <c r="AT162">
        <f t="shared" si="232"/>
        <v>4.0879159820502935E-2</v>
      </c>
      <c r="AU162">
        <f t="shared" si="233"/>
        <v>-2.4554311819675548E-2</v>
      </c>
      <c r="AV162">
        <f t="shared" si="234"/>
        <v>-3.5902872582759288E-2</v>
      </c>
      <c r="AW162">
        <f t="shared" si="235"/>
        <v>-1.4962731438427426E-2</v>
      </c>
      <c r="AX162">
        <f t="shared" si="236"/>
        <v>4.0130231937194318E-2</v>
      </c>
      <c r="AY162">
        <f t="shared" si="237"/>
        <v>-2.4071320079958498E-2</v>
      </c>
      <c r="AZ162">
        <f t="shared" si="238"/>
        <v>-3.4944685027527789E-2</v>
      </c>
      <c r="BA162">
        <f t="shared" si="239"/>
        <v>-8.9279186057957434E-3</v>
      </c>
    </row>
    <row r="163" spans="1:53" ht="14.4" x14ac:dyDescent="0.55000000000000004">
      <c r="A163" s="1">
        <v>43978</v>
      </c>
      <c r="B163">
        <v>3.1424149785147397E-2</v>
      </c>
      <c r="C163">
        <v>-2.8649139735687501E-2</v>
      </c>
      <c r="D163">
        <v>-3.3715840256950999E-2</v>
      </c>
      <c r="E163">
        <v>-4.9703136121395999E-2</v>
      </c>
      <c r="F163">
        <f t="shared" si="192"/>
        <v>2.9279344006356418E-2</v>
      </c>
      <c r="G163">
        <f t="shared" si="193"/>
        <v>-2.6929801599732642E-2</v>
      </c>
      <c r="H163">
        <f t="shared" si="194"/>
        <v>-2.8700285904342281E-2</v>
      </c>
      <c r="I163">
        <f t="shared" si="195"/>
        <v>-4.2725910135744803E-2</v>
      </c>
      <c r="J163">
        <f t="shared" si="196"/>
        <v>3.0863715868963137E-2</v>
      </c>
      <c r="K163">
        <f t="shared" si="197"/>
        <v>-2.7542701573918138E-2</v>
      </c>
      <c r="L163">
        <f t="shared" si="198"/>
        <v>-2.7549868417943876E-2</v>
      </c>
      <c r="M163">
        <f t="shared" si="199"/>
        <v>-3.7020411772179386E-2</v>
      </c>
      <c r="N163">
        <f t="shared" si="200"/>
        <v>3.6439173564722413E-2</v>
      </c>
      <c r="O163">
        <f t="shared" si="201"/>
        <v>-2.2453162836393401E-2</v>
      </c>
      <c r="P163">
        <f t="shared" si="202"/>
        <v>-3.1064733385034283E-2</v>
      </c>
      <c r="Q163">
        <f t="shared" si="203"/>
        <v>-3.731965302455658E-2</v>
      </c>
      <c r="R163">
        <f t="shared" si="204"/>
        <v>3.7680982685597664E-2</v>
      </c>
      <c r="S163">
        <f t="shared" si="205"/>
        <v>-2.2610787098232374E-2</v>
      </c>
      <c r="T163">
        <f t="shared" si="206"/>
        <v>-3.002802899438908E-2</v>
      </c>
      <c r="U163">
        <f t="shared" si="207"/>
        <v>-3.2770819525947202E-2</v>
      </c>
      <c r="V163">
        <f t="shared" si="208"/>
        <v>3.7191673061946394E-2</v>
      </c>
      <c r="W163">
        <f t="shared" si="209"/>
        <v>-2.2338491521606985E-2</v>
      </c>
      <c r="X163">
        <f t="shared" si="210"/>
        <v>-2.9000087326854922E-2</v>
      </c>
      <c r="Y163">
        <f t="shared" si="211"/>
        <v>-2.0701179257764945E-2</v>
      </c>
      <c r="Z163">
        <f t="shared" si="212"/>
        <v>3.8240670206679525E-2</v>
      </c>
      <c r="AA163">
        <f t="shared" si="213"/>
        <v>-2.3243118335607618E-2</v>
      </c>
      <c r="AB163">
        <f t="shared" si="214"/>
        <v>-3.0296447469769231E-2</v>
      </c>
      <c r="AC163">
        <f t="shared" si="215"/>
        <v>-2.4839915212579049E-2</v>
      </c>
      <c r="AD163">
        <f t="shared" si="216"/>
        <v>3.9435263284981557E-2</v>
      </c>
      <c r="AE163">
        <f t="shared" si="217"/>
        <v>-2.4462878540447337E-2</v>
      </c>
      <c r="AF163">
        <f t="shared" si="218"/>
        <v>-3.2348661683074952E-2</v>
      </c>
      <c r="AG163">
        <f t="shared" si="219"/>
        <v>-2.627706728828753E-2</v>
      </c>
      <c r="AH163">
        <f t="shared" si="220"/>
        <v>4.0408490951901299E-2</v>
      </c>
      <c r="AI163">
        <f t="shared" si="221"/>
        <v>-2.4555425970798121E-2</v>
      </c>
      <c r="AJ163">
        <f t="shared" si="222"/>
        <v>-3.3706872527155499E-2</v>
      </c>
      <c r="AK163">
        <f t="shared" si="223"/>
        <v>-2.7944318053363337E-2</v>
      </c>
      <c r="AL163">
        <f t="shared" si="224"/>
        <v>4.0623286002128181E-2</v>
      </c>
      <c r="AM163">
        <f t="shared" si="225"/>
        <v>-2.5618610542965905E-2</v>
      </c>
      <c r="AN163">
        <f t="shared" si="226"/>
        <v>-3.4468913568210968E-2</v>
      </c>
      <c r="AO163">
        <f t="shared" si="227"/>
        <v>-3.1154304149175804E-2</v>
      </c>
      <c r="AP163">
        <f t="shared" si="228"/>
        <v>4.1351651245233295E-2</v>
      </c>
      <c r="AQ163">
        <f t="shared" si="229"/>
        <v>-2.5114039017332484E-2</v>
      </c>
      <c r="AR163">
        <f t="shared" si="230"/>
        <v>-3.6188835682822426E-2</v>
      </c>
      <c r="AS163">
        <f t="shared" si="231"/>
        <v>-2.1534256615450047E-2</v>
      </c>
      <c r="AT163">
        <f t="shared" si="232"/>
        <v>4.1309480415106181E-2</v>
      </c>
      <c r="AU163">
        <f t="shared" si="233"/>
        <v>-2.6285800050698856E-2</v>
      </c>
      <c r="AV163">
        <f t="shared" si="234"/>
        <v>-3.7899766821589645E-2</v>
      </c>
      <c r="AW163">
        <f t="shared" si="235"/>
        <v>-1.884592040819514E-2</v>
      </c>
      <c r="AX163">
        <f t="shared" si="236"/>
        <v>4.0829265143174788E-2</v>
      </c>
      <c r="AY163">
        <f t="shared" si="237"/>
        <v>-2.5103416970027225E-2</v>
      </c>
      <c r="AZ163">
        <f t="shared" si="238"/>
        <v>-3.6583013734386396E-2</v>
      </c>
      <c r="BA163">
        <f t="shared" si="239"/>
        <v>-1.3709892246704108E-2</v>
      </c>
    </row>
    <row r="164" spans="1:53" ht="14.4" x14ac:dyDescent="0.55000000000000004">
      <c r="A164" s="1">
        <v>44006</v>
      </c>
      <c r="B164">
        <v>3.1324372873389197E-2</v>
      </c>
      <c r="C164">
        <v>-2.7805280445508399E-2</v>
      </c>
      <c r="D164">
        <v>-3.52398572579131E-2</v>
      </c>
      <c r="E164">
        <v>-4.90300137995799E-2</v>
      </c>
      <c r="F164">
        <f t="shared" si="192"/>
        <v>3.3671670785181976E-2</v>
      </c>
      <c r="G164">
        <f t="shared" si="193"/>
        <v>-3.0670938660464653E-2</v>
      </c>
      <c r="H164">
        <f t="shared" si="194"/>
        <v>-3.4788624591388304E-2</v>
      </c>
      <c r="I164">
        <f t="shared" si="195"/>
        <v>-5.1450509185712555E-2</v>
      </c>
      <c r="J164">
        <f t="shared" si="196"/>
        <v>3.166005507544168E-2</v>
      </c>
      <c r="K164">
        <f t="shared" si="197"/>
        <v>-2.9037139623642457E-2</v>
      </c>
      <c r="L164">
        <f t="shared" si="198"/>
        <v>-3.0245986204007716E-2</v>
      </c>
      <c r="M164">
        <f t="shared" si="199"/>
        <v>-4.4921087869860862E-2</v>
      </c>
      <c r="N164">
        <f t="shared" si="200"/>
        <v>3.2596949668492414E-2</v>
      </c>
      <c r="O164">
        <f t="shared" si="201"/>
        <v>-2.8966534007400822E-2</v>
      </c>
      <c r="P164">
        <f t="shared" si="202"/>
        <v>-2.9114281004253263E-2</v>
      </c>
      <c r="Q164">
        <f t="shared" si="203"/>
        <v>-3.8104979986246346E-2</v>
      </c>
      <c r="R164">
        <f t="shared" si="204"/>
        <v>3.7642713021331917E-2</v>
      </c>
      <c r="S164">
        <f t="shared" si="205"/>
        <v>-2.4075856478171356E-2</v>
      </c>
      <c r="T164">
        <f t="shared" si="206"/>
        <v>-3.2136577559889579E-2</v>
      </c>
      <c r="U164">
        <f t="shared" si="207"/>
        <v>-3.7273349810608529E-2</v>
      </c>
      <c r="V164">
        <f t="shared" si="208"/>
        <v>3.8396353339943824E-2</v>
      </c>
      <c r="W164">
        <f t="shared" si="209"/>
        <v>-2.3742108600763839E-2</v>
      </c>
      <c r="X164">
        <f t="shared" si="210"/>
        <v>-3.1124668303634147E-2</v>
      </c>
      <c r="Y164">
        <f t="shared" si="211"/>
        <v>-3.1887998155744841E-2</v>
      </c>
      <c r="Z164">
        <f t="shared" si="212"/>
        <v>3.7754352239119063E-2</v>
      </c>
      <c r="AA164">
        <f t="shared" si="213"/>
        <v>-2.3341382887811568E-2</v>
      </c>
      <c r="AB164">
        <f t="shared" si="214"/>
        <v>-3.02673737739012E-2</v>
      </c>
      <c r="AC164">
        <f t="shared" si="215"/>
        <v>-2.0126183163068582E-2</v>
      </c>
      <c r="AD164">
        <f t="shared" si="216"/>
        <v>3.8642503401886831E-2</v>
      </c>
      <c r="AE164">
        <f t="shared" si="217"/>
        <v>-2.4058042512588577E-2</v>
      </c>
      <c r="AF164">
        <f t="shared" si="218"/>
        <v>-3.139686898503808E-2</v>
      </c>
      <c r="AG164">
        <f t="shared" si="219"/>
        <v>-2.3752694440983022E-2</v>
      </c>
      <c r="AH164">
        <f t="shared" si="220"/>
        <v>3.9628863101410651E-2</v>
      </c>
      <c r="AI164">
        <f t="shared" si="221"/>
        <v>-2.5055167030594103E-2</v>
      </c>
      <c r="AJ164">
        <f t="shared" si="222"/>
        <v>-3.324551253379511E-2</v>
      </c>
      <c r="AK164">
        <f t="shared" si="223"/>
        <v>-2.4765236068122119E-2</v>
      </c>
      <c r="AL164">
        <f t="shared" si="224"/>
        <v>4.0504248326739045E-2</v>
      </c>
      <c r="AM164">
        <f t="shared" si="225"/>
        <v>-2.5107473446472225E-2</v>
      </c>
      <c r="AN164">
        <f t="shared" si="226"/>
        <v>-3.4457575727537264E-2</v>
      </c>
      <c r="AO164">
        <f t="shared" si="227"/>
        <v>-2.6182229089832833E-2</v>
      </c>
      <c r="AP164">
        <f t="shared" si="228"/>
        <v>4.0682196331810631E-2</v>
      </c>
      <c r="AQ164">
        <f t="shared" si="229"/>
        <v>-2.6056198815049857E-2</v>
      </c>
      <c r="AR164">
        <f t="shared" si="230"/>
        <v>-3.5135668094575523E-2</v>
      </c>
      <c r="AS164">
        <f t="shared" si="231"/>
        <v>-2.9183141492371049E-2</v>
      </c>
      <c r="AT164">
        <f t="shared" si="232"/>
        <v>4.1269144681191056E-2</v>
      </c>
      <c r="AU164">
        <f t="shared" si="233"/>
        <v>-2.5574778330854187E-2</v>
      </c>
      <c r="AV164">
        <f t="shared" si="234"/>
        <v>-3.6779456201043385E-2</v>
      </c>
      <c r="AW164">
        <f t="shared" si="235"/>
        <v>-1.9861046284997658E-2</v>
      </c>
      <c r="AX164">
        <f t="shared" si="236"/>
        <v>4.1223271663920272E-2</v>
      </c>
      <c r="AY164">
        <f t="shared" si="237"/>
        <v>-2.6706779853346924E-2</v>
      </c>
      <c r="AZ164">
        <f t="shared" si="238"/>
        <v>-3.8402363722064771E-2</v>
      </c>
      <c r="BA164">
        <f t="shared" si="239"/>
        <v>-1.7410368540524038E-2</v>
      </c>
    </row>
    <row r="165" spans="1:53" ht="14.4" x14ac:dyDescent="0.55000000000000004">
      <c r="A165" s="1">
        <v>44041</v>
      </c>
      <c r="B165">
        <v>2.6526449838418301E-2</v>
      </c>
      <c r="C165">
        <v>-2.39793132589716E-2</v>
      </c>
      <c r="D165">
        <v>-3.01257840884692E-2</v>
      </c>
      <c r="E165">
        <v>-4.0907149059917498E-2</v>
      </c>
      <c r="F165">
        <f t="shared" si="192"/>
        <v>3.3803789787105E-2</v>
      </c>
      <c r="G165">
        <f t="shared" si="193"/>
        <v>-3.0191510301565087E-2</v>
      </c>
      <c r="H165">
        <f t="shared" si="194"/>
        <v>-3.6234760148425672E-2</v>
      </c>
      <c r="I165">
        <f t="shared" si="195"/>
        <v>-5.1360544133480103E-2</v>
      </c>
      <c r="J165">
        <f t="shared" si="196"/>
        <v>3.5292901349263953E-2</v>
      </c>
      <c r="K165">
        <f t="shared" si="197"/>
        <v>-3.1967749175385245E-2</v>
      </c>
      <c r="L165">
        <f t="shared" si="198"/>
        <v>-3.5653860345823539E-2</v>
      </c>
      <c r="M165">
        <f t="shared" si="199"/>
        <v>-5.1828606441782471E-2</v>
      </c>
      <c r="N165">
        <f t="shared" si="200"/>
        <v>3.3422811713328268E-2</v>
      </c>
      <c r="O165">
        <f t="shared" si="201"/>
        <v>-3.0438490187318201E-2</v>
      </c>
      <c r="P165">
        <f t="shared" si="202"/>
        <v>-3.1545055743771692E-2</v>
      </c>
      <c r="Q165">
        <f t="shared" si="203"/>
        <v>-4.5760299947658213E-2</v>
      </c>
      <c r="R165">
        <f t="shared" si="204"/>
        <v>3.3921196841453505E-2</v>
      </c>
      <c r="S165">
        <f t="shared" si="205"/>
        <v>-2.994528603085591E-2</v>
      </c>
      <c r="T165">
        <f t="shared" si="206"/>
        <v>-3.0476672729943206E-2</v>
      </c>
      <c r="U165">
        <f t="shared" si="207"/>
        <v>-3.8335248654554004E-2</v>
      </c>
      <c r="V165">
        <f t="shared" si="208"/>
        <v>3.8483248391874406E-2</v>
      </c>
      <c r="W165">
        <f t="shared" si="209"/>
        <v>-2.5255032766763302E-2</v>
      </c>
      <c r="X165">
        <f t="shared" si="210"/>
        <v>-3.3071452583431624E-2</v>
      </c>
      <c r="Y165">
        <f t="shared" si="211"/>
        <v>-3.652101703637442E-2</v>
      </c>
      <c r="Z165">
        <f t="shared" si="212"/>
        <v>3.8904812367500215E-2</v>
      </c>
      <c r="AA165">
        <f t="shared" si="213"/>
        <v>-2.4623349984811974E-2</v>
      </c>
      <c r="AB165">
        <f t="shared" si="214"/>
        <v>-3.2117213240929705E-2</v>
      </c>
      <c r="AC165">
        <f t="shared" si="215"/>
        <v>-3.0675106917834843E-2</v>
      </c>
      <c r="AD165">
        <f t="shared" si="216"/>
        <v>3.818058828117956E-2</v>
      </c>
      <c r="AE165">
        <f t="shared" si="217"/>
        <v>-2.4177617052122402E-2</v>
      </c>
      <c r="AF165">
        <f t="shared" si="218"/>
        <v>-3.1427109425462244E-2</v>
      </c>
      <c r="AG165">
        <f t="shared" si="219"/>
        <v>-1.9360274562340282E-2</v>
      </c>
      <c r="AH165">
        <f t="shared" si="220"/>
        <v>3.894244798670804E-2</v>
      </c>
      <c r="AI165">
        <f t="shared" si="221"/>
        <v>-2.475019876343831E-2</v>
      </c>
      <c r="AJ165">
        <f t="shared" si="222"/>
        <v>-3.2412811439035884E-2</v>
      </c>
      <c r="AK165">
        <f t="shared" si="223"/>
        <v>-2.2567798471925419E-2</v>
      </c>
      <c r="AL165">
        <f t="shared" si="224"/>
        <v>3.9768443671154508E-2</v>
      </c>
      <c r="AM165">
        <f t="shared" si="225"/>
        <v>-2.5582237160919112E-2</v>
      </c>
      <c r="AN165">
        <f t="shared" si="226"/>
        <v>-3.4085307885837079E-2</v>
      </c>
      <c r="AO165">
        <f t="shared" si="227"/>
        <v>-2.3270616468817378E-2</v>
      </c>
      <c r="AP165">
        <f t="shared" si="228"/>
        <v>4.0556666645095864E-2</v>
      </c>
      <c r="AQ165">
        <f t="shared" si="229"/>
        <v>-2.5602013156948496E-2</v>
      </c>
      <c r="AR165">
        <f t="shared" si="230"/>
        <v>-3.5167191116210167E-2</v>
      </c>
      <c r="AS165">
        <f t="shared" si="231"/>
        <v>-2.4467991178322074E-2</v>
      </c>
      <c r="AT165">
        <f t="shared" si="232"/>
        <v>4.0707268170433047E-2</v>
      </c>
      <c r="AU165">
        <f t="shared" si="233"/>
        <v>-2.6453184295095869E-2</v>
      </c>
      <c r="AV165">
        <f t="shared" si="234"/>
        <v>-3.5770316030208624E-2</v>
      </c>
      <c r="AW165">
        <f t="shared" si="235"/>
        <v>-2.7286491544614974E-2</v>
      </c>
      <c r="AX165">
        <f t="shared" si="236"/>
        <v>4.1183344623399253E-2</v>
      </c>
      <c r="AY165">
        <f t="shared" si="237"/>
        <v>-2.6015939959509456E-2</v>
      </c>
      <c r="AZ165">
        <f t="shared" si="238"/>
        <v>-3.7348118582394028E-2</v>
      </c>
      <c r="BA165">
        <f t="shared" si="239"/>
        <v>-1.8309003308416068E-2</v>
      </c>
    </row>
    <row r="166" spans="1:53" ht="14.4" x14ac:dyDescent="0.55000000000000004">
      <c r="A166" s="1">
        <v>44069</v>
      </c>
      <c r="B166">
        <v>2.7857293003651001E-2</v>
      </c>
      <c r="C166">
        <v>-2.4991751975240999E-2</v>
      </c>
      <c r="D166">
        <v>-3.3111652606674299E-2</v>
      </c>
      <c r="E166">
        <v>-3.8801180439221997E-2</v>
      </c>
      <c r="F166">
        <f t="shared" si="192"/>
        <v>2.9968831609391667E-2</v>
      </c>
      <c r="G166">
        <f t="shared" si="193"/>
        <v>-2.7410101058327807E-2</v>
      </c>
      <c r="H166">
        <f t="shared" si="194"/>
        <v>-3.1760889869729941E-2</v>
      </c>
      <c r="I166">
        <f t="shared" si="195"/>
        <v>-4.5498156776631507E-2</v>
      </c>
      <c r="J166">
        <f t="shared" si="196"/>
        <v>3.5566954231063083E-2</v>
      </c>
      <c r="K166">
        <f t="shared" si="197"/>
        <v>-3.1729912251249555E-2</v>
      </c>
      <c r="L166">
        <f t="shared" si="198"/>
        <v>-3.7008624789941956E-2</v>
      </c>
      <c r="M166">
        <f t="shared" si="199"/>
        <v>-5.2098562641899618E-2</v>
      </c>
      <c r="N166">
        <f t="shared" si="200"/>
        <v>3.6471437195772179E-2</v>
      </c>
      <c r="O166">
        <f t="shared" si="201"/>
        <v>-3.2772310974137207E-2</v>
      </c>
      <c r="P166">
        <f t="shared" si="202"/>
        <v>-3.6370549164391482E-2</v>
      </c>
      <c r="Q166">
        <f t="shared" si="203"/>
        <v>-5.1288948494534518E-2</v>
      </c>
      <c r="R166">
        <f t="shared" si="204"/>
        <v>3.4744054022878959E-2</v>
      </c>
      <c r="S166">
        <f t="shared" si="205"/>
        <v>-3.1356437812848859E-2</v>
      </c>
      <c r="T166">
        <f t="shared" si="206"/>
        <v>-3.2658218574796137E-2</v>
      </c>
      <c r="U166">
        <f t="shared" si="207"/>
        <v>-4.5677664261176303E-2</v>
      </c>
      <c r="V166">
        <f t="shared" si="208"/>
        <v>3.4948328245488124E-2</v>
      </c>
      <c r="W166">
        <f t="shared" si="209"/>
        <v>-3.0617765681888155E-2</v>
      </c>
      <c r="X166">
        <f t="shared" si="210"/>
        <v>-3.1679175648219933E-2</v>
      </c>
      <c r="Y166">
        <f t="shared" si="211"/>
        <v>-3.7984390678934249E-2</v>
      </c>
      <c r="Z166">
        <f t="shared" si="212"/>
        <v>3.9069590400842479E-2</v>
      </c>
      <c r="AA166">
        <f t="shared" si="213"/>
        <v>-2.6129172249198519E-2</v>
      </c>
      <c r="AB166">
        <f t="shared" si="214"/>
        <v>-3.3904079091333805E-2</v>
      </c>
      <c r="AC166">
        <f t="shared" si="215"/>
        <v>-3.5323416861701089E-2</v>
      </c>
      <c r="AD166">
        <f t="shared" si="216"/>
        <v>3.9267067548667919E-2</v>
      </c>
      <c r="AE166">
        <f t="shared" si="217"/>
        <v>-2.533065374285623E-2</v>
      </c>
      <c r="AF166">
        <f t="shared" si="218"/>
        <v>-3.3026522156040378E-2</v>
      </c>
      <c r="AG166">
        <f t="shared" si="219"/>
        <v>-2.9272846302784934E-2</v>
      </c>
      <c r="AH166">
        <f t="shared" si="220"/>
        <v>3.8507626519969279E-2</v>
      </c>
      <c r="AI166">
        <f t="shared" si="221"/>
        <v>-2.4893268661348403E-2</v>
      </c>
      <c r="AJ166">
        <f t="shared" si="222"/>
        <v>-3.249521859876868E-2</v>
      </c>
      <c r="AK166">
        <f t="shared" si="223"/>
        <v>-1.8487094275113049E-2</v>
      </c>
      <c r="AL166">
        <f t="shared" si="224"/>
        <v>3.9168556791624252E-2</v>
      </c>
      <c r="AM166">
        <f t="shared" si="225"/>
        <v>-2.535374911248094E-2</v>
      </c>
      <c r="AN166">
        <f t="shared" si="226"/>
        <v>-3.3356107974544358E-2</v>
      </c>
      <c r="AO166">
        <f t="shared" si="227"/>
        <v>-2.1345526560990039E-2</v>
      </c>
      <c r="AP166">
        <f t="shared" si="228"/>
        <v>3.9869004410438259E-2</v>
      </c>
      <c r="AQ166">
        <f t="shared" si="229"/>
        <v>-2.6061621018439812E-2</v>
      </c>
      <c r="AR166">
        <f t="shared" si="230"/>
        <v>-3.4874597134730297E-2</v>
      </c>
      <c r="AS166">
        <f t="shared" si="231"/>
        <v>-2.182104253546812E-2</v>
      </c>
      <c r="AT166">
        <f t="shared" si="232"/>
        <v>4.0579303795751365E-2</v>
      </c>
      <c r="AU166">
        <f t="shared" si="233"/>
        <v>-2.6055142831088871E-2</v>
      </c>
      <c r="AV166">
        <f t="shared" si="234"/>
        <v>-3.5840486635201889E-2</v>
      </c>
      <c r="AW166">
        <f t="shared" si="235"/>
        <v>-2.2825379226397945E-2</v>
      </c>
      <c r="AX166">
        <f t="shared" si="236"/>
        <v>4.0709294327125667E-2</v>
      </c>
      <c r="AY166">
        <f t="shared" si="237"/>
        <v>-2.6821799122282365E-2</v>
      </c>
      <c r="AZ166">
        <f t="shared" si="238"/>
        <v>-3.6376312562507222E-2</v>
      </c>
      <c r="BA166">
        <f t="shared" si="239"/>
        <v>-2.5481346472367931E-2</v>
      </c>
    </row>
    <row r="167" spans="1:53" ht="14.4" x14ac:dyDescent="0.55000000000000004">
      <c r="A167" s="1">
        <v>44104</v>
      </c>
      <c r="B167">
        <v>3.0295230280463499E-2</v>
      </c>
      <c r="C167">
        <v>-2.7616011314390398E-2</v>
      </c>
      <c r="D167">
        <v>-3.5544350460783601E-2</v>
      </c>
      <c r="E167">
        <v>-4.5460783980513501E-2</v>
      </c>
      <c r="F167">
        <f t="shared" si="192"/>
        <v>3.1100092668600476E-2</v>
      </c>
      <c r="G167">
        <f t="shared" si="193"/>
        <v>-2.8278722004814849E-2</v>
      </c>
      <c r="H167">
        <f t="shared" si="194"/>
        <v>-3.4504345912419868E-2</v>
      </c>
      <c r="I167">
        <f t="shared" si="195"/>
        <v>-4.3220311772547447E-2</v>
      </c>
      <c r="J167">
        <f t="shared" si="196"/>
        <v>3.2450695573233462E-2</v>
      </c>
      <c r="K167">
        <f t="shared" si="197"/>
        <v>-2.9690614483827611E-2</v>
      </c>
      <c r="L167">
        <f t="shared" si="198"/>
        <v>-3.3064200852599583E-2</v>
      </c>
      <c r="M167">
        <f t="shared" si="199"/>
        <v>-4.7887245907308786E-2</v>
      </c>
      <c r="N167">
        <f t="shared" si="200"/>
        <v>3.6826697106083363E-2</v>
      </c>
      <c r="O167">
        <f t="shared" si="201"/>
        <v>-3.2691929308223754E-2</v>
      </c>
      <c r="P167">
        <f t="shared" si="202"/>
        <v>-3.7628210150330778E-2</v>
      </c>
      <c r="Q167">
        <f t="shared" si="203"/>
        <v>-5.1768407987723704E-2</v>
      </c>
      <c r="R167">
        <f t="shared" si="204"/>
        <v>3.7335720882180699E-2</v>
      </c>
      <c r="S167">
        <f t="shared" si="205"/>
        <v>-3.3245684146919252E-2</v>
      </c>
      <c r="T167">
        <f t="shared" si="206"/>
        <v>-3.698007776199231E-2</v>
      </c>
      <c r="U167">
        <f t="shared" si="207"/>
        <v>-5.0145318225712797E-2</v>
      </c>
      <c r="V167">
        <f t="shared" si="208"/>
        <v>3.5747685319639892E-2</v>
      </c>
      <c r="W167">
        <f t="shared" si="209"/>
        <v>-3.194539144963373E-2</v>
      </c>
      <c r="X167">
        <f t="shared" si="210"/>
        <v>-3.3629032037424796E-2</v>
      </c>
      <c r="Y167">
        <f t="shared" si="211"/>
        <v>-4.4976066221679545E-2</v>
      </c>
      <c r="Z167">
        <f t="shared" si="212"/>
        <v>3.5757421696713462E-2</v>
      </c>
      <c r="AA167">
        <f t="shared" si="213"/>
        <v>-3.1080424143335592E-2</v>
      </c>
      <c r="AB167">
        <f t="shared" si="214"/>
        <v>-3.2752843549401021E-2</v>
      </c>
      <c r="AC167">
        <f t="shared" si="215"/>
        <v>-3.7243705910616889E-2</v>
      </c>
      <c r="AD167">
        <f t="shared" si="216"/>
        <v>3.9477667535926755E-2</v>
      </c>
      <c r="AE167">
        <f t="shared" si="217"/>
        <v>-2.6794047176211502E-2</v>
      </c>
      <c r="AF167">
        <f t="shared" si="218"/>
        <v>-3.4658796244474044E-2</v>
      </c>
      <c r="AG167">
        <f t="shared" si="219"/>
        <v>-3.3859647056660044E-2</v>
      </c>
      <c r="AH167">
        <f t="shared" si="220"/>
        <v>3.9525641919173723E-2</v>
      </c>
      <c r="AI167">
        <f t="shared" si="221"/>
        <v>-2.591667075568416E-2</v>
      </c>
      <c r="AJ167">
        <f t="shared" si="222"/>
        <v>-3.3867609142516096E-2</v>
      </c>
      <c r="AK167">
        <f t="shared" si="223"/>
        <v>-2.777701017589539E-2</v>
      </c>
      <c r="AL167">
        <f t="shared" si="224"/>
        <v>3.876184911757876E-2</v>
      </c>
      <c r="AM167">
        <f t="shared" si="225"/>
        <v>-2.5520475443433891E-2</v>
      </c>
      <c r="AN167">
        <f t="shared" si="226"/>
        <v>-3.348387282101295E-2</v>
      </c>
      <c r="AO167">
        <f t="shared" si="227"/>
        <v>-1.7563630907620111E-2</v>
      </c>
      <c r="AP167">
        <f t="shared" si="228"/>
        <v>3.9340694304796121E-2</v>
      </c>
      <c r="AQ167">
        <f t="shared" si="229"/>
        <v>-2.5892406724086714E-2</v>
      </c>
      <c r="AR167">
        <f t="shared" si="230"/>
        <v>-3.4235795449376535E-2</v>
      </c>
      <c r="AS167">
        <f t="shared" si="231"/>
        <v>-2.0126225421876184E-2</v>
      </c>
      <c r="AT167">
        <f t="shared" si="232"/>
        <v>3.9941183881906671E-2</v>
      </c>
      <c r="AU167">
        <f t="shared" si="233"/>
        <v>-2.6505374106866195E-2</v>
      </c>
      <c r="AV167">
        <f t="shared" si="234"/>
        <v>-3.5618454118267008E-2</v>
      </c>
      <c r="AW167">
        <f t="shared" si="235"/>
        <v>-2.0433961026295563E-2</v>
      </c>
      <c r="AX167">
        <f t="shared" si="236"/>
        <v>4.058162528617415E-2</v>
      </c>
      <c r="AY167">
        <f t="shared" si="237"/>
        <v>-2.6477800371451705E-2</v>
      </c>
      <c r="AZ167">
        <f t="shared" si="238"/>
        <v>-3.6480973929392591E-2</v>
      </c>
      <c r="BA167">
        <f t="shared" si="239"/>
        <v>-2.1268490963271609E-2</v>
      </c>
    </row>
    <row r="168" spans="1:53" ht="14.4" x14ac:dyDescent="0.55000000000000004">
      <c r="A168" s="1">
        <v>44118</v>
      </c>
      <c r="B168">
        <v>3.0384496259996101E-2</v>
      </c>
      <c r="C168">
        <v>-2.76490366922264E-2</v>
      </c>
      <c r="D168">
        <v>-3.5957268223908802E-2</v>
      </c>
      <c r="E168">
        <v>-4.4219809623390303E-2</v>
      </c>
      <c r="F168">
        <f t="shared" si="192"/>
        <v>3.3009351918708164E-2</v>
      </c>
      <c r="G168">
        <f t="shared" si="193"/>
        <v>-3.0254367157767751E-2</v>
      </c>
      <c r="H168">
        <f t="shared" si="194"/>
        <v>-3.6601596107255004E-2</v>
      </c>
      <c r="I168">
        <f t="shared" si="195"/>
        <v>-4.8510110311270505E-2</v>
      </c>
      <c r="J168">
        <f t="shared" si="196"/>
        <v>3.3421144173041255E-2</v>
      </c>
      <c r="K168">
        <f t="shared" si="197"/>
        <v>-3.0454441633444688E-2</v>
      </c>
      <c r="L168">
        <f t="shared" si="198"/>
        <v>-3.5592476501572622E-2</v>
      </c>
      <c r="M168">
        <f t="shared" si="199"/>
        <v>-4.5518484064611398E-2</v>
      </c>
      <c r="N168">
        <f t="shared" si="200"/>
        <v>3.4254534921197191E-2</v>
      </c>
      <c r="O168">
        <f t="shared" si="201"/>
        <v>-3.1182158549467001E-2</v>
      </c>
      <c r="P168">
        <f t="shared" si="202"/>
        <v>-3.4127877859551056E-2</v>
      </c>
      <c r="Q168">
        <f t="shared" si="203"/>
        <v>-4.877332163578256E-2</v>
      </c>
      <c r="R168">
        <f t="shared" si="204"/>
        <v>3.7731619855393819E-2</v>
      </c>
      <c r="S168">
        <f t="shared" si="205"/>
        <v>-3.3265403668555432E-2</v>
      </c>
      <c r="T168">
        <f t="shared" si="206"/>
        <v>-3.8139940137978931E-2</v>
      </c>
      <c r="U168">
        <f t="shared" si="207"/>
        <v>-5.0734029226229473E-2</v>
      </c>
      <c r="V168">
        <f t="shared" si="208"/>
        <v>3.7975761206399887E-2</v>
      </c>
      <c r="W168">
        <f t="shared" si="209"/>
        <v>-3.3499107231743715E-2</v>
      </c>
      <c r="X168">
        <f t="shared" si="210"/>
        <v>-3.7511525167310975E-2</v>
      </c>
      <c r="Y168">
        <f t="shared" si="211"/>
        <v>-4.8615551210392786E-2</v>
      </c>
      <c r="Z168">
        <f t="shared" si="212"/>
        <v>3.6520953334645889E-2</v>
      </c>
      <c r="AA168">
        <f t="shared" si="213"/>
        <v>-3.2312337209514444E-2</v>
      </c>
      <c r="AB168">
        <f t="shared" si="214"/>
        <v>-3.4488965263523338E-2</v>
      </c>
      <c r="AC168">
        <f t="shared" si="215"/>
        <v>-4.3866857540192795E-2</v>
      </c>
      <c r="AD168">
        <f t="shared" si="216"/>
        <v>3.6404623708703197E-2</v>
      </c>
      <c r="AE168">
        <f t="shared" si="217"/>
        <v>-3.1400226876722503E-2</v>
      </c>
      <c r="AF168">
        <f t="shared" si="218"/>
        <v>-3.3720842571621779E-2</v>
      </c>
      <c r="AG168">
        <f t="shared" si="219"/>
        <v>-3.6247277382051052E-2</v>
      </c>
      <c r="AH168">
        <f t="shared" si="220"/>
        <v>3.9760509886828596E-2</v>
      </c>
      <c r="AI168">
        <f t="shared" si="221"/>
        <v>-2.7315769045820778E-2</v>
      </c>
      <c r="AJ168">
        <f t="shared" si="222"/>
        <v>-3.5352715472685967E-2</v>
      </c>
      <c r="AK168">
        <f t="shared" si="223"/>
        <v>-3.2252070066081051E-2</v>
      </c>
      <c r="AL168">
        <f t="shared" si="224"/>
        <v>3.9710377629709095E-2</v>
      </c>
      <c r="AM168">
        <f t="shared" si="225"/>
        <v>-2.641774206222753E-2</v>
      </c>
      <c r="AN168">
        <f t="shared" si="226"/>
        <v>-3.4651392036703234E-2</v>
      </c>
      <c r="AO168">
        <f t="shared" si="227"/>
        <v>-2.6252218448706989E-2</v>
      </c>
      <c r="AP168">
        <f t="shared" si="228"/>
        <v>3.8962033209445579E-2</v>
      </c>
      <c r="AQ168">
        <f t="shared" si="229"/>
        <v>-2.6081679732722751E-2</v>
      </c>
      <c r="AR168">
        <f t="shared" si="230"/>
        <v>-3.4402549171803951E-2</v>
      </c>
      <c r="AS168">
        <f t="shared" si="231"/>
        <v>-1.6628341791575265E-2</v>
      </c>
      <c r="AT168">
        <f t="shared" si="232"/>
        <v>3.9472992111813335E-2</v>
      </c>
      <c r="AU168">
        <f t="shared" si="233"/>
        <v>-2.6382628038361503E-2</v>
      </c>
      <c r="AV168">
        <f t="shared" si="234"/>
        <v>-3.5058909051052724E-2</v>
      </c>
      <c r="AW168">
        <f t="shared" si="235"/>
        <v>-1.893640427588825E-2</v>
      </c>
      <c r="AX168">
        <f t="shared" si="236"/>
        <v>3.9992563931737217E-2</v>
      </c>
      <c r="AY168">
        <f t="shared" si="237"/>
        <v>-2.692176327879001E-2</v>
      </c>
      <c r="AZ168">
        <f t="shared" si="238"/>
        <v>-3.6320897472792373E-2</v>
      </c>
      <c r="BA168">
        <f t="shared" si="239"/>
        <v>-1.9119669258280458E-2</v>
      </c>
    </row>
  </sheetData>
  <mergeCells count="2">
    <mergeCell ref="F1:I1"/>
    <mergeCell ref="J1:M1"/>
  </mergeCells>
  <pageMargins left="0.70000000000000007" right="0.70000000000000007" top="0.75" bottom="0.75" header="0.30000000000000004" footer="0.30000000000000004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48"/>
  <sheetViews>
    <sheetView workbookViewId="0"/>
  </sheetViews>
  <sheetFormatPr defaultColWidth="8.41796875" defaultRowHeight="14.55" x14ac:dyDescent="0.55000000000000004"/>
  <cols>
    <col min="1" max="1" width="10.1015625" bestFit="1" customWidth="1"/>
    <col min="2" max="29" width="8.41796875" customWidth="1"/>
    <col min="30" max="30" width="10.41796875" bestFit="1" customWidth="1"/>
    <col min="31" max="43" width="8.41796875" customWidth="1"/>
    <col min="44" max="44" width="12.62890625" bestFit="1" customWidth="1"/>
    <col min="45" max="45" width="8.41796875" customWidth="1"/>
  </cols>
  <sheetData>
    <row r="1" spans="1:73" ht="14.4" x14ac:dyDescent="0.55000000000000004">
      <c r="B1" s="9" t="s">
        <v>49</v>
      </c>
      <c r="C1" s="9"/>
      <c r="D1" s="9"/>
      <c r="E1" s="9"/>
      <c r="F1" s="9"/>
      <c r="G1" s="9"/>
      <c r="H1" s="9"/>
      <c r="I1" s="9"/>
      <c r="J1" s="9"/>
      <c r="K1" s="9"/>
      <c r="L1" s="9"/>
      <c r="N1" s="9" t="s">
        <v>50</v>
      </c>
      <c r="O1" s="9"/>
      <c r="P1" s="9"/>
      <c r="Q1" s="9"/>
      <c r="R1" s="9" t="s">
        <v>51</v>
      </c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 t="s">
        <v>52</v>
      </c>
      <c r="AE1" s="9"/>
      <c r="AF1" s="9"/>
      <c r="AG1" s="9"/>
      <c r="AH1" s="9" t="s">
        <v>53</v>
      </c>
      <c r="AI1" s="9"/>
      <c r="AJ1" s="9"/>
      <c r="AK1" s="9"/>
      <c r="AL1" s="9" t="s">
        <v>54</v>
      </c>
      <c r="AM1" s="9"/>
      <c r="AN1" s="9"/>
      <c r="AO1" s="9"/>
      <c r="AP1" s="9" t="s">
        <v>55</v>
      </c>
      <c r="AQ1" s="9"/>
      <c r="AR1" s="9"/>
      <c r="AS1" s="9"/>
      <c r="AT1" s="9" t="s">
        <v>56</v>
      </c>
      <c r="AU1" s="9"/>
      <c r="AV1" s="9"/>
      <c r="AW1" s="9"/>
      <c r="AX1" s="9" t="s">
        <v>57</v>
      </c>
      <c r="AY1" s="9"/>
      <c r="AZ1" s="9"/>
      <c r="BA1" s="9"/>
      <c r="BB1" s="9" t="s">
        <v>58</v>
      </c>
      <c r="BC1" s="9"/>
      <c r="BD1" s="9"/>
      <c r="BE1" s="9"/>
      <c r="BF1" s="9" t="s">
        <v>59</v>
      </c>
      <c r="BG1" s="9"/>
      <c r="BH1" s="9"/>
      <c r="BI1" s="9"/>
      <c r="BJ1" s="9" t="s">
        <v>60</v>
      </c>
      <c r="BK1" s="9"/>
      <c r="BL1" s="9"/>
      <c r="BM1" s="9"/>
      <c r="BN1" s="9" t="s">
        <v>61</v>
      </c>
      <c r="BO1" s="9"/>
      <c r="BP1" s="9"/>
      <c r="BQ1" s="9"/>
      <c r="BR1" s="9" t="s">
        <v>62</v>
      </c>
      <c r="BS1" s="9"/>
      <c r="BT1" s="9"/>
      <c r="BU1" s="9"/>
    </row>
    <row r="2" spans="1:73" ht="14.4" x14ac:dyDescent="0.55000000000000004">
      <c r="A2" t="s">
        <v>0</v>
      </c>
      <c r="B2">
        <v>3</v>
      </c>
      <c r="C2">
        <v>6</v>
      </c>
      <c r="D2">
        <v>12</v>
      </c>
      <c r="E2">
        <v>24</v>
      </c>
      <c r="F2">
        <v>36</v>
      </c>
      <c r="G2">
        <v>60</v>
      </c>
      <c r="H2">
        <v>84</v>
      </c>
      <c r="I2">
        <v>120</v>
      </c>
      <c r="J2">
        <f>15*12</f>
        <v>180</v>
      </c>
      <c r="K2">
        <v>240</v>
      </c>
      <c r="L2">
        <f>25*12</f>
        <v>300</v>
      </c>
      <c r="M2">
        <v>360</v>
      </c>
      <c r="N2" t="s">
        <v>14</v>
      </c>
      <c r="O2" t="s">
        <v>15</v>
      </c>
      <c r="P2" t="s">
        <v>16</v>
      </c>
      <c r="Q2" t="s">
        <v>17</v>
      </c>
      <c r="R2">
        <v>3</v>
      </c>
      <c r="S2">
        <v>6</v>
      </c>
      <c r="T2">
        <v>12</v>
      </c>
      <c r="U2">
        <v>24</v>
      </c>
      <c r="V2">
        <v>36</v>
      </c>
      <c r="W2">
        <v>60</v>
      </c>
      <c r="X2">
        <v>84</v>
      </c>
      <c r="Y2">
        <v>120</v>
      </c>
      <c r="Z2">
        <f>15*12</f>
        <v>180</v>
      </c>
      <c r="AA2">
        <v>240</v>
      </c>
      <c r="AB2">
        <f>25*12</f>
        <v>300</v>
      </c>
      <c r="AC2">
        <v>360</v>
      </c>
      <c r="AD2" t="s">
        <v>14</v>
      </c>
      <c r="AE2" t="s">
        <v>15</v>
      </c>
      <c r="AF2" t="s">
        <v>16</v>
      </c>
      <c r="AG2" t="s">
        <v>17</v>
      </c>
      <c r="AH2" t="s">
        <v>14</v>
      </c>
      <c r="AI2" t="s">
        <v>15</v>
      </c>
      <c r="AJ2" t="s">
        <v>16</v>
      </c>
      <c r="AK2" t="s">
        <v>17</v>
      </c>
      <c r="AL2" t="s">
        <v>14</v>
      </c>
      <c r="AM2" t="s">
        <v>15</v>
      </c>
      <c r="AN2" t="s">
        <v>16</v>
      </c>
      <c r="AO2" t="s">
        <v>17</v>
      </c>
      <c r="AP2" t="s">
        <v>14</v>
      </c>
      <c r="AQ2" t="s">
        <v>15</v>
      </c>
      <c r="AR2" t="s">
        <v>16</v>
      </c>
      <c r="AS2" t="s">
        <v>17</v>
      </c>
      <c r="AT2" t="s">
        <v>14</v>
      </c>
      <c r="AU2" t="s">
        <v>15</v>
      </c>
      <c r="AV2" t="s">
        <v>16</v>
      </c>
      <c r="AW2" t="s">
        <v>17</v>
      </c>
      <c r="AX2" t="s">
        <v>14</v>
      </c>
      <c r="AY2" t="s">
        <v>15</v>
      </c>
      <c r="AZ2" t="s">
        <v>16</v>
      </c>
      <c r="BA2" t="s">
        <v>17</v>
      </c>
      <c r="BB2" t="s">
        <v>14</v>
      </c>
      <c r="BC2" t="s">
        <v>15</v>
      </c>
      <c r="BD2" t="s">
        <v>16</v>
      </c>
      <c r="BE2" t="s">
        <v>17</v>
      </c>
      <c r="BF2" t="s">
        <v>14</v>
      </c>
      <c r="BG2" t="s">
        <v>15</v>
      </c>
      <c r="BH2" t="s">
        <v>16</v>
      </c>
      <c r="BI2" t="s">
        <v>17</v>
      </c>
      <c r="BJ2" t="s">
        <v>14</v>
      </c>
      <c r="BK2" t="s">
        <v>15</v>
      </c>
      <c r="BL2" t="s">
        <v>16</v>
      </c>
      <c r="BM2" t="s">
        <v>17</v>
      </c>
      <c r="BN2" t="s">
        <v>14</v>
      </c>
      <c r="BO2" t="s">
        <v>15</v>
      </c>
      <c r="BP2" t="s">
        <v>16</v>
      </c>
      <c r="BQ2" t="s">
        <v>17</v>
      </c>
      <c r="BR2" t="s">
        <v>14</v>
      </c>
      <c r="BS2" t="s">
        <v>15</v>
      </c>
      <c r="BT2" t="s">
        <v>16</v>
      </c>
      <c r="BU2" t="s">
        <v>17</v>
      </c>
    </row>
    <row r="3" spans="1:73" ht="14.4" x14ac:dyDescent="0.55000000000000004">
      <c r="A3" s="1">
        <v>42760</v>
      </c>
      <c r="B3">
        <v>6.6899999999999998E-3</v>
      </c>
      <c r="C3">
        <v>7.4029999999999999E-3</v>
      </c>
      <c r="D3">
        <v>9.0189999999999992E-3</v>
      </c>
      <c r="E3">
        <v>1.299E-2</v>
      </c>
      <c r="F3">
        <v>1.6326E-2</v>
      </c>
      <c r="G3">
        <v>2.1061E-2</v>
      </c>
      <c r="H3">
        <v>2.4354000000000001E-2</v>
      </c>
      <c r="I3">
        <v>2.7344E-2</v>
      </c>
      <c r="J3">
        <v>2.9814E-2</v>
      </c>
      <c r="K3">
        <v>3.1477999999999999E-2</v>
      </c>
      <c r="L3">
        <v>3.2589E-2</v>
      </c>
      <c r="M3">
        <v>3.2343999999999998E-2</v>
      </c>
      <c r="N3">
        <v>3.5954136842839803E-2</v>
      </c>
      <c r="O3">
        <v>-2.9425889686730461E-2</v>
      </c>
      <c r="P3">
        <v>-2.4685482537157979E-2</v>
      </c>
      <c r="Q3">
        <v>-3.7746733747751633E-3</v>
      </c>
      <c r="R3">
        <f t="shared" ref="R3:AC12" si="0">$N3+$O3*((1-EXP(-0.0597760632423479*R$2))/(0.0597760632423479*R$2))+$P3*((1-EXP(-0.0597760632423479*R$2))/(0.0597760632423479*R$2)-EXP(-0.0597760632423479*R$2))+$Q3*((1-EXP(-0.00996267604057902*R$2))/(0.00996267604057902*R$2)-EXP(-0.00996267604057902*R$2))</f>
        <v>6.9947447947479608E-3</v>
      </c>
      <c r="S3">
        <f t="shared" si="0"/>
        <v>7.6205554536019366E-3</v>
      </c>
      <c r="T3">
        <f t="shared" si="0"/>
        <v>9.1750794683808628E-3</v>
      </c>
      <c r="U3">
        <f t="shared" si="0"/>
        <v>1.2715446978528576E-2</v>
      </c>
      <c r="V3">
        <f t="shared" si="0"/>
        <v>1.6067108542065812E-2</v>
      </c>
      <c r="W3">
        <f t="shared" si="0"/>
        <v>2.1203212982830823E-2</v>
      </c>
      <c r="X3">
        <f t="shared" si="0"/>
        <v>2.4488995790353015E-2</v>
      </c>
      <c r="Y3">
        <f t="shared" si="0"/>
        <v>2.7375141457226092E-2</v>
      </c>
      <c r="Z3">
        <f t="shared" si="0"/>
        <v>2.9799226560567365E-2</v>
      </c>
      <c r="AA3">
        <f t="shared" si="0"/>
        <v>3.1093683573459825E-2</v>
      </c>
      <c r="AB3">
        <f t="shared" si="0"/>
        <v>3.1927381779899101E-2</v>
      </c>
      <c r="AC3">
        <f t="shared" si="0"/>
        <v>3.2520826349523635E-2</v>
      </c>
      <c r="AD3">
        <v>3.6874289951292688E-2</v>
      </c>
      <c r="AE3">
        <v>-2.9839850264569021E-2</v>
      </c>
      <c r="AF3">
        <v>-3.0342899302941245E-2</v>
      </c>
      <c r="AG3">
        <v>-7.8313741037663379E-3</v>
      </c>
      <c r="AH3">
        <v>3.883352322237589E-2</v>
      </c>
      <c r="AI3">
        <v>-3.1406757773759286E-2</v>
      </c>
      <c r="AJ3">
        <v>-3.5014979869561313E-2</v>
      </c>
      <c r="AK3">
        <v>-2.955991965801974E-2</v>
      </c>
      <c r="AL3">
        <v>3.7838469399666855E-2</v>
      </c>
      <c r="AM3">
        <v>-3.1014794673337041E-2</v>
      </c>
      <c r="AN3">
        <v>-3.4805632516936247E-2</v>
      </c>
      <c r="AO3">
        <v>-3.0546139952719632E-2</v>
      </c>
      <c r="AP3">
        <v>3.6976195211662739E-2</v>
      </c>
      <c r="AQ3">
        <v>-3.0029300780149433E-2</v>
      </c>
      <c r="AR3">
        <v>-3.3454805510316696E-2</v>
      </c>
      <c r="AS3">
        <v>-2.6553410236290181E-2</v>
      </c>
      <c r="AT3">
        <v>3.8393418841010968E-2</v>
      </c>
      <c r="AU3">
        <v>-3.1183963696983702E-2</v>
      </c>
      <c r="AV3">
        <v>-3.6154093114408002E-2</v>
      </c>
      <c r="AW3">
        <v>-3.0254369775537131E-2</v>
      </c>
      <c r="AX3">
        <v>3.9986459387060941E-2</v>
      </c>
      <c r="AY3">
        <v>-3.2521346796674018E-2</v>
      </c>
      <c r="AZ3">
        <v>-3.9805787134385415E-2</v>
      </c>
      <c r="BA3">
        <v>-3.1901498984633854E-2</v>
      </c>
      <c r="BB3">
        <v>3.9238034027756323E-2</v>
      </c>
      <c r="BC3">
        <v>-3.1220351284833553E-2</v>
      </c>
      <c r="BD3">
        <v>-3.8617988785318906E-2</v>
      </c>
      <c r="BE3">
        <v>-2.1097962826477631E-2</v>
      </c>
      <c r="BF3">
        <v>3.9510005055434012E-2</v>
      </c>
      <c r="BG3">
        <v>-3.2298272070749486E-2</v>
      </c>
      <c r="BH3">
        <v>-4.065408239826656E-2</v>
      </c>
      <c r="BI3">
        <v>-2.0084576260918679E-2</v>
      </c>
      <c r="BJ3">
        <v>3.9464637194607709E-2</v>
      </c>
      <c r="BK3">
        <v>-3.2545703260753005E-2</v>
      </c>
      <c r="BL3">
        <v>-4.1390187955263037E-2</v>
      </c>
      <c r="BM3">
        <v>-1.8926637400665081E-2</v>
      </c>
      <c r="BN3">
        <v>3.9944232915391557E-2</v>
      </c>
      <c r="BO3">
        <v>-3.2516057213677237E-2</v>
      </c>
      <c r="BP3">
        <v>-4.205190249784227E-2</v>
      </c>
      <c r="BQ3">
        <v>-2.0133266952417184E-2</v>
      </c>
      <c r="BR3">
        <v>3.9406551623695038E-2</v>
      </c>
      <c r="BS3">
        <v>-3.2537270911676498E-2</v>
      </c>
      <c r="BT3">
        <v>-4.2317779223007251E-2</v>
      </c>
      <c r="BU3">
        <v>-1.3863739699906777E-2</v>
      </c>
    </row>
    <row r="4" spans="1:73" ht="14.4" x14ac:dyDescent="0.55000000000000004">
      <c r="A4" s="1">
        <v>42788</v>
      </c>
      <c r="B4">
        <v>6.9690000000000004E-3</v>
      </c>
      <c r="C4">
        <v>7.7029999999999998E-3</v>
      </c>
      <c r="D4">
        <v>9.2099999999999994E-3</v>
      </c>
      <c r="E4">
        <v>1.2902E-2</v>
      </c>
      <c r="F4">
        <v>1.5928999999999999E-2</v>
      </c>
      <c r="G4">
        <v>2.0242E-2</v>
      </c>
      <c r="H4">
        <v>2.3328000000000002E-2</v>
      </c>
      <c r="I4">
        <v>2.6231999999999998E-2</v>
      </c>
      <c r="J4">
        <v>2.8842E-2</v>
      </c>
      <c r="K4">
        <v>3.0716E-2</v>
      </c>
      <c r="L4">
        <v>3.2021000000000001E-2</v>
      </c>
      <c r="M4">
        <v>3.1641000000000002E-2</v>
      </c>
      <c r="N4">
        <v>3.5957035499734495E-2</v>
      </c>
      <c r="O4">
        <v>-2.935956191459228E-2</v>
      </c>
      <c r="P4">
        <v>-2.6047176088942605E-2</v>
      </c>
      <c r="Q4">
        <v>-3.2792443531788245E-3</v>
      </c>
      <c r="R4">
        <f t="shared" si="0"/>
        <v>6.9571872779652169E-3</v>
      </c>
      <c r="S4">
        <f t="shared" si="0"/>
        <v>7.5004631451404966E-3</v>
      </c>
      <c r="T4">
        <f t="shared" si="0"/>
        <v>8.945438196056716E-3</v>
      </c>
      <c r="U4">
        <f t="shared" si="0"/>
        <v>1.2405442990079592E-2</v>
      </c>
      <c r="V4">
        <f t="shared" si="0"/>
        <v>1.5766549351158766E-2</v>
      </c>
      <c r="W4">
        <f t="shared" si="0"/>
        <v>2.0993073870685181E-2</v>
      </c>
      <c r="X4">
        <f t="shared" si="0"/>
        <v>2.4365673767546496E-2</v>
      </c>
      <c r="Y4">
        <f t="shared" si="0"/>
        <v>2.7337774607587274E-2</v>
      </c>
      <c r="Z4">
        <f t="shared" si="0"/>
        <v>2.9829614794311669E-2</v>
      </c>
      <c r="AA4">
        <f t="shared" si="0"/>
        <v>3.1149177445967759E-2</v>
      </c>
      <c r="AB4">
        <f t="shared" si="0"/>
        <v>3.1990518375085777E-2</v>
      </c>
      <c r="AC4">
        <f t="shared" si="0"/>
        <v>3.2584118953644894E-2</v>
      </c>
      <c r="AD4">
        <v>3.5431036391706687E-2</v>
      </c>
      <c r="AE4">
        <v>-2.857518632541884E-2</v>
      </c>
      <c r="AF4">
        <v>-2.636044116335105E-2</v>
      </c>
      <c r="AG4">
        <v>-1.7878800826962157E-3</v>
      </c>
      <c r="AH4">
        <v>3.6653730891465494E-2</v>
      </c>
      <c r="AI4">
        <v>-2.9463865700420498E-2</v>
      </c>
      <c r="AJ4">
        <v>-3.1598385548164604E-2</v>
      </c>
      <c r="AK4">
        <v>-6.503754738124019E-3</v>
      </c>
      <c r="AL4">
        <v>3.8765214581074688E-2</v>
      </c>
      <c r="AM4">
        <v>-3.1168687156973893E-2</v>
      </c>
      <c r="AN4">
        <v>-3.573000619280145E-2</v>
      </c>
      <c r="AO4">
        <v>-2.7548070356088139E-2</v>
      </c>
      <c r="AP4">
        <v>3.8050546873441872E-2</v>
      </c>
      <c r="AQ4">
        <v>-3.1057201272425242E-2</v>
      </c>
      <c r="AR4">
        <v>-3.5582437183451762E-2</v>
      </c>
      <c r="AS4">
        <v>-2.9068583435457686E-2</v>
      </c>
      <c r="AT4">
        <v>3.7309541152901443E-2</v>
      </c>
      <c r="AU4">
        <v>-3.022953480083582E-2</v>
      </c>
      <c r="AV4">
        <v>-3.4391013803818704E-2</v>
      </c>
      <c r="AW4">
        <v>-2.5490237550835557E-2</v>
      </c>
      <c r="AX4">
        <v>3.8567020579525373E-2</v>
      </c>
      <c r="AY4">
        <v>-3.1235722867675599E-2</v>
      </c>
      <c r="AZ4">
        <v>-3.6820824965291973E-2</v>
      </c>
      <c r="BA4">
        <v>-2.8767493642522596E-2</v>
      </c>
      <c r="BB4">
        <v>3.9987428847788137E-2</v>
      </c>
      <c r="BC4">
        <v>-3.2441831427340015E-2</v>
      </c>
      <c r="BD4">
        <v>-4.014913406688727E-2</v>
      </c>
      <c r="BE4">
        <v>-3.0121486631466063E-2</v>
      </c>
      <c r="BF4">
        <v>3.9260912194754978E-2</v>
      </c>
      <c r="BG4">
        <v>-3.1264152957120796E-2</v>
      </c>
      <c r="BH4">
        <v>-3.9151907990121457E-2</v>
      </c>
      <c r="BI4">
        <v>-1.9903710399705572E-2</v>
      </c>
      <c r="BJ4">
        <v>3.9519760381237348E-2</v>
      </c>
      <c r="BK4">
        <v>-3.2314198421917253E-2</v>
      </c>
      <c r="BL4">
        <v>-4.1052560392938552E-2</v>
      </c>
      <c r="BM4">
        <v>-1.9023507693855461E-2</v>
      </c>
      <c r="BN4">
        <v>3.9505280706202003E-2</v>
      </c>
      <c r="BO4">
        <v>-3.2599879554881021E-2</v>
      </c>
      <c r="BP4">
        <v>-4.1753464394763157E-2</v>
      </c>
      <c r="BQ4">
        <v>-1.803277301420933E-2</v>
      </c>
      <c r="BR4">
        <v>3.995023681835267E-2</v>
      </c>
      <c r="BS4">
        <v>-3.2569063941037535E-2</v>
      </c>
      <c r="BT4">
        <v>-4.2341379433250316E-2</v>
      </c>
      <c r="BU4">
        <v>-1.9121714562329768E-2</v>
      </c>
    </row>
    <row r="5" spans="1:73" ht="14.4" x14ac:dyDescent="0.55000000000000004">
      <c r="A5" s="1">
        <v>42823</v>
      </c>
      <c r="B5">
        <v>8.6060000000000008E-3</v>
      </c>
      <c r="C5">
        <v>9.2130000000000007E-3</v>
      </c>
      <c r="D5">
        <v>1.0468E-2</v>
      </c>
      <c r="E5">
        <v>1.3729999999999999E-2</v>
      </c>
      <c r="F5">
        <v>1.6517E-2</v>
      </c>
      <c r="G5">
        <v>2.0381E-2</v>
      </c>
      <c r="H5">
        <v>2.3151999999999999E-2</v>
      </c>
      <c r="I5">
        <v>2.5798000000000001E-2</v>
      </c>
      <c r="J5">
        <v>2.8393000000000002E-2</v>
      </c>
      <c r="K5">
        <v>3.0204999999999999E-2</v>
      </c>
      <c r="L5">
        <v>3.1476999999999998E-2</v>
      </c>
      <c r="M5">
        <v>3.1178000000000001E-2</v>
      </c>
      <c r="N5">
        <v>3.718093151296134E-2</v>
      </c>
      <c r="O5">
        <v>-3.001700800052649E-2</v>
      </c>
      <c r="P5">
        <v>-2.7138864666767591E-2</v>
      </c>
      <c r="Q5">
        <v>-1.0091350139278431E-2</v>
      </c>
      <c r="R5">
        <f t="shared" si="0"/>
        <v>7.3924873081349833E-3</v>
      </c>
      <c r="S5">
        <f t="shared" si="0"/>
        <v>7.8215322672036697E-3</v>
      </c>
      <c r="T5">
        <f t="shared" si="0"/>
        <v>9.0776523407014899E-3</v>
      </c>
      <c r="U5">
        <f t="shared" si="0"/>
        <v>1.2265065292570839E-2</v>
      </c>
      <c r="V5">
        <f t="shared" si="0"/>
        <v>1.5433738200612633E-2</v>
      </c>
      <c r="W5">
        <f t="shared" si="0"/>
        <v>2.0392221033885504E-2</v>
      </c>
      <c r="X5">
        <f t="shared" si="0"/>
        <v>2.3585951599738621E-2</v>
      </c>
      <c r="Y5">
        <f t="shared" si="0"/>
        <v>2.6405719565227467E-2</v>
      </c>
      <c r="Z5">
        <f t="shared" si="0"/>
        <v>2.8858066992082782E-2</v>
      </c>
      <c r="AA5">
        <f t="shared" si="0"/>
        <v>3.0286463305787083E-2</v>
      </c>
      <c r="AB5">
        <f t="shared" si="0"/>
        <v>3.129539394712063E-2</v>
      </c>
      <c r="AC5">
        <f t="shared" si="0"/>
        <v>3.2068641483644647E-2</v>
      </c>
      <c r="AD5">
        <v>3.5551239681211252E-2</v>
      </c>
      <c r="AE5">
        <v>-2.8683362804662962E-2</v>
      </c>
      <c r="AF5">
        <v>-2.7643672538562737E-2</v>
      </c>
      <c r="AG5">
        <v>-1.6274404878285397E-3</v>
      </c>
      <c r="AH5">
        <v>3.5234150706472213E-2</v>
      </c>
      <c r="AI5">
        <v>-2.8184195626387607E-2</v>
      </c>
      <c r="AJ5">
        <v>-2.7980252272006831E-2</v>
      </c>
      <c r="AK5">
        <v>-6.6885537242343052E-4</v>
      </c>
      <c r="AL5">
        <v>3.6612347125643818E-2</v>
      </c>
      <c r="AM5">
        <v>-2.9346681794505728E-2</v>
      </c>
      <c r="AN5">
        <v>-3.2800936845923508E-2</v>
      </c>
      <c r="AO5">
        <v>-5.6815010212439071E-3</v>
      </c>
      <c r="AP5">
        <v>3.8765692850961632E-2</v>
      </c>
      <c r="AQ5">
        <v>-3.1053375664167937E-2</v>
      </c>
      <c r="AR5">
        <v>-3.6420312093835054E-2</v>
      </c>
      <c r="AS5">
        <v>-2.5822824907149926E-2</v>
      </c>
      <c r="AT5">
        <v>3.8249558131529082E-2</v>
      </c>
      <c r="AU5">
        <v>-3.1121748423390418E-2</v>
      </c>
      <c r="AV5">
        <v>-3.6310712023324497E-2</v>
      </c>
      <c r="AW5">
        <v>-2.7678520424263102E-2</v>
      </c>
      <c r="AX5">
        <v>3.7605590600819416E-2</v>
      </c>
      <c r="AY5">
        <v>-3.0420261786032386E-2</v>
      </c>
      <c r="AZ5">
        <v>-3.5259012466106805E-2</v>
      </c>
      <c r="BA5">
        <v>-2.4448287537410903E-2</v>
      </c>
      <c r="BB5">
        <v>3.8726127664553724E-2</v>
      </c>
      <c r="BC5">
        <v>-3.1302466076525391E-2</v>
      </c>
      <c r="BD5">
        <v>-3.7447757371475064E-2</v>
      </c>
      <c r="BE5">
        <v>-2.7361352157258621E-2</v>
      </c>
      <c r="BF5">
        <v>3.9995621155734712E-2</v>
      </c>
      <c r="BG5">
        <v>-3.2396349310554268E-2</v>
      </c>
      <c r="BH5">
        <v>-4.0484079392606551E-2</v>
      </c>
      <c r="BI5">
        <v>-2.8470174052416069E-2</v>
      </c>
      <c r="BJ5">
        <v>3.9300159659867773E-2</v>
      </c>
      <c r="BK5">
        <v>-3.1344886233272667E-2</v>
      </c>
      <c r="BL5">
        <v>-3.9660270790267016E-2</v>
      </c>
      <c r="BM5">
        <v>-1.883491998340282E-2</v>
      </c>
      <c r="BN5">
        <v>3.9542267995730421E-2</v>
      </c>
      <c r="BO5">
        <v>-3.2360260642671133E-2</v>
      </c>
      <c r="BP5">
        <v>-4.1433578552252409E-2</v>
      </c>
      <c r="BQ5">
        <v>-1.806651601080415E-2</v>
      </c>
      <c r="BR5">
        <v>3.9547093569112228E-2</v>
      </c>
      <c r="BS5">
        <v>-3.2667920206425928E-2</v>
      </c>
      <c r="BT5">
        <v>-4.2098424819740958E-2</v>
      </c>
      <c r="BU5">
        <v>-1.7207825673971833E-2</v>
      </c>
    </row>
    <row r="6" spans="1:73" ht="14.4" x14ac:dyDescent="0.55000000000000004">
      <c r="A6" s="1">
        <v>42851</v>
      </c>
      <c r="B6">
        <v>9.5479999999999992E-3</v>
      </c>
      <c r="C6">
        <v>1.0041E-2</v>
      </c>
      <c r="D6">
        <v>1.1058E-2</v>
      </c>
      <c r="E6">
        <v>1.3703E-2</v>
      </c>
      <c r="F6">
        <v>1.5986E-2</v>
      </c>
      <c r="G6">
        <v>1.9383999999999998E-2</v>
      </c>
      <c r="H6">
        <v>2.2067E-2</v>
      </c>
      <c r="I6">
        <v>2.4749E-2</v>
      </c>
      <c r="J6">
        <v>2.7372E-2</v>
      </c>
      <c r="K6">
        <v>2.9530000000000001E-2</v>
      </c>
      <c r="L6">
        <v>3.1184E-2</v>
      </c>
      <c r="M6">
        <v>3.1142E-2</v>
      </c>
      <c r="N6">
        <v>3.7428282559385476E-2</v>
      </c>
      <c r="O6">
        <v>-2.8610037618041855E-2</v>
      </c>
      <c r="P6">
        <v>-2.6665166651635295E-2</v>
      </c>
      <c r="Q6">
        <v>-1.2935074389617095E-2</v>
      </c>
      <c r="R6">
        <f t="shared" si="0"/>
        <v>8.9239310446589098E-3</v>
      </c>
      <c r="S6">
        <f t="shared" si="0"/>
        <v>9.2366307392223023E-3</v>
      </c>
      <c r="T6">
        <f t="shared" si="0"/>
        <v>1.0278994084072965E-2</v>
      </c>
      <c r="U6">
        <f t="shared" si="0"/>
        <v>1.3107881740548456E-2</v>
      </c>
      <c r="V6">
        <f t="shared" si="0"/>
        <v>1.5995388398782059E-2</v>
      </c>
      <c r="W6">
        <f t="shared" si="0"/>
        <v>2.0559881826312337E-2</v>
      </c>
      <c r="X6">
        <f t="shared" si="0"/>
        <v>2.3507293865728002E-2</v>
      </c>
      <c r="Y6">
        <f t="shared" si="0"/>
        <v>2.6116049680682568E-2</v>
      </c>
      <c r="Z6">
        <f t="shared" si="0"/>
        <v>2.8431552450113352E-2</v>
      </c>
      <c r="AA6">
        <f t="shared" si="0"/>
        <v>2.9844743093653807E-2</v>
      </c>
      <c r="AB6">
        <f t="shared" si="0"/>
        <v>3.0887237343908466E-2</v>
      </c>
      <c r="AC6">
        <f t="shared" si="0"/>
        <v>3.1711213724902688E-2</v>
      </c>
      <c r="AD6">
        <v>3.6624843506850392E-2</v>
      </c>
      <c r="AE6">
        <v>-2.9172264001602635E-2</v>
      </c>
      <c r="AF6">
        <v>-2.8554522254179111E-2</v>
      </c>
      <c r="AG6">
        <v>-7.7850173187625294E-3</v>
      </c>
      <c r="AH6">
        <v>3.5424395694515658E-2</v>
      </c>
      <c r="AI6">
        <v>-2.8402317115848265E-2</v>
      </c>
      <c r="AJ6">
        <v>-2.9180325340665045E-2</v>
      </c>
      <c r="AK6">
        <v>-7.2264301101506432E-4</v>
      </c>
      <c r="AL6">
        <v>3.5247875199792736E-2</v>
      </c>
      <c r="AM6">
        <v>-2.8097688115606017E-2</v>
      </c>
      <c r="AN6">
        <v>-2.9522591429348894E-2</v>
      </c>
      <c r="AO6">
        <v>-1.2562407029242451E-4</v>
      </c>
      <c r="AP6">
        <v>3.6684510299735941E-2</v>
      </c>
      <c r="AQ6">
        <v>-2.9399397330563553E-2</v>
      </c>
      <c r="AR6">
        <v>-3.3939432061061883E-2</v>
      </c>
      <c r="AS6">
        <v>-5.1972272923897249E-3</v>
      </c>
      <c r="AT6">
        <v>3.8808617855998498E-2</v>
      </c>
      <c r="AU6">
        <v>-3.1022873633111955E-2</v>
      </c>
      <c r="AV6">
        <v>-3.7081163546788906E-2</v>
      </c>
      <c r="AW6">
        <v>-2.4312507798676886E-2</v>
      </c>
      <c r="AX6">
        <v>3.8433692797010949E-2</v>
      </c>
      <c r="AY6">
        <v>-3.120217713289665E-2</v>
      </c>
      <c r="AZ6">
        <v>-3.6993396969021548E-2</v>
      </c>
      <c r="BA6">
        <v>-2.6365596714038944E-2</v>
      </c>
      <c r="BB6">
        <v>3.78687432831179E-2</v>
      </c>
      <c r="BC6">
        <v>-3.060329756292849E-2</v>
      </c>
      <c r="BD6">
        <v>-3.6064830923640032E-2</v>
      </c>
      <c r="BE6">
        <v>-2.3432955404280656E-2</v>
      </c>
      <c r="BF6">
        <v>3.8870650645412778E-2</v>
      </c>
      <c r="BG6">
        <v>-3.1380618068017251E-2</v>
      </c>
      <c r="BH6">
        <v>-3.8037460797797455E-2</v>
      </c>
      <c r="BI6">
        <v>-2.6029897027941659E-2</v>
      </c>
      <c r="BJ6">
        <v>4.0007333552569663E-2</v>
      </c>
      <c r="BK6">
        <v>-3.2377436247311292E-2</v>
      </c>
      <c r="BL6">
        <v>-4.080971624801135E-2</v>
      </c>
      <c r="BM6">
        <v>-2.6932624992270011E-2</v>
      </c>
      <c r="BN6">
        <v>3.9347988327040617E-2</v>
      </c>
      <c r="BO6">
        <v>-3.1450354554803411E-2</v>
      </c>
      <c r="BP6">
        <v>-4.0142714622432442E-2</v>
      </c>
      <c r="BQ6">
        <v>-1.7867372588911759E-2</v>
      </c>
      <c r="BR6">
        <v>3.9571648399592721E-2</v>
      </c>
      <c r="BS6">
        <v>-3.2427082642609587E-2</v>
      </c>
      <c r="BT6">
        <v>-4.1796658217165633E-2</v>
      </c>
      <c r="BU6">
        <v>-1.7194906947861653E-2</v>
      </c>
    </row>
    <row r="7" spans="1:73" ht="14.4" x14ac:dyDescent="0.55000000000000004">
      <c r="A7" s="1">
        <v>42886</v>
      </c>
      <c r="B7">
        <v>1.0691000000000001E-2</v>
      </c>
      <c r="C7">
        <v>1.0992999999999999E-2</v>
      </c>
      <c r="D7">
        <v>1.1743999999999999E-2</v>
      </c>
      <c r="E7">
        <v>1.3774E-2</v>
      </c>
      <c r="F7">
        <v>1.5679999999999999E-2</v>
      </c>
      <c r="G7">
        <v>1.8599999999999998E-2</v>
      </c>
      <c r="H7">
        <v>2.1128999999999998E-2</v>
      </c>
      <c r="I7">
        <v>2.3827000000000001E-2</v>
      </c>
      <c r="J7">
        <v>2.6488000000000001E-2</v>
      </c>
      <c r="K7">
        <v>2.8538000000000001E-2</v>
      </c>
      <c r="L7">
        <v>3.0064E-2</v>
      </c>
      <c r="M7">
        <v>3.0088E-2</v>
      </c>
      <c r="N7">
        <v>4.0684587231894297E-2</v>
      </c>
      <c r="O7">
        <v>-3.0382679400870038E-2</v>
      </c>
      <c r="P7">
        <v>-3.0435424291099335E-2</v>
      </c>
      <c r="Q7">
        <v>-2.5368002669131084E-2</v>
      </c>
      <c r="R7">
        <f t="shared" si="0"/>
        <v>1.0075075558064441E-2</v>
      </c>
      <c r="S7">
        <f t="shared" si="0"/>
        <v>1.0111975934157073E-2</v>
      </c>
      <c r="T7">
        <f t="shared" si="0"/>
        <v>1.0732983071047014E-2</v>
      </c>
      <c r="U7">
        <f t="shared" si="0"/>
        <v>1.3049559518680975E-2</v>
      </c>
      <c r="V7">
        <f t="shared" si="0"/>
        <v>1.5651904222667653E-2</v>
      </c>
      <c r="W7">
        <f t="shared" si="0"/>
        <v>1.9897811756566859E-2</v>
      </c>
      <c r="X7">
        <f t="shared" si="0"/>
        <v>2.2653446230730664E-2</v>
      </c>
      <c r="Y7">
        <f t="shared" si="0"/>
        <v>2.5111410759939341E-2</v>
      </c>
      <c r="Z7">
        <f t="shared" si="0"/>
        <v>2.7462489836459429E-2</v>
      </c>
      <c r="AA7">
        <f t="shared" si="0"/>
        <v>2.9128887886942522E-2</v>
      </c>
      <c r="AB7">
        <f t="shared" si="0"/>
        <v>3.0510021130104589E-2</v>
      </c>
      <c r="AC7">
        <f t="shared" si="0"/>
        <v>3.1683720759434833E-2</v>
      </c>
      <c r="AD7">
        <v>3.6961276419223997E-2</v>
      </c>
      <c r="AE7">
        <v>-2.7960978066754998E-2</v>
      </c>
      <c r="AF7">
        <v>-2.8083310162465958E-2</v>
      </c>
      <c r="AG7">
        <v>-1.0611486043185504E-2</v>
      </c>
      <c r="AH7">
        <v>3.6374043043442696E-2</v>
      </c>
      <c r="AI7">
        <v>-2.8756887554467602E-2</v>
      </c>
      <c r="AJ7">
        <v>-2.9934541447617723E-2</v>
      </c>
      <c r="AK7">
        <v>-6.3090686134727276E-3</v>
      </c>
      <c r="AL7">
        <v>3.5476410775425606E-2</v>
      </c>
      <c r="AM7">
        <v>-2.8381783678696641E-2</v>
      </c>
      <c r="AN7">
        <v>-3.0638765099883117E-2</v>
      </c>
      <c r="AO7">
        <v>-3.1175587650482449E-4</v>
      </c>
      <c r="AP7">
        <v>3.5393381414267365E-2</v>
      </c>
      <c r="AQ7">
        <v>-2.820897744775671E-2</v>
      </c>
      <c r="AR7">
        <v>-3.0975425074002413E-2</v>
      </c>
      <c r="AS7">
        <v>4.1783498443406086E-5</v>
      </c>
      <c r="AT7">
        <v>3.6825656618022118E-2</v>
      </c>
      <c r="AU7">
        <v>-2.9560989532698746E-2</v>
      </c>
      <c r="AV7">
        <v>-3.5008513284273547E-2</v>
      </c>
      <c r="AW7">
        <v>-4.9363217791335342E-3</v>
      </c>
      <c r="AX7">
        <v>3.8876230898539595E-2</v>
      </c>
      <c r="AY7">
        <v>-3.1050763919569319E-2</v>
      </c>
      <c r="AZ7">
        <v>-3.7710196513747712E-2</v>
      </c>
      <c r="BA7">
        <v>-2.2967096084341061E-2</v>
      </c>
      <c r="BB7">
        <v>3.8602291915273784E-2</v>
      </c>
      <c r="BC7">
        <v>-3.1294056753703885E-2</v>
      </c>
      <c r="BD7">
        <v>-3.7633451617057598E-2</v>
      </c>
      <c r="BE7">
        <v>-2.5122523208254647E-2</v>
      </c>
      <c r="BF7">
        <v>3.8102768945423596E-2</v>
      </c>
      <c r="BG7">
        <v>-3.0779964837895968E-2</v>
      </c>
      <c r="BH7">
        <v>-3.6813852497783267E-2</v>
      </c>
      <c r="BI7">
        <v>-2.2448245519363034E-2</v>
      </c>
      <c r="BJ7">
        <v>3.9001003947723073E-2</v>
      </c>
      <c r="BK7">
        <v>-3.1467549901146918E-2</v>
      </c>
      <c r="BL7">
        <v>-3.859241296072341E-2</v>
      </c>
      <c r="BM7">
        <v>-2.4768540979221338E-2</v>
      </c>
      <c r="BN7">
        <v>4.0020178946423617E-2</v>
      </c>
      <c r="BO7">
        <v>-3.2379564543179022E-2</v>
      </c>
      <c r="BP7">
        <v>-4.1125527884927335E-2</v>
      </c>
      <c r="BQ7">
        <v>-2.5497404890436157E-2</v>
      </c>
      <c r="BR7">
        <v>3.9399284757179596E-2</v>
      </c>
      <c r="BS7">
        <v>-3.1572047520429213E-2</v>
      </c>
      <c r="BT7">
        <v>-4.0599540064980434E-2</v>
      </c>
      <c r="BU7">
        <v>-1.6983741164079153E-2</v>
      </c>
    </row>
    <row r="8" spans="1:73" ht="14.4" x14ac:dyDescent="0.55000000000000004">
      <c r="A8" s="1">
        <v>42914</v>
      </c>
      <c r="B8">
        <v>1.1223E-2</v>
      </c>
      <c r="C8">
        <v>1.1547999999999999E-2</v>
      </c>
      <c r="D8">
        <v>1.2701E-2</v>
      </c>
      <c r="E8">
        <v>1.3932E-2</v>
      </c>
      <c r="F8">
        <v>1.5433000000000001E-2</v>
      </c>
      <c r="G8">
        <v>1.9136E-2</v>
      </c>
      <c r="H8">
        <v>2.1314E-2</v>
      </c>
      <c r="I8">
        <v>2.3734999999999999E-2</v>
      </c>
      <c r="J8">
        <v>2.5996999999999999E-2</v>
      </c>
      <c r="K8">
        <v>2.7643000000000001E-2</v>
      </c>
      <c r="L8">
        <v>2.8926E-2</v>
      </c>
      <c r="M8">
        <v>2.8795999999999999E-2</v>
      </c>
      <c r="N8">
        <v>4.0217989413693998E-2</v>
      </c>
      <c r="O8">
        <v>-2.8642901290987729E-2</v>
      </c>
      <c r="P8">
        <v>-3.1337419835261372E-2</v>
      </c>
      <c r="Q8">
        <v>-2.6965742460955414E-2</v>
      </c>
      <c r="R8">
        <f t="shared" si="0"/>
        <v>1.1105947450873278E-2</v>
      </c>
      <c r="S8">
        <f t="shared" si="0"/>
        <v>1.0933637171986385E-2</v>
      </c>
      <c r="T8">
        <f t="shared" si="0"/>
        <v>1.1216305708448131E-2</v>
      </c>
      <c r="U8">
        <f t="shared" si="0"/>
        <v>1.3079559637128847E-2</v>
      </c>
      <c r="V8">
        <f t="shared" si="0"/>
        <v>1.5407818728201666E-2</v>
      </c>
      <c r="W8">
        <f t="shared" si="0"/>
        <v>1.9359455819170156E-2</v>
      </c>
      <c r="X8">
        <f t="shared" si="0"/>
        <v>2.1968085948417801E-2</v>
      </c>
      <c r="Y8">
        <f t="shared" si="0"/>
        <v>2.4313496252477019E-2</v>
      </c>
      <c r="Z8">
        <f t="shared" si="0"/>
        <v>2.6596966120116541E-2</v>
      </c>
      <c r="AA8">
        <f t="shared" si="0"/>
        <v>2.8259881690251069E-2</v>
      </c>
      <c r="AB8">
        <f t="shared" si="0"/>
        <v>2.9662923092680388E-2</v>
      </c>
      <c r="AC8">
        <f t="shared" si="0"/>
        <v>3.0867158719600121E-2</v>
      </c>
      <c r="AD8">
        <v>3.9793134902740342E-2</v>
      </c>
      <c r="AE8">
        <v>-2.9312435420358659E-2</v>
      </c>
      <c r="AF8">
        <v>-3.1358418180608895E-2</v>
      </c>
      <c r="AG8">
        <v>-2.1607890592846908E-2</v>
      </c>
      <c r="AH8">
        <v>3.6758065714582629E-2</v>
      </c>
      <c r="AI8">
        <v>-2.7684191569461246E-2</v>
      </c>
      <c r="AJ8">
        <v>-2.9460045744140361E-2</v>
      </c>
      <c r="AK8">
        <v>-9.0336850572811378E-3</v>
      </c>
      <c r="AL8">
        <v>3.6322150300707949E-2</v>
      </c>
      <c r="AM8">
        <v>-2.8627996521340661E-2</v>
      </c>
      <c r="AN8">
        <v>-3.1256950191550462E-2</v>
      </c>
      <c r="AO8">
        <v>-5.3937558334103798E-3</v>
      </c>
      <c r="AP8">
        <v>3.5639137229149943E-2</v>
      </c>
      <c r="AQ8">
        <v>-2.8529312303429626E-2</v>
      </c>
      <c r="AR8">
        <v>-3.2009477835227923E-2</v>
      </c>
      <c r="AS8">
        <v>-2.2161754471814105E-4</v>
      </c>
      <c r="AT8">
        <v>3.5617267923825247E-2</v>
      </c>
      <c r="AU8">
        <v>-2.8445023285057752E-2</v>
      </c>
      <c r="AV8">
        <v>-3.2333554651023992E-2</v>
      </c>
      <c r="AW8">
        <v>-3.0316956495403639E-5</v>
      </c>
      <c r="AX8">
        <v>3.700576862121132E-2</v>
      </c>
      <c r="AY8">
        <v>-2.9789751802283663E-2</v>
      </c>
      <c r="AZ8">
        <v>-3.6006613434639116E-2</v>
      </c>
      <c r="BA8">
        <v>-4.8206611950110702E-3</v>
      </c>
      <c r="BB8">
        <v>3.895668624459208E-2</v>
      </c>
      <c r="BC8">
        <v>-3.1118644788437379E-2</v>
      </c>
      <c r="BD8">
        <v>-3.8306610246150417E-2</v>
      </c>
      <c r="BE8">
        <v>-2.1751552512128174E-2</v>
      </c>
      <c r="BF8">
        <v>3.8755438081598745E-2</v>
      </c>
      <c r="BG8">
        <v>-3.1394224101961438E-2</v>
      </c>
      <c r="BH8">
        <v>-3.8233762571924929E-2</v>
      </c>
      <c r="BI8">
        <v>-2.3944054170694395E-2</v>
      </c>
      <c r="BJ8">
        <v>3.8310929486681064E-2</v>
      </c>
      <c r="BK8">
        <v>-3.0951227410885459E-2</v>
      </c>
      <c r="BL8">
        <v>-3.7510899071142675E-2</v>
      </c>
      <c r="BM8">
        <v>-2.1497078516223973E-2</v>
      </c>
      <c r="BN8">
        <v>3.9117904916634749E-2</v>
      </c>
      <c r="BO8">
        <v>-3.1561294372494296E-2</v>
      </c>
      <c r="BP8">
        <v>-3.9114962902385877E-2</v>
      </c>
      <c r="BQ8">
        <v>-2.3573656137721267E-2</v>
      </c>
      <c r="BR8">
        <v>4.0032665319396366E-2</v>
      </c>
      <c r="BS8">
        <v>-3.2398577109596517E-2</v>
      </c>
      <c r="BT8">
        <v>-4.1431260383719797E-2</v>
      </c>
      <c r="BU8">
        <v>-2.4155528219457635E-2</v>
      </c>
    </row>
    <row r="9" spans="1:73" ht="14.4" x14ac:dyDescent="0.55000000000000004">
      <c r="A9" s="1">
        <v>42942</v>
      </c>
      <c r="B9">
        <v>1.1122999999999999E-2</v>
      </c>
      <c r="C9">
        <v>1.1531E-2</v>
      </c>
      <c r="D9">
        <v>1.2799E-2</v>
      </c>
      <c r="E9">
        <v>1.4086E-2</v>
      </c>
      <c r="F9">
        <v>1.554E-2</v>
      </c>
      <c r="G9">
        <v>1.9347E-2</v>
      </c>
      <c r="H9">
        <v>2.1805999999999999E-2</v>
      </c>
      <c r="I9">
        <v>2.4441000000000001E-2</v>
      </c>
      <c r="J9">
        <v>2.6976E-2</v>
      </c>
      <c r="K9">
        <v>2.8749E-2</v>
      </c>
      <c r="L9">
        <v>3.0204999999999999E-2</v>
      </c>
      <c r="M9">
        <v>3.0138000000000002E-2</v>
      </c>
      <c r="N9">
        <v>3.6580314244085109E-2</v>
      </c>
      <c r="O9">
        <v>-2.4723377794459815E-2</v>
      </c>
      <c r="P9">
        <v>-2.8069286781247885E-2</v>
      </c>
      <c r="Q9">
        <v>-1.7842566806547878E-2</v>
      </c>
      <c r="R9">
        <f t="shared" si="0"/>
        <v>1.1450353114521803E-2</v>
      </c>
      <c r="S9">
        <f t="shared" si="0"/>
        <v>1.1314766116009938E-2</v>
      </c>
      <c r="T9">
        <f t="shared" si="0"/>
        <v>1.1617098181710243E-2</v>
      </c>
      <c r="U9">
        <f t="shared" si="0"/>
        <v>1.3411570165251881E-2</v>
      </c>
      <c r="V9">
        <f t="shared" si="0"/>
        <v>1.5634758913764459E-2</v>
      </c>
      <c r="W9">
        <f t="shared" si="0"/>
        <v>1.9429071332119675E-2</v>
      </c>
      <c r="X9">
        <f t="shared" si="0"/>
        <v>2.196042858356716E-2</v>
      </c>
      <c r="Y9">
        <f t="shared" si="0"/>
        <v>2.4236748500677592E-2</v>
      </c>
      <c r="Z9">
        <f t="shared" si="0"/>
        <v>2.6349813570138367E-2</v>
      </c>
      <c r="AA9">
        <f t="shared" si="0"/>
        <v>2.7754443784967685E-2</v>
      </c>
      <c r="AB9">
        <f t="shared" si="0"/>
        <v>2.886549502581633E-2</v>
      </c>
      <c r="AC9">
        <f t="shared" si="0"/>
        <v>2.9784106624839615E-2</v>
      </c>
      <c r="AD9">
        <v>3.9722556071824074E-2</v>
      </c>
      <c r="AE9">
        <v>-2.8142873544046824E-2</v>
      </c>
      <c r="AF9">
        <v>-3.2228756525736077E-2</v>
      </c>
      <c r="AG9">
        <v>-2.3971368925142181E-2</v>
      </c>
      <c r="AH9">
        <v>3.9242824513742669E-2</v>
      </c>
      <c r="AI9">
        <v>-2.8707947357512704E-2</v>
      </c>
      <c r="AJ9">
        <v>-3.2304409659828878E-2</v>
      </c>
      <c r="AK9">
        <v>-1.8813862353052817E-2</v>
      </c>
      <c r="AL9">
        <v>3.6726156066299406E-2</v>
      </c>
      <c r="AM9">
        <v>-2.7655031317538385E-2</v>
      </c>
      <c r="AN9">
        <v>-3.0776830751784418E-2</v>
      </c>
      <c r="AO9">
        <v>-7.9653440105802442E-3</v>
      </c>
      <c r="AP9">
        <v>3.6396486616365381E-2</v>
      </c>
      <c r="AQ9">
        <v>-2.8687194369813929E-2</v>
      </c>
      <c r="AR9">
        <v>-3.2509339490813076E-2</v>
      </c>
      <c r="AS9">
        <v>-4.8536936961491072E-3</v>
      </c>
      <c r="AT9">
        <v>3.5866504609909658E-2</v>
      </c>
      <c r="AU9">
        <v>-2.8781688683979279E-2</v>
      </c>
      <c r="AV9">
        <v>-3.3288807905508019E-2</v>
      </c>
      <c r="AW9">
        <v>-3.3434939314738553E-4</v>
      </c>
      <c r="AX9">
        <v>3.588368122089243E-2</v>
      </c>
      <c r="AY9">
        <v>-2.8756081187471385E-2</v>
      </c>
      <c r="AZ9">
        <v>-3.3596243418029546E-2</v>
      </c>
      <c r="BA9">
        <v>-2.4957965669509689E-4</v>
      </c>
      <c r="BB9">
        <v>3.7204851602900962E-2</v>
      </c>
      <c r="BC9">
        <v>-3.0057345702043405E-2</v>
      </c>
      <c r="BD9">
        <v>-3.6934604976312596E-2</v>
      </c>
      <c r="BE9">
        <v>-4.7973075574840257E-3</v>
      </c>
      <c r="BF9">
        <v>3.904220046117042E-2</v>
      </c>
      <c r="BG9">
        <v>-3.1213685427701397E-2</v>
      </c>
      <c r="BH9">
        <v>-3.8870614871193539E-2</v>
      </c>
      <c r="BI9">
        <v>-2.0641200836049353E-2</v>
      </c>
      <c r="BJ9">
        <v>3.8893676061278686E-2</v>
      </c>
      <c r="BK9">
        <v>-3.1500395210795451E-2</v>
      </c>
      <c r="BL9">
        <v>-3.8797088046947328E-2</v>
      </c>
      <c r="BM9">
        <v>-2.2826290380233833E-2</v>
      </c>
      <c r="BN9">
        <v>3.8496070597527104E-2</v>
      </c>
      <c r="BO9">
        <v>-3.111778639816851E-2</v>
      </c>
      <c r="BP9">
        <v>-3.8160301352809331E-2</v>
      </c>
      <c r="BQ9">
        <v>-2.0581521171426718E-2</v>
      </c>
      <c r="BR9">
        <v>3.9222238630402022E-2</v>
      </c>
      <c r="BS9">
        <v>-3.1660349095847286E-2</v>
      </c>
      <c r="BT9">
        <v>-3.9607312808189382E-2</v>
      </c>
      <c r="BU9">
        <v>-2.2442235805646006E-2</v>
      </c>
    </row>
    <row r="10" spans="1:73" ht="14.4" x14ac:dyDescent="0.55000000000000004">
      <c r="A10" s="1">
        <v>42977</v>
      </c>
      <c r="B10">
        <v>1.1072E-2</v>
      </c>
      <c r="C10">
        <v>1.1436E-2</v>
      </c>
      <c r="D10">
        <v>1.2605999999999999E-2</v>
      </c>
      <c r="E10">
        <v>1.3735000000000001E-2</v>
      </c>
      <c r="F10">
        <v>1.4884E-2</v>
      </c>
      <c r="G10">
        <v>1.8234E-2</v>
      </c>
      <c r="H10">
        <v>2.0452000000000001E-2</v>
      </c>
      <c r="I10">
        <v>2.2811000000000001E-2</v>
      </c>
      <c r="J10">
        <v>2.5343999999999998E-2</v>
      </c>
      <c r="K10">
        <v>2.6894000000000001E-2</v>
      </c>
      <c r="L10">
        <v>2.8542000000000001E-2</v>
      </c>
      <c r="M10">
        <v>2.8452999999999999E-2</v>
      </c>
      <c r="N10">
        <v>3.8703723013516898E-2</v>
      </c>
      <c r="O10">
        <v>-2.6667006028534983E-2</v>
      </c>
      <c r="P10">
        <v>-3.0602573155800936E-2</v>
      </c>
      <c r="Q10">
        <v>-2.0897744399781953E-2</v>
      </c>
      <c r="R10">
        <f t="shared" si="0"/>
        <v>1.1547952501694485E-2</v>
      </c>
      <c r="S10">
        <f t="shared" si="0"/>
        <v>1.1358175845029992E-2</v>
      </c>
      <c r="T10">
        <f t="shared" si="0"/>
        <v>1.1613081635134958E-2</v>
      </c>
      <c r="U10">
        <f t="shared" si="0"/>
        <v>1.3449214495971609E-2</v>
      </c>
      <c r="V10">
        <f t="shared" si="0"/>
        <v>1.5781207671304583E-2</v>
      </c>
      <c r="W10">
        <f t="shared" si="0"/>
        <v>1.978968054646861E-2</v>
      </c>
      <c r="X10">
        <f t="shared" si="0"/>
        <v>2.246819050454758E-2</v>
      </c>
      <c r="Y10">
        <f t="shared" si="0"/>
        <v>2.4880431485817176E-2</v>
      </c>
      <c r="Z10">
        <f t="shared" si="0"/>
        <v>2.7145459685693738E-2</v>
      </c>
      <c r="AA10">
        <f t="shared" si="0"/>
        <v>2.8684645006473115E-2</v>
      </c>
      <c r="AB10">
        <f t="shared" si="0"/>
        <v>2.9922333666886694E-2</v>
      </c>
      <c r="AC10">
        <f t="shared" si="0"/>
        <v>3.0955832874187975E-2</v>
      </c>
      <c r="AD10">
        <v>3.692003678172092E-2</v>
      </c>
      <c r="AE10">
        <v>-2.5247592316143416E-2</v>
      </c>
      <c r="AF10">
        <v>-2.9433941099193305E-2</v>
      </c>
      <c r="AG10">
        <v>-1.6960503864112492E-2</v>
      </c>
      <c r="AH10">
        <v>3.94248306179594E-2</v>
      </c>
      <c r="AI10">
        <v>-2.7918374550899832E-2</v>
      </c>
      <c r="AJ10">
        <v>-3.3115740517926213E-2</v>
      </c>
      <c r="AK10">
        <v>-2.1599930717919276E-2</v>
      </c>
      <c r="AL10">
        <v>3.8922389141708896E-2</v>
      </c>
      <c r="AM10">
        <v>-2.8420556875916058E-2</v>
      </c>
      <c r="AN10">
        <v>-3.3244874665281664E-2</v>
      </c>
      <c r="AO10">
        <v>-1.6700998215347106E-2</v>
      </c>
      <c r="AP10">
        <v>3.6802415638323899E-2</v>
      </c>
      <c r="AQ10">
        <v>-2.7787655237109861E-2</v>
      </c>
      <c r="AR10">
        <v>-3.2023417492594151E-2</v>
      </c>
      <c r="AS10">
        <v>-7.2437324408521518E-3</v>
      </c>
      <c r="AT10">
        <v>3.6547686738779554E-2</v>
      </c>
      <c r="AU10">
        <v>-2.8866935519419584E-2</v>
      </c>
      <c r="AV10">
        <v>-3.3685688175981193E-2</v>
      </c>
      <c r="AW10">
        <v>-4.5619081970290796E-3</v>
      </c>
      <c r="AX10">
        <v>3.6127669893985845E-2</v>
      </c>
      <c r="AY10">
        <v>-2.9095934243339148E-2</v>
      </c>
      <c r="AZ10">
        <v>-3.4476901845748954E-2</v>
      </c>
      <c r="BA10">
        <v>-5.7024260235339383E-4</v>
      </c>
      <c r="BB10">
        <v>3.6168848701904711E-2</v>
      </c>
      <c r="BC10">
        <v>-2.9108513982122153E-2</v>
      </c>
      <c r="BD10">
        <v>-3.4765593372023881E-2</v>
      </c>
      <c r="BE10">
        <v>-5.5396968908876887E-4</v>
      </c>
      <c r="BF10">
        <v>3.7409796401964311E-2</v>
      </c>
      <c r="BG10">
        <v>-3.034467049554912E-2</v>
      </c>
      <c r="BH10">
        <v>-3.7794878662624626E-2</v>
      </c>
      <c r="BI10">
        <v>-4.8306678470228783E-3</v>
      </c>
      <c r="BJ10">
        <v>3.9127770085254365E-2</v>
      </c>
      <c r="BK10">
        <v>-3.1326927226992443E-2</v>
      </c>
      <c r="BL10">
        <v>-3.9403054937252151E-2</v>
      </c>
      <c r="BM10">
        <v>-1.961852010994642E-2</v>
      </c>
      <c r="BN10">
        <v>3.9017823631255118E-2</v>
      </c>
      <c r="BO10">
        <v>-3.1610896856882072E-2</v>
      </c>
      <c r="BP10">
        <v>-3.9326027423651037E-2</v>
      </c>
      <c r="BQ10">
        <v>-2.1766206713164142E-2</v>
      </c>
      <c r="BR10">
        <v>3.8660691552156415E-2</v>
      </c>
      <c r="BS10">
        <v>-3.1280149640984231E-2</v>
      </c>
      <c r="BT10">
        <v>-3.8765957957189109E-2</v>
      </c>
      <c r="BU10">
        <v>-1.970296078368948E-2</v>
      </c>
    </row>
    <row r="11" spans="1:73" ht="14.4" x14ac:dyDescent="0.55000000000000004">
      <c r="A11" s="1">
        <v>43005</v>
      </c>
      <c r="B11">
        <v>1.1454000000000001E-2</v>
      </c>
      <c r="C11">
        <v>1.1938000000000001E-2</v>
      </c>
      <c r="D11">
        <v>1.3526E-2</v>
      </c>
      <c r="E11">
        <v>1.5121000000000001E-2</v>
      </c>
      <c r="F11">
        <v>1.6424000000000001E-2</v>
      </c>
      <c r="G11">
        <v>1.9983000000000001E-2</v>
      </c>
      <c r="H11">
        <v>2.2275E-2</v>
      </c>
      <c r="I11">
        <v>2.4309999999999998E-2</v>
      </c>
      <c r="J11">
        <v>2.6745999999999999E-2</v>
      </c>
      <c r="K11">
        <v>2.8324999999999999E-2</v>
      </c>
      <c r="L11">
        <v>2.9617999999999998E-2</v>
      </c>
      <c r="M11">
        <v>2.9496000000000001E-2</v>
      </c>
      <c r="N11">
        <v>3.8028567550284872E-2</v>
      </c>
      <c r="O11">
        <v>-2.6020699468702148E-2</v>
      </c>
      <c r="P11">
        <v>-2.9386405465266979E-2</v>
      </c>
      <c r="Q11">
        <v>-2.4614695437077339E-2</v>
      </c>
      <c r="R11">
        <f t="shared" si="0"/>
        <v>1.1506861683427282E-2</v>
      </c>
      <c r="S11">
        <f t="shared" si="0"/>
        <v>1.1291697034257569E-2</v>
      </c>
      <c r="T11">
        <f t="shared" si="0"/>
        <v>1.1468342144500321E-2</v>
      </c>
      <c r="U11">
        <f t="shared" si="0"/>
        <v>1.309384697886567E-2</v>
      </c>
      <c r="V11">
        <f t="shared" si="0"/>
        <v>1.5202821112529658E-2</v>
      </c>
      <c r="W11">
        <f t="shared" si="0"/>
        <v>1.8832340188817544E-2</v>
      </c>
      <c r="X11">
        <f t="shared" si="0"/>
        <v>2.1245126545841566E-2</v>
      </c>
      <c r="Y11">
        <f t="shared" si="0"/>
        <v>2.3419911866117908E-2</v>
      </c>
      <c r="Z11">
        <f t="shared" si="0"/>
        <v>2.5534138712199481E-2</v>
      </c>
      <c r="AA11">
        <f t="shared" si="0"/>
        <v>2.7067301179738525E-2</v>
      </c>
      <c r="AB11">
        <f t="shared" si="0"/>
        <v>2.8357164716751152E-2</v>
      </c>
      <c r="AC11">
        <f t="shared" si="0"/>
        <v>2.9462506509238415E-2</v>
      </c>
      <c r="AD11">
        <v>3.8606463489060237E-2</v>
      </c>
      <c r="AE11">
        <v>-2.6707059622888517E-2</v>
      </c>
      <c r="AF11">
        <v>-3.1670117637816006E-2</v>
      </c>
      <c r="AG11">
        <v>-1.9038587115844684E-2</v>
      </c>
      <c r="AH11">
        <v>3.722910895053691E-2</v>
      </c>
      <c r="AI11">
        <v>-2.5754110407857106E-2</v>
      </c>
      <c r="AJ11">
        <v>-3.0701550776630528E-2</v>
      </c>
      <c r="AK11">
        <v>-1.6127721369574653E-2</v>
      </c>
      <c r="AL11">
        <v>3.9259297662274567E-2</v>
      </c>
      <c r="AM11">
        <v>-2.7880815861544218E-2</v>
      </c>
      <c r="AN11">
        <v>-3.3982455797678508E-2</v>
      </c>
      <c r="AO11">
        <v>-1.9679905826678796E-2</v>
      </c>
      <c r="AP11">
        <v>3.8755195763283769E-2</v>
      </c>
      <c r="AQ11">
        <v>-2.834725860542886E-2</v>
      </c>
      <c r="AR11">
        <v>-3.4161640046210556E-2</v>
      </c>
      <c r="AS11">
        <v>-1.5071237887865054E-2</v>
      </c>
      <c r="AT11">
        <v>3.6944018420343415E-2</v>
      </c>
      <c r="AU11">
        <v>-2.8023134427371012E-2</v>
      </c>
      <c r="AV11">
        <v>-3.3195088140993791E-2</v>
      </c>
      <c r="AW11">
        <v>-6.757086731976291E-3</v>
      </c>
      <c r="AX11">
        <v>3.6742485978356658E-2</v>
      </c>
      <c r="AY11">
        <v>-2.9121050900328051E-2</v>
      </c>
      <c r="AZ11">
        <v>-3.4784179367754332E-2</v>
      </c>
      <c r="BA11">
        <v>-4.4318154091943663E-3</v>
      </c>
      <c r="BB11">
        <v>3.6402265470317573E-2</v>
      </c>
      <c r="BC11">
        <v>-2.9443055731865925E-2</v>
      </c>
      <c r="BD11">
        <v>-3.5576303923926321E-2</v>
      </c>
      <c r="BE11">
        <v>-8.7588498424201195E-4</v>
      </c>
      <c r="BF11">
        <v>3.645728808870196E-2</v>
      </c>
      <c r="BG11">
        <v>-2.9479801039401954E-2</v>
      </c>
      <c r="BH11">
        <v>-3.5845441276330631E-2</v>
      </c>
      <c r="BI11">
        <v>-9.0229128991319745E-4</v>
      </c>
      <c r="BJ11">
        <v>3.7612205596088522E-2</v>
      </c>
      <c r="BK11">
        <v>-3.0638996191419979E-2</v>
      </c>
      <c r="BL11">
        <v>-3.8590719591530646E-2</v>
      </c>
      <c r="BM11">
        <v>-4.8970599726618344E-3</v>
      </c>
      <c r="BN11">
        <v>3.9210284123089731E-2</v>
      </c>
      <c r="BO11">
        <v>-3.145210351480713E-2</v>
      </c>
      <c r="BP11">
        <v>-3.99051545330402E-2</v>
      </c>
      <c r="BQ11">
        <v>-1.8670924649911269E-2</v>
      </c>
      <c r="BR11">
        <v>3.9128844684435005E-2</v>
      </c>
      <c r="BS11">
        <v>-3.172448112900933E-2</v>
      </c>
      <c r="BT11">
        <v>-3.9823007314293106E-2</v>
      </c>
      <c r="BU11">
        <v>-2.0761334423069273E-2</v>
      </c>
    </row>
    <row r="12" spans="1:73" ht="14.4" x14ac:dyDescent="0.55000000000000004">
      <c r="A12" s="1">
        <v>43033</v>
      </c>
      <c r="B12">
        <v>1.2707E-2</v>
      </c>
      <c r="C12">
        <v>1.3174999999999999E-2</v>
      </c>
      <c r="D12">
        <v>1.4678999999999999E-2</v>
      </c>
      <c r="E12">
        <v>1.6302000000000001E-2</v>
      </c>
      <c r="F12">
        <v>1.7528999999999999E-2</v>
      </c>
      <c r="G12">
        <v>2.1378000000000001E-2</v>
      </c>
      <c r="H12">
        <v>2.3716000000000001E-2</v>
      </c>
      <c r="I12">
        <v>2.5495E-2</v>
      </c>
      <c r="J12">
        <v>2.7931000000000001E-2</v>
      </c>
      <c r="K12">
        <v>2.9420999999999999E-2</v>
      </c>
      <c r="L12">
        <v>3.0522000000000001E-2</v>
      </c>
      <c r="M12">
        <v>3.0346000000000001E-2</v>
      </c>
      <c r="N12">
        <v>3.7273879938393394E-2</v>
      </c>
      <c r="O12">
        <v>-2.5244812432595413E-2</v>
      </c>
      <c r="P12">
        <v>-2.5787298266232619E-2</v>
      </c>
      <c r="Q12">
        <v>-1.8868016153346594E-2</v>
      </c>
      <c r="R12">
        <f t="shared" si="0"/>
        <v>1.1833261698332303E-2</v>
      </c>
      <c r="S12">
        <f t="shared" si="0"/>
        <v>1.1864073803241249E-2</v>
      </c>
      <c r="T12">
        <f t="shared" si="0"/>
        <v>1.2396775161379589E-2</v>
      </c>
      <c r="U12">
        <f t="shared" si="0"/>
        <v>1.4391722794615043E-2</v>
      </c>
      <c r="V12">
        <f t="shared" si="0"/>
        <v>1.6640723987545861E-2</v>
      </c>
      <c r="W12">
        <f t="shared" si="0"/>
        <v>2.0328866116046316E-2</v>
      </c>
      <c r="X12">
        <f t="shared" si="0"/>
        <v>2.27366496440565E-2</v>
      </c>
      <c r="Y12">
        <f t="shared" si="0"/>
        <v>2.4885823362327045E-2</v>
      </c>
      <c r="Z12">
        <f t="shared" si="0"/>
        <v>2.6900931920634672E-2</v>
      </c>
      <c r="AA12">
        <f t="shared" si="0"/>
        <v>2.8274975615121559E-2</v>
      </c>
      <c r="AB12">
        <f t="shared" si="0"/>
        <v>2.938304175318961E-2</v>
      </c>
      <c r="AC12">
        <f t="shared" si="0"/>
        <v>3.0309886637752352E-2</v>
      </c>
      <c r="AD12">
        <v>3.8118034211203272E-2</v>
      </c>
      <c r="AE12">
        <v>-2.6231512189037753E-2</v>
      </c>
      <c r="AF12">
        <v>-3.0541801142905525E-2</v>
      </c>
      <c r="AG12">
        <v>-2.2886521198781862E-2</v>
      </c>
      <c r="AH12">
        <v>3.8590683239381002E-2</v>
      </c>
      <c r="AI12">
        <v>-2.6868446778580485E-2</v>
      </c>
      <c r="AJ12">
        <v>-3.2690994353087865E-2</v>
      </c>
      <c r="AK12">
        <v>-1.7504791824041684E-2</v>
      </c>
      <c r="AL12">
        <v>3.7509084385874296E-2</v>
      </c>
      <c r="AM12">
        <v>-2.6241664044566473E-2</v>
      </c>
      <c r="AN12">
        <v>-3.1879369141518177E-2</v>
      </c>
      <c r="AO12">
        <v>-1.5340537097971122E-2</v>
      </c>
      <c r="AP12">
        <v>3.9180953626301314E-2</v>
      </c>
      <c r="AQ12">
        <v>-2.7968752596389021E-2</v>
      </c>
      <c r="AR12">
        <v>-3.4819058275531667E-2</v>
      </c>
      <c r="AS12">
        <v>-1.8091399678828002E-2</v>
      </c>
      <c r="AT12">
        <v>3.8688625303245579E-2</v>
      </c>
      <c r="AU12">
        <v>-2.8416767481168823E-2</v>
      </c>
      <c r="AV12">
        <v>-3.5043588179049463E-2</v>
      </c>
      <c r="AW12">
        <v>-1.3786840686018877E-2</v>
      </c>
      <c r="AX12">
        <v>3.7122156221418068E-2</v>
      </c>
      <c r="AY12">
        <v>-2.8321189867690243E-2</v>
      </c>
      <c r="AZ12">
        <v>-3.4290754127394581E-2</v>
      </c>
      <c r="BA12">
        <v>-6.4288958835872576E-3</v>
      </c>
      <c r="BB12">
        <v>3.6958714443288902E-2</v>
      </c>
      <c r="BC12">
        <v>-2.9418166176862059E-2</v>
      </c>
      <c r="BD12">
        <v>-3.5805704303439219E-2</v>
      </c>
      <c r="BE12">
        <v>-4.4047131773941855E-3</v>
      </c>
      <c r="BF12">
        <v>3.6677105059982E-2</v>
      </c>
      <c r="BG12">
        <v>-2.9803706433323716E-2</v>
      </c>
      <c r="BH12">
        <v>-3.6591002537065084E-2</v>
      </c>
      <c r="BI12">
        <v>-1.2159293732988896E-3</v>
      </c>
      <c r="BJ12">
        <v>3.67391817285566E-2</v>
      </c>
      <c r="BK12">
        <v>-2.985507535900021E-2</v>
      </c>
      <c r="BL12">
        <v>-3.6840613358110244E-2</v>
      </c>
      <c r="BM12">
        <v>-1.2676256711103716E-3</v>
      </c>
      <c r="BN12">
        <v>3.7806888986539347E-2</v>
      </c>
      <c r="BO12">
        <v>-3.0931974798860354E-2</v>
      </c>
      <c r="BP12">
        <v>-3.9325888436594514E-2</v>
      </c>
      <c r="BQ12">
        <v>-4.9809504092314591E-3</v>
      </c>
      <c r="BR12">
        <v>3.9287910747829891E-2</v>
      </c>
      <c r="BS12">
        <v>-3.1584819686487978E-2</v>
      </c>
      <c r="BT12">
        <v>-4.0378346237433464E-2</v>
      </c>
      <c r="BU12">
        <v>-1.7789228411505646E-2</v>
      </c>
    </row>
    <row r="13" spans="1:73" ht="14.4" x14ac:dyDescent="0.55000000000000004">
      <c r="A13" s="1">
        <v>43068</v>
      </c>
      <c r="B13">
        <v>1.455E-2</v>
      </c>
      <c r="C13">
        <v>1.4968E-2</v>
      </c>
      <c r="D13">
        <v>1.6412E-2</v>
      </c>
      <c r="E13">
        <v>1.7634E-2</v>
      </c>
      <c r="F13">
        <v>1.8754E-2</v>
      </c>
      <c r="G13">
        <v>2.1777999999999999E-2</v>
      </c>
      <c r="H13">
        <v>2.3522000000000001E-2</v>
      </c>
      <c r="I13">
        <v>2.5170999999999999E-2</v>
      </c>
      <c r="J13">
        <v>2.6991999999999999E-2</v>
      </c>
      <c r="K13">
        <v>2.8083E-2</v>
      </c>
      <c r="L13">
        <v>2.9165E-2</v>
      </c>
      <c r="M13">
        <v>2.8851000000000002E-2</v>
      </c>
      <c r="N13">
        <v>3.6782833034893464E-2</v>
      </c>
      <c r="O13">
        <v>-2.3694502431517106E-2</v>
      </c>
      <c r="P13">
        <v>-2.4776087697578903E-2</v>
      </c>
      <c r="Q13">
        <v>-1.4042858644788145E-2</v>
      </c>
      <c r="R13">
        <f t="shared" ref="R13:AC22" si="1">$N13+$O13*((1-EXP(-0.0597760632423479*R$2))/(0.0597760632423479*R$2))+$P13*((1-EXP(-0.0597760632423479*R$2))/(0.0597760632423479*R$2)-EXP(-0.0597760632423479*R$2))+$Q13*((1-EXP(-0.00996267604057902*R$2))/(0.00996267604057902*R$2)-EXP(-0.00996267604057902*R$2))</f>
        <v>1.2912678765471025E-2</v>
      </c>
      <c r="S13">
        <f t="shared" si="1"/>
        <v>1.2957668275502359E-2</v>
      </c>
      <c r="T13">
        <f t="shared" si="1"/>
        <v>1.3506762141217923E-2</v>
      </c>
      <c r="U13">
        <f t="shared" si="1"/>
        <v>1.5512634285722096E-2</v>
      </c>
      <c r="V13">
        <f t="shared" si="1"/>
        <v>1.7767805900719014E-2</v>
      </c>
      <c r="W13">
        <f t="shared" si="1"/>
        <v>2.1482282880230723E-2</v>
      </c>
      <c r="X13">
        <f t="shared" si="1"/>
        <v>2.3924898466434835E-2</v>
      </c>
      <c r="Y13">
        <f t="shared" si="1"/>
        <v>2.6105936631677828E-2</v>
      </c>
      <c r="Z13">
        <f t="shared" si="1"/>
        <v>2.8087875405848884E-2</v>
      </c>
      <c r="AA13">
        <f t="shared" si="1"/>
        <v>2.9354107623746638E-2</v>
      </c>
      <c r="AB13">
        <f t="shared" si="1"/>
        <v>3.0325028772488612E-2</v>
      </c>
      <c r="AC13">
        <f t="shared" si="1"/>
        <v>3.1112334039233587E-2</v>
      </c>
      <c r="AD13">
        <v>3.7209002870667238E-2</v>
      </c>
      <c r="AE13">
        <v>-2.5247266654477567E-2</v>
      </c>
      <c r="AF13">
        <v>-2.7242345040330906E-2</v>
      </c>
      <c r="AG13">
        <v>-1.6971891840154261E-2</v>
      </c>
      <c r="AH13">
        <v>3.8236308644926303E-2</v>
      </c>
      <c r="AI13">
        <v>-2.6502542393526819E-2</v>
      </c>
      <c r="AJ13">
        <v>-3.1633444919175399E-2</v>
      </c>
      <c r="AK13">
        <v>-2.1369379162435333E-2</v>
      </c>
      <c r="AL13">
        <v>3.8625833724211293E-2</v>
      </c>
      <c r="AM13">
        <v>-2.7108504899574042E-2</v>
      </c>
      <c r="AN13">
        <v>-3.3660847681539034E-2</v>
      </c>
      <c r="AO13">
        <v>-1.6212467371744633E-2</v>
      </c>
      <c r="AP13">
        <v>3.776184124842543E-2</v>
      </c>
      <c r="AQ13">
        <v>-2.6709740103610359E-2</v>
      </c>
      <c r="AR13">
        <v>-3.2974159330994818E-2</v>
      </c>
      <c r="AS13">
        <v>-1.4596443018456175E-2</v>
      </c>
      <c r="AT13">
        <v>3.9159004516452232E-2</v>
      </c>
      <c r="AU13">
        <v>-2.8139606738123369E-2</v>
      </c>
      <c r="AV13">
        <v>-3.5619825887381593E-2</v>
      </c>
      <c r="AW13">
        <v>-1.6750389140912515E-2</v>
      </c>
      <c r="AX13">
        <v>3.8686693400968877E-2</v>
      </c>
      <c r="AY13">
        <v>-2.8579831776914949E-2</v>
      </c>
      <c r="AZ13">
        <v>-3.5884378430772135E-2</v>
      </c>
      <c r="BA13">
        <v>-1.2751940886978865E-2</v>
      </c>
      <c r="BB13">
        <v>3.7317675318082916E-2</v>
      </c>
      <c r="BC13">
        <v>-2.8654451911950304E-2</v>
      </c>
      <c r="BD13">
        <v>-3.5311654619085191E-2</v>
      </c>
      <c r="BE13">
        <v>-6.2069947796136128E-3</v>
      </c>
      <c r="BF13">
        <v>3.7181825322960708E-2</v>
      </c>
      <c r="BG13">
        <v>-2.9737131105815894E-2</v>
      </c>
      <c r="BH13">
        <v>-3.6752842080716448E-2</v>
      </c>
      <c r="BI13">
        <v>-4.4411045250750776E-3</v>
      </c>
      <c r="BJ13">
        <v>3.6943902612931907E-2</v>
      </c>
      <c r="BK13">
        <v>-3.0165176113775359E-2</v>
      </c>
      <c r="BL13">
        <v>-3.7525787963011134E-2</v>
      </c>
      <c r="BM13">
        <v>-1.5673921497630109E-3</v>
      </c>
      <c r="BN13">
        <v>3.7008560076571703E-2</v>
      </c>
      <c r="BO13">
        <v>-3.022472248123062E-2</v>
      </c>
      <c r="BP13">
        <v>-3.7756427321057467E-2</v>
      </c>
      <c r="BQ13">
        <v>-1.632789917444617E-3</v>
      </c>
      <c r="BR13">
        <v>3.7990823886011355E-2</v>
      </c>
      <c r="BS13">
        <v>-3.1218261870684012E-2</v>
      </c>
      <c r="BT13">
        <v>-4.0004343925934917E-2</v>
      </c>
      <c r="BU13">
        <v>-5.0723527420089001E-3</v>
      </c>
    </row>
    <row r="14" spans="1:73" ht="14.4" x14ac:dyDescent="0.55000000000000004">
      <c r="A14" s="1">
        <v>43096</v>
      </c>
      <c r="B14">
        <v>1.5717999999999999E-2</v>
      </c>
      <c r="C14">
        <v>1.6174999999999998E-2</v>
      </c>
      <c r="D14">
        <v>1.7933000000000001E-2</v>
      </c>
      <c r="E14">
        <v>1.8874999999999999E-2</v>
      </c>
      <c r="F14">
        <v>2.0185000000000002E-2</v>
      </c>
      <c r="G14">
        <v>2.2728999999999999E-2</v>
      </c>
      <c r="H14">
        <v>2.4313000000000001E-2</v>
      </c>
      <c r="I14">
        <v>2.5415E-2</v>
      </c>
      <c r="J14">
        <v>2.6575000000000001E-2</v>
      </c>
      <c r="K14">
        <v>2.7532999999999998E-2</v>
      </c>
      <c r="L14">
        <v>2.8337000000000001E-2</v>
      </c>
      <c r="M14">
        <v>2.7917999999999998E-2</v>
      </c>
      <c r="N14">
        <v>3.4602255813210352E-2</v>
      </c>
      <c r="O14">
        <v>-1.9990444592924362E-2</v>
      </c>
      <c r="P14">
        <v>-1.999711475079342E-2</v>
      </c>
      <c r="Q14">
        <v>-1.1982859529613768E-2</v>
      </c>
      <c r="R14">
        <f t="shared" si="1"/>
        <v>1.4533770461945726E-2</v>
      </c>
      <c r="S14">
        <f t="shared" si="1"/>
        <v>1.4626050422819756E-2</v>
      </c>
      <c r="T14">
        <f t="shared" si="1"/>
        <v>1.5161742935368448E-2</v>
      </c>
      <c r="U14">
        <f t="shared" si="1"/>
        <v>1.6908554523308496E-2</v>
      </c>
      <c r="V14">
        <f t="shared" si="1"/>
        <v>1.8807288186891896E-2</v>
      </c>
      <c r="W14">
        <f t="shared" si="1"/>
        <v>2.1886640646691363E-2</v>
      </c>
      <c r="X14">
        <f t="shared" si="1"/>
        <v>2.389452770326474E-2</v>
      </c>
      <c r="Y14">
        <f t="shared" si="1"/>
        <v>2.5681935517745544E-2</v>
      </c>
      <c r="Z14">
        <f t="shared" si="1"/>
        <v>2.7310344802069387E-2</v>
      </c>
      <c r="AA14">
        <f t="shared" si="1"/>
        <v>2.8358960500271872E-2</v>
      </c>
      <c r="AB14">
        <f t="shared" si="1"/>
        <v>2.9168317628810923E-2</v>
      </c>
      <c r="AC14">
        <f t="shared" si="1"/>
        <v>2.9827372380731826E-2</v>
      </c>
      <c r="AD14">
        <v>3.6821285746432626E-2</v>
      </c>
      <c r="AE14">
        <v>-2.3913286281327235E-2</v>
      </c>
      <c r="AF14">
        <v>-2.6358149288617971E-2</v>
      </c>
      <c r="AG14">
        <v>-1.2571154050162188E-2</v>
      </c>
      <c r="AH14">
        <v>3.7254990580268377E-2</v>
      </c>
      <c r="AI14">
        <v>-2.5418790263390147E-2</v>
      </c>
      <c r="AJ14">
        <v>-2.8626071767562874E-2</v>
      </c>
      <c r="AK14">
        <v>-1.5481507841971165E-2</v>
      </c>
      <c r="AL14">
        <v>3.8368344328958394E-2</v>
      </c>
      <c r="AM14">
        <v>-2.6810785803498799E-2</v>
      </c>
      <c r="AN14">
        <v>-3.2661916054267659E-2</v>
      </c>
      <c r="AO14">
        <v>-2.0017449270870818E-2</v>
      </c>
      <c r="AP14">
        <v>3.8691269531378455E-2</v>
      </c>
      <c r="AQ14">
        <v>-2.739781718936074E-2</v>
      </c>
      <c r="AR14">
        <v>-3.4578001265624027E-2</v>
      </c>
      <c r="AS14">
        <v>-1.5102844861154541E-2</v>
      </c>
      <c r="AT14">
        <v>3.7989404271204522E-2</v>
      </c>
      <c r="AU14">
        <v>-2.7158318778835861E-2</v>
      </c>
      <c r="AV14">
        <v>-3.3992194818832644E-2</v>
      </c>
      <c r="AW14">
        <v>-1.389364984306151E-2</v>
      </c>
      <c r="AX14">
        <v>3.9172488104087536E-2</v>
      </c>
      <c r="AY14">
        <v>-2.8363912236078929E-2</v>
      </c>
      <c r="AZ14">
        <v>-3.6381811866735982E-2</v>
      </c>
      <c r="BA14">
        <v>-1.5597773600023054E-2</v>
      </c>
      <c r="BB14">
        <v>3.8724924502659651E-2</v>
      </c>
      <c r="BC14">
        <v>-2.8802498729586259E-2</v>
      </c>
      <c r="BD14">
        <v>-3.6680874549960718E-2</v>
      </c>
      <c r="BE14">
        <v>-1.1899731822244722E-2</v>
      </c>
      <c r="BF14">
        <v>3.7518050790637705E-2</v>
      </c>
      <c r="BG14">
        <v>-2.9004473753004498E-2</v>
      </c>
      <c r="BH14">
        <v>-3.626046972302454E-2</v>
      </c>
      <c r="BI14">
        <v>-6.0559987789985305E-3</v>
      </c>
      <c r="BJ14">
        <v>3.7402489200389827E-2</v>
      </c>
      <c r="BK14">
        <v>-3.0063846978101303E-2</v>
      </c>
      <c r="BL14">
        <v>-3.7629168461014197E-2</v>
      </c>
      <c r="BM14">
        <v>-4.5146837249495928E-3</v>
      </c>
      <c r="BN14">
        <v>3.7197694804722549E-2</v>
      </c>
      <c r="BO14">
        <v>-3.0519304395066411E-2</v>
      </c>
      <c r="BP14">
        <v>-3.8385824665333176E-2</v>
      </c>
      <c r="BQ14">
        <v>-1.9157091236244104E-3</v>
      </c>
      <c r="BR14">
        <v>3.7262047060199276E-2</v>
      </c>
      <c r="BS14">
        <v>-3.0582717196831085E-2</v>
      </c>
      <c r="BT14">
        <v>-3.8598364428545223E-2</v>
      </c>
      <c r="BU14">
        <v>-1.9871992506760279E-3</v>
      </c>
    </row>
    <row r="15" spans="1:73" ht="14.4" x14ac:dyDescent="0.55000000000000004">
      <c r="A15" s="1">
        <v>43131</v>
      </c>
      <c r="B15">
        <v>1.7430000000000001E-2</v>
      </c>
      <c r="C15">
        <v>1.796E-2</v>
      </c>
      <c r="D15">
        <v>1.9906E-2</v>
      </c>
      <c r="E15">
        <v>2.1439E-2</v>
      </c>
      <c r="F15">
        <v>2.3102000000000001E-2</v>
      </c>
      <c r="G15">
        <v>2.5921E-2</v>
      </c>
      <c r="H15">
        <v>2.7309E-2</v>
      </c>
      <c r="I15">
        <v>2.8334999999999999E-2</v>
      </c>
      <c r="J15">
        <v>2.9246000000000001E-2</v>
      </c>
      <c r="K15">
        <v>2.9618999999999999E-2</v>
      </c>
      <c r="L15">
        <v>2.9981000000000001E-2</v>
      </c>
      <c r="M15">
        <v>2.9714999999999998E-2</v>
      </c>
      <c r="N15">
        <v>3.20126742009266E-2</v>
      </c>
      <c r="O15">
        <v>-1.6694008806782613E-2</v>
      </c>
      <c r="P15">
        <v>-1.4111463141807109E-2</v>
      </c>
      <c r="Q15">
        <v>-6.6272358339171875E-3</v>
      </c>
      <c r="R15">
        <f t="shared" si="1"/>
        <v>1.550910126976251E-2</v>
      </c>
      <c r="S15">
        <f t="shared" si="1"/>
        <v>1.5794377887163889E-2</v>
      </c>
      <c r="T15">
        <f t="shared" si="1"/>
        <v>1.6548480584137801E-2</v>
      </c>
      <c r="U15">
        <f t="shared" si="1"/>
        <v>1.8339541846870772E-2</v>
      </c>
      <c r="V15">
        <f t="shared" si="1"/>
        <v>2.0063192298437778E-2</v>
      </c>
      <c r="W15">
        <f t="shared" si="1"/>
        <v>2.2708873115480678E-2</v>
      </c>
      <c r="X15">
        <f t="shared" si="1"/>
        <v>2.4391551693929259E-2</v>
      </c>
      <c r="Y15">
        <f t="shared" si="1"/>
        <v>2.5871013400861856E-2</v>
      </c>
      <c r="Z15">
        <f t="shared" si="1"/>
        <v>2.7172253641023665E-2</v>
      </c>
      <c r="AA15">
        <f t="shared" si="1"/>
        <v>2.7954031064596086E-2</v>
      </c>
      <c r="AB15">
        <f t="shared" si="1"/>
        <v>2.8522797864215094E-2</v>
      </c>
      <c r="AC15">
        <f t="shared" si="1"/>
        <v>2.8968058478010768E-2</v>
      </c>
      <c r="AD15">
        <v>3.508854696826498E-2</v>
      </c>
      <c r="AE15">
        <v>-2.0779353015336455E-2</v>
      </c>
      <c r="AF15">
        <v>-2.2015952050819531E-2</v>
      </c>
      <c r="AG15">
        <v>-1.1328395541382145E-2</v>
      </c>
      <c r="AH15">
        <v>3.694216499696229E-2</v>
      </c>
      <c r="AI15">
        <v>-2.4258273878775983E-2</v>
      </c>
      <c r="AJ15">
        <v>-2.7851796242299439E-2</v>
      </c>
      <c r="AK15">
        <v>-1.1429184944831307E-2</v>
      </c>
      <c r="AL15">
        <v>3.7368548337529381E-2</v>
      </c>
      <c r="AM15">
        <v>-2.5699107045720655E-2</v>
      </c>
      <c r="AN15">
        <v>-2.9933252303820053E-2</v>
      </c>
      <c r="AO15">
        <v>-1.4280845502569871E-2</v>
      </c>
      <c r="AP15">
        <v>3.8504335235498913E-2</v>
      </c>
      <c r="AQ15">
        <v>-2.7140423784172491E-2</v>
      </c>
      <c r="AR15">
        <v>-3.3628988895617565E-2</v>
      </c>
      <c r="AS15">
        <v>-1.8798392618844601E-2</v>
      </c>
      <c r="AT15">
        <v>3.8773172642556981E-2</v>
      </c>
      <c r="AU15">
        <v>-2.7716160844453337E-2</v>
      </c>
      <c r="AV15">
        <v>-3.5442529808366603E-2</v>
      </c>
      <c r="AW15">
        <v>-1.4134580932875788E-2</v>
      </c>
      <c r="AX15">
        <v>3.8193828667039971E-2</v>
      </c>
      <c r="AY15">
        <v>-2.7587695325267576E-2</v>
      </c>
      <c r="AZ15">
        <v>-3.4939273829046873E-2</v>
      </c>
      <c r="BA15">
        <v>-1.3230785821167945E-2</v>
      </c>
      <c r="BB15">
        <v>3.9207234056438278E-2</v>
      </c>
      <c r="BC15">
        <v>-2.8621313848513633E-2</v>
      </c>
      <c r="BD15">
        <v>-3.7103916593604132E-2</v>
      </c>
      <c r="BE15">
        <v>-1.4591768221868449E-2</v>
      </c>
      <c r="BF15">
        <v>3.8786792582663883E-2</v>
      </c>
      <c r="BG15">
        <v>-2.9061433407493256E-2</v>
      </c>
      <c r="BH15">
        <v>-3.7432061860977209E-2</v>
      </c>
      <c r="BI15">
        <v>-1.1183563391917933E-2</v>
      </c>
      <c r="BJ15">
        <v>3.7715290386155828E-2</v>
      </c>
      <c r="BK15">
        <v>-2.9358964192920434E-2</v>
      </c>
      <c r="BL15">
        <v>-3.7140720365784821E-2</v>
      </c>
      <c r="BM15">
        <v>-5.9520601011543647E-3</v>
      </c>
      <c r="BN15">
        <v>3.7614928962201609E-2</v>
      </c>
      <c r="BO15">
        <v>-3.0389065819657366E-2</v>
      </c>
      <c r="BP15">
        <v>-3.8438791777088893E-2</v>
      </c>
      <c r="BQ15">
        <v>-4.608172160941895E-3</v>
      </c>
      <c r="BR15">
        <v>3.7435752042674728E-2</v>
      </c>
      <c r="BS15">
        <v>-3.08610357159032E-2</v>
      </c>
      <c r="BT15">
        <v>-3.9176371014485158E-2</v>
      </c>
      <c r="BU15">
        <v>-2.2520115315999151E-3</v>
      </c>
    </row>
    <row r="16" spans="1:73" ht="14.4" x14ac:dyDescent="0.55000000000000004">
      <c r="A16" s="1">
        <v>43159</v>
      </c>
      <c r="B16">
        <v>1.7756000000000001E-2</v>
      </c>
      <c r="C16">
        <v>1.8367000000000001E-2</v>
      </c>
      <c r="D16">
        <v>2.0237999999999999E-2</v>
      </c>
      <c r="E16">
        <v>2.2608E-2</v>
      </c>
      <c r="F16">
        <v>2.4445999999999999E-2</v>
      </c>
      <c r="G16">
        <v>2.7258000000000001E-2</v>
      </c>
      <c r="H16">
        <v>2.8732000000000001E-2</v>
      </c>
      <c r="I16">
        <v>3.0023999999999999E-2</v>
      </c>
      <c r="J16">
        <v>3.1144999999999999E-2</v>
      </c>
      <c r="K16">
        <v>3.1419000000000002E-2</v>
      </c>
      <c r="L16">
        <v>3.1995999999999997E-2</v>
      </c>
      <c r="M16">
        <v>3.1816999999999998E-2</v>
      </c>
      <c r="N16">
        <v>3.0087115584354153E-2</v>
      </c>
      <c r="O16">
        <v>-1.3751063196702391E-2</v>
      </c>
      <c r="P16">
        <v>-8.6517664078840355E-3</v>
      </c>
      <c r="Q16">
        <v>5.549759394610998E-3</v>
      </c>
      <c r="R16">
        <f t="shared" si="1"/>
        <v>1.6890857997961153E-2</v>
      </c>
      <c r="S16">
        <f t="shared" si="1"/>
        <v>1.7465256301895313E-2</v>
      </c>
      <c r="T16">
        <f t="shared" si="1"/>
        <v>1.8627520286250008E-2</v>
      </c>
      <c r="U16">
        <f t="shared" si="1"/>
        <v>2.0818589268759659E-2</v>
      </c>
      <c r="V16">
        <f t="shared" si="1"/>
        <v>2.2679161064096474E-2</v>
      </c>
      <c r="W16">
        <f t="shared" si="1"/>
        <v>2.5378293802934923E-2</v>
      </c>
      <c r="X16">
        <f t="shared" si="1"/>
        <v>2.7068232794928239E-2</v>
      </c>
      <c r="Y16">
        <f t="shared" si="1"/>
        <v>2.853159452611817E-2</v>
      </c>
      <c r="Z16">
        <f t="shared" si="1"/>
        <v>2.966142679586483E-2</v>
      </c>
      <c r="AA16">
        <f t="shared" si="1"/>
        <v>3.0126154478835866E-2</v>
      </c>
      <c r="AB16">
        <f t="shared" si="1"/>
        <v>3.032179620937377E-2</v>
      </c>
      <c r="AC16">
        <f t="shared" si="1"/>
        <v>3.0396893944311214E-2</v>
      </c>
      <c r="AD16">
        <v>3.2850848265776264E-2</v>
      </c>
      <c r="AE16">
        <v>-1.7883017812762244E-2</v>
      </c>
      <c r="AF16">
        <v>-1.6676094428158018E-2</v>
      </c>
      <c r="AG16">
        <v>-6.7338281218498166E-3</v>
      </c>
      <c r="AH16">
        <v>3.5543359158378751E-2</v>
      </c>
      <c r="AI16">
        <v>-2.1551715690450796E-2</v>
      </c>
      <c r="AJ16">
        <v>-2.3887681221065524E-2</v>
      </c>
      <c r="AK16">
        <v>-1.0740208095185735E-2</v>
      </c>
      <c r="AL16">
        <v>3.7110600658787039E-2</v>
      </c>
      <c r="AM16">
        <v>-2.4680535977979805E-2</v>
      </c>
      <c r="AN16">
        <v>-2.9255081710360807E-2</v>
      </c>
      <c r="AO16">
        <v>-1.052189408743417E-2</v>
      </c>
      <c r="AP16">
        <v>3.7520530802954317E-2</v>
      </c>
      <c r="AQ16">
        <v>-2.6046833011367721E-2</v>
      </c>
      <c r="AR16">
        <v>-3.1162380543188494E-2</v>
      </c>
      <c r="AS16">
        <v>-1.3289616334534031E-2</v>
      </c>
      <c r="AT16">
        <v>3.8638054083801318E-2</v>
      </c>
      <c r="AU16">
        <v>-2.7480620146616418E-2</v>
      </c>
      <c r="AV16">
        <v>-3.4537153029056605E-2</v>
      </c>
      <c r="AW16">
        <v>-1.7689188849631686E-2</v>
      </c>
      <c r="AX16">
        <v>3.8862419078350523E-2</v>
      </c>
      <c r="AY16">
        <v>-2.8049691198821662E-2</v>
      </c>
      <c r="AZ16">
        <v>-3.6255623938777952E-2</v>
      </c>
      <c r="BA16">
        <v>-1.3278415085532255E-2</v>
      </c>
      <c r="BB16">
        <v>3.8377126327039372E-2</v>
      </c>
      <c r="BC16">
        <v>-2.799835932163185E-2</v>
      </c>
      <c r="BD16">
        <v>-3.5820742024356318E-2</v>
      </c>
      <c r="BE16">
        <v>-1.2606700980336689E-2</v>
      </c>
      <c r="BF16">
        <v>3.925375417055265E-2</v>
      </c>
      <c r="BG16">
        <v>-2.8897785535315322E-2</v>
      </c>
      <c r="BH16">
        <v>-3.7786249724408874E-2</v>
      </c>
      <c r="BI16">
        <v>-1.3702620637407823E-2</v>
      </c>
      <c r="BJ16">
        <v>3.8861250934342964E-2</v>
      </c>
      <c r="BK16">
        <v>-2.9340665339977801E-2</v>
      </c>
      <c r="BL16">
        <v>-3.8138304057747076E-2</v>
      </c>
      <c r="BM16">
        <v>-1.0570760105327252E-2</v>
      </c>
      <c r="BN16">
        <v>3.7904484102439025E-2</v>
      </c>
      <c r="BO16">
        <v>-2.9709867908167431E-2</v>
      </c>
      <c r="BP16">
        <v>-3.7956365963600344E-2</v>
      </c>
      <c r="BQ16">
        <v>-5.8792371137847887E-3</v>
      </c>
      <c r="BR16">
        <v>3.7815769039949577E-2</v>
      </c>
      <c r="BS16">
        <v>-3.0706864895239265E-2</v>
      </c>
      <c r="BT16">
        <v>-3.9186045202171636E-2</v>
      </c>
      <c r="BU16">
        <v>-4.7104388192920274E-3</v>
      </c>
    </row>
    <row r="17" spans="1:73" ht="14.4" x14ac:dyDescent="0.55000000000000004">
      <c r="A17" s="1">
        <v>43187</v>
      </c>
      <c r="B17">
        <v>1.8367000000000001E-2</v>
      </c>
      <c r="C17">
        <v>1.8921E-2</v>
      </c>
      <c r="D17">
        <v>2.0667999999999999E-2</v>
      </c>
      <c r="E17">
        <v>2.2495000000000001E-2</v>
      </c>
      <c r="F17">
        <v>2.4261000000000001E-2</v>
      </c>
      <c r="G17">
        <v>2.6568000000000001E-2</v>
      </c>
      <c r="H17">
        <v>2.7768999999999999E-2</v>
      </c>
      <c r="I17">
        <v>2.8901E-2</v>
      </c>
      <c r="J17">
        <v>2.9857999999999999E-2</v>
      </c>
      <c r="K17">
        <v>3.0127000000000001E-2</v>
      </c>
      <c r="L17">
        <v>3.0866000000000001E-2</v>
      </c>
      <c r="M17">
        <v>3.0613999999999999E-2</v>
      </c>
      <c r="N17">
        <v>3.2208421395794655E-2</v>
      </c>
      <c r="O17">
        <v>-1.559527664193649E-2</v>
      </c>
      <c r="P17">
        <v>-9.017396469821172E-3</v>
      </c>
      <c r="Q17">
        <v>4.4468028566779739E-3</v>
      </c>
      <c r="R17">
        <f t="shared" si="1"/>
        <v>1.7278579497278009E-2</v>
      </c>
      <c r="S17">
        <f t="shared" si="1"/>
        <v>1.7953343401549898E-2</v>
      </c>
      <c r="T17">
        <f t="shared" si="1"/>
        <v>1.9289232151411751E-2</v>
      </c>
      <c r="U17">
        <f t="shared" si="1"/>
        <v>2.1740936565158391E-2</v>
      </c>
      <c r="V17">
        <f t="shared" si="1"/>
        <v>2.3779159428720931E-2</v>
      </c>
      <c r="W17">
        <f t="shared" si="1"/>
        <v>2.6687076758244624E-2</v>
      </c>
      <c r="X17">
        <f t="shared" si="1"/>
        <v>2.8485205670672881E-2</v>
      </c>
      <c r="Y17">
        <f t="shared" si="1"/>
        <v>3.0035587255880833E-2</v>
      </c>
      <c r="Z17">
        <f t="shared" si="1"/>
        <v>3.1248212578525291E-2</v>
      </c>
      <c r="AA17">
        <f t="shared" si="1"/>
        <v>3.1775319230734199E-2</v>
      </c>
      <c r="AB17">
        <f t="shared" si="1"/>
        <v>3.2024954555014334E-2</v>
      </c>
      <c r="AC17">
        <f t="shared" si="1"/>
        <v>3.2147045227991694E-2</v>
      </c>
      <c r="AD17">
        <v>3.0999402582492053E-2</v>
      </c>
      <c r="AE17">
        <v>-1.5088897663549299E-2</v>
      </c>
      <c r="AF17">
        <v>-1.1744673706575261E-2</v>
      </c>
      <c r="AG17">
        <v>4.8716784061017086E-3</v>
      </c>
      <c r="AH17">
        <v>3.3592764231244437E-2</v>
      </c>
      <c r="AI17">
        <v>-1.8979251053834939E-2</v>
      </c>
      <c r="AJ17">
        <v>-1.9034731728056874E-2</v>
      </c>
      <c r="AK17">
        <v>-6.7535219244977173E-3</v>
      </c>
      <c r="AL17">
        <v>3.5964217766636941E-2</v>
      </c>
      <c r="AM17">
        <v>-2.2300238649220865E-2</v>
      </c>
      <c r="AN17">
        <v>-2.5622493591074869E-2</v>
      </c>
      <c r="AO17">
        <v>-1.0202956696381422E-2</v>
      </c>
      <c r="AP17">
        <v>3.7303328483482175E-2</v>
      </c>
      <c r="AQ17">
        <v>-2.5146692154529023E-2</v>
      </c>
      <c r="AR17">
        <v>-3.0568931475091241E-2</v>
      </c>
      <c r="AS17">
        <v>-9.7836297202955266E-3</v>
      </c>
      <c r="AT17">
        <v>3.7691538468280314E-2</v>
      </c>
      <c r="AU17">
        <v>-2.6433678041598786E-2</v>
      </c>
      <c r="AV17">
        <v>-3.2314351975585097E-2</v>
      </c>
      <c r="AW17">
        <v>-1.245224989610785E-2</v>
      </c>
      <c r="AX17">
        <v>3.8765702991207004E-2</v>
      </c>
      <c r="AY17">
        <v>-2.7823991047800423E-2</v>
      </c>
      <c r="AZ17">
        <v>-3.538929055901828E-2</v>
      </c>
      <c r="BA17">
        <v>-1.667325323057741E-2</v>
      </c>
      <c r="BB17">
        <v>3.8953100430344681E-2</v>
      </c>
      <c r="BC17">
        <v>-2.838898521150824E-2</v>
      </c>
      <c r="BD17">
        <v>-3.7019157882633484E-2</v>
      </c>
      <c r="BE17">
        <v>-1.2513462935998068E-2</v>
      </c>
      <c r="BF17">
        <v>3.8541220768622979E-2</v>
      </c>
      <c r="BG17">
        <v>-2.8390913546999838E-2</v>
      </c>
      <c r="BH17">
        <v>-3.6641519704133797E-2</v>
      </c>
      <c r="BI17">
        <v>-1.2020343062867181E-2</v>
      </c>
      <c r="BJ17">
        <v>3.9305779085098337E-2</v>
      </c>
      <c r="BK17">
        <v>-2.9183696885879039E-2</v>
      </c>
      <c r="BL17">
        <v>-3.8429693455664563E-2</v>
      </c>
      <c r="BM17">
        <v>-1.2908942612895082E-2</v>
      </c>
      <c r="BN17">
        <v>3.8941018926930422E-2</v>
      </c>
      <c r="BO17">
        <v>-2.9629327903365758E-2</v>
      </c>
      <c r="BP17">
        <v>-3.8800835232269779E-2</v>
      </c>
      <c r="BQ17">
        <v>-1.0038330097305937E-2</v>
      </c>
      <c r="BR17">
        <v>3.8082802172568868E-2</v>
      </c>
      <c r="BS17">
        <v>-3.0052034662147564E-2</v>
      </c>
      <c r="BT17">
        <v>-3.871153821423267E-2</v>
      </c>
      <c r="BU17">
        <v>-5.8269836658347562E-3</v>
      </c>
    </row>
    <row r="18" spans="1:73" ht="14.4" x14ac:dyDescent="0.55000000000000004">
      <c r="A18" s="1">
        <v>43215</v>
      </c>
      <c r="B18">
        <v>2.0374E-2</v>
      </c>
      <c r="C18">
        <v>2.0891E-2</v>
      </c>
      <c r="D18">
        <v>2.2471999999999999E-2</v>
      </c>
      <c r="E18">
        <v>2.4919E-2</v>
      </c>
      <c r="F18">
        <v>2.6793000000000001E-2</v>
      </c>
      <c r="G18">
        <v>2.9128999999999999E-2</v>
      </c>
      <c r="H18">
        <v>3.0353000000000002E-2</v>
      </c>
      <c r="I18">
        <v>3.1335000000000002E-2</v>
      </c>
      <c r="J18">
        <v>3.2152E-2</v>
      </c>
      <c r="K18">
        <v>3.2289999999999999E-2</v>
      </c>
      <c r="L18">
        <v>3.2626000000000002E-2</v>
      </c>
      <c r="M18">
        <v>3.2356000000000003E-2</v>
      </c>
      <c r="N18">
        <v>3.2085175076024E-2</v>
      </c>
      <c r="O18">
        <v>-1.4774339743051691E-2</v>
      </c>
      <c r="P18">
        <v>-8.605027547553561E-3</v>
      </c>
      <c r="Q18">
        <v>6.0707450557933554E-4</v>
      </c>
      <c r="R18">
        <f t="shared" si="1"/>
        <v>1.7883458664367486E-2</v>
      </c>
      <c r="S18">
        <f t="shared" si="1"/>
        <v>1.8468090597509045E-2</v>
      </c>
      <c r="T18">
        <f t="shared" si="1"/>
        <v>1.9632895497491681E-2</v>
      </c>
      <c r="U18">
        <f t="shared" si="1"/>
        <v>2.1782318618993785E-2</v>
      </c>
      <c r="V18">
        <f t="shared" si="1"/>
        <v>2.3570350431783463E-2</v>
      </c>
      <c r="W18">
        <f t="shared" si="1"/>
        <v>2.6108453091463906E-2</v>
      </c>
      <c r="X18">
        <f t="shared" si="1"/>
        <v>2.7664872403915255E-2</v>
      </c>
      <c r="Y18">
        <f t="shared" si="1"/>
        <v>2.9005467522005064E-2</v>
      </c>
      <c r="Z18">
        <f t="shared" si="1"/>
        <v>3.0093704587988095E-2</v>
      </c>
      <c r="AA18">
        <f t="shared" si="1"/>
        <v>3.0630618749470477E-2</v>
      </c>
      <c r="AB18">
        <f t="shared" si="1"/>
        <v>3.094378070900243E-2</v>
      </c>
      <c r="AC18">
        <f t="shared" si="1"/>
        <v>3.1146506266340194E-2</v>
      </c>
      <c r="AD18">
        <v>3.2469637576796155E-2</v>
      </c>
      <c r="AE18">
        <v>-1.6173634368527375E-2</v>
      </c>
      <c r="AF18">
        <v>-1.1957296979846568E-2</v>
      </c>
      <c r="AG18">
        <v>5.1870386214711781E-3</v>
      </c>
      <c r="AH18">
        <v>3.1838784342908898E-2</v>
      </c>
      <c r="AI18">
        <v>-1.636222536443821E-2</v>
      </c>
      <c r="AJ18">
        <v>-1.4591257632575899E-2</v>
      </c>
      <c r="AK18">
        <v>4.2381534506181961E-3</v>
      </c>
      <c r="AL18">
        <v>3.4251568261782606E-2</v>
      </c>
      <c r="AM18">
        <v>-1.9994930311913559E-2</v>
      </c>
      <c r="AN18">
        <v>-2.1206003820776025E-2</v>
      </c>
      <c r="AO18">
        <v>-6.7095218133799003E-3</v>
      </c>
      <c r="AP18">
        <v>3.6350617859922746E-2</v>
      </c>
      <c r="AQ18">
        <v>-2.3020634403947922E-2</v>
      </c>
      <c r="AR18">
        <v>-2.7230238099453546E-2</v>
      </c>
      <c r="AS18">
        <v>-9.7066877617839262E-3</v>
      </c>
      <c r="AT18">
        <v>3.7505058786632031E-2</v>
      </c>
      <c r="AU18">
        <v>-2.5634123764503611E-2</v>
      </c>
      <c r="AV18">
        <v>-3.1796072361800973E-2</v>
      </c>
      <c r="AW18">
        <v>-9.1690595305602765E-3</v>
      </c>
      <c r="AX18">
        <v>3.7868864092391007E-2</v>
      </c>
      <c r="AY18">
        <v>-2.6840417945320307E-2</v>
      </c>
      <c r="AZ18">
        <v>-3.3391564140116889E-2</v>
      </c>
      <c r="BA18">
        <v>-1.1730253712899683E-2</v>
      </c>
      <c r="BB18">
        <v>3.8885119896258084E-2</v>
      </c>
      <c r="BC18">
        <v>-2.8165542729996405E-2</v>
      </c>
      <c r="BD18">
        <v>-3.6188461570237168E-2</v>
      </c>
      <c r="BE18">
        <v>-1.5738442240116123E-2</v>
      </c>
      <c r="BF18">
        <v>3.9041500374006534E-2</v>
      </c>
      <c r="BG18">
        <v>-2.8727682390582779E-2</v>
      </c>
      <c r="BH18">
        <v>-3.7735397261979081E-2</v>
      </c>
      <c r="BI18">
        <v>-1.1824646108834857E-2</v>
      </c>
      <c r="BJ18">
        <v>3.8687921477870146E-2</v>
      </c>
      <c r="BK18">
        <v>-2.8766020063450096E-2</v>
      </c>
      <c r="BL18">
        <v>-3.7406131016824995E-2</v>
      </c>
      <c r="BM18">
        <v>-1.1470681855694144E-2</v>
      </c>
      <c r="BN18">
        <v>3.9359244241337014E-2</v>
      </c>
      <c r="BO18">
        <v>-2.9472469207366434E-2</v>
      </c>
      <c r="BP18">
        <v>-3.9035604994413775E-2</v>
      </c>
      <c r="BQ18">
        <v>-1.2195164071270954E-2</v>
      </c>
      <c r="BR18">
        <v>3.9021394788880712E-2</v>
      </c>
      <c r="BS18">
        <v>-2.9920087937171422E-2</v>
      </c>
      <c r="BT18">
        <v>-3.9421414644679291E-2</v>
      </c>
      <c r="BU18">
        <v>-9.5699882728517861E-3</v>
      </c>
    </row>
    <row r="19" spans="1:73" ht="14.4" x14ac:dyDescent="0.55000000000000004">
      <c r="A19" s="1">
        <v>43250</v>
      </c>
      <c r="B19">
        <v>2.0750000000000001E-2</v>
      </c>
      <c r="C19">
        <v>2.1225000000000001E-2</v>
      </c>
      <c r="D19">
        <v>2.2404E-2</v>
      </c>
      <c r="E19">
        <v>2.4475E-2</v>
      </c>
      <c r="F19">
        <v>2.5623E-2</v>
      </c>
      <c r="G19">
        <v>2.6703000000000001E-2</v>
      </c>
      <c r="H19">
        <v>2.853E-2</v>
      </c>
      <c r="I19">
        <v>2.9479999999999999E-2</v>
      </c>
      <c r="J19">
        <v>3.0106999999999998E-2</v>
      </c>
      <c r="K19">
        <v>3.0366000000000001E-2</v>
      </c>
      <c r="L19">
        <v>3.0613000000000001E-2</v>
      </c>
      <c r="M19">
        <v>3.0218999999999999E-2</v>
      </c>
      <c r="N19">
        <v>3.1453651398086868E-2</v>
      </c>
      <c r="O19">
        <v>-1.2620489323918753E-2</v>
      </c>
      <c r="P19">
        <v>-5.638454745393792E-3</v>
      </c>
      <c r="Q19">
        <v>8.571319785571966E-3</v>
      </c>
      <c r="R19">
        <f t="shared" si="1"/>
        <v>1.9576614395438428E-2</v>
      </c>
      <c r="S19">
        <f t="shared" si="1"/>
        <v>2.0295622468185767E-2</v>
      </c>
      <c r="T19">
        <f t="shared" si="1"/>
        <v>2.1647663931270159E-2</v>
      </c>
      <c r="U19">
        <f t="shared" si="1"/>
        <v>2.3976272394958167E-2</v>
      </c>
      <c r="V19">
        <f t="shared" si="1"/>
        <v>2.5825320313515036E-2</v>
      </c>
      <c r="W19">
        <f t="shared" si="1"/>
        <v>2.8397238373109434E-2</v>
      </c>
      <c r="X19">
        <f t="shared" si="1"/>
        <v>2.9973146175716253E-2</v>
      </c>
      <c r="Y19">
        <f t="shared" si="1"/>
        <v>3.1321655127207734E-2</v>
      </c>
      <c r="Z19">
        <f t="shared" si="1"/>
        <v>3.2314731946653692E-2</v>
      </c>
      <c r="AA19">
        <f t="shared" si="1"/>
        <v>3.2652988332717278E-2</v>
      </c>
      <c r="AB19">
        <f t="shared" si="1"/>
        <v>3.2727342346193906E-2</v>
      </c>
      <c r="AC19">
        <f t="shared" si="1"/>
        <v>3.269145395439655E-2</v>
      </c>
      <c r="AD19">
        <v>3.2489251099757685E-2</v>
      </c>
      <c r="AE19">
        <v>-1.5537581145965542E-2</v>
      </c>
      <c r="AF19">
        <v>-1.155444771495839E-2</v>
      </c>
      <c r="AG19">
        <v>1.2898570911227141E-3</v>
      </c>
      <c r="AH19">
        <v>3.2855007633240535E-2</v>
      </c>
      <c r="AI19">
        <v>-1.6938405498506351E-2</v>
      </c>
      <c r="AJ19">
        <v>-1.4708426565372051E-2</v>
      </c>
      <c r="AK19">
        <v>5.48693552885422E-3</v>
      </c>
      <c r="AL19">
        <v>3.2607053590590199E-2</v>
      </c>
      <c r="AM19">
        <v>-1.7568271754549121E-2</v>
      </c>
      <c r="AN19">
        <v>-1.7210892057047514E-2</v>
      </c>
      <c r="AO19">
        <v>3.6539710325313155E-3</v>
      </c>
      <c r="AP19">
        <v>3.4838015618866396E-2</v>
      </c>
      <c r="AQ19">
        <v>-2.0939666026318204E-2</v>
      </c>
      <c r="AR19">
        <v>-2.3206493197354461E-2</v>
      </c>
      <c r="AS19">
        <v>-6.6195418631901032E-3</v>
      </c>
      <c r="AT19">
        <v>3.6703304629876754E-2</v>
      </c>
      <c r="AU19">
        <v>-2.3710641050178727E-2</v>
      </c>
      <c r="AV19">
        <v>-2.8720285012970113E-2</v>
      </c>
      <c r="AW19">
        <v>-9.245021191969913E-3</v>
      </c>
      <c r="AX19">
        <v>3.770596022851775E-2</v>
      </c>
      <c r="AY19">
        <v>-2.6127649777325623E-2</v>
      </c>
      <c r="AZ19">
        <v>-3.2940305204539111E-2</v>
      </c>
      <c r="BA19">
        <v>-8.6468701016666188E-3</v>
      </c>
      <c r="BB19">
        <v>3.8044377216377011E-2</v>
      </c>
      <c r="BC19">
        <v>-2.7254097326683876E-2</v>
      </c>
      <c r="BD19">
        <v>-3.4397306728565079E-2</v>
      </c>
      <c r="BE19">
        <v>-1.109691636085635E-2</v>
      </c>
      <c r="BF19">
        <v>3.8995231873692623E-2</v>
      </c>
      <c r="BG19">
        <v>-2.8501934374824942E-2</v>
      </c>
      <c r="BH19">
        <v>-3.6937763838314229E-2</v>
      </c>
      <c r="BI19">
        <v>-1.4875675760407058E-2</v>
      </c>
      <c r="BJ19">
        <v>3.9125387170221619E-2</v>
      </c>
      <c r="BK19">
        <v>-2.9061541020811908E-2</v>
      </c>
      <c r="BL19">
        <v>-3.8406803522952192E-2</v>
      </c>
      <c r="BM19">
        <v>-1.1200911600291335E-2</v>
      </c>
      <c r="BN19">
        <v>3.8818911196533065E-2</v>
      </c>
      <c r="BO19">
        <v>-2.9124364914292496E-2</v>
      </c>
      <c r="BP19">
        <v>-3.8118733563129066E-2</v>
      </c>
      <c r="BQ19">
        <v>-1.0956665861466999E-2</v>
      </c>
      <c r="BR19">
        <v>3.941158795216039E-2</v>
      </c>
      <c r="BS19">
        <v>-2.9759641588403836E-2</v>
      </c>
      <c r="BT19">
        <v>-3.9605615233141926E-2</v>
      </c>
      <c r="BU19">
        <v>-1.1549766926373311E-2</v>
      </c>
    </row>
    <row r="20" spans="1:73" ht="14.4" x14ac:dyDescent="0.55000000000000004">
      <c r="A20" s="1">
        <v>43278</v>
      </c>
      <c r="B20">
        <v>2.1649000000000002E-2</v>
      </c>
      <c r="C20">
        <v>2.2186999999999998E-2</v>
      </c>
      <c r="D20">
        <v>2.3522000000000001E-2</v>
      </c>
      <c r="E20">
        <v>2.5819000000000002E-2</v>
      </c>
      <c r="F20">
        <v>2.6520999999999999E-2</v>
      </c>
      <c r="G20">
        <v>2.7089999999999999E-2</v>
      </c>
      <c r="H20">
        <v>2.8413999999999998E-2</v>
      </c>
      <c r="I20">
        <v>2.9239999999999999E-2</v>
      </c>
      <c r="J20">
        <v>2.988E-2</v>
      </c>
      <c r="K20">
        <v>2.9974000000000001E-2</v>
      </c>
      <c r="L20">
        <v>3.024E-2</v>
      </c>
      <c r="M20">
        <v>2.9812000000000002E-2</v>
      </c>
      <c r="N20">
        <v>3.0537376207438745E-2</v>
      </c>
      <c r="O20">
        <v>-1.1010314551035502E-2</v>
      </c>
      <c r="P20">
        <v>-6.8907525208481511E-3</v>
      </c>
      <c r="Q20">
        <v>5.2937939748745879E-3</v>
      </c>
      <c r="R20">
        <f t="shared" si="1"/>
        <v>1.9986658292926885E-2</v>
      </c>
      <c r="S20">
        <f t="shared" si="1"/>
        <v>2.0460810013918872E-2</v>
      </c>
      <c r="T20">
        <f t="shared" si="1"/>
        <v>2.141701955221113E-2</v>
      </c>
      <c r="U20">
        <f t="shared" si="1"/>
        <v>2.3213699346917232E-2</v>
      </c>
      <c r="V20">
        <f t="shared" si="1"/>
        <v>2.4737166389141866E-2</v>
      </c>
      <c r="W20">
        <f t="shared" si="1"/>
        <v>2.6948316867536445E-2</v>
      </c>
      <c r="X20">
        <f t="shared" si="1"/>
        <v>2.8334961594153569E-2</v>
      </c>
      <c r="Y20">
        <f t="shared" si="1"/>
        <v>2.9535724402548823E-2</v>
      </c>
      <c r="Z20">
        <f t="shared" si="1"/>
        <v>3.0453645913357284E-2</v>
      </c>
      <c r="AA20">
        <f t="shared" si="1"/>
        <v>3.0816384131197715E-2</v>
      </c>
      <c r="AB20">
        <f t="shared" si="1"/>
        <v>3.0954649308263252E-2</v>
      </c>
      <c r="AC20">
        <f t="shared" si="1"/>
        <v>3.0994047348628886E-2</v>
      </c>
      <c r="AD20">
        <v>3.1829636279696275E-2</v>
      </c>
      <c r="AE20">
        <v>-1.3462646542662547E-2</v>
      </c>
      <c r="AF20">
        <v>-8.8640150191696757E-3</v>
      </c>
      <c r="AG20">
        <v>9.0267772409492603E-3</v>
      </c>
      <c r="AH20">
        <v>3.2965896563120892E-2</v>
      </c>
      <c r="AI20">
        <v>-1.6422310109383536E-2</v>
      </c>
      <c r="AJ20">
        <v>-1.4305534645928784E-2</v>
      </c>
      <c r="AK20">
        <v>1.6429316953480483E-3</v>
      </c>
      <c r="AL20">
        <v>3.3306510439631225E-2</v>
      </c>
      <c r="AM20">
        <v>-1.7808952039868858E-2</v>
      </c>
      <c r="AN20">
        <v>-1.727159307819787E-2</v>
      </c>
      <c r="AO20">
        <v>5.50067416451323E-3</v>
      </c>
      <c r="AP20">
        <v>3.330746930740857E-2</v>
      </c>
      <c r="AQ20">
        <v>-1.8706744046827962E-2</v>
      </c>
      <c r="AR20">
        <v>-1.9621732731509432E-2</v>
      </c>
      <c r="AS20">
        <v>3.1197574554845003E-3</v>
      </c>
      <c r="AT20">
        <v>3.536104082944494E-2</v>
      </c>
      <c r="AU20">
        <v>-2.1821156608822383E-2</v>
      </c>
      <c r="AV20">
        <v>-2.505103780091774E-2</v>
      </c>
      <c r="AW20">
        <v>-6.4972145995341544E-3</v>
      </c>
      <c r="AX20">
        <v>3.7023784525007611E-2</v>
      </c>
      <c r="AY20">
        <v>-2.4369346729782602E-2</v>
      </c>
      <c r="AZ20">
        <v>-3.0101453579888502E-2</v>
      </c>
      <c r="BA20">
        <v>-8.8139130519044404E-3</v>
      </c>
      <c r="BB20">
        <v>3.7899918271331184E-2</v>
      </c>
      <c r="BC20">
        <v>-2.6617219497724078E-2</v>
      </c>
      <c r="BD20">
        <v>-3.4006015692113936E-2</v>
      </c>
      <c r="BE20">
        <v>-8.1954015566441281E-3</v>
      </c>
      <c r="BF20">
        <v>3.8213060341390569E-2</v>
      </c>
      <c r="BG20">
        <v>-2.7666088018643831E-2</v>
      </c>
      <c r="BH20">
        <v>-3.5335351612588176E-2</v>
      </c>
      <c r="BI20">
        <v>-1.0533638316410444E-2</v>
      </c>
      <c r="BJ20">
        <v>3.9095679664730189E-2</v>
      </c>
      <c r="BK20">
        <v>-2.8830966837334299E-2</v>
      </c>
      <c r="BL20">
        <v>-3.7640243288690992E-2</v>
      </c>
      <c r="BM20">
        <v>-1.4077986904034265E-2</v>
      </c>
      <c r="BN20">
        <v>3.9203525526204562E-2</v>
      </c>
      <c r="BO20">
        <v>-2.9387783044404061E-2</v>
      </c>
      <c r="BP20">
        <v>-3.90359048198771E-2</v>
      </c>
      <c r="BQ20">
        <v>-1.063399927897352E-2</v>
      </c>
      <c r="BR20">
        <v>3.8935741719592756E-2</v>
      </c>
      <c r="BS20">
        <v>-2.946663549841878E-2</v>
      </c>
      <c r="BT20">
        <v>-3.8783147361210996E-2</v>
      </c>
      <c r="BU20">
        <v>-1.0477200286158637E-2</v>
      </c>
    </row>
    <row r="21" spans="1:73" ht="14.4" x14ac:dyDescent="0.55000000000000004">
      <c r="A21" s="1">
        <v>43306</v>
      </c>
      <c r="B21">
        <v>2.2679999999999999E-2</v>
      </c>
      <c r="C21">
        <v>2.317E-2</v>
      </c>
      <c r="D21">
        <v>2.4339E-2</v>
      </c>
      <c r="E21">
        <v>2.7008000000000001E-2</v>
      </c>
      <c r="F21">
        <v>2.7584999999999998E-2</v>
      </c>
      <c r="G21">
        <v>2.8126999999999999E-2</v>
      </c>
      <c r="H21">
        <v>2.9873E-2</v>
      </c>
      <c r="I21">
        <v>3.0703999999999999E-2</v>
      </c>
      <c r="J21">
        <v>3.1255999999999999E-2</v>
      </c>
      <c r="K21">
        <v>3.1314000000000002E-2</v>
      </c>
      <c r="L21">
        <v>3.1434999999999998E-2</v>
      </c>
      <c r="M21">
        <v>3.0998000000000001E-2</v>
      </c>
      <c r="N21">
        <v>3.0738798445284189E-2</v>
      </c>
      <c r="O21">
        <v>-1.0378299862342765E-2</v>
      </c>
      <c r="P21">
        <v>-3.967976734424645E-3</v>
      </c>
      <c r="Q21">
        <v>2.2008625479749077E-3</v>
      </c>
      <c r="R21">
        <f t="shared" si="1"/>
        <v>2.095410406677245E-2</v>
      </c>
      <c r="S21">
        <f t="shared" si="1"/>
        <v>2.1518656661266122E-2</v>
      </c>
      <c r="T21">
        <f t="shared" si="1"/>
        <v>2.2558171592820083E-2</v>
      </c>
      <c r="U21">
        <f t="shared" si="1"/>
        <v>2.4290731099957569E-2</v>
      </c>
      <c r="V21">
        <f t="shared" si="1"/>
        <v>2.5620363252454658E-2</v>
      </c>
      <c r="W21">
        <f t="shared" si="1"/>
        <v>2.7405561558122273E-2</v>
      </c>
      <c r="X21">
        <f t="shared" si="1"/>
        <v>2.8464529184984263E-2</v>
      </c>
      <c r="Y21">
        <f t="shared" si="1"/>
        <v>2.9361468492654454E-2</v>
      </c>
      <c r="Z21">
        <f t="shared" si="1"/>
        <v>3.0062369456598712E-2</v>
      </c>
      <c r="AA21">
        <f t="shared" si="1"/>
        <v>3.0373553453468618E-2</v>
      </c>
      <c r="AB21">
        <f t="shared" si="1"/>
        <v>3.05272838027816E-2</v>
      </c>
      <c r="AC21">
        <f t="shared" si="1"/>
        <v>3.0607828842877115E-2</v>
      </c>
      <c r="AD21">
        <v>3.1465688892697734E-2</v>
      </c>
      <c r="AE21">
        <v>-1.2562005821822819E-2</v>
      </c>
      <c r="AF21">
        <v>-1.0076108189421657E-2</v>
      </c>
      <c r="AG21">
        <v>4.723798521478275E-3</v>
      </c>
      <c r="AH21">
        <v>3.2305319960205491E-2</v>
      </c>
      <c r="AI21">
        <v>-1.4454537577427498E-2</v>
      </c>
      <c r="AJ21">
        <v>-1.1874261378703652E-2</v>
      </c>
      <c r="AK21">
        <v>9.0940158912407153E-3</v>
      </c>
      <c r="AL21">
        <v>3.3473437985712708E-2</v>
      </c>
      <c r="AM21">
        <v>-1.7369024714076978E-2</v>
      </c>
      <c r="AN21">
        <v>-1.6863512231250675E-2</v>
      </c>
      <c r="AO21">
        <v>1.7805676592504004E-3</v>
      </c>
      <c r="AP21">
        <v>3.378578318273795E-2</v>
      </c>
      <c r="AQ21">
        <v>-1.8730913742674327E-2</v>
      </c>
      <c r="AR21">
        <v>-1.965211033720304E-2</v>
      </c>
      <c r="AS21">
        <v>5.3328038640376709E-3</v>
      </c>
      <c r="AT21">
        <v>3.3944114304626613E-2</v>
      </c>
      <c r="AU21">
        <v>-1.9778936588879727E-2</v>
      </c>
      <c r="AV21">
        <v>-2.18406716674353E-2</v>
      </c>
      <c r="AW21">
        <v>2.6336017093427284E-3</v>
      </c>
      <c r="AX21">
        <v>3.5828169489228741E-2</v>
      </c>
      <c r="AY21">
        <v>-2.2645684464869743E-2</v>
      </c>
      <c r="AZ21">
        <v>-2.6752970995070912E-2</v>
      </c>
      <c r="BA21">
        <v>-6.3531040046707283E-3</v>
      </c>
      <c r="BB21">
        <v>3.7313995724055297E-2</v>
      </c>
      <c r="BC21">
        <v>-2.4996725752301056E-2</v>
      </c>
      <c r="BD21">
        <v>-3.1381981979590426E-2</v>
      </c>
      <c r="BE21">
        <v>-8.4108162232417877E-3</v>
      </c>
      <c r="BF21">
        <v>3.8083331626803364E-2</v>
      </c>
      <c r="BG21">
        <v>-2.7096312043333213E-2</v>
      </c>
      <c r="BH21">
        <v>-3.4997849073116358E-2</v>
      </c>
      <c r="BI21">
        <v>-7.7996262128878068E-3</v>
      </c>
      <c r="BJ21">
        <v>3.8371997633770735E-2</v>
      </c>
      <c r="BK21">
        <v>-2.8070742142511498E-2</v>
      </c>
      <c r="BL21">
        <v>-3.6209680538611407E-2</v>
      </c>
      <c r="BM21">
        <v>-1.0027393199492292E-2</v>
      </c>
      <c r="BN21">
        <v>3.9186560835205324E-2</v>
      </c>
      <c r="BO21">
        <v>-2.9151228270359222E-2</v>
      </c>
      <c r="BP21">
        <v>-3.8298838949387931E-2</v>
      </c>
      <c r="BQ21">
        <v>-1.3339868172188841E-2</v>
      </c>
      <c r="BR21">
        <v>3.9275340647110822E-2</v>
      </c>
      <c r="BS21">
        <v>-2.970463953051369E-2</v>
      </c>
      <c r="BT21">
        <v>-3.9625212445523757E-2</v>
      </c>
      <c r="BU21">
        <v>-1.0117589772334559E-2</v>
      </c>
    </row>
    <row r="22" spans="1:73" ht="14.4" x14ac:dyDescent="0.55000000000000004">
      <c r="A22" s="1">
        <v>43341</v>
      </c>
      <c r="B22">
        <v>2.2537999999999999E-2</v>
      </c>
      <c r="C22">
        <v>2.3074000000000001E-2</v>
      </c>
      <c r="D22">
        <v>2.4804E-2</v>
      </c>
      <c r="E22">
        <v>2.7161000000000001E-2</v>
      </c>
      <c r="F22">
        <v>2.7541E-2</v>
      </c>
      <c r="G22">
        <v>2.7871E-2</v>
      </c>
      <c r="H22">
        <v>2.8989000000000001E-2</v>
      </c>
      <c r="I22">
        <v>2.9454999999999999E-2</v>
      </c>
      <c r="J22">
        <v>3.0380999999999998E-2</v>
      </c>
      <c r="K22">
        <v>3.0485999999999999E-2</v>
      </c>
      <c r="L22">
        <v>3.0762000000000001E-2</v>
      </c>
      <c r="M22">
        <v>3.0404E-2</v>
      </c>
      <c r="N22">
        <v>3.074224899848069E-2</v>
      </c>
      <c r="O22">
        <v>-9.4989912690111294E-3</v>
      </c>
      <c r="P22">
        <v>-3.857223882730485E-3</v>
      </c>
      <c r="Q22">
        <v>6.4180449443374437E-3</v>
      </c>
      <c r="R22">
        <f t="shared" si="1"/>
        <v>2.183312912321269E-2</v>
      </c>
      <c r="S22">
        <f t="shared" si="1"/>
        <v>2.2397831916279171E-2</v>
      </c>
      <c r="T22">
        <f t="shared" si="1"/>
        <v>2.3447031100450912E-2</v>
      </c>
      <c r="U22">
        <f t="shared" si="1"/>
        <v>2.5224103839177572E-2</v>
      </c>
      <c r="V22">
        <f t="shared" si="1"/>
        <v>2.6615121222890826E-2</v>
      </c>
      <c r="W22">
        <f t="shared" si="1"/>
        <v>2.8529159620764844E-2</v>
      </c>
      <c r="X22">
        <f t="shared" si="1"/>
        <v>2.9693735353626266E-2</v>
      </c>
      <c r="Y22">
        <f t="shared" si="1"/>
        <v>3.0687116606670624E-2</v>
      </c>
      <c r="Z22">
        <f t="shared" si="1"/>
        <v>3.1416346706587522E-2</v>
      </c>
      <c r="AA22">
        <f t="shared" si="1"/>
        <v>3.166229870197481E-2</v>
      </c>
      <c r="AB22">
        <f t="shared" si="1"/>
        <v>3.1713572081365077E-2</v>
      </c>
      <c r="AC22">
        <f t="shared" si="1"/>
        <v>3.1683765029907038E-2</v>
      </c>
      <c r="AD22">
        <v>3.1477934289482846E-2</v>
      </c>
      <c r="AE22">
        <v>-1.1685998104345991E-2</v>
      </c>
      <c r="AF22">
        <v>-7.3004302693571894E-3</v>
      </c>
      <c r="AG22">
        <v>2.3459543604003306E-3</v>
      </c>
      <c r="AH22">
        <v>3.2301908289116811E-2</v>
      </c>
      <c r="AI22">
        <v>-1.4014550645558625E-2</v>
      </c>
      <c r="AJ22">
        <v>-1.3008447570621938E-2</v>
      </c>
      <c r="AK22">
        <v>4.2255457357795569E-3</v>
      </c>
      <c r="AL22">
        <v>3.282909384305082E-2</v>
      </c>
      <c r="AM22">
        <v>-1.5523953606631719E-2</v>
      </c>
      <c r="AN22">
        <v>-1.4673444578851159E-2</v>
      </c>
      <c r="AO22">
        <v>8.9122123576692545E-3</v>
      </c>
      <c r="AP22">
        <v>3.3984828879841292E-2</v>
      </c>
      <c r="AQ22">
        <v>-1.8337931089885406E-2</v>
      </c>
      <c r="AR22">
        <v>-1.9236592328565991E-2</v>
      </c>
      <c r="AS22">
        <v>1.7799361475873546E-3</v>
      </c>
      <c r="AT22">
        <v>3.4267941795371092E-2</v>
      </c>
      <c r="AU22">
        <v>-1.9668064110210014E-2</v>
      </c>
      <c r="AV22">
        <v>-2.1858006152520353E-2</v>
      </c>
      <c r="AW22">
        <v>5.0537007068882879E-3</v>
      </c>
      <c r="AX22">
        <v>3.4521467289921594E-2</v>
      </c>
      <c r="AY22">
        <v>-2.0787121886142554E-2</v>
      </c>
      <c r="AZ22">
        <v>-2.3883344133420706E-2</v>
      </c>
      <c r="BA22">
        <v>2.1921426806916352E-3</v>
      </c>
      <c r="BB22">
        <v>3.6245818460683234E-2</v>
      </c>
      <c r="BC22">
        <v>-2.3418469602784826E-2</v>
      </c>
      <c r="BD22">
        <v>-2.8324315664273767E-2</v>
      </c>
      <c r="BE22">
        <v>-6.1954395081358646E-3</v>
      </c>
      <c r="BF22">
        <v>3.7576088430293766E-2</v>
      </c>
      <c r="BG22">
        <v>-2.5593321279424874E-2</v>
      </c>
      <c r="BH22">
        <v>-3.2569524731312728E-2</v>
      </c>
      <c r="BI22">
        <v>-8.0341154104617736E-3</v>
      </c>
      <c r="BJ22">
        <v>3.8254282149763473E-2</v>
      </c>
      <c r="BK22">
        <v>-2.7560826926769279E-2</v>
      </c>
      <c r="BL22">
        <v>-3.5920497391970181E-2</v>
      </c>
      <c r="BM22">
        <v>-7.4490602704850514E-3</v>
      </c>
      <c r="BN22">
        <v>3.8519677721297524E-2</v>
      </c>
      <c r="BO22">
        <v>-2.846445835084916E-2</v>
      </c>
      <c r="BP22">
        <v>-3.7024307326007123E-2</v>
      </c>
      <c r="BQ22">
        <v>-9.568973654762258E-3</v>
      </c>
      <c r="BR22">
        <v>3.9268255028803802E-2</v>
      </c>
      <c r="BS22">
        <v>-2.9461848682189092E-2</v>
      </c>
      <c r="BT22">
        <v>-3.8916351173456619E-2</v>
      </c>
      <c r="BU22">
        <v>-1.2656822739245602E-2</v>
      </c>
    </row>
    <row r="23" spans="1:73" ht="14.4" x14ac:dyDescent="0.55000000000000004">
      <c r="A23" s="1">
        <v>43369</v>
      </c>
      <c r="B23">
        <v>2.3203000000000001E-2</v>
      </c>
      <c r="C23">
        <v>2.3831000000000001E-2</v>
      </c>
      <c r="D23">
        <v>2.5881999999999999E-2</v>
      </c>
      <c r="E23">
        <v>2.8562000000000001E-2</v>
      </c>
      <c r="F23">
        <v>2.9082E-2</v>
      </c>
      <c r="G23">
        <v>2.9668E-2</v>
      </c>
      <c r="H23">
        <v>3.0668999999999998E-2</v>
      </c>
      <c r="I23">
        <v>3.1475999999999997E-2</v>
      </c>
      <c r="J23">
        <v>3.2092000000000002E-2</v>
      </c>
      <c r="K23">
        <v>3.2277E-2</v>
      </c>
      <c r="L23">
        <v>3.2425000000000002E-2</v>
      </c>
      <c r="M23">
        <v>3.1979E-2</v>
      </c>
      <c r="N23">
        <v>3.2221203028600605E-2</v>
      </c>
      <c r="O23">
        <v>-1.0940733138800778E-2</v>
      </c>
      <c r="P23">
        <v>-2.5488659095655357E-3</v>
      </c>
      <c r="Q23">
        <v>-2.1188478236896266E-3</v>
      </c>
      <c r="R23">
        <f t="shared" ref="R23:AC32" si="2">$N23+$O23*((1-EXP(-0.0597760632423479*R$2))/(0.0597760632423479*R$2))+$P23*((1-EXP(-0.0597760632423479*R$2))/(0.0597760632423479*R$2)-EXP(-0.0597760632423479*R$2))+$Q23*((1-EXP(-0.00996267604057902*R$2))/(0.00996267604057902*R$2)-EXP(-0.00996267604057902*R$2))</f>
        <v>2.1971346442811481E-2</v>
      </c>
      <c r="S23">
        <f t="shared" si="2"/>
        <v>2.2605456011398975E-2</v>
      </c>
      <c r="T23">
        <f t="shared" si="2"/>
        <v>2.3720834005787499E-2</v>
      </c>
      <c r="U23">
        <f t="shared" si="2"/>
        <v>2.5448955261691799E-2</v>
      </c>
      <c r="V23">
        <f t="shared" si="2"/>
        <v>2.6677476480480595E-2</v>
      </c>
      <c r="W23">
        <f t="shared" si="2"/>
        <v>2.8205314856666108E-2</v>
      </c>
      <c r="X23">
        <f t="shared" si="2"/>
        <v>2.9051392953311744E-2</v>
      </c>
      <c r="Y23">
        <f t="shared" si="2"/>
        <v>2.974896296902969E-2</v>
      </c>
      <c r="Z23">
        <f t="shared" si="2"/>
        <v>3.033524917317526E-2</v>
      </c>
      <c r="AA23">
        <f t="shared" si="2"/>
        <v>3.066981834719109E-2</v>
      </c>
      <c r="AB23">
        <f t="shared" si="2"/>
        <v>3.0902416744006355E-2</v>
      </c>
      <c r="AC23">
        <f t="shared" si="2"/>
        <v>3.1078609574870825E-2</v>
      </c>
      <c r="AD23">
        <v>3.1486487777210977E-2</v>
      </c>
      <c r="AE23">
        <v>-1.090538633830004E-2</v>
      </c>
      <c r="AF23">
        <v>-7.2285057414834212E-3</v>
      </c>
      <c r="AG23">
        <v>6.3357180174053512E-3</v>
      </c>
      <c r="AH23">
        <v>3.2196210949684619E-2</v>
      </c>
      <c r="AI23">
        <v>-1.2991686727775507E-2</v>
      </c>
      <c r="AJ23">
        <v>-1.0387204422558046E-2</v>
      </c>
      <c r="AK23">
        <v>2.367292598861754E-3</v>
      </c>
      <c r="AL23">
        <v>3.3054930736298484E-2</v>
      </c>
      <c r="AM23">
        <v>-1.5374852056408215E-2</v>
      </c>
      <c r="AN23">
        <v>-1.570893052821672E-2</v>
      </c>
      <c r="AO23">
        <v>3.7879021104523622E-3</v>
      </c>
      <c r="AP23">
        <v>3.3367159463083877E-2</v>
      </c>
      <c r="AQ23">
        <v>-1.6622563491014805E-2</v>
      </c>
      <c r="AR23">
        <v>-1.7269626692110612E-2</v>
      </c>
      <c r="AS23">
        <v>8.5754485892304833E-3</v>
      </c>
      <c r="AT23">
        <v>3.4483006885338882E-2</v>
      </c>
      <c r="AU23">
        <v>-1.9302810794354395E-2</v>
      </c>
      <c r="AV23">
        <v>-2.1434661514314831E-2</v>
      </c>
      <c r="AW23">
        <v>1.6927298959023823E-3</v>
      </c>
      <c r="AX23">
        <v>3.4737301615324422E-2</v>
      </c>
      <c r="AY23">
        <v>-2.0596659372575033E-2</v>
      </c>
      <c r="AZ23">
        <v>-2.3898814751688972E-2</v>
      </c>
      <c r="BA23">
        <v>4.7102785769595279E-3</v>
      </c>
      <c r="BB23">
        <v>3.5044122313746637E-2</v>
      </c>
      <c r="BC23">
        <v>-2.1734138968359188E-2</v>
      </c>
      <c r="BD23">
        <v>-2.5764168553947003E-2</v>
      </c>
      <c r="BE23">
        <v>1.7912882306243788E-3</v>
      </c>
      <c r="BF23">
        <v>3.6619517127410559E-2</v>
      </c>
      <c r="BG23">
        <v>-2.4143923282177054E-2</v>
      </c>
      <c r="BH23">
        <v>-2.9775943790666032E-2</v>
      </c>
      <c r="BI23">
        <v>-6.0306526572658928E-3</v>
      </c>
      <c r="BJ23">
        <v>3.7812280639589836E-2</v>
      </c>
      <c r="BK23">
        <v>-2.6160029366976943E-2</v>
      </c>
      <c r="BL23">
        <v>-3.367116743418392E-2</v>
      </c>
      <c r="BM23">
        <v>-7.68275077497922E-3</v>
      </c>
      <c r="BN23">
        <v>3.8411963802523812E-2</v>
      </c>
      <c r="BO23">
        <v>-2.8008315800606341E-2</v>
      </c>
      <c r="BP23">
        <v>-3.6778563696668404E-2</v>
      </c>
      <c r="BQ23">
        <v>-7.1363228723270652E-3</v>
      </c>
      <c r="BR23">
        <v>3.8655514356252356E-2</v>
      </c>
      <c r="BS23">
        <v>-2.8845035098757958E-2</v>
      </c>
      <c r="BT23">
        <v>-3.7783164669578942E-2</v>
      </c>
      <c r="BU23">
        <v>-9.1517815545766913E-3</v>
      </c>
    </row>
    <row r="24" spans="1:73" ht="14.4" x14ac:dyDescent="0.55000000000000004">
      <c r="A24" s="1">
        <v>43404</v>
      </c>
      <c r="B24">
        <v>2.4674000000000001E-2</v>
      </c>
      <c r="C24">
        <v>2.5087999999999999E-2</v>
      </c>
      <c r="D24">
        <v>2.6533999999999999E-2</v>
      </c>
      <c r="E24">
        <v>2.9197000000000001E-2</v>
      </c>
      <c r="F24">
        <v>2.9572000000000001E-2</v>
      </c>
      <c r="G24">
        <v>3.0349000000000001E-2</v>
      </c>
      <c r="H24">
        <v>3.1319E-2</v>
      </c>
      <c r="I24">
        <v>3.2698999999999999E-2</v>
      </c>
      <c r="J24">
        <v>3.3547E-2</v>
      </c>
      <c r="K24">
        <v>3.4144000000000001E-2</v>
      </c>
      <c r="L24">
        <v>3.4778000000000003E-2</v>
      </c>
      <c r="M24">
        <v>3.4264000000000003E-2</v>
      </c>
      <c r="N24">
        <v>3.2444997897034755E-2</v>
      </c>
      <c r="O24">
        <v>-1.0694796302008112E-2</v>
      </c>
      <c r="P24">
        <v>-8.7458301765264211E-4</v>
      </c>
      <c r="Q24">
        <v>2.2062406711597505E-3</v>
      </c>
      <c r="R24">
        <f t="shared" si="2"/>
        <v>2.2616975055198697E-2</v>
      </c>
      <c r="S24">
        <f t="shared" si="2"/>
        <v>2.3397399763391818E-2</v>
      </c>
      <c r="T24">
        <f t="shared" si="2"/>
        <v>2.4736740012670195E-2</v>
      </c>
      <c r="U24">
        <f t="shared" si="2"/>
        <v>2.6735169652781943E-2</v>
      </c>
      <c r="V24">
        <f t="shared" si="2"/>
        <v>2.8108085931444465E-2</v>
      </c>
      <c r="W24">
        <f t="shared" si="2"/>
        <v>2.9779993289297722E-2</v>
      </c>
      <c r="X24">
        <f t="shared" si="2"/>
        <v>3.0701024411983344E-2</v>
      </c>
      <c r="Y24">
        <f t="shared" si="2"/>
        <v>3.1453634106188601E-2</v>
      </c>
      <c r="Z24">
        <f t="shared" si="2"/>
        <v>3.2028186054847529E-2</v>
      </c>
      <c r="AA24">
        <f t="shared" si="2"/>
        <v>3.2274864601385303E-2</v>
      </c>
      <c r="AB24">
        <f t="shared" si="2"/>
        <v>3.2389771267150869E-2</v>
      </c>
      <c r="AC24">
        <f t="shared" si="2"/>
        <v>3.2444379026894184E-2</v>
      </c>
      <c r="AD24">
        <v>3.2492511375908563E-2</v>
      </c>
      <c r="AE24">
        <v>-1.1696897501367444E-2</v>
      </c>
      <c r="AF24">
        <v>-5.8546944144826276E-3</v>
      </c>
      <c r="AG24">
        <v>-6.7114480519808229E-4</v>
      </c>
      <c r="AH24">
        <v>3.2206028497743774E-2</v>
      </c>
      <c r="AI24">
        <v>-1.2297497502758733E-2</v>
      </c>
      <c r="AJ24">
        <v>-1.0349513978431282E-2</v>
      </c>
      <c r="AK24">
        <v>6.1472196272763305E-3</v>
      </c>
      <c r="AL24">
        <v>3.2879418313988058E-2</v>
      </c>
      <c r="AM24">
        <v>-1.4271481685127964E-2</v>
      </c>
      <c r="AN24">
        <v>-1.3243392771012916E-2</v>
      </c>
      <c r="AO24">
        <v>2.3125100908120196E-3</v>
      </c>
      <c r="AP24">
        <v>3.373284651882219E-2</v>
      </c>
      <c r="AQ24">
        <v>-1.6649309741631087E-2</v>
      </c>
      <c r="AR24">
        <v>-1.819685445487524E-2</v>
      </c>
      <c r="AS24">
        <v>3.4011203217959962E-3</v>
      </c>
      <c r="AT24">
        <v>3.3897901170027514E-2</v>
      </c>
      <c r="AU24">
        <v>-1.7718489977278044E-2</v>
      </c>
      <c r="AV24">
        <v>-1.9673072719651751E-2</v>
      </c>
      <c r="AW24">
        <v>8.1467954248958026E-3</v>
      </c>
      <c r="AX24">
        <v>3.4957682801948352E-2</v>
      </c>
      <c r="AY24">
        <v>-2.0246767912073166E-2</v>
      </c>
      <c r="AZ24">
        <v>-2.3468405021979579E-2</v>
      </c>
      <c r="BA24">
        <v>1.5532059965256166E-3</v>
      </c>
      <c r="BB24">
        <v>3.5184417916032683E-2</v>
      </c>
      <c r="BC24">
        <v>-2.150152006805775E-2</v>
      </c>
      <c r="BD24">
        <v>-2.5784771990927595E-2</v>
      </c>
      <c r="BE24">
        <v>4.3334029314636494E-3</v>
      </c>
      <c r="BF24">
        <v>3.5516609086589608E-2</v>
      </c>
      <c r="BG24">
        <v>-2.2623117816693752E-2</v>
      </c>
      <c r="BH24">
        <v>-2.7496405953135714E-2</v>
      </c>
      <c r="BI24">
        <v>1.4266822220869813E-3</v>
      </c>
      <c r="BJ24">
        <v>3.6954072547692715E-2</v>
      </c>
      <c r="BK24">
        <v>-2.4825831322872159E-2</v>
      </c>
      <c r="BL24">
        <v>-3.1117709653068922E-2</v>
      </c>
      <c r="BM24">
        <v>-5.8637736218362206E-3</v>
      </c>
      <c r="BN24">
        <v>3.8024765579341077E-2</v>
      </c>
      <c r="BO24">
        <v>-2.6697952985298257E-2</v>
      </c>
      <c r="BP24">
        <v>-3.4693451967479395E-2</v>
      </c>
      <c r="BQ24">
        <v>-7.3559708014747571E-3</v>
      </c>
      <c r="BR24">
        <v>3.8556291202669214E-2</v>
      </c>
      <c r="BS24">
        <v>-2.8437451121473882E-2</v>
      </c>
      <c r="BT24">
        <v>-3.7576478612637527E-2</v>
      </c>
      <c r="BU24">
        <v>-6.8561440171804981E-3</v>
      </c>
    </row>
    <row r="25" spans="1:73" ht="14.4" x14ac:dyDescent="0.55000000000000004">
      <c r="A25" s="1">
        <v>43432</v>
      </c>
      <c r="B25">
        <v>2.4826000000000001E-2</v>
      </c>
      <c r="C25">
        <v>2.5239000000000001E-2</v>
      </c>
      <c r="D25">
        <v>2.6467999999999998E-2</v>
      </c>
      <c r="E25">
        <v>2.8608000000000001E-2</v>
      </c>
      <c r="F25">
        <v>2.8832E-2</v>
      </c>
      <c r="G25">
        <v>2.9387E-2</v>
      </c>
      <c r="H25">
        <v>3.0363000000000001E-2</v>
      </c>
      <c r="I25">
        <v>3.1906999999999998E-2</v>
      </c>
      <c r="J25">
        <v>3.2902000000000001E-2</v>
      </c>
      <c r="K25">
        <v>3.3645000000000001E-2</v>
      </c>
      <c r="L25">
        <v>3.4477000000000001E-2</v>
      </c>
      <c r="M25">
        <v>3.4053E-2</v>
      </c>
      <c r="N25">
        <v>3.6837559062382681E-2</v>
      </c>
      <c r="O25">
        <v>-1.3196411979789413E-2</v>
      </c>
      <c r="P25">
        <v>-7.1405711654510939E-3</v>
      </c>
      <c r="Q25">
        <v>-5.1916039115854585E-3</v>
      </c>
      <c r="R25">
        <f t="shared" si="2"/>
        <v>2.4112048121320478E-2</v>
      </c>
      <c r="S25">
        <f t="shared" si="2"/>
        <v>2.45873994653442E-2</v>
      </c>
      <c r="T25">
        <f t="shared" si="2"/>
        <v>2.5521653035087414E-2</v>
      </c>
      <c r="U25">
        <f t="shared" si="2"/>
        <v>2.7209342170624269E-2</v>
      </c>
      <c r="V25">
        <f t="shared" si="2"/>
        <v>2.8580204334991345E-2</v>
      </c>
      <c r="W25">
        <f t="shared" si="2"/>
        <v>3.0469685528539712E-2</v>
      </c>
      <c r="X25">
        <f t="shared" si="2"/>
        <v>3.1592405981121237E-2</v>
      </c>
      <c r="Y25">
        <f t="shared" si="2"/>
        <v>3.2552023249388551E-2</v>
      </c>
      <c r="Z25">
        <f t="shared" si="2"/>
        <v>3.3398334902411876E-2</v>
      </c>
      <c r="AA25">
        <f t="shared" si="2"/>
        <v>3.3922665673811005E-2</v>
      </c>
      <c r="AB25">
        <f t="shared" si="2"/>
        <v>3.4315316283883658E-2</v>
      </c>
      <c r="AC25">
        <f t="shared" si="2"/>
        <v>3.4628849331804441E-2</v>
      </c>
      <c r="AD25">
        <v>3.2464390125085452E-2</v>
      </c>
      <c r="AE25">
        <v>-1.1184055683546003E-2</v>
      </c>
      <c r="AF25">
        <v>-4.2991679060373975E-3</v>
      </c>
      <c r="AG25">
        <v>4.0257565265433776E-3</v>
      </c>
      <c r="AH25">
        <v>3.2887576198895221E-2</v>
      </c>
      <c r="AI25">
        <v>-1.2639039399721243E-2</v>
      </c>
      <c r="AJ25">
        <v>-8.9531134942265507E-3</v>
      </c>
      <c r="AK25">
        <v>2.7855446684210824E-4</v>
      </c>
      <c r="AL25">
        <v>3.2888124286357109E-2</v>
      </c>
      <c r="AM25">
        <v>-1.3653840203144169E-2</v>
      </c>
      <c r="AN25">
        <v>-1.3236001474622101E-2</v>
      </c>
      <c r="AO25">
        <v>5.8964601773485066E-3</v>
      </c>
      <c r="AP25">
        <v>3.35197184102385E-2</v>
      </c>
      <c r="AQ25">
        <v>-1.5510447585963424E-2</v>
      </c>
      <c r="AR25">
        <v>-1.5884381467050009E-2</v>
      </c>
      <c r="AS25">
        <v>2.2126453187985315E-3</v>
      </c>
      <c r="AT25">
        <v>3.4342998881117415E-2</v>
      </c>
      <c r="AU25">
        <v>-1.7843843916829839E-2</v>
      </c>
      <c r="AV25">
        <v>-2.0489821698732182E-2</v>
      </c>
      <c r="AW25">
        <v>3.0567177864322661E-3</v>
      </c>
      <c r="AX25">
        <v>3.4407991929817042E-2</v>
      </c>
      <c r="AY25">
        <v>-1.879116035631195E-2</v>
      </c>
      <c r="AZ25">
        <v>-2.1895173049506604E-2</v>
      </c>
      <c r="BA25">
        <v>7.6680664029478126E-3</v>
      </c>
      <c r="BB25">
        <v>3.5403123799872059E-2</v>
      </c>
      <c r="BC25">
        <v>-2.11592822950935E-2</v>
      </c>
      <c r="BD25">
        <v>-2.5348731197423785E-2</v>
      </c>
      <c r="BE25">
        <v>1.3837450519472118E-3</v>
      </c>
      <c r="BF25">
        <v>3.5604042825767179E-2</v>
      </c>
      <c r="BG25">
        <v>-2.2373316514937843E-2</v>
      </c>
      <c r="BH25">
        <v>-2.7526287385693543E-2</v>
      </c>
      <c r="BI25">
        <v>3.9430151078234778E-3</v>
      </c>
      <c r="BJ25">
        <v>3.5943281974958816E-2</v>
      </c>
      <c r="BK25">
        <v>-2.3457297348857379E-2</v>
      </c>
      <c r="BL25">
        <v>-2.9092229975592177E-2</v>
      </c>
      <c r="BM25">
        <v>1.0939998298678526E-3</v>
      </c>
      <c r="BN25">
        <v>3.7253694508681857E-2</v>
      </c>
      <c r="BO25">
        <v>-2.5467487762416186E-2</v>
      </c>
      <c r="BP25">
        <v>-3.235856254421899E-2</v>
      </c>
      <c r="BQ25">
        <v>-5.6987275856344635E-3</v>
      </c>
      <c r="BR25">
        <v>3.8215654341088541E-2</v>
      </c>
      <c r="BS25">
        <v>-2.7208304249171478E-2</v>
      </c>
      <c r="BT25">
        <v>-3.5642407528228219E-2</v>
      </c>
      <c r="BU25">
        <v>-7.0531732915388714E-3</v>
      </c>
    </row>
    <row r="26" spans="1:73" ht="14.4" x14ac:dyDescent="0.55000000000000004">
      <c r="A26" s="1">
        <v>43460</v>
      </c>
      <c r="B26">
        <v>2.5100000000000001E-2</v>
      </c>
      <c r="C26">
        <v>2.5295000000000002E-2</v>
      </c>
      <c r="D26">
        <v>2.6020999999999999E-2</v>
      </c>
      <c r="E26">
        <v>2.6762999999999999E-2</v>
      </c>
      <c r="F26">
        <v>2.6599000000000001E-2</v>
      </c>
      <c r="G26">
        <v>2.6747E-2</v>
      </c>
      <c r="H26">
        <v>2.8086E-2</v>
      </c>
      <c r="I26">
        <v>2.9361999999999999E-2</v>
      </c>
      <c r="J26">
        <v>3.0131000000000002E-2</v>
      </c>
      <c r="K26">
        <v>3.0785E-2</v>
      </c>
      <c r="L26">
        <v>3.1619000000000001E-2</v>
      </c>
      <c r="M26">
        <v>3.116E-2</v>
      </c>
      <c r="N26">
        <v>3.8364498878822692E-2</v>
      </c>
      <c r="O26">
        <v>-1.4166825040658717E-2</v>
      </c>
      <c r="P26">
        <v>-1.0300339634350569E-2</v>
      </c>
      <c r="Q26">
        <v>-1.12103263995629E-2</v>
      </c>
      <c r="R26">
        <f t="shared" si="2"/>
        <v>2.4410818986094689E-2</v>
      </c>
      <c r="S26">
        <f t="shared" si="2"/>
        <v>2.4678253260375999E-2</v>
      </c>
      <c r="T26">
        <f t="shared" si="2"/>
        <v>2.5310745823013979E-2</v>
      </c>
      <c r="U26">
        <f t="shared" si="2"/>
        <v>2.6681287554876393E-2</v>
      </c>
      <c r="V26">
        <f t="shared" si="2"/>
        <v>2.7925464878509075E-2</v>
      </c>
      <c r="W26">
        <f t="shared" si="2"/>
        <v>2.9744470591547792E-2</v>
      </c>
      <c r="X26">
        <f t="shared" si="2"/>
        <v>3.0852188305591072E-2</v>
      </c>
      <c r="Y26">
        <f t="shared" si="2"/>
        <v>3.1815728655573292E-2</v>
      </c>
      <c r="Z26">
        <f t="shared" si="2"/>
        <v>3.2745352188614504E-2</v>
      </c>
      <c r="AA26">
        <f t="shared" si="2"/>
        <v>3.342584741851784E-2</v>
      </c>
      <c r="AB26">
        <f t="shared" si="2"/>
        <v>3.4002601737184751E-2</v>
      </c>
      <c r="AC26">
        <f t="shared" si="2"/>
        <v>3.4498881470233625E-2</v>
      </c>
      <c r="AD26">
        <v>3.6215052243669735E-2</v>
      </c>
      <c r="AE26">
        <v>-1.3118089007085132E-2</v>
      </c>
      <c r="AF26">
        <v>-9.8886061757312849E-3</v>
      </c>
      <c r="AG26">
        <v>-1.8657170023252774E-3</v>
      </c>
      <c r="AH26">
        <v>3.2699798544483447E-2</v>
      </c>
      <c r="AI26">
        <v>-1.1975624873103953E-2</v>
      </c>
      <c r="AJ26">
        <v>-7.5265921088215667E-3</v>
      </c>
      <c r="AK26">
        <v>5.1273622508573591E-3</v>
      </c>
      <c r="AL26">
        <v>3.3347873359542375E-2</v>
      </c>
      <c r="AM26">
        <v>-1.3685145671106323E-2</v>
      </c>
      <c r="AN26">
        <v>-1.1845689139558076E-2</v>
      </c>
      <c r="AO26">
        <v>8.8954590309354889E-4</v>
      </c>
      <c r="AP26">
        <v>3.3525924739540136E-2</v>
      </c>
      <c r="AQ26">
        <v>-1.496122754047953E-2</v>
      </c>
      <c r="AR26">
        <v>-1.5903858579360049E-2</v>
      </c>
      <c r="AS26">
        <v>5.6119196015563463E-3</v>
      </c>
      <c r="AT26">
        <v>3.4113504823051082E-2</v>
      </c>
      <c r="AU26">
        <v>-1.6699736739086056E-2</v>
      </c>
      <c r="AV26">
        <v>-1.8325333273727051E-2</v>
      </c>
      <c r="AW26">
        <v>2.0875169686756802E-3</v>
      </c>
      <c r="AX26">
        <v>3.4892043110165971E-2</v>
      </c>
      <c r="AY26">
        <v>-1.8963924071083334E-2</v>
      </c>
      <c r="AZ26">
        <v>-2.2603892788501122E-2</v>
      </c>
      <c r="BA26">
        <v>2.7473547770257259E-3</v>
      </c>
      <c r="BB26">
        <v>3.488970266828656E-2</v>
      </c>
      <c r="BC26">
        <v>-1.9827737683270959E-2</v>
      </c>
      <c r="BD26">
        <v>-2.3947731241542869E-2</v>
      </c>
      <c r="BE26">
        <v>7.1665646229995541E-3</v>
      </c>
      <c r="BF26">
        <v>3.5816626527660808E-2</v>
      </c>
      <c r="BG26">
        <v>-2.2034170130328896E-2</v>
      </c>
      <c r="BH26">
        <v>-2.7086401757218773E-2</v>
      </c>
      <c r="BI26">
        <v>1.1986867060173891E-3</v>
      </c>
      <c r="BJ26">
        <v>3.5993718154844236E-2</v>
      </c>
      <c r="BK26">
        <v>-2.3206690554127662E-2</v>
      </c>
      <c r="BL26">
        <v>-2.9133605667553252E-2</v>
      </c>
      <c r="BM26">
        <v>3.5516677472445372E-3</v>
      </c>
      <c r="BN26">
        <v>3.6328255426520559E-2</v>
      </c>
      <c r="BO26">
        <v>-2.4239907509546087E-2</v>
      </c>
      <c r="BP26">
        <v>-3.0562801537799406E-2</v>
      </c>
      <c r="BQ26">
        <v>7.8912664132490379E-4</v>
      </c>
      <c r="BR26">
        <v>3.7522091713599895E-2</v>
      </c>
      <c r="BS26">
        <v>-2.6071793328065834E-2</v>
      </c>
      <c r="BT26">
        <v>-3.3506643315133575E-2</v>
      </c>
      <c r="BU26">
        <v>-5.5385591538240093E-3</v>
      </c>
    </row>
    <row r="27" spans="1:73" ht="14.4" x14ac:dyDescent="0.55000000000000004">
      <c r="A27" s="1">
        <v>43495</v>
      </c>
      <c r="B27">
        <v>2.4419E-2</v>
      </c>
      <c r="C27">
        <v>2.4684999999999999E-2</v>
      </c>
      <c r="D27">
        <v>2.5713E-2</v>
      </c>
      <c r="E27">
        <v>2.5677999999999999E-2</v>
      </c>
      <c r="F27">
        <v>2.5551999999999998E-2</v>
      </c>
      <c r="G27">
        <v>2.5375999999999999E-2</v>
      </c>
      <c r="H27">
        <v>2.6627999999999999E-2</v>
      </c>
      <c r="I27">
        <v>2.8261999999999999E-2</v>
      </c>
      <c r="J27">
        <v>2.9463E-2</v>
      </c>
      <c r="K27">
        <v>3.0360000000000002E-2</v>
      </c>
      <c r="L27">
        <v>3.1642999999999998E-2</v>
      </c>
      <c r="M27">
        <v>3.1109000000000001E-2</v>
      </c>
      <c r="N27">
        <v>3.6098449708150002E-2</v>
      </c>
      <c r="O27">
        <v>-1.133918834379505E-2</v>
      </c>
      <c r="P27">
        <v>-1.2892505052914761E-2</v>
      </c>
      <c r="Q27">
        <v>-1.1591110926477648E-2</v>
      </c>
      <c r="R27">
        <f t="shared" si="2"/>
        <v>2.452137053052196E-2</v>
      </c>
      <c r="S27">
        <f t="shared" si="2"/>
        <v>2.4410061626215188E-2</v>
      </c>
      <c r="T27">
        <f t="shared" si="2"/>
        <v>2.4456860906423964E-2</v>
      </c>
      <c r="U27">
        <f t="shared" si="2"/>
        <v>2.5118862599090311E-2</v>
      </c>
      <c r="V27">
        <f t="shared" si="2"/>
        <v>2.6003519972843205E-2</v>
      </c>
      <c r="W27">
        <f t="shared" si="2"/>
        <v>2.7536858625435472E-2</v>
      </c>
      <c r="X27">
        <f t="shared" si="2"/>
        <v>2.8556767479838995E-2</v>
      </c>
      <c r="Y27">
        <f t="shared" si="2"/>
        <v>2.947752862173814E-2</v>
      </c>
      <c r="Z27">
        <f t="shared" si="2"/>
        <v>3.0387606328754025E-2</v>
      </c>
      <c r="AA27">
        <f t="shared" si="2"/>
        <v>3.1066390642555786E-2</v>
      </c>
      <c r="AB27">
        <f t="shared" si="2"/>
        <v>3.164786575330554E-2</v>
      </c>
      <c r="AC27">
        <f t="shared" si="2"/>
        <v>3.215109023088504E-2</v>
      </c>
      <c r="AD27">
        <v>3.7654741501160889E-2</v>
      </c>
      <c r="AE27">
        <v>-1.4039414100320845E-2</v>
      </c>
      <c r="AF27">
        <v>-1.2730534017717506E-2</v>
      </c>
      <c r="AG27">
        <v>-7.5005725151806278E-3</v>
      </c>
      <c r="AH27">
        <v>3.5936425224783519E-2</v>
      </c>
      <c r="AI27">
        <v>-1.348791927456288E-2</v>
      </c>
      <c r="AJ27">
        <v>-1.252774385474255E-2</v>
      </c>
      <c r="AK27">
        <v>4.189862221558201E-4</v>
      </c>
      <c r="AL27">
        <v>3.3063217440635714E-2</v>
      </c>
      <c r="AM27">
        <v>-1.2949090403407892E-2</v>
      </c>
      <c r="AN27">
        <v>-1.0550786970638699E-2</v>
      </c>
      <c r="AO27">
        <v>5.7437831062122791E-3</v>
      </c>
      <c r="AP27">
        <v>3.3834776388462176E-2</v>
      </c>
      <c r="AQ27">
        <v>-1.4779881814764938E-2</v>
      </c>
      <c r="AR27">
        <v>-1.4538515647780137E-2</v>
      </c>
      <c r="AS27">
        <v>1.2706845035939441E-3</v>
      </c>
      <c r="AT27">
        <v>3.4116482978862411E-2</v>
      </c>
      <c r="AU27">
        <v>-1.6212104070192055E-2</v>
      </c>
      <c r="AV27">
        <v>-1.8368643099596006E-2</v>
      </c>
      <c r="AW27">
        <v>5.3116562275012814E-3</v>
      </c>
      <c r="AX27">
        <v>3.4659933245249248E-2</v>
      </c>
      <c r="AY27">
        <v>-1.7834612165130322E-2</v>
      </c>
      <c r="AZ27">
        <v>-2.0580868048904535E-2</v>
      </c>
      <c r="BA27">
        <v>1.9494217561606881E-3</v>
      </c>
      <c r="BB27">
        <v>3.5386003935861207E-2</v>
      </c>
      <c r="BC27">
        <v>-2.0014599873484112E-2</v>
      </c>
      <c r="BD27">
        <v>-2.4553726282569775E-2</v>
      </c>
      <c r="BE27">
        <v>2.4667163743472028E-3</v>
      </c>
      <c r="BF27">
        <v>3.5339047001411411E-2</v>
      </c>
      <c r="BG27">
        <v>-2.082065007505925E-2</v>
      </c>
      <c r="BH27">
        <v>-2.5842502388594608E-2</v>
      </c>
      <c r="BI27">
        <v>6.6597422501521297E-3</v>
      </c>
      <c r="BJ27">
        <v>3.6197468631547235E-2</v>
      </c>
      <c r="BK27">
        <v>-2.2868174561879749E-2</v>
      </c>
      <c r="BL27">
        <v>-2.8691802283712074E-2</v>
      </c>
      <c r="BM27">
        <v>1.0069697727237263E-3</v>
      </c>
      <c r="BN27">
        <v>3.635280918786396E-2</v>
      </c>
      <c r="BO27">
        <v>-2.3998957979701582E-2</v>
      </c>
      <c r="BP27">
        <v>-3.0616597441689319E-2</v>
      </c>
      <c r="BQ27">
        <v>3.166958249953904E-3</v>
      </c>
      <c r="BR27">
        <v>3.6675370476788552E-2</v>
      </c>
      <c r="BS27">
        <v>-2.4974095079181042E-2</v>
      </c>
      <c r="BT27">
        <v>-3.1918344236854773E-2</v>
      </c>
      <c r="BU27">
        <v>5.0825982527365199E-4</v>
      </c>
    </row>
    <row r="28" spans="1:73" ht="14.4" x14ac:dyDescent="0.55000000000000004">
      <c r="A28" s="1">
        <v>43523</v>
      </c>
      <c r="B28">
        <v>2.4611000000000001E-2</v>
      </c>
      <c r="C28">
        <v>2.4799999999999999E-2</v>
      </c>
      <c r="D28">
        <v>2.5411E-2</v>
      </c>
      <c r="E28">
        <v>2.5579999999999999E-2</v>
      </c>
      <c r="F28">
        <v>2.5326999999999999E-2</v>
      </c>
      <c r="G28">
        <v>2.5588E-2</v>
      </c>
      <c r="H28">
        <v>2.6766999999999999E-2</v>
      </c>
      <c r="I28">
        <v>2.8240999999999999E-2</v>
      </c>
      <c r="J28">
        <v>2.9697999999999999E-2</v>
      </c>
      <c r="K28">
        <v>3.0630000000000001E-2</v>
      </c>
      <c r="L28">
        <v>3.1976999999999998E-2</v>
      </c>
      <c r="M28">
        <v>3.1454999999999997E-2</v>
      </c>
      <c r="N28">
        <v>3.8963811540534826E-2</v>
      </c>
      <c r="O28">
        <v>-1.4231704906192081E-2</v>
      </c>
      <c r="P28">
        <v>-1.703623703291E-2</v>
      </c>
      <c r="Q28">
        <v>-2.1867514595145437E-2</v>
      </c>
      <c r="R28">
        <f t="shared" si="2"/>
        <v>2.42582189906232E-2</v>
      </c>
      <c r="S28">
        <f t="shared" si="2"/>
        <v>2.396243184930422E-2</v>
      </c>
      <c r="T28">
        <f t="shared" si="2"/>
        <v>2.3755480035263357E-2</v>
      </c>
      <c r="U28">
        <f t="shared" si="2"/>
        <v>2.4185764257786888E-2</v>
      </c>
      <c r="V28">
        <f t="shared" si="2"/>
        <v>2.5004824134734063E-2</v>
      </c>
      <c r="W28">
        <f t="shared" si="2"/>
        <v>2.6526467949833935E-2</v>
      </c>
      <c r="X28">
        <f t="shared" si="2"/>
        <v>2.7546012427430558E-2</v>
      </c>
      <c r="Y28">
        <f t="shared" si="2"/>
        <v>2.8479850422331261E-2</v>
      </c>
      <c r="Z28">
        <f t="shared" si="2"/>
        <v>2.953238284817343E-2</v>
      </c>
      <c r="AA28">
        <f t="shared" si="2"/>
        <v>3.0477465589383648E-2</v>
      </c>
      <c r="AB28">
        <f t="shared" si="2"/>
        <v>3.1373063059352731E-2</v>
      </c>
      <c r="AC28">
        <f t="shared" si="2"/>
        <v>3.2188164928770011E-2</v>
      </c>
      <c r="AD28">
        <v>3.6460219862907796E-2</v>
      </c>
      <c r="AE28">
        <v>-1.2578969673866788E-2</v>
      </c>
      <c r="AF28">
        <v>-1.5300162735693484E-2</v>
      </c>
      <c r="AG28">
        <v>-1.0222833067069455E-2</v>
      </c>
      <c r="AH28">
        <v>3.7280429244866103E-2</v>
      </c>
      <c r="AI28">
        <v>-1.4344170902394208E-2</v>
      </c>
      <c r="AJ28">
        <v>-1.5078492365052898E-2</v>
      </c>
      <c r="AK28">
        <v>-4.8218099121024819E-3</v>
      </c>
      <c r="AL28">
        <v>3.5881204838191787E-2</v>
      </c>
      <c r="AM28">
        <v>-1.4144666111032513E-2</v>
      </c>
      <c r="AN28">
        <v>-1.5036825104688451E-2</v>
      </c>
      <c r="AO28">
        <v>1.9772531145932082E-3</v>
      </c>
      <c r="AP28">
        <v>3.3495644734495816E-2</v>
      </c>
      <c r="AQ28">
        <v>-1.4022641407556186E-2</v>
      </c>
      <c r="AR28">
        <v>-1.3372940965728573E-2</v>
      </c>
      <c r="AS28">
        <v>6.0345413322116306E-3</v>
      </c>
      <c r="AT28">
        <v>3.432329420401576E-2</v>
      </c>
      <c r="AU28">
        <v>-1.5886331952592089E-2</v>
      </c>
      <c r="AV28">
        <v>-1.7040402033920529E-2</v>
      </c>
      <c r="AW28">
        <v>1.4960579855745155E-3</v>
      </c>
      <c r="AX28">
        <v>3.4659388636987538E-2</v>
      </c>
      <c r="AY28">
        <v>-1.7402704313187353E-2</v>
      </c>
      <c r="AZ28">
        <v>-2.0645292610359522E-2</v>
      </c>
      <c r="BA28">
        <v>5.0067515699057053E-3</v>
      </c>
      <c r="BB28">
        <v>3.5159916965295739E-2</v>
      </c>
      <c r="BC28">
        <v>-1.8913084127855667E-2</v>
      </c>
      <c r="BD28">
        <v>-2.2664876115092027E-2</v>
      </c>
      <c r="BE28">
        <v>1.8056705112695656E-3</v>
      </c>
      <c r="BF28">
        <v>3.5830330196653021E-2</v>
      </c>
      <c r="BG28">
        <v>-2.1000532482754148E-2</v>
      </c>
      <c r="BH28">
        <v>-2.6352706153994779E-2</v>
      </c>
      <c r="BI28">
        <v>2.2094008040732492E-3</v>
      </c>
      <c r="BJ28">
        <v>3.5754505451705089E-2</v>
      </c>
      <c r="BK28">
        <v>-2.176588262801608E-2</v>
      </c>
      <c r="BL28">
        <v>-2.7590902579025699E-2</v>
      </c>
      <c r="BM28">
        <v>6.1584118467612877E-3</v>
      </c>
      <c r="BN28">
        <v>3.6546191727796919E-2</v>
      </c>
      <c r="BO28">
        <v>-2.3659993620930436E-2</v>
      </c>
      <c r="BP28">
        <v>-3.0174807633816678E-2</v>
      </c>
      <c r="BQ28">
        <v>8.1394400295419574E-4</v>
      </c>
      <c r="BR28">
        <v>3.6681843978756158E-2</v>
      </c>
      <c r="BS28">
        <v>-2.4749213988583135E-2</v>
      </c>
      <c r="BT28">
        <v>-3.1984637178502175E-2</v>
      </c>
      <c r="BU28">
        <v>2.7931986026249367E-3</v>
      </c>
    </row>
    <row r="29" spans="1:73" ht="14.4" x14ac:dyDescent="0.55000000000000004">
      <c r="A29" s="1">
        <v>43551</v>
      </c>
      <c r="B29">
        <v>2.3852999999999999E-2</v>
      </c>
      <c r="C29">
        <v>2.3831000000000001E-2</v>
      </c>
      <c r="D29">
        <v>2.3501000000000001E-2</v>
      </c>
      <c r="E29">
        <v>2.2664E-2</v>
      </c>
      <c r="F29">
        <v>2.2221000000000001E-2</v>
      </c>
      <c r="G29">
        <v>2.2565999999999999E-2</v>
      </c>
      <c r="H29">
        <v>2.368E-2</v>
      </c>
      <c r="I29">
        <v>2.5031999999999999E-2</v>
      </c>
      <c r="J29">
        <v>2.6967000000000001E-2</v>
      </c>
      <c r="K29">
        <v>2.8051E-2</v>
      </c>
      <c r="L29">
        <v>2.9402000000000001E-2</v>
      </c>
      <c r="M29">
        <v>2.9301000000000001E-2</v>
      </c>
      <c r="N29">
        <v>3.9567751158617083E-2</v>
      </c>
      <c r="O29">
        <v>-1.4633865367967791E-2</v>
      </c>
      <c r="P29">
        <v>-1.8592803863080914E-2</v>
      </c>
      <c r="Q29">
        <v>-2.2550975647903405E-2</v>
      </c>
      <c r="R29">
        <f t="shared" si="2"/>
        <v>2.4360030029565216E-2</v>
      </c>
      <c r="S29">
        <f t="shared" si="2"/>
        <v>2.3988225196292172E-2</v>
      </c>
      <c r="T29">
        <f t="shared" si="2"/>
        <v>2.3683459543305883E-2</v>
      </c>
      <c r="U29">
        <f t="shared" si="2"/>
        <v>2.4050606810485892E-2</v>
      </c>
      <c r="V29">
        <f t="shared" si="2"/>
        <v>2.4888483699816062E-2</v>
      </c>
      <c r="W29">
        <f t="shared" si="2"/>
        <v>2.6503973212438303E-2</v>
      </c>
      <c r="X29">
        <f t="shared" si="2"/>
        <v>2.7605674547900378E-2</v>
      </c>
      <c r="Y29">
        <f t="shared" si="2"/>
        <v>2.86201835988487E-2</v>
      </c>
      <c r="Z29">
        <f t="shared" si="2"/>
        <v>2.9750354038227761E-2</v>
      </c>
      <c r="AA29">
        <f t="shared" si="2"/>
        <v>3.0747756022609901E-2</v>
      </c>
      <c r="AB29">
        <f t="shared" si="2"/>
        <v>3.1685026880972189E-2</v>
      </c>
      <c r="AC29">
        <f t="shared" si="2"/>
        <v>3.2534726070959114E-2</v>
      </c>
      <c r="AD29">
        <v>3.8879012570079294E-2</v>
      </c>
      <c r="AE29">
        <v>-1.4938022302123778E-2</v>
      </c>
      <c r="AF29">
        <v>-1.8956793463428007E-2</v>
      </c>
      <c r="AG29">
        <v>-1.917582713695596E-2</v>
      </c>
      <c r="AH29">
        <v>3.6797266490524998E-2</v>
      </c>
      <c r="AI29">
        <v>-1.3781441342872285E-2</v>
      </c>
      <c r="AJ29">
        <v>-1.7546784298630675E-2</v>
      </c>
      <c r="AK29">
        <v>-9.0010274785805415E-3</v>
      </c>
      <c r="AL29">
        <v>3.7126924920865098E-2</v>
      </c>
      <c r="AM29">
        <v>-1.4927955394707581E-2</v>
      </c>
      <c r="AN29">
        <v>-1.7322051086541702E-2</v>
      </c>
      <c r="AO29">
        <v>-2.8732284761055485E-3</v>
      </c>
      <c r="AP29">
        <v>3.5967193592586738E-2</v>
      </c>
      <c r="AQ29">
        <v>-1.497770026673194E-2</v>
      </c>
      <c r="AR29">
        <v>-1.7405356250048951E-2</v>
      </c>
      <c r="AS29">
        <v>3.0273674864623929E-3</v>
      </c>
      <c r="AT29">
        <v>3.3958034827339098E-2</v>
      </c>
      <c r="AU29">
        <v>-1.5141161549620846E-2</v>
      </c>
      <c r="AV29">
        <v>-1.5998820110141612E-2</v>
      </c>
      <c r="AW29">
        <v>6.1085888989867512E-3</v>
      </c>
      <c r="AX29">
        <v>3.4797735259289163E-2</v>
      </c>
      <c r="AY29">
        <v>-1.6980266654848242E-2</v>
      </c>
      <c r="AZ29">
        <v>-1.9361650614451532E-2</v>
      </c>
      <c r="BA29">
        <v>1.6158478361360173E-3</v>
      </c>
      <c r="BB29">
        <v>3.5155834361826087E-2</v>
      </c>
      <c r="BC29">
        <v>-1.8531783585715687E-2</v>
      </c>
      <c r="BD29">
        <v>-2.2747959855226478E-2</v>
      </c>
      <c r="BE29">
        <v>4.7036716164010296E-3</v>
      </c>
      <c r="BF29">
        <v>3.5615444050394518E-2</v>
      </c>
      <c r="BG29">
        <v>-1.993497221106395E-2</v>
      </c>
      <c r="BH29">
        <v>-2.4590420667648591E-2</v>
      </c>
      <c r="BI29">
        <v>1.6603202452507388E-3</v>
      </c>
      <c r="BJ29">
        <v>3.6229946187767433E-2</v>
      </c>
      <c r="BK29">
        <v>-2.1926025149786525E-2</v>
      </c>
      <c r="BL29">
        <v>-2.8013057650750749E-2</v>
      </c>
      <c r="BM29">
        <v>1.9708155462158177E-3</v>
      </c>
      <c r="BN29">
        <v>3.6136151312003192E-2</v>
      </c>
      <c r="BO29">
        <v>-2.2661798748093747E-2</v>
      </c>
      <c r="BP29">
        <v>-2.920383448890743E-2</v>
      </c>
      <c r="BQ29">
        <v>5.6689537286555786E-3</v>
      </c>
      <c r="BR29">
        <v>3.6864113737563042E-2</v>
      </c>
      <c r="BS29">
        <v>-2.4409611494971655E-2</v>
      </c>
      <c r="BT29">
        <v>-3.1544710991165237E-2</v>
      </c>
      <c r="BU29">
        <v>6.2260845907921244E-4</v>
      </c>
    </row>
    <row r="30" spans="1:73" ht="14.4" x14ac:dyDescent="0.55000000000000004">
      <c r="A30" s="1">
        <v>43579</v>
      </c>
      <c r="B30">
        <v>2.3754000000000001E-2</v>
      </c>
      <c r="C30">
        <v>2.3848999999999999E-2</v>
      </c>
      <c r="D30">
        <v>2.3910000000000001E-2</v>
      </c>
      <c r="E30">
        <v>2.3775999999999999E-2</v>
      </c>
      <c r="F30">
        <v>2.3497000000000001E-2</v>
      </c>
      <c r="G30">
        <v>2.3889000000000001E-2</v>
      </c>
      <c r="H30">
        <v>2.5038000000000001E-2</v>
      </c>
      <c r="I30">
        <v>2.6431E-2</v>
      </c>
      <c r="J30">
        <v>2.8362999999999999E-2</v>
      </c>
      <c r="K30">
        <v>2.9319999999999999E-2</v>
      </c>
      <c r="L30">
        <v>3.0504E-2</v>
      </c>
      <c r="M30">
        <v>3.0370000000000001E-2</v>
      </c>
      <c r="N30">
        <v>3.9980151938573891E-2</v>
      </c>
      <c r="O30">
        <v>-1.5253762864273972E-2</v>
      </c>
      <c r="P30">
        <v>-2.4865257452418514E-2</v>
      </c>
      <c r="Q30">
        <v>-3.0432279890102169E-2</v>
      </c>
      <c r="R30">
        <f t="shared" si="2"/>
        <v>2.3589990163311942E-2</v>
      </c>
      <c r="S30">
        <f t="shared" si="2"/>
        <v>2.2764504614772776E-2</v>
      </c>
      <c r="T30">
        <f t="shared" si="2"/>
        <v>2.180301823997953E-2</v>
      </c>
      <c r="U30">
        <f t="shared" si="2"/>
        <v>2.1492569095051598E-2</v>
      </c>
      <c r="V30">
        <f t="shared" si="2"/>
        <v>2.2082799422421466E-2</v>
      </c>
      <c r="W30">
        <f t="shared" si="2"/>
        <v>2.3624063481825025E-2</v>
      </c>
      <c r="X30">
        <f t="shared" si="2"/>
        <v>2.4769792962711056E-2</v>
      </c>
      <c r="Y30">
        <f t="shared" si="2"/>
        <v>2.5863868219450289E-2</v>
      </c>
      <c r="Z30">
        <f t="shared" si="2"/>
        <v>2.7170347186794581E-2</v>
      </c>
      <c r="AA30">
        <f t="shared" si="2"/>
        <v>2.8406675163463298E-2</v>
      </c>
      <c r="AB30">
        <f t="shared" si="2"/>
        <v>2.9605710703341635E-2</v>
      </c>
      <c r="AC30">
        <f t="shared" si="2"/>
        <v>3.070850262370867E-2</v>
      </c>
      <c r="AD30">
        <v>3.9444254650412083E-2</v>
      </c>
      <c r="AE30">
        <v>-1.5332745575675195E-2</v>
      </c>
      <c r="AF30">
        <v>-2.0380489181260956E-2</v>
      </c>
      <c r="AG30">
        <v>-1.9807363182465686E-2</v>
      </c>
      <c r="AH30">
        <v>3.8866205416862872E-2</v>
      </c>
      <c r="AI30">
        <v>-1.5729471902149753E-2</v>
      </c>
      <c r="AJ30">
        <v>-2.0781194008720284E-2</v>
      </c>
      <c r="AK30">
        <v>-1.6884360187339274E-2</v>
      </c>
      <c r="AL30">
        <v>3.7107724088083521E-2</v>
      </c>
      <c r="AM30">
        <v>-1.4941164749800664E-2</v>
      </c>
      <c r="AN30">
        <v>-1.9642590179944758E-2</v>
      </c>
      <c r="AO30">
        <v>-7.9061248755015953E-3</v>
      </c>
      <c r="AP30">
        <v>3.7115782689888889E-2</v>
      </c>
      <c r="AQ30">
        <v>-1.5685459141348217E-2</v>
      </c>
      <c r="AR30">
        <v>-1.9449324946309705E-2</v>
      </c>
      <c r="AS30">
        <v>-1.4453098977737474E-3</v>
      </c>
      <c r="AT30">
        <v>3.6138657504690218E-2</v>
      </c>
      <c r="AU30">
        <v>-1.5911482811964344E-2</v>
      </c>
      <c r="AV30">
        <v>-1.9629909837623045E-2</v>
      </c>
      <c r="AW30">
        <v>3.7206979545247338E-3</v>
      </c>
      <c r="AX30">
        <v>3.4425026974701081E-2</v>
      </c>
      <c r="AY30">
        <v>-1.6267960880931735E-2</v>
      </c>
      <c r="AZ30">
        <v>-1.8436947278029591E-2</v>
      </c>
      <c r="BA30">
        <v>6.040006405624021E-3</v>
      </c>
      <c r="BB30">
        <v>3.5248709685606679E-2</v>
      </c>
      <c r="BC30">
        <v>-1.8046167656963864E-2</v>
      </c>
      <c r="BD30">
        <v>-2.1513243655983075E-2</v>
      </c>
      <c r="BE30">
        <v>1.6638475946822806E-3</v>
      </c>
      <c r="BF30">
        <v>3.5607982184684826E-2</v>
      </c>
      <c r="BG30">
        <v>-1.9599745729750449E-2</v>
      </c>
      <c r="BH30">
        <v>-2.4689930398475227E-2</v>
      </c>
      <c r="BI30">
        <v>4.4058784013964094E-3</v>
      </c>
      <c r="BJ30">
        <v>3.6029116757463314E-2</v>
      </c>
      <c r="BK30">
        <v>-2.0901262320924738E-2</v>
      </c>
      <c r="BL30">
        <v>-2.6369699051528323E-2</v>
      </c>
      <c r="BM30">
        <v>1.5153505940827814E-3</v>
      </c>
      <c r="BN30">
        <v>3.6589299421760542E-2</v>
      </c>
      <c r="BO30">
        <v>-2.2795052442355329E-2</v>
      </c>
      <c r="BP30">
        <v>-2.9545952560114858E-2</v>
      </c>
      <c r="BQ30">
        <v>1.7470818359029458E-3</v>
      </c>
      <c r="BR30">
        <v>3.648505459813238E-2</v>
      </c>
      <c r="BS30">
        <v>-2.3508328792237833E-2</v>
      </c>
      <c r="BT30">
        <v>-3.0691591145078172E-2</v>
      </c>
      <c r="BU30">
        <v>5.1948279591527823E-3</v>
      </c>
    </row>
    <row r="31" spans="1:73" ht="14.4" x14ac:dyDescent="0.55000000000000004">
      <c r="A31" s="1">
        <v>43614</v>
      </c>
      <c r="B31">
        <v>2.3389E-2</v>
      </c>
      <c r="C31">
        <v>2.3279000000000001E-2</v>
      </c>
      <c r="D31">
        <v>2.2716E-2</v>
      </c>
      <c r="E31">
        <v>2.1520999999999998E-2</v>
      </c>
      <c r="F31">
        <v>2.0546999999999999E-2</v>
      </c>
      <c r="G31">
        <v>2.1198999999999999E-2</v>
      </c>
      <c r="H31">
        <v>2.2515E-2</v>
      </c>
      <c r="I31">
        <v>2.3768000000000001E-2</v>
      </c>
      <c r="J31">
        <v>2.5651E-2</v>
      </c>
      <c r="K31">
        <v>2.6814000000000001E-2</v>
      </c>
      <c r="L31">
        <v>2.8015000000000002E-2</v>
      </c>
      <c r="M31">
        <v>2.7696999999999999E-2</v>
      </c>
      <c r="N31">
        <v>3.9659201018435668E-2</v>
      </c>
      <c r="O31">
        <v>-1.5323258971499528E-2</v>
      </c>
      <c r="P31">
        <v>-2.1988001571175673E-2</v>
      </c>
      <c r="Q31">
        <v>-2.6176704532653548E-2</v>
      </c>
      <c r="R31">
        <f t="shared" si="2"/>
        <v>2.3496882617965412E-2</v>
      </c>
      <c r="S31">
        <f t="shared" si="2"/>
        <v>2.2915108140665264E-2</v>
      </c>
      <c r="T31">
        <f t="shared" si="2"/>
        <v>2.2316641826586929E-2</v>
      </c>
      <c r="U31">
        <f t="shared" si="2"/>
        <v>2.2411676272273161E-2</v>
      </c>
      <c r="V31">
        <f t="shared" si="2"/>
        <v>2.3183444921417277E-2</v>
      </c>
      <c r="W31">
        <f t="shared" si="2"/>
        <v>2.4847201109335873E-2</v>
      </c>
      <c r="X31">
        <f t="shared" si="2"/>
        <v>2.6025348045417316E-2</v>
      </c>
      <c r="Y31">
        <f t="shared" si="2"/>
        <v>2.7126985088208537E-2</v>
      </c>
      <c r="Z31">
        <f t="shared" si="2"/>
        <v>2.838025397849795E-2</v>
      </c>
      <c r="AA31">
        <f t="shared" si="2"/>
        <v>2.9508792137545866E-2</v>
      </c>
      <c r="AB31">
        <f t="shared" si="2"/>
        <v>3.0579224868133293E-2</v>
      </c>
      <c r="AC31">
        <f t="shared" si="2"/>
        <v>3.1553850282807418E-2</v>
      </c>
      <c r="AD31">
        <v>4.0382355712453896E-2</v>
      </c>
      <c r="AE31">
        <v>-1.6626063419553177E-2</v>
      </c>
      <c r="AF31">
        <v>-2.6197400817667842E-2</v>
      </c>
      <c r="AG31">
        <v>-2.8642689917193914E-2</v>
      </c>
      <c r="AH31">
        <v>3.9390323708423956E-2</v>
      </c>
      <c r="AI31">
        <v>-1.6109486683521801E-2</v>
      </c>
      <c r="AJ31">
        <v>-2.2082496124917122E-2</v>
      </c>
      <c r="AK31">
        <v>-1.7456205962773058E-2</v>
      </c>
      <c r="AL31">
        <v>3.8897737887653563E-2</v>
      </c>
      <c r="AM31">
        <v>-1.656729159830973E-2</v>
      </c>
      <c r="AN31">
        <v>-2.2508240191768284E-2</v>
      </c>
      <c r="AO31">
        <v>-1.4908501839212163E-2</v>
      </c>
      <c r="AP31">
        <v>3.7391290944194147E-2</v>
      </c>
      <c r="AQ31">
        <v>-1.6055164656528231E-2</v>
      </c>
      <c r="AR31">
        <v>-2.1597443447038331E-2</v>
      </c>
      <c r="AS31">
        <v>-6.9233447341767625E-3</v>
      </c>
      <c r="AT31">
        <v>3.719359960611153E-2</v>
      </c>
      <c r="AU31">
        <v>-1.6544562171394633E-2</v>
      </c>
      <c r="AV31">
        <v>-2.1455291749314969E-2</v>
      </c>
      <c r="AW31">
        <v>-3.9193541382930041E-4</v>
      </c>
      <c r="AX31">
        <v>3.6358125827577359E-2</v>
      </c>
      <c r="AY31">
        <v>-1.6894782092641683E-2</v>
      </c>
      <c r="AZ31">
        <v>-2.1711652748614356E-2</v>
      </c>
      <c r="BA31">
        <v>4.1622225034896928E-3</v>
      </c>
      <c r="BB31">
        <v>3.4880602118463069E-2</v>
      </c>
      <c r="BC31">
        <v>-1.737903795153297E-2</v>
      </c>
      <c r="BD31">
        <v>-2.0697374831389153E-2</v>
      </c>
      <c r="BE31">
        <v>5.8788840288049324E-3</v>
      </c>
      <c r="BF31">
        <v>3.5671060340529144E-2</v>
      </c>
      <c r="BG31">
        <v>-1.9074473366602368E-2</v>
      </c>
      <c r="BH31">
        <v>-2.3506310404820756E-2</v>
      </c>
      <c r="BI31">
        <v>1.6626601930406237E-3</v>
      </c>
      <c r="BJ31">
        <v>3.6018536950269707E-2</v>
      </c>
      <c r="BK31">
        <v>-2.0608045854133495E-2</v>
      </c>
      <c r="BL31">
        <v>-2.6483594448537946E-2</v>
      </c>
      <c r="BM31">
        <v>4.114923627671606E-3</v>
      </c>
      <c r="BN31">
        <v>3.6403844134111574E-2</v>
      </c>
      <c r="BO31">
        <v>-2.1813667871961429E-2</v>
      </c>
      <c r="BP31">
        <v>-2.8014042218225794E-2</v>
      </c>
      <c r="BQ31">
        <v>1.3714570306402646E-3</v>
      </c>
      <c r="BR31">
        <v>3.6912404735654325E-2</v>
      </c>
      <c r="BS31">
        <v>-2.3611287716554394E-2</v>
      </c>
      <c r="BT31">
        <v>-3.0961604772083512E-2</v>
      </c>
      <c r="BU31">
        <v>1.5349476735836119E-3</v>
      </c>
    </row>
    <row r="32" spans="1:73" ht="14.4" x14ac:dyDescent="0.55000000000000004">
      <c r="A32" s="1">
        <v>43642</v>
      </c>
      <c r="B32">
        <v>2.0563000000000001E-2</v>
      </c>
      <c r="C32">
        <v>2.0395E-2</v>
      </c>
      <c r="D32">
        <v>1.9415000000000002E-2</v>
      </c>
      <c r="E32">
        <v>1.8391999999999999E-2</v>
      </c>
      <c r="F32">
        <v>1.753E-2</v>
      </c>
      <c r="G32">
        <v>1.9028E-2</v>
      </c>
      <c r="H32">
        <v>2.0093E-2</v>
      </c>
      <c r="I32">
        <v>2.1675E-2</v>
      </c>
      <c r="J32">
        <v>2.3934E-2</v>
      </c>
      <c r="K32">
        <v>2.5479000000000002E-2</v>
      </c>
      <c r="L32">
        <v>2.6994000000000001E-2</v>
      </c>
      <c r="M32">
        <v>2.6598E-2</v>
      </c>
      <c r="N32">
        <v>3.806483721187473E-2</v>
      </c>
      <c r="O32">
        <v>-1.3702944839674562E-2</v>
      </c>
      <c r="P32">
        <v>-2.6229308057595869E-2</v>
      </c>
      <c r="Q32">
        <v>-2.7643352816158394E-2</v>
      </c>
      <c r="R32">
        <f t="shared" si="2"/>
        <v>2.3026627315958365E-2</v>
      </c>
      <c r="S32">
        <f t="shared" si="2"/>
        <v>2.2039186421960878E-2</v>
      </c>
      <c r="T32">
        <f t="shared" si="2"/>
        <v>2.084073972913842E-2</v>
      </c>
      <c r="U32">
        <f t="shared" si="2"/>
        <v>2.0286102025418164E-2</v>
      </c>
      <c r="V32">
        <f t="shared" si="2"/>
        <v>2.0797970280067919E-2</v>
      </c>
      <c r="W32">
        <f t="shared" si="2"/>
        <v>2.2362464229725799E-2</v>
      </c>
      <c r="X32">
        <f t="shared" si="2"/>
        <v>2.3581994978731452E-2</v>
      </c>
      <c r="Y32">
        <f t="shared" si="2"/>
        <v>2.4758866407055942E-2</v>
      </c>
      <c r="Z32">
        <f t="shared" si="2"/>
        <v>2.6104706383035983E-2</v>
      </c>
      <c r="AA32">
        <f t="shared" si="2"/>
        <v>2.7308737800310082E-2</v>
      </c>
      <c r="AB32">
        <f t="shared" si="2"/>
        <v>2.8446539307527229E-2</v>
      </c>
      <c r="AC32">
        <f t="shared" si="2"/>
        <v>2.9480702060942564E-2</v>
      </c>
      <c r="AD32">
        <v>3.9805597732025175E-2</v>
      </c>
      <c r="AE32">
        <v>-1.633888580883476E-2</v>
      </c>
      <c r="AF32">
        <v>-2.3538923669549794E-2</v>
      </c>
      <c r="AG32">
        <v>-2.3961585432012246E-2</v>
      </c>
      <c r="AH32">
        <v>4.0634651075817388E-2</v>
      </c>
      <c r="AI32">
        <v>-1.7787642626790959E-2</v>
      </c>
      <c r="AJ32">
        <v>-2.7433245496975536E-2</v>
      </c>
      <c r="AK32">
        <v>-2.6712386442444506E-2</v>
      </c>
      <c r="AL32">
        <v>3.9380417982292248E-2</v>
      </c>
      <c r="AM32">
        <v>-1.6928454320067673E-2</v>
      </c>
      <c r="AN32">
        <v>-2.3697213046523464E-2</v>
      </c>
      <c r="AO32">
        <v>-1.5418168606289593E-2</v>
      </c>
      <c r="AP32">
        <v>3.8955028127291243E-2</v>
      </c>
      <c r="AQ32">
        <v>-1.7424962208826524E-2</v>
      </c>
      <c r="AR32">
        <v>-2.4139052525693233E-2</v>
      </c>
      <c r="AS32">
        <v>-1.3187209204339613E-2</v>
      </c>
      <c r="AT32">
        <v>3.7648651478586349E-2</v>
      </c>
      <c r="AU32">
        <v>-1.7122131904090097E-2</v>
      </c>
      <c r="AV32">
        <v>-2.342074295837511E-2</v>
      </c>
      <c r="AW32">
        <v>-6.041210888362316E-3</v>
      </c>
      <c r="AX32">
        <v>3.7324274213084742E-2</v>
      </c>
      <c r="AY32">
        <v>-1.7456155154062743E-2</v>
      </c>
      <c r="AZ32">
        <v>-2.3339442120635941E-2</v>
      </c>
      <c r="BA32">
        <v>3.8899425793426562E-4</v>
      </c>
      <c r="BB32">
        <v>3.6600701477614683E-2</v>
      </c>
      <c r="BC32">
        <v>-1.7893182406561309E-2</v>
      </c>
      <c r="BD32">
        <v>-2.3654655432154996E-2</v>
      </c>
      <c r="BE32">
        <v>4.4247800337965503E-3</v>
      </c>
      <c r="BF32">
        <v>3.531507920397034E-2</v>
      </c>
      <c r="BG32">
        <v>-1.8459100511202257E-2</v>
      </c>
      <c r="BH32">
        <v>-2.2790866229796324E-2</v>
      </c>
      <c r="BI32">
        <v>5.6588557083298713E-3</v>
      </c>
      <c r="BJ32">
        <v>3.6062438387299854E-2</v>
      </c>
      <c r="BK32">
        <v>-2.0059672408084189E-2</v>
      </c>
      <c r="BL32">
        <v>-2.535178602184018E-2</v>
      </c>
      <c r="BM32">
        <v>1.6272846450719736E-3</v>
      </c>
      <c r="BN32">
        <v>3.6390462405187285E-2</v>
      </c>
      <c r="BO32">
        <v>-2.1558783415459321E-2</v>
      </c>
      <c r="BP32">
        <v>-2.8140453614545109E-2</v>
      </c>
      <c r="BQ32">
        <v>3.831185166207526E-3</v>
      </c>
      <c r="BR32">
        <v>3.6742639922948302E-2</v>
      </c>
      <c r="BS32">
        <v>-2.2674332140634402E-2</v>
      </c>
      <c r="BT32">
        <v>-2.9533938240556046E-2</v>
      </c>
      <c r="BU32">
        <v>1.228580412836745E-3</v>
      </c>
    </row>
    <row r="33" spans="1:73" ht="14.4" x14ac:dyDescent="0.55000000000000004">
      <c r="A33" s="1">
        <v>43677</v>
      </c>
      <c r="B33">
        <v>2.0952999999999999E-2</v>
      </c>
      <c r="C33">
        <v>2.0882999999999999E-2</v>
      </c>
      <c r="D33">
        <v>2.0313000000000001E-2</v>
      </c>
      <c r="E33">
        <v>1.9342999999999999E-2</v>
      </c>
      <c r="F33">
        <v>1.7767999999999999E-2</v>
      </c>
      <c r="G33">
        <v>1.9167E-2</v>
      </c>
      <c r="H33">
        <v>1.9848000000000001E-2</v>
      </c>
      <c r="I33">
        <v>2.1139999999999999E-2</v>
      </c>
      <c r="J33">
        <v>2.3531E-2</v>
      </c>
      <c r="K33">
        <v>2.5148E-2</v>
      </c>
      <c r="L33">
        <v>2.6672000000000001E-2</v>
      </c>
      <c r="M33">
        <v>2.6297000000000001E-2</v>
      </c>
      <c r="N33">
        <v>3.8923016102106543E-2</v>
      </c>
      <c r="O33">
        <v>-1.7057835883081345E-2</v>
      </c>
      <c r="P33">
        <v>-3.1080976726600509E-2</v>
      </c>
      <c r="Q33">
        <v>-3.3364722586017345E-2</v>
      </c>
      <c r="R33">
        <f t="shared" ref="R33:AC42" si="3">$N33+$O33*((1-EXP(-0.0597760632423479*R$2))/(0.0597760632423479*R$2))+$P33*((1-EXP(-0.0597760632423479*R$2))/(0.0597760632423479*R$2)-EXP(-0.0597760632423479*R$2))+$Q33*((1-EXP(-0.00996267604057902*R$2))/(0.00996267604057902*R$2)-EXP(-0.00996267604057902*R$2))</f>
        <v>2.0343360440827553E-2</v>
      </c>
      <c r="S33">
        <f t="shared" si="3"/>
        <v>1.9226349552128253E-2</v>
      </c>
      <c r="T33">
        <f t="shared" si="3"/>
        <v>1.789397851332182E-2</v>
      </c>
      <c r="U33">
        <f t="shared" si="3"/>
        <v>1.7358081330468046E-2</v>
      </c>
      <c r="V33">
        <f t="shared" si="3"/>
        <v>1.803924845206149E-2</v>
      </c>
      <c r="W33">
        <f t="shared" si="3"/>
        <v>1.9970521454885731E-2</v>
      </c>
      <c r="X33">
        <f t="shared" si="3"/>
        <v>2.1450365648670144E-2</v>
      </c>
      <c r="Y33">
        <f t="shared" si="3"/>
        <v>2.2870768960414834E-2</v>
      </c>
      <c r="Z33">
        <f t="shared" si="3"/>
        <v>2.449288796620807E-2</v>
      </c>
      <c r="AA33">
        <f t="shared" si="3"/>
        <v>2.5944777341640662E-2</v>
      </c>
      <c r="AB33">
        <f t="shared" si="3"/>
        <v>2.731725886363106E-2</v>
      </c>
      <c r="AC33">
        <f t="shared" si="3"/>
        <v>2.8564921810620314E-2</v>
      </c>
      <c r="AD33">
        <v>3.9161520913249863E-2</v>
      </c>
      <c r="AE33">
        <v>-1.5925345048566991E-2</v>
      </c>
      <c r="AF33">
        <v>-2.7609164164735935E-2</v>
      </c>
      <c r="AG33">
        <v>-2.7536991280938172E-2</v>
      </c>
      <c r="AH33">
        <v>3.9912219380086537E-2</v>
      </c>
      <c r="AI33">
        <v>-1.7289951466683908E-2</v>
      </c>
      <c r="AJ33">
        <v>-2.4998762730081177E-2</v>
      </c>
      <c r="AK33">
        <v>-2.1869491735161999E-2</v>
      </c>
      <c r="AL33">
        <v>4.0783862200676702E-2</v>
      </c>
      <c r="AM33">
        <v>-1.8798068941464376E-2</v>
      </c>
      <c r="AN33">
        <v>-2.8588635678842324E-2</v>
      </c>
      <c r="AO33">
        <v>-2.4742412386569056E-2</v>
      </c>
      <c r="AP33">
        <v>3.9397292927561528E-2</v>
      </c>
      <c r="AQ33">
        <v>-1.7765211422572633E-2</v>
      </c>
      <c r="AR33">
        <v>-2.5225207734777814E-2</v>
      </c>
      <c r="AS33">
        <v>-1.3635558332393192E-2</v>
      </c>
      <c r="AT33">
        <v>3.9025734135791641E-2</v>
      </c>
      <c r="AU33">
        <v>-1.8284465723987023E-2</v>
      </c>
      <c r="AV33">
        <v>-2.5676224223296351E-2</v>
      </c>
      <c r="AW33">
        <v>-1.1675895146846638E-2</v>
      </c>
      <c r="AX33">
        <v>3.7881084501622767E-2</v>
      </c>
      <c r="AY33">
        <v>-1.8141873101202931E-2</v>
      </c>
      <c r="AZ33">
        <v>-2.5121367934212203E-2</v>
      </c>
      <c r="BA33">
        <v>-5.2505327028551756E-3</v>
      </c>
      <c r="BB33">
        <v>3.7483633625872724E-2</v>
      </c>
      <c r="BC33">
        <v>-1.838706662658043E-2</v>
      </c>
      <c r="BD33">
        <v>-2.5104167717062534E-2</v>
      </c>
      <c r="BE33">
        <v>9.6902111286907957E-4</v>
      </c>
      <c r="BF33">
        <v>3.6850116384150214E-2</v>
      </c>
      <c r="BG33">
        <v>-1.8883881310777655E-2</v>
      </c>
      <c r="BH33">
        <v>-2.5464741759350887E-2</v>
      </c>
      <c r="BI33">
        <v>4.5589617842946989E-3</v>
      </c>
      <c r="BJ33">
        <v>3.5723041506167327E-2</v>
      </c>
      <c r="BK33">
        <v>-1.9498808212932209E-2</v>
      </c>
      <c r="BL33">
        <v>-2.472835876557606E-2</v>
      </c>
      <c r="BM33">
        <v>5.4023093827913317E-3</v>
      </c>
      <c r="BN33">
        <v>3.6422325763214851E-2</v>
      </c>
      <c r="BO33">
        <v>-2.0998986052524465E-2</v>
      </c>
      <c r="BP33">
        <v>-2.7060201185637161E-2</v>
      </c>
      <c r="BQ33">
        <v>1.5675857359865994E-3</v>
      </c>
      <c r="BR33">
        <v>3.6726795280202562E-2</v>
      </c>
      <c r="BS33">
        <v>-2.2454426843590149E-2</v>
      </c>
      <c r="BT33">
        <v>-2.9671149479446317E-2</v>
      </c>
      <c r="BU33">
        <v>3.5543579676549936E-3</v>
      </c>
    </row>
    <row r="34" spans="1:73" ht="14.4" x14ac:dyDescent="0.55000000000000004">
      <c r="A34" s="1">
        <v>43705</v>
      </c>
      <c r="B34">
        <v>1.7929E-2</v>
      </c>
      <c r="C34">
        <v>1.7777999999999999E-2</v>
      </c>
      <c r="D34">
        <v>1.7148E-2</v>
      </c>
      <c r="E34">
        <v>1.5514999999999999E-2</v>
      </c>
      <c r="F34">
        <v>1.3736E-2</v>
      </c>
      <c r="G34">
        <v>1.4505000000000001E-2</v>
      </c>
      <c r="H34">
        <v>1.4904000000000001E-2</v>
      </c>
      <c r="I34">
        <v>1.5691E-2</v>
      </c>
      <c r="J34">
        <v>1.7812000000000001E-2</v>
      </c>
      <c r="K34">
        <v>1.9363999999999999E-2</v>
      </c>
      <c r="L34">
        <v>2.0531000000000001E-2</v>
      </c>
      <c r="M34">
        <v>2.0205000000000001E-2</v>
      </c>
      <c r="N34">
        <v>3.9806654678491461E-2</v>
      </c>
      <c r="O34">
        <v>-1.7435323638181521E-2</v>
      </c>
      <c r="P34">
        <v>-2.9311793719958026E-2</v>
      </c>
      <c r="Q34">
        <v>-3.8517698242610574E-2</v>
      </c>
      <c r="R34">
        <f t="shared" si="3"/>
        <v>2.0946817780603519E-2</v>
      </c>
      <c r="S34">
        <f t="shared" si="3"/>
        <v>1.9895468688759632E-2</v>
      </c>
      <c r="T34">
        <f t="shared" si="3"/>
        <v>1.8622842150224646E-2</v>
      </c>
      <c r="U34">
        <f t="shared" si="3"/>
        <v>1.8033172052552834E-2</v>
      </c>
      <c r="V34">
        <f t="shared" si="3"/>
        <v>1.8558536495124671E-2</v>
      </c>
      <c r="W34">
        <f t="shared" si="3"/>
        <v>2.0137955062227604E-2</v>
      </c>
      <c r="X34">
        <f t="shared" si="3"/>
        <v>2.1338366820115529E-2</v>
      </c>
      <c r="Y34">
        <f t="shared" si="3"/>
        <v>2.2499741712151539E-2</v>
      </c>
      <c r="Z34">
        <f t="shared" si="3"/>
        <v>2.3968049746907621E-2</v>
      </c>
      <c r="AA34">
        <f t="shared" si="3"/>
        <v>2.5439246091022071E-2</v>
      </c>
      <c r="AB34">
        <f t="shared" si="3"/>
        <v>2.6900654362563448E-2</v>
      </c>
      <c r="AC34">
        <f t="shared" si="3"/>
        <v>2.8258978823917376E-2</v>
      </c>
      <c r="AD34">
        <v>3.9998729736346626E-2</v>
      </c>
      <c r="AE34">
        <v>-1.9124589620978832E-2</v>
      </c>
      <c r="AF34">
        <v>-3.2068478593037186E-2</v>
      </c>
      <c r="AG34">
        <v>-3.315279564569467E-2</v>
      </c>
      <c r="AH34">
        <v>3.9886845141807271E-2</v>
      </c>
      <c r="AI34">
        <v>-1.7649611182320068E-2</v>
      </c>
      <c r="AJ34">
        <v>-2.8836954063661654E-2</v>
      </c>
      <c r="AK34">
        <v>-2.6734898604444692E-2</v>
      </c>
      <c r="AL34">
        <v>3.9989365441292411E-2</v>
      </c>
      <c r="AM34">
        <v>-1.8187926876065436E-2</v>
      </c>
      <c r="AN34">
        <v>-2.6374629680598154E-2</v>
      </c>
      <c r="AO34">
        <v>-1.9910733257575648E-2</v>
      </c>
      <c r="AP34">
        <v>4.0862551820496695E-2</v>
      </c>
      <c r="AQ34">
        <v>-1.9698500358219611E-2</v>
      </c>
      <c r="AR34">
        <v>-2.9674968852321459E-2</v>
      </c>
      <c r="AS34">
        <v>-2.2799096918672865E-2</v>
      </c>
      <c r="AT34">
        <v>3.9429417678728658E-2</v>
      </c>
      <c r="AU34">
        <v>-1.8603104431457754E-2</v>
      </c>
      <c r="AV34">
        <v>-2.6668449294723767E-2</v>
      </c>
      <c r="AW34">
        <v>-1.2065830955810618E-2</v>
      </c>
      <c r="AX34">
        <v>3.9101792007082102E-2</v>
      </c>
      <c r="AY34">
        <v>-1.9133684036895589E-2</v>
      </c>
      <c r="AZ34">
        <v>-2.7123244393382102E-2</v>
      </c>
      <c r="BA34">
        <v>-1.0341486320727563E-2</v>
      </c>
      <c r="BB34">
        <v>3.8090199814701041E-2</v>
      </c>
      <c r="BC34">
        <v>-1.9114931601676564E-2</v>
      </c>
      <c r="BD34">
        <v>-2.6707656492075696E-2</v>
      </c>
      <c r="BE34">
        <v>-4.5437080363571122E-3</v>
      </c>
      <c r="BF34">
        <v>3.7655706860860692E-2</v>
      </c>
      <c r="BG34">
        <v>-1.9315149239747087E-2</v>
      </c>
      <c r="BH34">
        <v>-2.6753660898880285E-2</v>
      </c>
      <c r="BI34">
        <v>1.3984783238010789E-3</v>
      </c>
      <c r="BJ34">
        <v>3.7095999269296555E-2</v>
      </c>
      <c r="BK34">
        <v>-1.9852077969952777E-2</v>
      </c>
      <c r="BL34">
        <v>-2.7148712479696174E-2</v>
      </c>
      <c r="BM34">
        <v>4.5999727839189306E-3</v>
      </c>
      <c r="BN34">
        <v>3.6101908318193668E-2</v>
      </c>
      <c r="BO34">
        <v>-2.0492864223141057E-2</v>
      </c>
      <c r="BP34">
        <v>-2.652061881835455E-2</v>
      </c>
      <c r="BQ34">
        <v>5.1239842746240187E-3</v>
      </c>
      <c r="BR34">
        <v>3.6751367204166517E-2</v>
      </c>
      <c r="BS34">
        <v>-2.1891459384116477E-2</v>
      </c>
      <c r="BT34">
        <v>-2.8641560042991988E-2</v>
      </c>
      <c r="BU34">
        <v>1.4899897181689917E-3</v>
      </c>
    </row>
    <row r="35" spans="1:73" ht="14.4" x14ac:dyDescent="0.55000000000000004">
      <c r="A35" s="1">
        <v>43733</v>
      </c>
      <c r="B35">
        <v>1.9148999999999999E-2</v>
      </c>
      <c r="C35">
        <v>1.8988999999999999E-2</v>
      </c>
      <c r="D35">
        <v>1.8478000000000001E-2</v>
      </c>
      <c r="E35">
        <v>1.6926E-2</v>
      </c>
      <c r="F35">
        <v>1.5372E-2</v>
      </c>
      <c r="G35">
        <v>1.7446E-2</v>
      </c>
      <c r="H35">
        <v>1.7065E-2</v>
      </c>
      <c r="I35">
        <v>1.8395000000000002E-2</v>
      </c>
      <c r="J35">
        <v>2.0264999999999998E-2</v>
      </c>
      <c r="K35">
        <v>2.1736999999999999E-2</v>
      </c>
      <c r="L35">
        <v>2.2917E-2</v>
      </c>
      <c r="M35">
        <v>2.2594E-2</v>
      </c>
      <c r="N35">
        <v>3.4580699441359088E-2</v>
      </c>
      <c r="O35">
        <v>-1.5268625630012614E-2</v>
      </c>
      <c r="P35">
        <v>-2.6626970701998667E-2</v>
      </c>
      <c r="Q35">
        <v>-4.0116059073954519E-2</v>
      </c>
      <c r="R35">
        <f t="shared" si="3"/>
        <v>1.7894779123312318E-2</v>
      </c>
      <c r="S35">
        <f t="shared" si="3"/>
        <v>1.6824770824653845E-2</v>
      </c>
      <c r="T35">
        <f t="shared" si="3"/>
        <v>1.5460742632705091E-2</v>
      </c>
      <c r="U35">
        <f t="shared" si="3"/>
        <v>1.4580675979768271E-2</v>
      </c>
      <c r="V35">
        <f t="shared" si="3"/>
        <v>1.4786338212317382E-2</v>
      </c>
      <c r="W35">
        <f t="shared" si="3"/>
        <v>1.5828897325065344E-2</v>
      </c>
      <c r="X35">
        <f t="shared" si="3"/>
        <v>1.6663923258904506E-2</v>
      </c>
      <c r="Y35">
        <f t="shared" si="3"/>
        <v>1.749866751498657E-2</v>
      </c>
      <c r="Z35">
        <f t="shared" si="3"/>
        <v>1.8715933895688375E-2</v>
      </c>
      <c r="AA35">
        <f t="shared" si="3"/>
        <v>2.0090477126243421E-2</v>
      </c>
      <c r="AB35">
        <f t="shared" si="3"/>
        <v>2.1517853616870516E-2</v>
      </c>
      <c r="AC35">
        <f t="shared" si="3"/>
        <v>2.2869425560039292E-2</v>
      </c>
      <c r="AD35">
        <v>4.0562545251729608E-2</v>
      </c>
      <c r="AE35">
        <v>-1.9084899949040619E-2</v>
      </c>
      <c r="AF35">
        <v>-3.0321485655459821E-2</v>
      </c>
      <c r="AG35">
        <v>-3.7258344150224894E-2</v>
      </c>
      <c r="AH35">
        <v>4.0687506850239384E-2</v>
      </c>
      <c r="AI35">
        <v>-2.0677674811603056E-2</v>
      </c>
      <c r="AJ35">
        <v>-3.293008649736754E-2</v>
      </c>
      <c r="AK35">
        <v>-3.2198459812630309E-2</v>
      </c>
      <c r="AL35">
        <v>4.0356009048322851E-2</v>
      </c>
      <c r="AM35">
        <v>-1.9024830076526642E-2</v>
      </c>
      <c r="AN35">
        <v>-2.9948942846889051E-2</v>
      </c>
      <c r="AO35">
        <v>-2.5509323183772036E-2</v>
      </c>
      <c r="AP35">
        <v>4.0044476074467907E-2</v>
      </c>
      <c r="AQ35">
        <v>-1.9040838977847949E-2</v>
      </c>
      <c r="AR35">
        <v>-2.7672526656452676E-2</v>
      </c>
      <c r="AS35">
        <v>-1.8089371732338246E-2</v>
      </c>
      <c r="AT35">
        <v>4.0893357105311036E-2</v>
      </c>
      <c r="AU35">
        <v>-2.0517337914552774E-2</v>
      </c>
      <c r="AV35">
        <v>-3.0700555012273274E-2</v>
      </c>
      <c r="AW35">
        <v>-2.0924844556895042E-2</v>
      </c>
      <c r="AX35">
        <v>3.9469184835967161E-2</v>
      </c>
      <c r="AY35">
        <v>-1.9430889150031262E-2</v>
      </c>
      <c r="AZ35">
        <v>-2.8029776269621432E-2</v>
      </c>
      <c r="BA35">
        <v>-1.0677076430198388E-2</v>
      </c>
      <c r="BB35">
        <v>3.9178057715640549E-2</v>
      </c>
      <c r="BC35">
        <v>-1.9964590701710548E-2</v>
      </c>
      <c r="BD35">
        <v>-2.8484107543689623E-2</v>
      </c>
      <c r="BE35">
        <v>-9.158990139346684E-3</v>
      </c>
      <c r="BF35">
        <v>3.8277763196459959E-2</v>
      </c>
      <c r="BG35">
        <v>-2.0042327188041865E-2</v>
      </c>
      <c r="BH35">
        <v>-2.8187406190522943E-2</v>
      </c>
      <c r="BI35">
        <v>-3.9142482187870071E-3</v>
      </c>
      <c r="BJ35">
        <v>3.7830142179489407E-2</v>
      </c>
      <c r="BK35">
        <v>-2.0225867093971533E-2</v>
      </c>
      <c r="BL35">
        <v>-2.8293168203349647E-2</v>
      </c>
      <c r="BM35">
        <v>1.7129795496812941E-3</v>
      </c>
      <c r="BN35">
        <v>3.7331985608809279E-2</v>
      </c>
      <c r="BO35">
        <v>-2.0788467430825078E-2</v>
      </c>
      <c r="BP35">
        <v>-2.8713826346221903E-2</v>
      </c>
      <c r="BQ35">
        <v>4.5723882077649373E-3</v>
      </c>
      <c r="BR35">
        <v>3.6450954163820354E-2</v>
      </c>
      <c r="BS35">
        <v>-2.1438696344418723E-2</v>
      </c>
      <c r="BT35">
        <v>-2.8178028290471377E-2</v>
      </c>
      <c r="BU35">
        <v>4.8334493868885898E-3</v>
      </c>
    </row>
    <row r="36" spans="1:73" ht="14.4" x14ac:dyDescent="0.55000000000000004">
      <c r="A36" s="1">
        <v>43768</v>
      </c>
      <c r="B36">
        <v>1.7055000000000001E-2</v>
      </c>
      <c r="C36">
        <v>1.7084999999999999E-2</v>
      </c>
      <c r="D36">
        <v>1.7375000000000002E-2</v>
      </c>
      <c r="E36">
        <v>1.6392E-2</v>
      </c>
      <c r="F36">
        <v>1.5341E-2</v>
      </c>
      <c r="G36">
        <v>1.7604000000000002E-2</v>
      </c>
      <c r="H36">
        <v>1.7711999999999999E-2</v>
      </c>
      <c r="I36">
        <v>1.9085999999999999E-2</v>
      </c>
      <c r="J36">
        <v>2.1132000000000001E-2</v>
      </c>
      <c r="K36">
        <v>2.2787000000000002E-2</v>
      </c>
      <c r="L36">
        <v>2.3844000000000001E-2</v>
      </c>
      <c r="M36">
        <v>2.3351E-2</v>
      </c>
      <c r="N36">
        <v>3.5204794947940987E-2</v>
      </c>
      <c r="O36">
        <v>-1.4923527734413159E-2</v>
      </c>
      <c r="P36">
        <v>-2.6222399565426841E-2</v>
      </c>
      <c r="Q36">
        <v>-3.4298895415675268E-2</v>
      </c>
      <c r="R36">
        <f t="shared" si="3"/>
        <v>1.8952235024975519E-2</v>
      </c>
      <c r="S36">
        <f t="shared" si="3"/>
        <v>1.7963275796364683E-2</v>
      </c>
      <c r="T36">
        <f t="shared" si="3"/>
        <v>1.6743629203772606E-2</v>
      </c>
      <c r="U36">
        <f t="shared" si="3"/>
        <v>1.6100413224452249E-2</v>
      </c>
      <c r="V36">
        <f t="shared" si="3"/>
        <v>1.6495583850767319E-2</v>
      </c>
      <c r="W36">
        <f t="shared" si="3"/>
        <v>1.7824145928487998E-2</v>
      </c>
      <c r="X36">
        <f t="shared" si="3"/>
        <v>1.8855285576153517E-2</v>
      </c>
      <c r="Y36">
        <f t="shared" si="3"/>
        <v>1.9860591010227274E-2</v>
      </c>
      <c r="Z36">
        <f t="shared" si="3"/>
        <v>2.114568377029118E-2</v>
      </c>
      <c r="AA36">
        <f t="shared" si="3"/>
        <v>2.2444563347633749E-2</v>
      </c>
      <c r="AB36">
        <f t="shared" si="3"/>
        <v>2.3739199095941861E-2</v>
      </c>
      <c r="AC36">
        <f t="shared" si="3"/>
        <v>2.4944277066125488E-2</v>
      </c>
      <c r="AD36">
        <v>3.661853318253068E-2</v>
      </c>
      <c r="AE36">
        <v>-1.8167749490349674E-2</v>
      </c>
      <c r="AF36">
        <v>-2.8081039601856338E-2</v>
      </c>
      <c r="AG36">
        <v>-4.1387867307229334E-2</v>
      </c>
      <c r="AH36">
        <v>4.1035251035093374E-2</v>
      </c>
      <c r="AI36">
        <v>-2.0359972506484029E-2</v>
      </c>
      <c r="AJ36">
        <v>-3.1230253788492323E-2</v>
      </c>
      <c r="AK36">
        <v>-3.5532681933034972E-2</v>
      </c>
      <c r="AL36">
        <v>4.1111401844701509E-2</v>
      </c>
      <c r="AM36">
        <v>-2.1875206425539008E-2</v>
      </c>
      <c r="AN36">
        <v>-3.370172075929611E-2</v>
      </c>
      <c r="AO36">
        <v>-3.0792168112177078E-2</v>
      </c>
      <c r="AP36">
        <v>4.0649039783411084E-2</v>
      </c>
      <c r="AQ36">
        <v>-2.0154284103640362E-2</v>
      </c>
      <c r="AR36">
        <v>-3.0970448590790969E-2</v>
      </c>
      <c r="AS36">
        <v>-2.4045526544060683E-2</v>
      </c>
      <c r="AT36">
        <v>4.0082969697569248E-2</v>
      </c>
      <c r="AU36">
        <v>-1.9854339136958495E-2</v>
      </c>
      <c r="AV36">
        <v>-2.8897626668970288E-2</v>
      </c>
      <c r="AW36">
        <v>-1.6405271409543204E-2</v>
      </c>
      <c r="AX36">
        <v>4.0892006352426992E-2</v>
      </c>
      <c r="AY36">
        <v>-2.1274153581823229E-2</v>
      </c>
      <c r="AZ36">
        <v>-3.1671560352961231E-2</v>
      </c>
      <c r="BA36">
        <v>-1.9145630140087456E-2</v>
      </c>
      <c r="BB36">
        <v>3.9511670490520526E-2</v>
      </c>
      <c r="BC36">
        <v>-2.0241079604490491E-2</v>
      </c>
      <c r="BD36">
        <v>-2.931253514220044E-2</v>
      </c>
      <c r="BE36">
        <v>-9.4448802600029455E-3</v>
      </c>
      <c r="BF36">
        <v>3.9251368078916951E-2</v>
      </c>
      <c r="BG36">
        <v>-2.0771994084011713E-2</v>
      </c>
      <c r="BH36">
        <v>-2.9763051650207872E-2</v>
      </c>
      <c r="BI36">
        <v>-8.1091101389833397E-3</v>
      </c>
      <c r="BJ36">
        <v>3.8445582068898275E-2</v>
      </c>
      <c r="BK36">
        <v>-2.0925377939578382E-2</v>
      </c>
      <c r="BL36">
        <v>-2.9567888424068805E-2</v>
      </c>
      <c r="BM36">
        <v>-3.3564558572359913E-3</v>
      </c>
      <c r="BN36">
        <v>3.8000419222422387E-2</v>
      </c>
      <c r="BO36">
        <v>-2.1109926619270476E-2</v>
      </c>
      <c r="BP36">
        <v>-2.9728488150851166E-2</v>
      </c>
      <c r="BQ36">
        <v>1.9379214485678695E-3</v>
      </c>
      <c r="BR36">
        <v>3.7554412359614014E-2</v>
      </c>
      <c r="BS36">
        <v>-2.1687503482793156E-2</v>
      </c>
      <c r="BT36">
        <v>-3.016745848400262E-2</v>
      </c>
      <c r="BU36">
        <v>4.493447658123052E-3</v>
      </c>
    </row>
    <row r="37" spans="1:73" ht="14.4" x14ac:dyDescent="0.55000000000000004">
      <c r="A37" s="1">
        <v>43796</v>
      </c>
      <c r="B37">
        <v>1.7277000000000001E-2</v>
      </c>
      <c r="C37">
        <v>1.7260999999999999E-2</v>
      </c>
      <c r="D37">
        <v>1.7180999999999998E-2</v>
      </c>
      <c r="E37">
        <v>1.6611000000000001E-2</v>
      </c>
      <c r="F37">
        <v>1.5775000000000001E-2</v>
      </c>
      <c r="G37">
        <v>1.7627E-2</v>
      </c>
      <c r="H37">
        <v>1.8096999999999999E-2</v>
      </c>
      <c r="I37">
        <v>1.9257E-2</v>
      </c>
      <c r="J37">
        <v>2.1214E-2</v>
      </c>
      <c r="K37">
        <v>2.2494E-2</v>
      </c>
      <c r="L37">
        <v>2.3337E-2</v>
      </c>
      <c r="M37">
        <v>2.2724000000000001E-2</v>
      </c>
      <c r="N37">
        <v>3.5056721558906448E-2</v>
      </c>
      <c r="O37">
        <v>-1.696588237498322E-2</v>
      </c>
      <c r="P37">
        <v>-2.4995182958700322E-2</v>
      </c>
      <c r="Q37">
        <v>-3.1115692387101164E-2</v>
      </c>
      <c r="R37">
        <f t="shared" si="3"/>
        <v>1.7078818489618737E-2</v>
      </c>
      <c r="S37">
        <f t="shared" si="3"/>
        <v>1.636430751887509E-2</v>
      </c>
      <c r="T37">
        <f t="shared" si="3"/>
        <v>1.559061577636572E-2</v>
      </c>
      <c r="U37">
        <f t="shared" si="3"/>
        <v>1.5552173196366554E-2</v>
      </c>
      <c r="V37">
        <f t="shared" si="3"/>
        <v>1.6321154726358041E-2</v>
      </c>
      <c r="W37">
        <f t="shared" si="3"/>
        <v>1.8066332358301931E-2</v>
      </c>
      <c r="X37">
        <f t="shared" si="3"/>
        <v>1.9315770542557738E-2</v>
      </c>
      <c r="Y37">
        <f t="shared" si="3"/>
        <v>2.0492005022240328E-2</v>
      </c>
      <c r="Z37">
        <f t="shared" si="3"/>
        <v>2.1871776727865708E-2</v>
      </c>
      <c r="AA37">
        <f t="shared" si="3"/>
        <v>2.315774205055764E-2</v>
      </c>
      <c r="AB37">
        <f t="shared" si="3"/>
        <v>2.4396824120325483E-2</v>
      </c>
      <c r="AC37">
        <f t="shared" si="3"/>
        <v>2.5533127780470295E-2</v>
      </c>
      <c r="AD37">
        <v>3.6989240599937939E-2</v>
      </c>
      <c r="AE37">
        <v>-1.762488666928989E-2</v>
      </c>
      <c r="AF37">
        <v>-2.7707573008097876E-2</v>
      </c>
      <c r="AG37">
        <v>-3.5328986660290246E-2</v>
      </c>
      <c r="AH37">
        <v>3.8018036695393644E-2</v>
      </c>
      <c r="AI37">
        <v>-2.0259916509225401E-2</v>
      </c>
      <c r="AJ37">
        <v>-2.9315141958333065E-2</v>
      </c>
      <c r="AK37">
        <v>-4.1325103873392638E-2</v>
      </c>
      <c r="AL37">
        <v>4.131451365123389E-2</v>
      </c>
      <c r="AM37">
        <v>-2.1375918157230497E-2</v>
      </c>
      <c r="AN37">
        <v>-3.20643920904514E-2</v>
      </c>
      <c r="AO37">
        <v>-3.3549487446639159E-2</v>
      </c>
      <c r="AP37">
        <v>4.1355002645160718E-2</v>
      </c>
      <c r="AQ37">
        <v>-2.2826455247716679E-2</v>
      </c>
      <c r="AR37">
        <v>-3.4407839682399279E-2</v>
      </c>
      <c r="AS37">
        <v>-2.9131563869706289E-2</v>
      </c>
      <c r="AT37">
        <v>4.0821504034109821E-2</v>
      </c>
      <c r="AU37">
        <v>-2.110945516942939E-2</v>
      </c>
      <c r="AV37">
        <v>-3.1919204360703828E-2</v>
      </c>
      <c r="AW37">
        <v>-2.2468501653019245E-2</v>
      </c>
      <c r="AX37">
        <v>4.0108829048295956E-2</v>
      </c>
      <c r="AY37">
        <v>-2.0632444450149182E-2</v>
      </c>
      <c r="AZ37">
        <v>-3.0054472313087617E-2</v>
      </c>
      <c r="BA37">
        <v>-1.4855522576109904E-2</v>
      </c>
      <c r="BB37">
        <v>4.0869418037620849E-2</v>
      </c>
      <c r="BC37">
        <v>-2.1982418226943558E-2</v>
      </c>
      <c r="BD37">
        <v>-3.2592662090835292E-2</v>
      </c>
      <c r="BE37">
        <v>-1.7476202765043865E-2</v>
      </c>
      <c r="BF37">
        <v>3.9553776450008987E-2</v>
      </c>
      <c r="BG37">
        <v>-2.1028799676597289E-2</v>
      </c>
      <c r="BH37">
        <v>-3.0520336541728744E-2</v>
      </c>
      <c r="BI37">
        <v>-8.3501410344490566E-3</v>
      </c>
      <c r="BJ37">
        <v>3.9319892717385042E-2</v>
      </c>
      <c r="BK37">
        <v>-2.1552663866503109E-2</v>
      </c>
      <c r="BL37">
        <v>-3.0964384735321985E-2</v>
      </c>
      <c r="BM37">
        <v>-7.1765895632338334E-3</v>
      </c>
      <c r="BN37">
        <v>3.8595432649223022E-2</v>
      </c>
      <c r="BO37">
        <v>-2.1765578928026243E-2</v>
      </c>
      <c r="BP37">
        <v>-3.0855871138929902E-2</v>
      </c>
      <c r="BQ37">
        <v>-2.8652075385317242E-3</v>
      </c>
      <c r="BR37">
        <v>3.8162613125031705E-2</v>
      </c>
      <c r="BS37">
        <v>-2.1961632817135972E-2</v>
      </c>
      <c r="BT37">
        <v>-3.1065637413608429E-2</v>
      </c>
      <c r="BU37">
        <v>2.0916059371522619E-3</v>
      </c>
    </row>
    <row r="38" spans="1:73" ht="14.4" x14ac:dyDescent="0.55000000000000004">
      <c r="A38" s="1">
        <v>43824</v>
      </c>
      <c r="B38">
        <v>1.6756E-2</v>
      </c>
      <c r="C38">
        <v>1.6858000000000001E-2</v>
      </c>
      <c r="D38">
        <v>1.7162E-2</v>
      </c>
      <c r="E38">
        <v>1.6941000000000001E-2</v>
      </c>
      <c r="F38">
        <v>1.6347E-2</v>
      </c>
      <c r="G38">
        <v>1.8529E-2</v>
      </c>
      <c r="H38">
        <v>1.9342000000000002E-2</v>
      </c>
      <c r="I38">
        <v>2.0641E-2</v>
      </c>
      <c r="J38">
        <v>2.2755000000000001E-2</v>
      </c>
      <c r="K38">
        <v>2.4226000000000001E-2</v>
      </c>
      <c r="L38">
        <v>2.4589E-2</v>
      </c>
      <c r="M38">
        <v>2.3938000000000001E-2</v>
      </c>
      <c r="N38">
        <v>3.2548090933533919E-2</v>
      </c>
      <c r="O38">
        <v>-1.4617484610222737E-2</v>
      </c>
      <c r="P38">
        <v>-2.2724899269486336E-2</v>
      </c>
      <c r="Q38">
        <v>-2.3807151938100728E-2</v>
      </c>
      <c r="R38">
        <f t="shared" si="3"/>
        <v>1.7007915489963304E-2</v>
      </c>
      <c r="S38">
        <f t="shared" si="3"/>
        <v>1.6360713102297791E-2</v>
      </c>
      <c r="T38">
        <f t="shared" si="3"/>
        <v>1.5673814934499306E-2</v>
      </c>
      <c r="U38">
        <f t="shared" si="3"/>
        <v>1.5701503564838799E-2</v>
      </c>
      <c r="V38">
        <f t="shared" si="3"/>
        <v>1.6480999670286222E-2</v>
      </c>
      <c r="W38">
        <f t="shared" si="3"/>
        <v>1.822836289889759E-2</v>
      </c>
      <c r="X38">
        <f t="shared" si="3"/>
        <v>1.9492021335821421E-2</v>
      </c>
      <c r="Y38">
        <f t="shared" si="3"/>
        <v>2.0677576020808254E-2</v>
      </c>
      <c r="Z38">
        <f t="shared" si="3"/>
        <v>2.1973402191875668E-2</v>
      </c>
      <c r="AA38">
        <f t="shared" si="3"/>
        <v>2.3078918738536104E-2</v>
      </c>
      <c r="AB38">
        <f t="shared" si="3"/>
        <v>2.4099971583439871E-2</v>
      </c>
      <c r="AC38">
        <f t="shared" si="3"/>
        <v>2.5018051741721153E-2</v>
      </c>
      <c r="AD38">
        <v>3.6508236092835836E-2</v>
      </c>
      <c r="AE38">
        <v>-1.9111953726180415E-2</v>
      </c>
      <c r="AF38">
        <v>-2.6574178936084474E-2</v>
      </c>
      <c r="AG38">
        <v>-3.1600018558456178E-2</v>
      </c>
      <c r="AH38">
        <v>3.8215537370871092E-2</v>
      </c>
      <c r="AI38">
        <v>-1.9613488496082992E-2</v>
      </c>
      <c r="AJ38">
        <v>-2.8987190962854317E-2</v>
      </c>
      <c r="AK38">
        <v>-3.5208846375467326E-2</v>
      </c>
      <c r="AL38">
        <v>3.8973506188603249E-2</v>
      </c>
      <c r="AM38">
        <v>-2.1795201154631676E-2</v>
      </c>
      <c r="AN38">
        <v>-3.0389824910137631E-2</v>
      </c>
      <c r="AO38">
        <v>-4.0398252657245906E-2</v>
      </c>
      <c r="AP38">
        <v>4.1462522721029724E-2</v>
      </c>
      <c r="AQ38">
        <v>-2.2212291673774684E-2</v>
      </c>
      <c r="AR38">
        <v>-3.284181014733116E-2</v>
      </c>
      <c r="AS38">
        <v>-3.1449536000969877E-2</v>
      </c>
      <c r="AT38">
        <v>4.1476861189490441E-2</v>
      </c>
      <c r="AU38">
        <v>-2.3606798113675949E-2</v>
      </c>
      <c r="AV38">
        <v>-3.5065010132296875E-2</v>
      </c>
      <c r="AW38">
        <v>-2.7350000955561268E-2</v>
      </c>
      <c r="AX38">
        <v>4.0911958307497019E-2</v>
      </c>
      <c r="AY38">
        <v>-2.1939759867489503E-2</v>
      </c>
      <c r="AZ38">
        <v>-3.2807692862625498E-2</v>
      </c>
      <c r="BA38">
        <v>-2.086154563264905E-2</v>
      </c>
      <c r="BB38">
        <v>4.0125011957917171E-2</v>
      </c>
      <c r="BC38">
        <v>-2.1378051606382772E-2</v>
      </c>
      <c r="BD38">
        <v>-3.1147117749002341E-2</v>
      </c>
      <c r="BE38">
        <v>-1.3435428453415674E-2</v>
      </c>
      <c r="BF38">
        <v>4.0833161524321503E-2</v>
      </c>
      <c r="BG38">
        <v>-2.2651395259563906E-2</v>
      </c>
      <c r="BH38">
        <v>-3.3467502494804305E-2</v>
      </c>
      <c r="BI38">
        <v>-1.5923696399154984E-2</v>
      </c>
      <c r="BJ38">
        <v>3.9593637836149394E-2</v>
      </c>
      <c r="BK38">
        <v>-2.1790984353554223E-2</v>
      </c>
      <c r="BL38">
        <v>-3.1656892602467596E-2</v>
      </c>
      <c r="BM38">
        <v>-7.3775522561343202E-3</v>
      </c>
      <c r="BN38">
        <v>3.9382687913219465E-2</v>
      </c>
      <c r="BO38">
        <v>-2.2304724059801561E-2</v>
      </c>
      <c r="BP38">
        <v>-3.2092372185641982E-2</v>
      </c>
      <c r="BQ38">
        <v>-6.3490606076633564E-3</v>
      </c>
      <c r="BR38">
        <v>3.872901530617185E-2</v>
      </c>
      <c r="BS38">
        <v>-2.2564520144820719E-2</v>
      </c>
      <c r="BT38">
        <v>-3.205764615202325E-2</v>
      </c>
      <c r="BU38">
        <v>-2.4358082593405801E-3</v>
      </c>
    </row>
    <row r="39" spans="1:73" ht="14.4" x14ac:dyDescent="0.55000000000000004">
      <c r="A39" s="1">
        <v>43859</v>
      </c>
      <c r="B39">
        <v>1.584E-2</v>
      </c>
      <c r="C39">
        <v>1.5783999999999999E-2</v>
      </c>
      <c r="D39">
        <v>1.5415999999999999E-2</v>
      </c>
      <c r="E39">
        <v>1.4729000000000001E-2</v>
      </c>
      <c r="F39">
        <v>1.4043999999999999E-2</v>
      </c>
      <c r="G39">
        <v>1.4855E-2</v>
      </c>
      <c r="H39">
        <v>1.5803999999999999E-2</v>
      </c>
      <c r="I39">
        <v>1.7323999999999999E-2</v>
      </c>
      <c r="J39">
        <v>1.9393000000000001E-2</v>
      </c>
      <c r="K39">
        <v>2.0580999999999999E-2</v>
      </c>
      <c r="L39">
        <v>2.1874000000000001E-2</v>
      </c>
      <c r="M39">
        <v>2.1281000000000001E-2</v>
      </c>
      <c r="N39">
        <v>3.2124914479733833E-2</v>
      </c>
      <c r="O39">
        <v>-1.4825118879278848E-2</v>
      </c>
      <c r="P39">
        <v>-2.2300588153600934E-2</v>
      </c>
      <c r="Q39">
        <v>-1.7671812704721943E-2</v>
      </c>
      <c r="R39">
        <f t="shared" si="3"/>
        <v>1.6518326241714985E-2</v>
      </c>
      <c r="S39">
        <f t="shared" si="3"/>
        <v>1.5999411261887773E-2</v>
      </c>
      <c r="T39">
        <f t="shared" si="3"/>
        <v>1.5536974008207388E-2</v>
      </c>
      <c r="U39">
        <f t="shared" si="3"/>
        <v>1.5918730166304185E-2</v>
      </c>
      <c r="V39">
        <f t="shared" si="3"/>
        <v>1.696688011492848E-2</v>
      </c>
      <c r="W39">
        <f t="shared" si="3"/>
        <v>1.909579365987444E-2</v>
      </c>
      <c r="X39">
        <f t="shared" si="3"/>
        <v>2.0608290003161864E-2</v>
      </c>
      <c r="Y39">
        <f t="shared" si="3"/>
        <v>2.2007322657559166E-2</v>
      </c>
      <c r="Z39">
        <f t="shared" si="3"/>
        <v>2.340129646772196E-2</v>
      </c>
      <c r="AA39">
        <f t="shared" si="3"/>
        <v>2.4440346426009268E-2</v>
      </c>
      <c r="AB39">
        <f t="shared" si="3"/>
        <v>2.5329400150390691E-2</v>
      </c>
      <c r="AC39">
        <f t="shared" si="3"/>
        <v>2.609830839008704E-2</v>
      </c>
      <c r="AD39">
        <v>3.4520763237291363E-2</v>
      </c>
      <c r="AE39">
        <v>-1.7386076576463485E-2</v>
      </c>
      <c r="AF39">
        <v>-2.4636488832815252E-2</v>
      </c>
      <c r="AG39">
        <v>-2.5694157408461954E-2</v>
      </c>
      <c r="AH39">
        <v>3.7537450073409154E-2</v>
      </c>
      <c r="AI39">
        <v>-2.0729444291206326E-2</v>
      </c>
      <c r="AJ39">
        <v>-2.7966261071341647E-2</v>
      </c>
      <c r="AK39">
        <v>-3.1251152124812553E-2</v>
      </c>
      <c r="AL39">
        <v>3.9053422731855567E-2</v>
      </c>
      <c r="AM39">
        <v>-2.1107956152188464E-2</v>
      </c>
      <c r="AN39">
        <v>-3.011491153463771E-2</v>
      </c>
      <c r="AO39">
        <v>-3.4347902054919173E-2</v>
      </c>
      <c r="AP39">
        <v>3.9620196331958207E-2</v>
      </c>
      <c r="AQ39">
        <v>-2.294676225799713E-2</v>
      </c>
      <c r="AR39">
        <v>-3.1347139897373769E-2</v>
      </c>
      <c r="AS39">
        <v>-3.8930994884099304E-2</v>
      </c>
      <c r="AT39">
        <v>4.1522320062864541E-2</v>
      </c>
      <c r="AU39">
        <v>-2.2923810023610439E-2</v>
      </c>
      <c r="AV39">
        <v>-3.357465408205848E-2</v>
      </c>
      <c r="AW39">
        <v>-2.9326561862434673E-2</v>
      </c>
      <c r="AX39">
        <v>4.15174417796179E-2</v>
      </c>
      <c r="AY39">
        <v>-2.426810956413723E-2</v>
      </c>
      <c r="AZ39">
        <v>-3.5684382747153437E-2</v>
      </c>
      <c r="BA39">
        <v>-2.55363663540976E-2</v>
      </c>
      <c r="BB39">
        <v>4.094713088947758E-2</v>
      </c>
      <c r="BC39">
        <v>-2.2679315873870964E-2</v>
      </c>
      <c r="BD39">
        <v>-3.3644766853957404E-2</v>
      </c>
      <c r="BE39">
        <v>-1.9279167255337838E-2</v>
      </c>
      <c r="BF39">
        <v>4.0133739893202278E-2</v>
      </c>
      <c r="BG39">
        <v>-2.2093292621677835E-2</v>
      </c>
      <c r="BH39">
        <v>-3.217923086061894E-2</v>
      </c>
      <c r="BI39">
        <v>-1.2139188025618185E-2</v>
      </c>
      <c r="BJ39">
        <v>4.0788473700360733E-2</v>
      </c>
      <c r="BK39">
        <v>-2.3287454247188775E-2</v>
      </c>
      <c r="BL39">
        <v>-3.4299003380429106E-2</v>
      </c>
      <c r="BM39">
        <v>-1.4490132469606544E-2</v>
      </c>
      <c r="BN39">
        <v>3.9630214841823178E-2</v>
      </c>
      <c r="BO39">
        <v>-2.2525824087630195E-2</v>
      </c>
      <c r="BP39">
        <v>-3.2725910121999192E-2</v>
      </c>
      <c r="BQ39">
        <v>-6.5145455950888958E-3</v>
      </c>
      <c r="BR39">
        <v>3.9439390444360137E-2</v>
      </c>
      <c r="BS39">
        <v>-2.3027231266742498E-2</v>
      </c>
      <c r="BT39">
        <v>-3.3151165577934842E-2</v>
      </c>
      <c r="BU39">
        <v>-5.6162446427020975E-3</v>
      </c>
    </row>
    <row r="40" spans="1:73" ht="14.4" x14ac:dyDescent="0.55000000000000004">
      <c r="A40" s="1">
        <v>43887</v>
      </c>
      <c r="B40">
        <v>1.4092E-2</v>
      </c>
      <c r="C40">
        <v>1.3936E-2</v>
      </c>
      <c r="D40">
        <v>1.3029000000000001E-2</v>
      </c>
      <c r="E40">
        <v>1.1856999999999999E-2</v>
      </c>
      <c r="F40">
        <v>1.1948E-2</v>
      </c>
      <c r="G40">
        <v>1.2317E-2</v>
      </c>
      <c r="H40">
        <v>1.3436999999999999E-2</v>
      </c>
      <c r="I40">
        <v>1.5037999999999999E-2</v>
      </c>
      <c r="J40">
        <v>1.6971E-2</v>
      </c>
      <c r="K40">
        <v>1.8457000000000001E-2</v>
      </c>
      <c r="L40">
        <v>1.9782000000000001E-2</v>
      </c>
      <c r="M40">
        <v>1.9193999999999999E-2</v>
      </c>
      <c r="N40">
        <v>3.3221782841815137E-2</v>
      </c>
      <c r="O40">
        <v>-1.6352016746516512E-2</v>
      </c>
      <c r="P40">
        <v>-2.5756506511643816E-2</v>
      </c>
      <c r="Q40">
        <v>-3.0879543697249733E-2</v>
      </c>
      <c r="R40">
        <f t="shared" si="3"/>
        <v>1.574868510257782E-2</v>
      </c>
      <c r="S40">
        <f t="shared" si="3"/>
        <v>1.4944111693435966E-2</v>
      </c>
      <c r="T40">
        <f t="shared" si="3"/>
        <v>1.4035050977009356E-2</v>
      </c>
      <c r="U40">
        <f t="shared" si="3"/>
        <v>1.3844394918114603E-2</v>
      </c>
      <c r="V40">
        <f t="shared" si="3"/>
        <v>1.4547632804707701E-2</v>
      </c>
      <c r="W40">
        <f t="shared" si="3"/>
        <v>1.6260368550218778E-2</v>
      </c>
      <c r="X40">
        <f t="shared" si="3"/>
        <v>1.7514391493740247E-2</v>
      </c>
      <c r="Y40">
        <f t="shared" si="3"/>
        <v>1.8703429577162693E-2</v>
      </c>
      <c r="Z40">
        <f t="shared" si="3"/>
        <v>2.0093622626357038E-2</v>
      </c>
      <c r="AA40">
        <f t="shared" si="3"/>
        <v>2.1380633236765902E-2</v>
      </c>
      <c r="AB40">
        <f t="shared" si="3"/>
        <v>2.2616806185227815E-2</v>
      </c>
      <c r="AC40">
        <f t="shared" si="3"/>
        <v>2.3748816194804786E-2</v>
      </c>
      <c r="AD40">
        <v>3.4036205297837754E-2</v>
      </c>
      <c r="AE40">
        <v>-1.7512203482838221E-2</v>
      </c>
      <c r="AF40">
        <v>-2.430088273106774E-2</v>
      </c>
      <c r="AG40">
        <v>-1.976167612083049E-2</v>
      </c>
      <c r="AH40">
        <v>3.5935050771689347E-2</v>
      </c>
      <c r="AI40">
        <v>-1.945205299336298E-2</v>
      </c>
      <c r="AJ40">
        <v>-2.630059157679962E-2</v>
      </c>
      <c r="AK40">
        <v>-2.6400220833811182E-2</v>
      </c>
      <c r="AL40">
        <v>3.8269587785899416E-2</v>
      </c>
      <c r="AM40">
        <v>-2.1978305291052776E-2</v>
      </c>
      <c r="AN40">
        <v>-2.9213618131251021E-2</v>
      </c>
      <c r="AO40">
        <v>-3.0368809907570377E-2</v>
      </c>
      <c r="AP40">
        <v>3.9621079303602341E-2</v>
      </c>
      <c r="AQ40">
        <v>-2.2259762330724419E-2</v>
      </c>
      <c r="AR40">
        <v>-3.1128198913843146E-2</v>
      </c>
      <c r="AS40">
        <v>-3.3027509925692727E-2</v>
      </c>
      <c r="AT40">
        <v>4.0052279761561886E-2</v>
      </c>
      <c r="AU40">
        <v>-2.3834330612359247E-2</v>
      </c>
      <c r="AV40">
        <v>-3.2216298852640511E-2</v>
      </c>
      <c r="AW40">
        <v>-3.7145052541736431E-2</v>
      </c>
      <c r="AX40">
        <v>4.1523643907307402E-2</v>
      </c>
      <c r="AY40">
        <v>-2.3547985802834029E-2</v>
      </c>
      <c r="AZ40">
        <v>-3.4271122476379257E-2</v>
      </c>
      <c r="BA40">
        <v>-2.7241823572050183E-2</v>
      </c>
      <c r="BB40">
        <v>4.1504647668914353E-2</v>
      </c>
      <c r="BC40">
        <v>-2.4845983361496401E-2</v>
      </c>
      <c r="BD40">
        <v>-3.6273406010935164E-2</v>
      </c>
      <c r="BE40">
        <v>-2.3748853929018078E-2</v>
      </c>
      <c r="BF40">
        <v>4.0945526093987362E-2</v>
      </c>
      <c r="BG40">
        <v>-2.3351643809457874E-2</v>
      </c>
      <c r="BH40">
        <v>-3.4436773071292524E-2</v>
      </c>
      <c r="BI40">
        <v>-1.7756054419655398E-2</v>
      </c>
      <c r="BJ40">
        <v>4.0136701198063195E-2</v>
      </c>
      <c r="BK40">
        <v>-2.2779780668229461E-2</v>
      </c>
      <c r="BL40">
        <v>-3.3154167388695338E-2</v>
      </c>
      <c r="BM40">
        <v>-1.0960367067512689E-2</v>
      </c>
      <c r="BN40">
        <v>4.0738966671377018E-2</v>
      </c>
      <c r="BO40">
        <v>-2.389498134586111E-2</v>
      </c>
      <c r="BP40">
        <v>-3.5089583668711136E-2</v>
      </c>
      <c r="BQ40">
        <v>-1.3174151989581238E-2</v>
      </c>
      <c r="BR40">
        <v>3.9663012201212308E-2</v>
      </c>
      <c r="BS40">
        <v>-2.3232378200811313E-2</v>
      </c>
      <c r="BT40">
        <v>-3.373102195230164E-2</v>
      </c>
      <c r="BU40">
        <v>-5.7505545607360858E-3</v>
      </c>
    </row>
    <row r="41" spans="1:73" ht="14.4" x14ac:dyDescent="0.55000000000000004">
      <c r="A41" s="1">
        <v>43915</v>
      </c>
      <c r="B41">
        <v>2.271E-3</v>
      </c>
      <c r="C41">
        <v>2.4390000000000002E-3</v>
      </c>
      <c r="D41">
        <v>2.774E-3</v>
      </c>
      <c r="E41">
        <v>3.7299999999999998E-3</v>
      </c>
      <c r="F41">
        <v>4.8430000000000001E-3</v>
      </c>
      <c r="G41">
        <v>7.2309999999999996E-3</v>
      </c>
      <c r="H41">
        <v>8.7740000000000005E-3</v>
      </c>
      <c r="I41">
        <v>1.0432E-2</v>
      </c>
      <c r="J41">
        <v>1.1904E-2</v>
      </c>
      <c r="K41">
        <v>1.3697000000000001E-2</v>
      </c>
      <c r="L41">
        <v>1.5640999999999999E-2</v>
      </c>
      <c r="M41">
        <v>1.5231E-2</v>
      </c>
      <c r="N41">
        <v>3.2251052785110784E-2</v>
      </c>
      <c r="O41">
        <v>-1.6988966698587557E-2</v>
      </c>
      <c r="P41">
        <v>-2.8290174287186731E-2</v>
      </c>
      <c r="Q41">
        <v>-3.3612102941038696E-2</v>
      </c>
      <c r="R41">
        <f t="shared" si="3"/>
        <v>1.3953058108104172E-2</v>
      </c>
      <c r="S41">
        <f t="shared" si="3"/>
        <v>1.300062127962176E-2</v>
      </c>
      <c r="T41">
        <f t="shared" si="3"/>
        <v>1.1887185578209962E-2</v>
      </c>
      <c r="U41">
        <f t="shared" si="3"/>
        <v>1.151458276882672E-2</v>
      </c>
      <c r="V41">
        <f t="shared" si="3"/>
        <v>1.2182163383586611E-2</v>
      </c>
      <c r="W41">
        <f t="shared" si="3"/>
        <v>1.3946376565001143E-2</v>
      </c>
      <c r="X41">
        <f t="shared" si="3"/>
        <v>1.5265300436980413E-2</v>
      </c>
      <c r="Y41">
        <f t="shared" si="3"/>
        <v>1.6525549163861654E-2</v>
      </c>
      <c r="Z41">
        <f t="shared" si="3"/>
        <v>1.8012811460323457E-2</v>
      </c>
      <c r="AA41">
        <f t="shared" si="3"/>
        <v>1.9400797252639115E-2</v>
      </c>
      <c r="AB41">
        <f t="shared" si="3"/>
        <v>2.0738614525256847E-2</v>
      </c>
      <c r="AC41">
        <f t="shared" si="3"/>
        <v>2.1965633382560579E-2</v>
      </c>
      <c r="AD41">
        <v>3.5244848371018288E-2</v>
      </c>
      <c r="AE41">
        <v>-1.9109385714649308E-2</v>
      </c>
      <c r="AF41">
        <v>-2.7393672156634453E-2</v>
      </c>
      <c r="AG41">
        <v>-3.2631854024772027E-2</v>
      </c>
      <c r="AH41">
        <v>3.5423589829439342E-2</v>
      </c>
      <c r="AI41">
        <v>-1.9539505889495951E-2</v>
      </c>
      <c r="AJ41">
        <v>-2.6050698126628337E-2</v>
      </c>
      <c r="AK41">
        <v>-2.073553123616843E-2</v>
      </c>
      <c r="AL41">
        <v>3.6955503052991862E-2</v>
      </c>
      <c r="AM41">
        <v>-2.1026525296126808E-2</v>
      </c>
      <c r="AN41">
        <v>-2.7773560793773862E-2</v>
      </c>
      <c r="AO41">
        <v>-2.6323823920453696E-2</v>
      </c>
      <c r="AP41">
        <v>3.8792162366999804E-2</v>
      </c>
      <c r="AQ41">
        <v>-2.2969497101845138E-2</v>
      </c>
      <c r="AR41">
        <v>-3.0346357058488784E-2</v>
      </c>
      <c r="AS41">
        <v>-2.9159132595476506E-2</v>
      </c>
      <c r="AT41">
        <v>4.0000813976467757E-2</v>
      </c>
      <c r="AU41">
        <v>-2.3173732557801325E-2</v>
      </c>
      <c r="AV41">
        <v>-3.2053264124638679E-2</v>
      </c>
      <c r="AW41">
        <v>-3.1440097368968037E-2</v>
      </c>
      <c r="AX41">
        <v>4.0335340313805673E-2</v>
      </c>
      <c r="AY41">
        <v>-2.4540540720685747E-2</v>
      </c>
      <c r="AZ41">
        <v>-3.3017606373535409E-2</v>
      </c>
      <c r="BA41">
        <v>-3.5191376490299395E-2</v>
      </c>
      <c r="BB41">
        <v>4.1486992662569999E-2</v>
      </c>
      <c r="BC41">
        <v>-2.4110430521506476E-2</v>
      </c>
      <c r="BD41">
        <v>-3.4936722989917374E-2</v>
      </c>
      <c r="BE41">
        <v>-2.5234222427964942E-2</v>
      </c>
      <c r="BF41">
        <v>4.1457663391612699E-2</v>
      </c>
      <c r="BG41">
        <v>-2.5364749540314518E-2</v>
      </c>
      <c r="BH41">
        <v>-3.6837011597241731E-2</v>
      </c>
      <c r="BI41">
        <v>-2.2024531724075876E-2</v>
      </c>
      <c r="BJ41">
        <v>4.0919931149419254E-2</v>
      </c>
      <c r="BK41">
        <v>-2.3972933469338834E-2</v>
      </c>
      <c r="BL41">
        <v>-3.5188331112432344E-2</v>
      </c>
      <c r="BM41">
        <v>-1.6313301539075276E-2</v>
      </c>
      <c r="BN41">
        <v>4.0135194749400457E-2</v>
      </c>
      <c r="BO41">
        <v>-2.3438779539179208E-2</v>
      </c>
      <c r="BP41">
        <v>-3.4075025281336137E-2</v>
      </c>
      <c r="BQ41">
        <v>-9.8922216132931381E-3</v>
      </c>
      <c r="BR41">
        <v>4.0687120505080117E-2</v>
      </c>
      <c r="BS41">
        <v>-2.4477009536115542E-2</v>
      </c>
      <c r="BT41">
        <v>-3.5841309634273212E-2</v>
      </c>
      <c r="BU41">
        <v>-1.1972212020371268E-2</v>
      </c>
    </row>
    <row r="42" spans="1:73" ht="14.4" x14ac:dyDescent="0.55000000000000004">
      <c r="A42" s="1">
        <v>43950</v>
      </c>
      <c r="B42">
        <v>1.1069999999999999E-3</v>
      </c>
      <c r="C42">
        <v>1.183E-3</v>
      </c>
      <c r="D42">
        <v>1.354E-3</v>
      </c>
      <c r="E42">
        <v>2.0079999999999998E-3</v>
      </c>
      <c r="F42">
        <v>2.9740000000000001E-3</v>
      </c>
      <c r="G42">
        <v>4.6589999999999999E-3</v>
      </c>
      <c r="H42">
        <v>6.2560000000000003E-3</v>
      </c>
      <c r="I42">
        <v>7.7219999999999997E-3</v>
      </c>
      <c r="J42">
        <v>9.9050000000000006E-3</v>
      </c>
      <c r="K42">
        <v>1.2201E-2</v>
      </c>
      <c r="L42">
        <v>1.3814999999999999E-2</v>
      </c>
      <c r="M42">
        <v>1.3417E-2</v>
      </c>
      <c r="N42">
        <v>2.8562671345575524E-2</v>
      </c>
      <c r="O42">
        <v>-2.5474127460587439E-2</v>
      </c>
      <c r="P42">
        <v>-2.572566878285007E-2</v>
      </c>
      <c r="Q42">
        <v>-3.4691101110467491E-2</v>
      </c>
      <c r="R42">
        <f t="shared" si="3"/>
        <v>2.6852299657411016E-3</v>
      </c>
      <c r="S42">
        <f t="shared" si="3"/>
        <v>2.5144102961068291E-3</v>
      </c>
      <c r="T42">
        <f t="shared" si="3"/>
        <v>2.6620810389110759E-3</v>
      </c>
      <c r="U42">
        <f t="shared" si="3"/>
        <v>3.961252248086849E-3</v>
      </c>
      <c r="V42">
        <f t="shared" si="3"/>
        <v>5.6112885184614152E-3</v>
      </c>
      <c r="W42">
        <f t="shared" si="3"/>
        <v>8.363193445290738E-3</v>
      </c>
      <c r="X42">
        <f t="shared" si="3"/>
        <v>1.0124956641771687E-2</v>
      </c>
      <c r="Y42">
        <f t="shared" si="3"/>
        <v>1.1707411429425678E-2</v>
      </c>
      <c r="Z42">
        <f t="shared" si="3"/>
        <v>1.345212400321486E-2</v>
      </c>
      <c r="AA42">
        <f t="shared" si="3"/>
        <v>1.4988522391701944E-2</v>
      </c>
      <c r="AB42">
        <f t="shared" si="3"/>
        <v>1.6431563256775021E-2</v>
      </c>
      <c r="AC42">
        <f t="shared" si="3"/>
        <v>1.7739488533066006E-2</v>
      </c>
      <c r="AD42">
        <v>3.4716587255413996E-2</v>
      </c>
      <c r="AE42">
        <v>-2.0187000310299505E-2</v>
      </c>
      <c r="AF42">
        <v>-2.9806285914607513E-2</v>
      </c>
      <c r="AG42">
        <v>-3.6281663968955345E-2</v>
      </c>
      <c r="AH42">
        <v>3.6671899974834651E-2</v>
      </c>
      <c r="AI42">
        <v>-2.1119423569193212E-2</v>
      </c>
      <c r="AJ42">
        <v>-2.8798084648380868E-2</v>
      </c>
      <c r="AK42">
        <v>-3.3118225532333165E-2</v>
      </c>
      <c r="AL42">
        <v>3.6439765629341543E-2</v>
      </c>
      <c r="AM42">
        <v>-2.1102834556853758E-2</v>
      </c>
      <c r="AN42">
        <v>-2.7604063686638172E-2</v>
      </c>
      <c r="AO42">
        <v>-2.0963305505687656E-2</v>
      </c>
      <c r="AP42">
        <v>3.7697182929998657E-2</v>
      </c>
      <c r="AQ42">
        <v>-2.2256225497003568E-2</v>
      </c>
      <c r="AR42">
        <v>-2.9095783265683638E-2</v>
      </c>
      <c r="AS42">
        <v>-2.5740423950026452E-2</v>
      </c>
      <c r="AT42">
        <v>3.9166412814366093E-2</v>
      </c>
      <c r="AU42">
        <v>-2.3779934205456876E-2</v>
      </c>
      <c r="AV42">
        <v>-3.1386129939628339E-2</v>
      </c>
      <c r="AW42">
        <v>-2.7763234771054197E-2</v>
      </c>
      <c r="AX42">
        <v>4.0249965174664025E-2</v>
      </c>
      <c r="AY42">
        <v>-2.3922301697469884E-2</v>
      </c>
      <c r="AZ42">
        <v>-3.2908500552187435E-2</v>
      </c>
      <c r="BA42">
        <v>-2.9716385099845831E-2</v>
      </c>
      <c r="BB42">
        <v>4.0515064115735126E-2</v>
      </c>
      <c r="BC42">
        <v>-2.5122285653107371E-2</v>
      </c>
      <c r="BD42">
        <v>-3.3765192834053312E-2</v>
      </c>
      <c r="BE42">
        <v>-3.3171836418326633E-2</v>
      </c>
      <c r="BF42">
        <v>4.1426450412778919E-2</v>
      </c>
      <c r="BG42">
        <v>-2.4628537631145368E-2</v>
      </c>
      <c r="BH42">
        <v>-3.5575140519622656E-2</v>
      </c>
      <c r="BI42">
        <v>-2.3327328558440226E-2</v>
      </c>
      <c r="BJ42">
        <v>4.1389625778566398E-2</v>
      </c>
      <c r="BK42">
        <v>-2.5840958615115452E-2</v>
      </c>
      <c r="BL42">
        <v>-3.7378432575568069E-2</v>
      </c>
      <c r="BM42">
        <v>-2.0385984171020104E-2</v>
      </c>
      <c r="BN42">
        <v>4.0879159820502935E-2</v>
      </c>
      <c r="BO42">
        <v>-2.4554311819675548E-2</v>
      </c>
      <c r="BP42">
        <v>-3.5902872582759288E-2</v>
      </c>
      <c r="BQ42">
        <v>-1.4962731438427426E-2</v>
      </c>
      <c r="BR42">
        <v>4.0130231937194318E-2</v>
      </c>
      <c r="BS42">
        <v>-2.4071320079958498E-2</v>
      </c>
      <c r="BT42">
        <v>-3.4944685027527789E-2</v>
      </c>
      <c r="BU42">
        <v>-8.9279186057957434E-3</v>
      </c>
    </row>
    <row r="43" spans="1:73" ht="14.4" x14ac:dyDescent="0.55000000000000004">
      <c r="A43" s="1">
        <v>43978</v>
      </c>
      <c r="B43">
        <v>1.0460000000000001E-3</v>
      </c>
      <c r="C43">
        <v>1.176E-3</v>
      </c>
      <c r="D43">
        <v>1.6169999999999999E-3</v>
      </c>
      <c r="E43">
        <v>1.8730000000000001E-3</v>
      </c>
      <c r="F43">
        <v>2.6649999999999998E-3</v>
      </c>
      <c r="G43">
        <v>4.4720000000000003E-3</v>
      </c>
      <c r="H43">
        <v>6.2909999999999997E-3</v>
      </c>
      <c r="I43">
        <v>8.2909999999999998E-3</v>
      </c>
      <c r="J43">
        <v>1.1221999999999999E-2</v>
      </c>
      <c r="K43">
        <v>1.3644999999999999E-2</v>
      </c>
      <c r="L43">
        <v>1.5789999999999998E-2</v>
      </c>
      <c r="M43">
        <v>1.5384E-2</v>
      </c>
      <c r="N43">
        <v>2.9279344006356418E-2</v>
      </c>
      <c r="O43">
        <v>-2.6929801599732642E-2</v>
      </c>
      <c r="P43">
        <v>-2.8700285904342281E-2</v>
      </c>
      <c r="Q43">
        <v>-4.2725910135744803E-2</v>
      </c>
      <c r="R43">
        <f t="shared" ref="R43:AC48" si="4">$N43+$O43*((1-EXP(-0.0597760632423479*R$2))/(0.0597760632423479*R$2))+$P43*((1-EXP(-0.0597760632423479*R$2))/(0.0597760632423479*R$2)-EXP(-0.0597760632423479*R$2))+$Q43*((1-EXP(-0.00996267604057902*R$2))/(0.00996267604057902*R$2)-EXP(-0.00996267604057902*R$2))</f>
        <v>1.7147039778239253E-3</v>
      </c>
      <c r="S43">
        <f t="shared" si="4"/>
        <v>1.3555511979779649E-3</v>
      </c>
      <c r="T43">
        <f t="shared" si="4"/>
        <v>1.2250306092871444E-3</v>
      </c>
      <c r="U43">
        <f t="shared" si="4"/>
        <v>2.213623623743115E-3</v>
      </c>
      <c r="V43">
        <f t="shared" si="4"/>
        <v>3.7158217264013516E-3</v>
      </c>
      <c r="W43">
        <f t="shared" si="4"/>
        <v>6.3325695340102246E-3</v>
      </c>
      <c r="X43">
        <f t="shared" si="4"/>
        <v>8.0211775465661335E-3</v>
      </c>
      <c r="Y43">
        <f t="shared" si="4"/>
        <v>9.552698627866044E-3</v>
      </c>
      <c r="Z43">
        <f t="shared" si="4"/>
        <v>1.1359326905153821E-2</v>
      </c>
      <c r="AA43">
        <f t="shared" si="4"/>
        <v>1.3079055761100215E-2</v>
      </c>
      <c r="AB43">
        <f t="shared" si="4"/>
        <v>1.4752766930044979E-2</v>
      </c>
      <c r="AC43">
        <f t="shared" si="4"/>
        <v>1.6294584600972342E-2</v>
      </c>
      <c r="AD43">
        <v>3.0863715868963137E-2</v>
      </c>
      <c r="AE43">
        <v>-2.7542701573918138E-2</v>
      </c>
      <c r="AF43">
        <v>-2.7549868417943876E-2</v>
      </c>
      <c r="AG43">
        <v>-3.7020411772179386E-2</v>
      </c>
      <c r="AH43">
        <v>3.6439173564722413E-2</v>
      </c>
      <c r="AI43">
        <v>-2.2453162836393401E-2</v>
      </c>
      <c r="AJ43">
        <v>-3.1064733385034283E-2</v>
      </c>
      <c r="AK43">
        <v>-3.731965302455658E-2</v>
      </c>
      <c r="AL43">
        <v>3.7680982685597664E-2</v>
      </c>
      <c r="AM43">
        <v>-2.2610787098232374E-2</v>
      </c>
      <c r="AN43">
        <v>-3.002802899438908E-2</v>
      </c>
      <c r="AO43">
        <v>-3.2770819525947202E-2</v>
      </c>
      <c r="AP43">
        <v>3.7191673061946394E-2</v>
      </c>
      <c r="AQ43">
        <v>-2.2338491521606985E-2</v>
      </c>
      <c r="AR43">
        <v>-2.9000087326854922E-2</v>
      </c>
      <c r="AS43">
        <v>-2.0701179257764945E-2</v>
      </c>
      <c r="AT43">
        <v>3.8240670206679525E-2</v>
      </c>
      <c r="AU43">
        <v>-2.3243118335607618E-2</v>
      </c>
      <c r="AV43">
        <v>-3.0296447469769231E-2</v>
      </c>
      <c r="AW43">
        <v>-2.4839915212579049E-2</v>
      </c>
      <c r="AX43">
        <v>3.9435263284981557E-2</v>
      </c>
      <c r="AY43">
        <v>-2.4462878540447337E-2</v>
      </c>
      <c r="AZ43">
        <v>-3.2348661683074952E-2</v>
      </c>
      <c r="BA43">
        <v>-2.627706728828753E-2</v>
      </c>
      <c r="BB43">
        <v>4.0408490951901299E-2</v>
      </c>
      <c r="BC43">
        <v>-2.4555425970798121E-2</v>
      </c>
      <c r="BD43">
        <v>-3.3706872527155499E-2</v>
      </c>
      <c r="BE43">
        <v>-2.7944318053363337E-2</v>
      </c>
      <c r="BF43">
        <v>4.0623286002128181E-2</v>
      </c>
      <c r="BG43">
        <v>-2.5618610542965905E-2</v>
      </c>
      <c r="BH43">
        <v>-3.4468913568210968E-2</v>
      </c>
      <c r="BI43">
        <v>-3.1154304149175804E-2</v>
      </c>
      <c r="BJ43">
        <v>4.1351651245233295E-2</v>
      </c>
      <c r="BK43">
        <v>-2.5114039017332484E-2</v>
      </c>
      <c r="BL43">
        <v>-3.6188835682822426E-2</v>
      </c>
      <c r="BM43">
        <v>-2.1534256615450047E-2</v>
      </c>
      <c r="BN43">
        <v>4.1309480415106181E-2</v>
      </c>
      <c r="BO43">
        <v>-2.6285800050698856E-2</v>
      </c>
      <c r="BP43">
        <v>-3.7899766821589645E-2</v>
      </c>
      <c r="BQ43">
        <v>-1.884592040819514E-2</v>
      </c>
      <c r="BR43">
        <v>4.0829265143174788E-2</v>
      </c>
      <c r="BS43">
        <v>-2.5103416970027225E-2</v>
      </c>
      <c r="BT43">
        <v>-3.6583013734386396E-2</v>
      </c>
      <c r="BU43">
        <v>-1.3709892246704108E-2</v>
      </c>
    </row>
    <row r="44" spans="1:73" ht="14.4" x14ac:dyDescent="0.55000000000000004">
      <c r="A44" s="1">
        <v>44006</v>
      </c>
      <c r="B44">
        <v>1.5640000000000001E-3</v>
      </c>
      <c r="C44">
        <v>1.6540000000000001E-3</v>
      </c>
      <c r="D44">
        <v>1.7440000000000001E-3</v>
      </c>
      <c r="E44">
        <v>1.9859999999999999E-3</v>
      </c>
      <c r="F44">
        <v>2.49E-3</v>
      </c>
      <c r="G44">
        <v>4.3049999999999998E-3</v>
      </c>
      <c r="H44">
        <v>6.208E-3</v>
      </c>
      <c r="I44">
        <v>8.352E-3</v>
      </c>
      <c r="J44">
        <v>1.1214E-2</v>
      </c>
      <c r="K44">
        <v>1.375E-2</v>
      </c>
      <c r="L44">
        <v>1.5803000000000001E-2</v>
      </c>
      <c r="M44">
        <v>1.5426E-2</v>
      </c>
      <c r="N44">
        <v>3.3671670785181976E-2</v>
      </c>
      <c r="O44">
        <v>-3.0670938660464653E-2</v>
      </c>
      <c r="P44">
        <v>-3.4788624591388304E-2</v>
      </c>
      <c r="Q44">
        <v>-5.1450509185712555E-2</v>
      </c>
      <c r="R44">
        <f t="shared" si="4"/>
        <v>2.0695160137196543E-3</v>
      </c>
      <c r="S44">
        <f t="shared" si="4"/>
        <v>1.4907886087382927E-3</v>
      </c>
      <c r="T44">
        <f t="shared" si="4"/>
        <v>1.0918976176370913E-3</v>
      </c>
      <c r="U44">
        <f t="shared" si="4"/>
        <v>1.9459221351360648E-3</v>
      </c>
      <c r="V44">
        <f t="shared" si="4"/>
        <v>3.5429643772440988E-3</v>
      </c>
      <c r="W44">
        <f t="shared" si="4"/>
        <v>6.4603077018368198E-3</v>
      </c>
      <c r="X44">
        <f t="shared" si="4"/>
        <v>8.3768326748109041E-3</v>
      </c>
      <c r="Y44">
        <f t="shared" si="4"/>
        <v>1.0130186714868854E-2</v>
      </c>
      <c r="Z44">
        <f t="shared" si="4"/>
        <v>1.223461236906671E-2</v>
      </c>
      <c r="AA44">
        <f t="shared" si="4"/>
        <v>1.4269954076006836E-2</v>
      </c>
      <c r="AB44">
        <f t="shared" si="4"/>
        <v>1.6264104097624223E-2</v>
      </c>
      <c r="AC44">
        <f t="shared" si="4"/>
        <v>1.8106538684892988E-2</v>
      </c>
      <c r="AD44">
        <v>3.166005507544168E-2</v>
      </c>
      <c r="AE44">
        <v>-2.9037139623642457E-2</v>
      </c>
      <c r="AF44">
        <v>-3.0245986204007716E-2</v>
      </c>
      <c r="AG44">
        <v>-4.4921087869860862E-2</v>
      </c>
      <c r="AH44">
        <v>3.2596949668492414E-2</v>
      </c>
      <c r="AI44">
        <v>-2.8966534007400822E-2</v>
      </c>
      <c r="AJ44">
        <v>-2.9114281004253263E-2</v>
      </c>
      <c r="AK44">
        <v>-3.8104979986246346E-2</v>
      </c>
      <c r="AL44">
        <v>3.7642713021331917E-2</v>
      </c>
      <c r="AM44">
        <v>-2.4075856478171356E-2</v>
      </c>
      <c r="AN44">
        <v>-3.2136577559889579E-2</v>
      </c>
      <c r="AO44">
        <v>-3.7273349810608529E-2</v>
      </c>
      <c r="AP44">
        <v>3.8396353339943824E-2</v>
      </c>
      <c r="AQ44">
        <v>-2.3742108600763839E-2</v>
      </c>
      <c r="AR44">
        <v>-3.1124668303634147E-2</v>
      </c>
      <c r="AS44">
        <v>-3.1887998155744841E-2</v>
      </c>
      <c r="AT44">
        <v>3.7754352239119063E-2</v>
      </c>
      <c r="AU44">
        <v>-2.3341382887811568E-2</v>
      </c>
      <c r="AV44">
        <v>-3.02673737739012E-2</v>
      </c>
      <c r="AW44">
        <v>-2.0126183163068582E-2</v>
      </c>
      <c r="AX44">
        <v>3.8642503401886831E-2</v>
      </c>
      <c r="AY44">
        <v>-2.4058042512588577E-2</v>
      </c>
      <c r="AZ44">
        <v>-3.139686898503808E-2</v>
      </c>
      <c r="BA44">
        <v>-2.3752694440983022E-2</v>
      </c>
      <c r="BB44">
        <v>3.9628863101410651E-2</v>
      </c>
      <c r="BC44">
        <v>-2.5055167030594103E-2</v>
      </c>
      <c r="BD44">
        <v>-3.324551253379511E-2</v>
      </c>
      <c r="BE44">
        <v>-2.4765236068122119E-2</v>
      </c>
      <c r="BF44">
        <v>4.0504248326739045E-2</v>
      </c>
      <c r="BG44">
        <v>-2.5107473446472225E-2</v>
      </c>
      <c r="BH44">
        <v>-3.4457575727537264E-2</v>
      </c>
      <c r="BI44">
        <v>-2.6182229089832833E-2</v>
      </c>
      <c r="BJ44">
        <v>4.0682196331810631E-2</v>
      </c>
      <c r="BK44">
        <v>-2.6056198815049857E-2</v>
      </c>
      <c r="BL44">
        <v>-3.5135668094575523E-2</v>
      </c>
      <c r="BM44">
        <v>-2.9183141492371049E-2</v>
      </c>
      <c r="BN44">
        <v>4.1269144681191056E-2</v>
      </c>
      <c r="BO44">
        <v>-2.5574778330854187E-2</v>
      </c>
      <c r="BP44">
        <v>-3.6779456201043385E-2</v>
      </c>
      <c r="BQ44">
        <v>-1.9861046284997658E-2</v>
      </c>
      <c r="BR44">
        <v>4.1223271663920272E-2</v>
      </c>
      <c r="BS44">
        <v>-2.6706779853346924E-2</v>
      </c>
      <c r="BT44">
        <v>-3.8402363722064771E-2</v>
      </c>
      <c r="BU44">
        <v>-1.7410368540524038E-2</v>
      </c>
    </row>
    <row r="45" spans="1:73" ht="14.4" x14ac:dyDescent="0.55000000000000004">
      <c r="A45" s="1">
        <v>44041</v>
      </c>
      <c r="B45">
        <v>9.1399999999999999E-4</v>
      </c>
      <c r="C45">
        <v>9.7799999999999992E-4</v>
      </c>
      <c r="D45">
        <v>1.193E-3</v>
      </c>
      <c r="E45">
        <v>1.4289999999999999E-3</v>
      </c>
      <c r="F45">
        <v>1.9469999999999999E-3</v>
      </c>
      <c r="G45">
        <v>3.5100000000000001E-3</v>
      </c>
      <c r="H45">
        <v>5.2420000000000001E-3</v>
      </c>
      <c r="I45">
        <v>7.267E-3</v>
      </c>
      <c r="J45">
        <v>9.6069999999999992E-3</v>
      </c>
      <c r="K45">
        <v>1.1704000000000001E-2</v>
      </c>
      <c r="L45">
        <v>1.3475000000000001E-2</v>
      </c>
      <c r="M45">
        <v>1.3231E-2</v>
      </c>
      <c r="N45">
        <v>3.3803789787105E-2</v>
      </c>
      <c r="O45">
        <v>-3.0191510301565087E-2</v>
      </c>
      <c r="P45">
        <v>-3.6234760148425672E-2</v>
      </c>
      <c r="Q45">
        <v>-5.1360544133480103E-2</v>
      </c>
      <c r="R45">
        <f t="shared" si="4"/>
        <v>2.5266932819836799E-3</v>
      </c>
      <c r="S45">
        <f t="shared" si="4"/>
        <v>1.8234407251249488E-3</v>
      </c>
      <c r="T45">
        <f t="shared" si="4"/>
        <v>1.2448603012948224E-3</v>
      </c>
      <c r="U45">
        <f t="shared" si="4"/>
        <v>1.9183748648826599E-3</v>
      </c>
      <c r="V45">
        <f t="shared" si="4"/>
        <v>3.4589576493651792E-3</v>
      </c>
      <c r="W45">
        <f t="shared" si="4"/>
        <v>6.3886392735877547E-3</v>
      </c>
      <c r="X45">
        <f t="shared" si="4"/>
        <v>8.3492218350759619E-3</v>
      </c>
      <c r="Y45">
        <f t="shared" si="4"/>
        <v>1.0154016287423578E-2</v>
      </c>
      <c r="Z45">
        <f t="shared" si="4"/>
        <v>1.2303766615072029E-2</v>
      </c>
      <c r="AA45">
        <f t="shared" si="4"/>
        <v>1.4360636963781355E-2</v>
      </c>
      <c r="AB45">
        <f t="shared" si="4"/>
        <v>1.6366371638901114E-2</v>
      </c>
      <c r="AC45">
        <f t="shared" si="4"/>
        <v>1.8215632886185044E-2</v>
      </c>
      <c r="AD45">
        <v>3.5292901349263953E-2</v>
      </c>
      <c r="AE45">
        <v>-3.1967749175385245E-2</v>
      </c>
      <c r="AF45">
        <v>-3.5653860345823539E-2</v>
      </c>
      <c r="AG45">
        <v>-5.1828606441782471E-2</v>
      </c>
      <c r="AH45">
        <v>3.3422811713328268E-2</v>
      </c>
      <c r="AI45">
        <v>-3.0438490187318201E-2</v>
      </c>
      <c r="AJ45">
        <v>-3.1545055743771692E-2</v>
      </c>
      <c r="AK45">
        <v>-4.5760299947658213E-2</v>
      </c>
      <c r="AL45">
        <v>3.3921196841453505E-2</v>
      </c>
      <c r="AM45">
        <v>-2.994528603085591E-2</v>
      </c>
      <c r="AN45">
        <v>-3.0476672729943206E-2</v>
      </c>
      <c r="AO45">
        <v>-3.8335248654554004E-2</v>
      </c>
      <c r="AP45">
        <v>3.8483248391874406E-2</v>
      </c>
      <c r="AQ45">
        <v>-2.5255032766763302E-2</v>
      </c>
      <c r="AR45">
        <v>-3.3071452583431624E-2</v>
      </c>
      <c r="AS45">
        <v>-3.652101703637442E-2</v>
      </c>
      <c r="AT45">
        <v>3.8904812367500215E-2</v>
      </c>
      <c r="AU45">
        <v>-2.4623349984811974E-2</v>
      </c>
      <c r="AV45">
        <v>-3.2117213240929705E-2</v>
      </c>
      <c r="AW45">
        <v>-3.0675106917834843E-2</v>
      </c>
      <c r="AX45">
        <v>3.818058828117956E-2</v>
      </c>
      <c r="AY45">
        <v>-2.4177617052122402E-2</v>
      </c>
      <c r="AZ45">
        <v>-3.1427109425462244E-2</v>
      </c>
      <c r="BA45">
        <v>-1.9360274562340282E-2</v>
      </c>
      <c r="BB45">
        <v>3.894244798670804E-2</v>
      </c>
      <c r="BC45">
        <v>-2.475019876343831E-2</v>
      </c>
      <c r="BD45">
        <v>-3.2412811439035884E-2</v>
      </c>
      <c r="BE45">
        <v>-2.2567798471925419E-2</v>
      </c>
      <c r="BF45">
        <v>3.9768443671154508E-2</v>
      </c>
      <c r="BG45">
        <v>-2.5582237160919112E-2</v>
      </c>
      <c r="BH45">
        <v>-3.4085307885837079E-2</v>
      </c>
      <c r="BI45">
        <v>-2.3270616468817378E-2</v>
      </c>
      <c r="BJ45">
        <v>4.0556666645095864E-2</v>
      </c>
      <c r="BK45">
        <v>-2.5602013156948496E-2</v>
      </c>
      <c r="BL45">
        <v>-3.5167191116210167E-2</v>
      </c>
      <c r="BM45">
        <v>-2.4467991178322074E-2</v>
      </c>
      <c r="BN45">
        <v>4.0707268170433047E-2</v>
      </c>
      <c r="BO45">
        <v>-2.6453184295095869E-2</v>
      </c>
      <c r="BP45">
        <v>-3.5770316030208624E-2</v>
      </c>
      <c r="BQ45">
        <v>-2.7286491544614974E-2</v>
      </c>
      <c r="BR45">
        <v>4.1183344623399253E-2</v>
      </c>
      <c r="BS45">
        <v>-2.6015939959509456E-2</v>
      </c>
      <c r="BT45">
        <v>-3.7348118582394028E-2</v>
      </c>
      <c r="BU45">
        <v>-1.8309003308416068E-2</v>
      </c>
    </row>
    <row r="46" spans="1:73" ht="14.4" x14ac:dyDescent="0.55000000000000004">
      <c r="A46" s="1">
        <v>44069</v>
      </c>
      <c r="B46">
        <v>9.7799999999999992E-4</v>
      </c>
      <c r="C46">
        <v>1.0870000000000001E-3</v>
      </c>
      <c r="D46">
        <v>1.403E-3</v>
      </c>
      <c r="E46">
        <v>1.7359999999999999E-3</v>
      </c>
      <c r="F46">
        <v>2.33E-3</v>
      </c>
      <c r="G46">
        <v>4.0679999999999996E-3</v>
      </c>
      <c r="H46">
        <v>6.0489999999999997E-3</v>
      </c>
      <c r="I46">
        <v>8.4510000000000002E-3</v>
      </c>
      <c r="J46">
        <v>1.1421000000000001E-2</v>
      </c>
      <c r="K46">
        <v>1.3519E-2</v>
      </c>
      <c r="L46">
        <v>1.5424999999999999E-2</v>
      </c>
      <c r="M46">
        <v>1.4638E-2</v>
      </c>
      <c r="N46">
        <v>2.9968831609391667E-2</v>
      </c>
      <c r="O46">
        <v>-2.7410101058327807E-2</v>
      </c>
      <c r="P46">
        <v>-3.1760889869729941E-2</v>
      </c>
      <c r="Q46">
        <v>-4.5498156776631507E-2</v>
      </c>
      <c r="R46">
        <f t="shared" si="4"/>
        <v>1.6801599968639053E-3</v>
      </c>
      <c r="S46">
        <f t="shared" si="4"/>
        <v>1.1281057232973423E-3</v>
      </c>
      <c r="T46">
        <f t="shared" si="4"/>
        <v>7.2810023707828644E-4</v>
      </c>
      <c r="U46">
        <f t="shared" si="4"/>
        <v>1.4688715381592611E-3</v>
      </c>
      <c r="V46">
        <f t="shared" si="4"/>
        <v>2.9141408836908522E-3</v>
      </c>
      <c r="W46">
        <f t="shared" si="4"/>
        <v>5.5849599520898328E-3</v>
      </c>
      <c r="X46">
        <f t="shared" si="4"/>
        <v>7.3528230775715738E-3</v>
      </c>
      <c r="Y46">
        <f t="shared" si="4"/>
        <v>8.9727124342384498E-3</v>
      </c>
      <c r="Z46">
        <f t="shared" si="4"/>
        <v>1.0892487429683979E-2</v>
      </c>
      <c r="AA46">
        <f t="shared" si="4"/>
        <v>1.2722180852019942E-2</v>
      </c>
      <c r="AB46">
        <f t="shared" si="4"/>
        <v>1.4503532471097388E-2</v>
      </c>
      <c r="AC46">
        <f t="shared" si="4"/>
        <v>1.6144752312021032E-2</v>
      </c>
      <c r="AD46">
        <v>3.5566954231063083E-2</v>
      </c>
      <c r="AE46">
        <v>-3.1729912251249555E-2</v>
      </c>
      <c r="AF46">
        <v>-3.7008624789941956E-2</v>
      </c>
      <c r="AG46">
        <v>-5.2098562641899618E-2</v>
      </c>
      <c r="AH46">
        <v>3.6471437195772179E-2</v>
      </c>
      <c r="AI46">
        <v>-3.2772310974137207E-2</v>
      </c>
      <c r="AJ46">
        <v>-3.6370549164391482E-2</v>
      </c>
      <c r="AK46">
        <v>-5.1288948494534518E-2</v>
      </c>
      <c r="AL46">
        <v>3.4744054022878959E-2</v>
      </c>
      <c r="AM46">
        <v>-3.1356437812848859E-2</v>
      </c>
      <c r="AN46">
        <v>-3.2658218574796137E-2</v>
      </c>
      <c r="AO46">
        <v>-4.5677664261176303E-2</v>
      </c>
      <c r="AP46">
        <v>3.4948328245488124E-2</v>
      </c>
      <c r="AQ46">
        <v>-3.0617765681888155E-2</v>
      </c>
      <c r="AR46">
        <v>-3.1679175648219933E-2</v>
      </c>
      <c r="AS46">
        <v>-3.7984390678934249E-2</v>
      </c>
      <c r="AT46">
        <v>3.9069590400842479E-2</v>
      </c>
      <c r="AU46">
        <v>-2.6129172249198519E-2</v>
      </c>
      <c r="AV46">
        <v>-3.3904079091333805E-2</v>
      </c>
      <c r="AW46">
        <v>-3.5323416861701089E-2</v>
      </c>
      <c r="AX46">
        <v>3.9267067548667919E-2</v>
      </c>
      <c r="AY46">
        <v>-2.533065374285623E-2</v>
      </c>
      <c r="AZ46">
        <v>-3.3026522156040378E-2</v>
      </c>
      <c r="BA46">
        <v>-2.9272846302784934E-2</v>
      </c>
      <c r="BB46">
        <v>3.8507626519969279E-2</v>
      </c>
      <c r="BC46">
        <v>-2.4893268661348403E-2</v>
      </c>
      <c r="BD46">
        <v>-3.249521859876868E-2</v>
      </c>
      <c r="BE46">
        <v>-1.8487094275113049E-2</v>
      </c>
      <c r="BF46">
        <v>3.9168556791624252E-2</v>
      </c>
      <c r="BG46">
        <v>-2.535374911248094E-2</v>
      </c>
      <c r="BH46">
        <v>-3.3356107974544358E-2</v>
      </c>
      <c r="BI46">
        <v>-2.1345526560990039E-2</v>
      </c>
      <c r="BJ46">
        <v>3.9869004410438259E-2</v>
      </c>
      <c r="BK46">
        <v>-2.6061621018439812E-2</v>
      </c>
      <c r="BL46">
        <v>-3.4874597134730297E-2</v>
      </c>
      <c r="BM46">
        <v>-2.182104253546812E-2</v>
      </c>
      <c r="BN46">
        <v>4.0579303795751365E-2</v>
      </c>
      <c r="BO46">
        <v>-2.6055142831088871E-2</v>
      </c>
      <c r="BP46">
        <v>-3.5840486635201889E-2</v>
      </c>
      <c r="BQ46">
        <v>-2.2825379226397945E-2</v>
      </c>
      <c r="BR46">
        <v>4.0709294327125667E-2</v>
      </c>
      <c r="BS46">
        <v>-2.6821799122282365E-2</v>
      </c>
      <c r="BT46">
        <v>-3.6376312562507222E-2</v>
      </c>
      <c r="BU46">
        <v>-2.5481346472367931E-2</v>
      </c>
    </row>
    <row r="47" spans="1:73" ht="14.4" x14ac:dyDescent="0.55000000000000004">
      <c r="A47" s="1">
        <v>44104</v>
      </c>
      <c r="B47">
        <v>7.1400000000000001E-4</v>
      </c>
      <c r="C47">
        <v>8.0800000000000002E-4</v>
      </c>
      <c r="D47">
        <v>1.005E-3</v>
      </c>
      <c r="E47">
        <v>1.4660000000000001E-3</v>
      </c>
      <c r="F47">
        <v>1.9880000000000002E-3</v>
      </c>
      <c r="G47">
        <v>3.8270000000000001E-3</v>
      </c>
      <c r="H47">
        <v>5.8110000000000002E-3</v>
      </c>
      <c r="I47">
        <v>8.43E-3</v>
      </c>
      <c r="J47">
        <v>1.1535999999999999E-2</v>
      </c>
      <c r="K47">
        <v>1.3606999999999999E-2</v>
      </c>
      <c r="L47">
        <v>1.5471E-2</v>
      </c>
      <c r="M47">
        <v>1.5462E-2</v>
      </c>
      <c r="N47">
        <v>3.1100092668600476E-2</v>
      </c>
      <c r="O47">
        <v>-2.8278722004814849E-2</v>
      </c>
      <c r="P47">
        <v>-3.4504345912419868E-2</v>
      </c>
      <c r="Q47">
        <v>-4.3220311772547447E-2</v>
      </c>
      <c r="R47">
        <f t="shared" si="4"/>
        <v>1.831132037365854E-3</v>
      </c>
      <c r="S47">
        <f t="shared" si="4"/>
        <v>1.2061161702598478E-3</v>
      </c>
      <c r="T47">
        <f t="shared" si="4"/>
        <v>7.4621953253607752E-4</v>
      </c>
      <c r="U47">
        <f t="shared" si="4"/>
        <v>1.5681683431675985E-3</v>
      </c>
      <c r="V47">
        <f t="shared" si="4"/>
        <v>3.2037526758330066E-3</v>
      </c>
      <c r="W47">
        <f t="shared" si="4"/>
        <v>6.2746864912570973E-3</v>
      </c>
      <c r="X47">
        <f t="shared" si="4"/>
        <v>8.3442284173189177E-3</v>
      </c>
      <c r="Y47">
        <f t="shared" si="4"/>
        <v>1.0242622944611783E-2</v>
      </c>
      <c r="Z47">
        <f t="shared" si="4"/>
        <v>1.236787664898658E-2</v>
      </c>
      <c r="AA47">
        <f t="shared" si="4"/>
        <v>1.4258621473536105E-2</v>
      </c>
      <c r="AB47">
        <f t="shared" si="4"/>
        <v>1.6042441606135702E-2</v>
      </c>
      <c r="AC47">
        <f t="shared" si="4"/>
        <v>1.7662596985592569E-2</v>
      </c>
      <c r="AD47">
        <v>3.2450695573233462E-2</v>
      </c>
      <c r="AE47">
        <v>-2.9690614483827611E-2</v>
      </c>
      <c r="AF47">
        <v>-3.3064200852599583E-2</v>
      </c>
      <c r="AG47">
        <v>-4.7887245907308786E-2</v>
      </c>
      <c r="AH47">
        <v>3.6826697106083363E-2</v>
      </c>
      <c r="AI47">
        <v>-3.2691929308223754E-2</v>
      </c>
      <c r="AJ47">
        <v>-3.7628210150330778E-2</v>
      </c>
      <c r="AK47">
        <v>-5.1768407987723704E-2</v>
      </c>
      <c r="AL47">
        <v>3.7335720882180699E-2</v>
      </c>
      <c r="AM47">
        <v>-3.3245684146919252E-2</v>
      </c>
      <c r="AN47">
        <v>-3.698007776199231E-2</v>
      </c>
      <c r="AO47">
        <v>-5.0145318225712797E-2</v>
      </c>
      <c r="AP47">
        <v>3.5747685319639892E-2</v>
      </c>
      <c r="AQ47">
        <v>-3.194539144963373E-2</v>
      </c>
      <c r="AR47">
        <v>-3.3629032037424796E-2</v>
      </c>
      <c r="AS47">
        <v>-4.4976066221679545E-2</v>
      </c>
      <c r="AT47">
        <v>3.5757421696713462E-2</v>
      </c>
      <c r="AU47">
        <v>-3.1080424143335592E-2</v>
      </c>
      <c r="AV47">
        <v>-3.2752843549401021E-2</v>
      </c>
      <c r="AW47">
        <v>-3.7243705910616889E-2</v>
      </c>
      <c r="AX47">
        <v>3.9477667535926755E-2</v>
      </c>
      <c r="AY47">
        <v>-2.6794047176211502E-2</v>
      </c>
      <c r="AZ47">
        <v>-3.4658796244474044E-2</v>
      </c>
      <c r="BA47">
        <v>-3.3859647056660044E-2</v>
      </c>
      <c r="BB47">
        <v>3.9525641919173723E-2</v>
      </c>
      <c r="BC47">
        <v>-2.591667075568416E-2</v>
      </c>
      <c r="BD47">
        <v>-3.3867609142516096E-2</v>
      </c>
      <c r="BE47">
        <v>-2.777701017589539E-2</v>
      </c>
      <c r="BF47">
        <v>3.876184911757876E-2</v>
      </c>
      <c r="BG47">
        <v>-2.5520475443433891E-2</v>
      </c>
      <c r="BH47">
        <v>-3.348387282101295E-2</v>
      </c>
      <c r="BI47">
        <v>-1.7563630907620111E-2</v>
      </c>
      <c r="BJ47">
        <v>3.9340694304796121E-2</v>
      </c>
      <c r="BK47">
        <v>-2.5892406724086714E-2</v>
      </c>
      <c r="BL47">
        <v>-3.4235795449376535E-2</v>
      </c>
      <c r="BM47">
        <v>-2.0126225421876184E-2</v>
      </c>
      <c r="BN47">
        <v>3.9941183881906671E-2</v>
      </c>
      <c r="BO47">
        <v>-2.6505374106866195E-2</v>
      </c>
      <c r="BP47">
        <v>-3.5618454118267008E-2</v>
      </c>
      <c r="BQ47">
        <v>-2.0433961026295563E-2</v>
      </c>
      <c r="BR47">
        <v>4.058162528617415E-2</v>
      </c>
      <c r="BS47">
        <v>-2.6477800371451705E-2</v>
      </c>
      <c r="BT47">
        <v>-3.6480973929392591E-2</v>
      </c>
      <c r="BU47">
        <v>-2.1268490963271609E-2</v>
      </c>
    </row>
    <row r="48" spans="1:73" ht="14.4" x14ac:dyDescent="0.55000000000000004">
      <c r="A48" s="1">
        <v>44118</v>
      </c>
      <c r="B48">
        <v>7.4700000000000005E-4</v>
      </c>
      <c r="C48">
        <v>8.4500000000000005E-4</v>
      </c>
      <c r="D48">
        <v>1.091E-3</v>
      </c>
      <c r="E48">
        <v>1.49E-3</v>
      </c>
      <c r="F48">
        <v>2.1329999999999999E-3</v>
      </c>
      <c r="G48">
        <v>4.0379999999999999E-3</v>
      </c>
      <c r="H48">
        <v>6.1549999999999999E-3</v>
      </c>
      <c r="I48">
        <v>8.8199999999999997E-3</v>
      </c>
      <c r="J48">
        <v>1.1953E-2</v>
      </c>
      <c r="K48">
        <v>1.4037000000000001E-2</v>
      </c>
      <c r="L48">
        <v>1.5764E-2</v>
      </c>
      <c r="M48">
        <v>1.5899E-2</v>
      </c>
      <c r="N48">
        <v>3.3009351918708164E-2</v>
      </c>
      <c r="O48">
        <v>-3.0254367157767751E-2</v>
      </c>
      <c r="P48">
        <v>-3.6601596107255004E-2</v>
      </c>
      <c r="Q48">
        <v>-4.8510110311270505E-2</v>
      </c>
      <c r="R48">
        <f t="shared" si="4"/>
        <v>1.6872578855228609E-3</v>
      </c>
      <c r="S48">
        <f t="shared" si="4"/>
        <v>1.0060745741749893E-3</v>
      </c>
      <c r="T48">
        <f t="shared" si="4"/>
        <v>4.8019170155833967E-4</v>
      </c>
      <c r="U48">
        <f t="shared" si="4"/>
        <v>1.2741790548514561E-3</v>
      </c>
      <c r="V48">
        <f t="shared" si="4"/>
        <v>2.9346232242512321E-3</v>
      </c>
      <c r="W48">
        <f t="shared" si="4"/>
        <v>6.0656474287593617E-3</v>
      </c>
      <c r="X48">
        <f t="shared" si="4"/>
        <v>8.1687917764417042E-3</v>
      </c>
      <c r="Y48">
        <f t="shared" si="4"/>
        <v>1.0100525946592149E-2</v>
      </c>
      <c r="Z48">
        <f t="shared" si="4"/>
        <v>1.2320044409114262E-2</v>
      </c>
      <c r="AA48">
        <f t="shared" si="4"/>
        <v>1.435834502254623E-2</v>
      </c>
      <c r="AB48">
        <f t="shared" si="4"/>
        <v>1.6310147222711215E-2</v>
      </c>
      <c r="AC48">
        <f t="shared" si="4"/>
        <v>1.8095033407236019E-2</v>
      </c>
      <c r="AD48">
        <v>3.3421144173041255E-2</v>
      </c>
      <c r="AE48">
        <v>-3.0454441633444688E-2</v>
      </c>
      <c r="AF48">
        <v>-3.5592476501572622E-2</v>
      </c>
      <c r="AG48">
        <v>-4.5518484064611398E-2</v>
      </c>
      <c r="AH48">
        <v>3.4254534921197191E-2</v>
      </c>
      <c r="AI48">
        <v>-3.1182158549467001E-2</v>
      </c>
      <c r="AJ48">
        <v>-3.4127877859551056E-2</v>
      </c>
      <c r="AK48">
        <v>-4.877332163578256E-2</v>
      </c>
      <c r="AL48">
        <v>3.7731619855393819E-2</v>
      </c>
      <c r="AM48">
        <v>-3.3265403668555432E-2</v>
      </c>
      <c r="AN48">
        <v>-3.8139940137978931E-2</v>
      </c>
      <c r="AO48">
        <v>-5.0734029226229473E-2</v>
      </c>
      <c r="AP48">
        <v>3.7975761206399887E-2</v>
      </c>
      <c r="AQ48">
        <v>-3.3499107231743715E-2</v>
      </c>
      <c r="AR48">
        <v>-3.7511525167310975E-2</v>
      </c>
      <c r="AS48">
        <v>-4.8615551210392786E-2</v>
      </c>
      <c r="AT48">
        <v>3.6520953334645889E-2</v>
      </c>
      <c r="AU48">
        <v>-3.2312337209514444E-2</v>
      </c>
      <c r="AV48">
        <v>-3.4488965263523338E-2</v>
      </c>
      <c r="AW48">
        <v>-4.3866857540192795E-2</v>
      </c>
      <c r="AX48">
        <v>3.6404623708703197E-2</v>
      </c>
      <c r="AY48">
        <v>-3.1400226876722503E-2</v>
      </c>
      <c r="AZ48">
        <v>-3.3720842571621779E-2</v>
      </c>
      <c r="BA48">
        <v>-3.6247277382051052E-2</v>
      </c>
      <c r="BB48">
        <v>3.9760509886828596E-2</v>
      </c>
      <c r="BC48">
        <v>-2.7315769045820778E-2</v>
      </c>
      <c r="BD48">
        <v>-3.5352715472685967E-2</v>
      </c>
      <c r="BE48">
        <v>-3.2252070066081051E-2</v>
      </c>
      <c r="BF48">
        <v>3.9710377629709095E-2</v>
      </c>
      <c r="BG48">
        <v>-2.641774206222753E-2</v>
      </c>
      <c r="BH48">
        <v>-3.4651392036703234E-2</v>
      </c>
      <c r="BI48">
        <v>-2.6252218448706989E-2</v>
      </c>
      <c r="BJ48">
        <v>3.8962033209445579E-2</v>
      </c>
      <c r="BK48">
        <v>-2.6081679732722751E-2</v>
      </c>
      <c r="BL48">
        <v>-3.4402549171803951E-2</v>
      </c>
      <c r="BM48">
        <v>-1.6628341791575265E-2</v>
      </c>
      <c r="BN48">
        <v>3.9472992111813335E-2</v>
      </c>
      <c r="BO48">
        <v>-2.6382628038361503E-2</v>
      </c>
      <c r="BP48">
        <v>-3.5058909051052724E-2</v>
      </c>
      <c r="BQ48">
        <v>-1.893640427588825E-2</v>
      </c>
      <c r="BR48">
        <v>3.9992563931737217E-2</v>
      </c>
      <c r="BS48">
        <v>-2.692176327879001E-2</v>
      </c>
      <c r="BT48">
        <v>-3.6320897472792373E-2</v>
      </c>
      <c r="BU48">
        <v>-1.9119669258280458E-2</v>
      </c>
    </row>
  </sheetData>
  <mergeCells count="14">
    <mergeCell ref="BN1:BQ1"/>
    <mergeCell ref="BR1:BU1"/>
    <mergeCell ref="AP1:AS1"/>
    <mergeCell ref="AT1:AW1"/>
    <mergeCell ref="AX1:BA1"/>
    <mergeCell ref="BB1:BE1"/>
    <mergeCell ref="BF1:BI1"/>
    <mergeCell ref="BJ1:BM1"/>
    <mergeCell ref="B1:L1"/>
    <mergeCell ref="N1:Q1"/>
    <mergeCell ref="R1:AC1"/>
    <mergeCell ref="AD1:AG1"/>
    <mergeCell ref="AH1:AK1"/>
    <mergeCell ref="AL1:AO1"/>
  </mergeCells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Forecast_vs_Actual</vt:lpstr>
      <vt:lpstr>Monthly_Spot_Curve</vt:lpstr>
      <vt:lpstr>NSS_Betas</vt:lpstr>
      <vt:lpstr>Forecast_1m</vt:lpstr>
      <vt:lpstr>Forecasts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Aadithya Narayanan</dc:creator>
  <cp:lastModifiedBy>naveen varma</cp:lastModifiedBy>
  <dcterms:created xsi:type="dcterms:W3CDTF">2020-11-30T00:18:25Z</dcterms:created>
  <dcterms:modified xsi:type="dcterms:W3CDTF">2020-12-14T08:09:05Z</dcterms:modified>
</cp:coreProperties>
</file>