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b3ee8ec7ba0360db/Desktop/excel projects/"/>
    </mc:Choice>
  </mc:AlternateContent>
  <xr:revisionPtr revIDLastSave="2837" documentId="8_{1ED8AB34-B382-4FD0-9167-224C31FF92C1}" xr6:coauthVersionLast="47" xr6:coauthVersionMax="47" xr10:uidLastSave="{3030689D-7A82-419A-BA96-70D49D01CB3A}"/>
  <bookViews>
    <workbookView xWindow="-108" yWindow="-108" windowWidth="23256" windowHeight="12456" firstSheet="13" activeTab="15" xr2:uid="{5FC170C4-CAD2-47A0-B740-3BB8CACDB73C}"/>
  </bookViews>
  <sheets>
    <sheet name="NCAA T-SHIRT VENDOR" sheetId="1" r:id="rId1"/>
    <sheet name="WOODWORKS BOOKSHELF CO." sheetId="2" r:id="rId2"/>
    <sheet name="QUALITY SWEATER CO." sheetId="3" r:id="rId3"/>
    <sheet name="B&amp;N BOOKSTORE" sheetId="4" r:id="rId4"/>
    <sheet name="19TH HOLE GOLF CLUB" sheetId="5" r:id="rId5"/>
    <sheet name="GOPHER DRUGS CO," sheetId="6" r:id="rId6"/>
    <sheet name="CAMPAIGN MARKETING" sheetId="7" r:id="rId7"/>
    <sheet name="PC TECH CO." sheetId="11" r:id="rId8"/>
    <sheet name="PC TECH CO. STOCKS" sheetId="12" r:id="rId9"/>
    <sheet name="PC TECH  CO. TRANSPORTATION" sheetId="13" r:id="rId10"/>
    <sheet name="ASSIGNMENT PROBLEM" sheetId="14" r:id="rId11"/>
    <sheet name="MLB UMPIRE ASSGN" sheetId="15" r:id="rId12"/>
    <sheet name="INTEGER LP PROBLEM" sheetId="16" r:id="rId13"/>
    <sheet name="BINARY INVESTMENT DECISION" sheetId="17" r:id="rId14"/>
    <sheet name="NLP-MIN VARIANCE" sheetId="18" r:id="rId15"/>
    <sheet name="MOTORCROSS REVENUE PROBLEM"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FD1048550" i="19" l="1" a="1"/>
  <c r="XFD1048550" i="19" s="1"/>
  <c r="XFD1048551" i="19" a="1"/>
  <c r="XFD1048551" i="19" s="1"/>
  <c r="XFD1048552" i="19" a="1"/>
  <c r="XFD1048552" i="19"/>
  <c r="XFD1048553" i="19" a="1"/>
  <c r="XFD1048553" i="19"/>
  <c r="XFD1048554" i="19" a="1"/>
  <c r="XFD1048554" i="19"/>
  <c r="XFD1048555" i="19" a="1"/>
  <c r="XFD1048555" i="19" s="1"/>
  <c r="XFD1048556" i="19" a="1"/>
  <c r="XFD1048556" i="19"/>
  <c r="XFD1048557" i="19" a="1"/>
  <c r="XFD1048557" i="19"/>
  <c r="XFD1048558" i="19" a="1"/>
  <c r="XFD1048558" i="19"/>
  <c r="XFD1048559" i="19" a="1"/>
  <c r="XFD1048559" i="19" s="1"/>
  <c r="XFD1048560" i="19" a="1"/>
  <c r="XFD1048560" i="19"/>
  <c r="XFD1048561" i="19" a="1"/>
  <c r="XFD1048561" i="19"/>
  <c r="XFD1048562" i="19" a="1"/>
  <c r="XFD1048562" i="19"/>
  <c r="XFD1048563" i="19" a="1"/>
  <c r="XFD1048563" i="19" s="1"/>
  <c r="XFD1048564" i="19" a="1"/>
  <c r="XFD1048564" i="19"/>
  <c r="XFD1048565" i="19" a="1"/>
  <c r="XFD1048565" i="19" s="1"/>
  <c r="XFD1048566" i="19" a="1"/>
  <c r="XFD1048566" i="19"/>
  <c r="XFD1048567" i="19" a="1"/>
  <c r="XFD1048567" i="19" s="1"/>
  <c r="XFD1048568" i="19" a="1"/>
  <c r="XFD1048568" i="19"/>
  <c r="XFD1048569" i="19" a="1"/>
  <c r="XFD1048569" i="19"/>
  <c r="XFD1048570" i="19" a="1"/>
  <c r="XFD1048570" i="19"/>
  <c r="XFD1048571" i="19" a="1"/>
  <c r="XFD1048571" i="19" s="1"/>
  <c r="XFD1048572" i="19" a="1"/>
  <c r="XFD1048572" i="19"/>
  <c r="XFD1048573" i="19" a="1"/>
  <c r="XFD1048573" i="19"/>
  <c r="XFD1048574" i="19" a="1"/>
  <c r="XFD1048574" i="19"/>
  <c r="XFD1048575" i="19" a="1"/>
  <c r="XFD1048575" i="19" s="1"/>
  <c r="D11" i="19"/>
  <c r="E5" i="19"/>
  <c r="D5" i="19"/>
  <c r="XFD1048550" i="18" a="1"/>
  <c r="XFD1048550" i="18" s="1"/>
  <c r="XFD1048551" i="18" a="1"/>
  <c r="XFD1048551" i="18"/>
  <c r="XFD1048552" i="18" a="1"/>
  <c r="XFD1048552" i="18" s="1"/>
  <c r="XFD1048553" i="18" a="1"/>
  <c r="XFD1048553" i="18"/>
  <c r="XFD1048554" i="18" a="1"/>
  <c r="XFD1048554" i="18" s="1"/>
  <c r="XFD1048555" i="18" a="1"/>
  <c r="XFD1048555" i="18" s="1"/>
  <c r="XFD1048556" i="18" a="1"/>
  <c r="XFD1048556" i="18" s="1"/>
  <c r="XFD1048557" i="18" a="1"/>
  <c r="XFD1048557" i="18"/>
  <c r="XFD1048558" i="18" a="1"/>
  <c r="XFD1048558" i="18" s="1"/>
  <c r="XFD1048559" i="18" a="1"/>
  <c r="XFD1048559" i="18" s="1"/>
  <c r="XFD1048560" i="18" a="1"/>
  <c r="XFD1048560" i="18" s="1"/>
  <c r="XFD1048561" i="18" a="1"/>
  <c r="XFD1048561" i="18"/>
  <c r="XFD1048562" i="18" a="1"/>
  <c r="XFD1048562" i="18" s="1"/>
  <c r="XFD1048563" i="18" a="1"/>
  <c r="XFD1048563" i="18" s="1"/>
  <c r="XFD1048564" i="18" a="1"/>
  <c r="XFD1048564" i="18" s="1"/>
  <c r="XFD1048565" i="18" a="1"/>
  <c r="XFD1048565" i="18"/>
  <c r="XFD1048566" i="18" a="1"/>
  <c r="XFD1048566" i="18" s="1"/>
  <c r="XFD1048567" i="18" a="1"/>
  <c r="XFD1048567" i="18" s="1"/>
  <c r="XFD1048568" i="18" a="1"/>
  <c r="XFD1048568" i="18" s="1"/>
  <c r="XFD1048569" i="18" a="1"/>
  <c r="XFD1048569" i="18"/>
  <c r="XFD1048570" i="18" a="1"/>
  <c r="XFD1048570" i="18" s="1"/>
  <c r="XFD1048571" i="18" a="1"/>
  <c r="XFD1048571" i="18" s="1"/>
  <c r="XFD1048572" i="18" a="1"/>
  <c r="XFD1048572" i="18" s="1"/>
  <c r="XFD1048573" i="18" a="1"/>
  <c r="XFD1048573" i="18"/>
  <c r="XFD1048574" i="18" a="1"/>
  <c r="XFD1048574" i="18" s="1"/>
  <c r="XFD1048575" i="18" a="1"/>
  <c r="XFD1048575" i="18" s="1"/>
  <c r="D14" i="18"/>
  <c r="D13" i="18"/>
  <c r="C10" i="18"/>
  <c r="D9" i="18"/>
  <c r="D10" i="18" s="1"/>
  <c r="C9" i="18"/>
  <c r="B9" i="18"/>
  <c r="B10" i="18" s="1"/>
  <c r="E10" i="18" s="1"/>
  <c r="XFD1048550" i="17" a="1"/>
  <c r="XFD1048550" i="17" s="1"/>
  <c r="XFD1048551" i="17" a="1"/>
  <c r="XFD1048551" i="17"/>
  <c r="XFD1048552" i="17" a="1"/>
  <c r="XFD1048552" i="17" s="1"/>
  <c r="XFD1048553" i="17" a="1"/>
  <c r="XFD1048553" i="17"/>
  <c r="XFD1048554" i="17" a="1"/>
  <c r="XFD1048554" i="17" s="1"/>
  <c r="XFD1048555" i="17" a="1"/>
  <c r="XFD1048555" i="17" s="1"/>
  <c r="XFD1048556" i="17" a="1"/>
  <c r="XFD1048556" i="17" s="1"/>
  <c r="XFD1048557" i="17" a="1"/>
  <c r="XFD1048557" i="17"/>
  <c r="XFD1048558" i="17" a="1"/>
  <c r="XFD1048558" i="17" s="1"/>
  <c r="XFD1048559" i="17" a="1"/>
  <c r="XFD1048559" i="17" s="1"/>
  <c r="XFD1048560" i="17" a="1"/>
  <c r="XFD1048560" i="17" s="1"/>
  <c r="XFD1048561" i="17" a="1"/>
  <c r="XFD1048561" i="17"/>
  <c r="XFD1048562" i="17" a="1"/>
  <c r="XFD1048562" i="17" s="1"/>
  <c r="XFD1048563" i="17" a="1"/>
  <c r="XFD1048563" i="17" s="1"/>
  <c r="XFD1048564" i="17" a="1"/>
  <c r="XFD1048564" i="17" s="1"/>
  <c r="XFD1048565" i="17" a="1"/>
  <c r="XFD1048565" i="17"/>
  <c r="XFD1048566" i="17" a="1"/>
  <c r="XFD1048566" i="17" s="1"/>
  <c r="XFD1048567" i="17" a="1"/>
  <c r="XFD1048567" i="17" s="1"/>
  <c r="XFD1048568" i="17" a="1"/>
  <c r="XFD1048568" i="17" s="1"/>
  <c r="XFD1048569" i="17" a="1"/>
  <c r="XFD1048569" i="17"/>
  <c r="XFD1048570" i="17" a="1"/>
  <c r="XFD1048570" i="17" s="1"/>
  <c r="XFD1048571" i="17" a="1"/>
  <c r="XFD1048571" i="17" s="1"/>
  <c r="XFD1048572" i="17" a="1"/>
  <c r="XFD1048572" i="17" s="1"/>
  <c r="XFD1048573" i="17" a="1"/>
  <c r="XFD1048573" i="17"/>
  <c r="XFD1048574" i="17" a="1"/>
  <c r="XFD1048574" i="17" s="1"/>
  <c r="XFD1048575" i="17" a="1"/>
  <c r="XFD1048575" i="17" s="1"/>
  <c r="I18" i="17"/>
  <c r="I17" i="17"/>
  <c r="I16" i="17"/>
  <c r="I15" i="17"/>
  <c r="H10" i="17"/>
  <c r="H9" i="17"/>
  <c r="C10" i="17"/>
  <c r="D10" i="17"/>
  <c r="E10" i="17"/>
  <c r="F10" i="17"/>
  <c r="G10" i="17"/>
  <c r="B10" i="17"/>
  <c r="I10" i="17" s="1"/>
  <c r="C9" i="17"/>
  <c r="I9" i="17" s="1"/>
  <c r="D9" i="17"/>
  <c r="E9" i="17"/>
  <c r="F9" i="17"/>
  <c r="G9" i="17"/>
  <c r="B9" i="17"/>
  <c r="B20" i="16"/>
  <c r="B11" i="16"/>
  <c r="D15" i="16"/>
  <c r="D16" i="16"/>
  <c r="D14" i="16"/>
  <c r="G19" i="15"/>
  <c r="F19" i="15"/>
  <c r="E19" i="15"/>
  <c r="D19" i="15"/>
  <c r="H18" i="15"/>
  <c r="H17" i="15"/>
  <c r="H16" i="15"/>
  <c r="H15" i="15"/>
  <c r="XFD1048550" i="15" a="1"/>
  <c r="XFD1048550" i="15" s="1"/>
  <c r="XFD1048551" i="15" a="1"/>
  <c r="XFD1048551" i="15" s="1"/>
  <c r="XFD1048552" i="15" a="1"/>
  <c r="XFD1048552" i="15"/>
  <c r="XFD1048553" i="15" a="1"/>
  <c r="XFD1048553" i="15" s="1"/>
  <c r="XFD1048554" i="15" a="1"/>
  <c r="XFD1048554" i="15" s="1"/>
  <c r="XFD1048555" i="15" a="1"/>
  <c r="XFD1048555" i="15" s="1"/>
  <c r="XFD1048556" i="15" a="1"/>
  <c r="XFD1048556" i="15"/>
  <c r="XFD1048557" i="15" a="1"/>
  <c r="XFD1048557" i="15" s="1"/>
  <c r="XFD1048558" i="15" a="1"/>
  <c r="XFD1048558" i="15" s="1"/>
  <c r="XFD1048559" i="15" a="1"/>
  <c r="XFD1048559" i="15" s="1"/>
  <c r="XFD1048560" i="15" a="1"/>
  <c r="XFD1048560" i="15"/>
  <c r="XFD1048561" i="15" a="1"/>
  <c r="XFD1048561" i="15" s="1"/>
  <c r="XFD1048562" i="15" a="1"/>
  <c r="XFD1048562" i="15" s="1"/>
  <c r="XFD1048563" i="15" a="1"/>
  <c r="XFD1048563" i="15" s="1"/>
  <c r="XFD1048564" i="15" a="1"/>
  <c r="XFD1048564" i="15"/>
  <c r="XFD1048565" i="15" a="1"/>
  <c r="XFD1048565" i="15" s="1"/>
  <c r="XFD1048566" i="15" a="1"/>
  <c r="XFD1048566" i="15" s="1"/>
  <c r="XFD1048567" i="15" a="1"/>
  <c r="XFD1048567" i="15" s="1"/>
  <c r="XFD1048568" i="15" a="1"/>
  <c r="XFD1048568" i="15"/>
  <c r="XFD1048569" i="15" a="1"/>
  <c r="XFD1048569" i="15" s="1"/>
  <c r="XFD1048570" i="15" a="1"/>
  <c r="XFD1048570" i="15" s="1"/>
  <c r="XFD1048571" i="15" a="1"/>
  <c r="XFD1048571" i="15" s="1"/>
  <c r="XFD1048572" i="15" a="1"/>
  <c r="XFD1048572" i="15"/>
  <c r="XFD1048573" i="15" a="1"/>
  <c r="XFD1048573" i="15" s="1"/>
  <c r="XFD1048574" i="15" a="1"/>
  <c r="XFD1048574" i="15" s="1"/>
  <c r="XFD1048575" i="15" a="1"/>
  <c r="XFD1048575" i="15" s="1"/>
  <c r="C25" i="15"/>
  <c r="G15" i="14"/>
  <c r="G16" i="14"/>
  <c r="G14" i="14"/>
  <c r="D17" i="14"/>
  <c r="E17" i="14"/>
  <c r="F17" i="14"/>
  <c r="C17" i="14"/>
  <c r="XFD1048550" i="14" a="1"/>
  <c r="XFD1048550" i="14"/>
  <c r="XFD1048551" i="14" a="1"/>
  <c r="XFD1048551" i="14" s="1"/>
  <c r="XFD1048552" i="14" a="1"/>
  <c r="XFD1048552" i="14"/>
  <c r="XFD1048553" i="14" a="1"/>
  <c r="XFD1048553" i="14"/>
  <c r="XFD1048554" i="14" a="1"/>
  <c r="XFD1048554" i="14"/>
  <c r="XFD1048555" i="14" a="1"/>
  <c r="XFD1048555" i="14" s="1"/>
  <c r="XFD1048556" i="14" a="1"/>
  <c r="XFD1048556" i="14"/>
  <c r="XFD1048557" i="14" a="1"/>
  <c r="XFD1048557" i="14"/>
  <c r="XFD1048558" i="14" a="1"/>
  <c r="XFD1048558" i="14"/>
  <c r="XFD1048559" i="14" a="1"/>
  <c r="XFD1048559" i="14" s="1"/>
  <c r="XFD1048560" i="14" a="1"/>
  <c r="XFD1048560" i="14"/>
  <c r="XFD1048561" i="14" a="1"/>
  <c r="XFD1048561" i="14"/>
  <c r="XFD1048562" i="14" a="1"/>
  <c r="XFD1048562" i="14"/>
  <c r="XFD1048563" i="14" a="1"/>
  <c r="XFD1048563" i="14" s="1"/>
  <c r="XFD1048564" i="14" a="1"/>
  <c r="XFD1048564" i="14"/>
  <c r="XFD1048565" i="14" a="1"/>
  <c r="XFD1048565" i="14"/>
  <c r="XFD1048566" i="14" a="1"/>
  <c r="XFD1048566" i="14"/>
  <c r="XFD1048567" i="14" a="1"/>
  <c r="XFD1048567" i="14" s="1"/>
  <c r="XFD1048568" i="14" a="1"/>
  <c r="XFD1048568" i="14"/>
  <c r="XFD1048569" i="14" a="1"/>
  <c r="XFD1048569" i="14"/>
  <c r="XFD1048570" i="14" a="1"/>
  <c r="XFD1048570" i="14"/>
  <c r="XFD1048571" i="14" a="1"/>
  <c r="XFD1048571" i="14" s="1"/>
  <c r="XFD1048572" i="14" a="1"/>
  <c r="XFD1048572" i="14"/>
  <c r="XFD1048573" i="14" a="1"/>
  <c r="XFD1048573" i="14"/>
  <c r="XFD1048574" i="14" a="1"/>
  <c r="XFD1048574" i="14"/>
  <c r="XFD1048575" i="14" a="1"/>
  <c r="XFD1048575" i="14" s="1"/>
  <c r="B23" i="14"/>
  <c r="XFD1048550" i="13" a="1"/>
  <c r="XFD1048550" i="13"/>
  <c r="XFD1048551" i="13" a="1"/>
  <c r="XFD1048551" i="13" s="1"/>
  <c r="XFD1048552" i="13" a="1"/>
  <c r="XFD1048552" i="13"/>
  <c r="XFD1048553" i="13" a="1"/>
  <c r="XFD1048553" i="13"/>
  <c r="XFD1048554" i="13" a="1"/>
  <c r="XFD1048554" i="13"/>
  <c r="XFD1048555" i="13" a="1"/>
  <c r="XFD1048555" i="13" s="1"/>
  <c r="XFD1048556" i="13" a="1"/>
  <c r="XFD1048556" i="13"/>
  <c r="XFD1048557" i="13" a="1"/>
  <c r="XFD1048557" i="13"/>
  <c r="XFD1048558" i="13" a="1"/>
  <c r="XFD1048558" i="13"/>
  <c r="XFD1048559" i="13" a="1"/>
  <c r="XFD1048559" i="13" s="1"/>
  <c r="XFD1048560" i="13" a="1"/>
  <c r="XFD1048560" i="13"/>
  <c r="XFD1048561" i="13" a="1"/>
  <c r="XFD1048561" i="13"/>
  <c r="XFD1048562" i="13" a="1"/>
  <c r="XFD1048562" i="13"/>
  <c r="XFD1048563" i="13" a="1"/>
  <c r="XFD1048563" i="13" s="1"/>
  <c r="XFD1048564" i="13" a="1"/>
  <c r="XFD1048564" i="13"/>
  <c r="XFD1048565" i="13" a="1"/>
  <c r="XFD1048565" i="13"/>
  <c r="XFD1048566" i="13" a="1"/>
  <c r="XFD1048566" i="13"/>
  <c r="XFD1048567" i="13" a="1"/>
  <c r="XFD1048567" i="13" s="1"/>
  <c r="XFD1048568" i="13" a="1"/>
  <c r="XFD1048568" i="13"/>
  <c r="XFD1048569" i="13" a="1"/>
  <c r="XFD1048569" i="13"/>
  <c r="XFD1048570" i="13" a="1"/>
  <c r="XFD1048570" i="13"/>
  <c r="XFD1048571" i="13" a="1"/>
  <c r="XFD1048571" i="13" s="1"/>
  <c r="XFD1048572" i="13" a="1"/>
  <c r="XFD1048572" i="13"/>
  <c r="XFD1048573" i="13" a="1"/>
  <c r="XFD1048573" i="13"/>
  <c r="XFD1048574" i="13" a="1"/>
  <c r="XFD1048574" i="13"/>
  <c r="XFD1048575" i="13" a="1"/>
  <c r="XFD1048575" i="13" s="1"/>
  <c r="W13" i="13"/>
  <c r="W14" i="13"/>
  <c r="W15" i="13"/>
  <c r="W16" i="13"/>
  <c r="W17" i="13"/>
  <c r="W10" i="13"/>
  <c r="W11" i="13"/>
  <c r="W12" i="13"/>
  <c r="B19" i="13"/>
  <c r="E17" i="13"/>
  <c r="XFD1048550" i="12" a="1"/>
  <c r="XFD1048550" i="12" s="1"/>
  <c r="XFD1048551" i="12" a="1"/>
  <c r="XFD1048551" i="12" s="1"/>
  <c r="XFD1048552" i="12" a="1"/>
  <c r="XFD1048552" i="12" s="1"/>
  <c r="XFD1048553" i="12" a="1"/>
  <c r="XFD1048553" i="12"/>
  <c r="XFD1048554" i="12" a="1"/>
  <c r="XFD1048554" i="12" s="1"/>
  <c r="XFD1048555" i="12" a="1"/>
  <c r="XFD1048555" i="12" s="1"/>
  <c r="XFD1048556" i="12" a="1"/>
  <c r="XFD1048556" i="12" s="1"/>
  <c r="XFD1048557" i="12" a="1"/>
  <c r="XFD1048557" i="12"/>
  <c r="XFD1048558" i="12" a="1"/>
  <c r="XFD1048558" i="12" s="1"/>
  <c r="XFD1048559" i="12" a="1"/>
  <c r="XFD1048559" i="12" s="1"/>
  <c r="XFD1048560" i="12" a="1"/>
  <c r="XFD1048560" i="12" s="1"/>
  <c r="XFD1048561" i="12" a="1"/>
  <c r="XFD1048561" i="12"/>
  <c r="XFD1048562" i="12" a="1"/>
  <c r="XFD1048562" i="12" s="1"/>
  <c r="XFD1048563" i="12" a="1"/>
  <c r="XFD1048563" i="12" s="1"/>
  <c r="XFD1048564" i="12" a="1"/>
  <c r="XFD1048564" i="12" s="1"/>
  <c r="XFD1048565" i="12" a="1"/>
  <c r="XFD1048565" i="12"/>
  <c r="XFD1048566" i="12" a="1"/>
  <c r="XFD1048566" i="12" s="1"/>
  <c r="XFD1048567" i="12" a="1"/>
  <c r="XFD1048567" i="12" s="1"/>
  <c r="XFD1048568" i="12" a="1"/>
  <c r="XFD1048568" i="12" s="1"/>
  <c r="XFD1048569" i="12" a="1"/>
  <c r="XFD1048569" i="12"/>
  <c r="XFD1048570" i="12" a="1"/>
  <c r="XFD1048570" i="12" s="1"/>
  <c r="XFD1048571" i="12" a="1"/>
  <c r="XFD1048571" i="12" s="1"/>
  <c r="XFD1048572" i="12" a="1"/>
  <c r="XFD1048572" i="12" s="1"/>
  <c r="XFD1048573" i="12" a="1"/>
  <c r="XFD1048573" i="12"/>
  <c r="XFD1048574" i="12" a="1"/>
  <c r="XFD1048574" i="12" s="1"/>
  <c r="XFD1048575" i="12" a="1"/>
  <c r="XFD1048575" i="12" s="1"/>
  <c r="B29" i="12"/>
  <c r="G25" i="12"/>
  <c r="G26" i="12"/>
  <c r="G27" i="12"/>
  <c r="G24" i="12"/>
  <c r="I26" i="12"/>
  <c r="I25" i="12"/>
  <c r="I24" i="12"/>
  <c r="XFD1048550" i="11" a="1"/>
  <c r="XFD1048550" i="11" s="1"/>
  <c r="XFD1048551" i="11" a="1"/>
  <c r="XFD1048551" i="11" s="1"/>
  <c r="XFD1048552" i="11" a="1"/>
  <c r="XFD1048552" i="11"/>
  <c r="XFD1048553" i="11" a="1"/>
  <c r="XFD1048553" i="11"/>
  <c r="XFD1048554" i="11" a="1"/>
  <c r="XFD1048554" i="11" s="1"/>
  <c r="XFD1048555" i="11" a="1"/>
  <c r="XFD1048555" i="11" s="1"/>
  <c r="XFD1048556" i="11" a="1"/>
  <c r="XFD1048556" i="11"/>
  <c r="XFD1048557" i="11" a="1"/>
  <c r="XFD1048557" i="11"/>
  <c r="XFD1048558" i="11" a="1"/>
  <c r="XFD1048558" i="11" s="1"/>
  <c r="XFD1048559" i="11" a="1"/>
  <c r="XFD1048559" i="11" s="1"/>
  <c r="XFD1048560" i="11" a="1"/>
  <c r="XFD1048560" i="11"/>
  <c r="XFD1048561" i="11" a="1"/>
  <c r="XFD1048561" i="11"/>
  <c r="XFD1048562" i="11" a="1"/>
  <c r="XFD1048562" i="11" s="1"/>
  <c r="XFD1048563" i="11" a="1"/>
  <c r="XFD1048563" i="11" s="1"/>
  <c r="XFD1048564" i="11" a="1"/>
  <c r="XFD1048564" i="11"/>
  <c r="XFD1048565" i="11" a="1"/>
  <c r="XFD1048565" i="11"/>
  <c r="XFD1048566" i="11" a="1"/>
  <c r="XFD1048566" i="11" s="1"/>
  <c r="XFD1048567" i="11" a="1"/>
  <c r="XFD1048567" i="11" s="1"/>
  <c r="XFD1048568" i="11" a="1"/>
  <c r="XFD1048568" i="11"/>
  <c r="XFD1048569" i="11" a="1"/>
  <c r="XFD1048569" i="11"/>
  <c r="XFD1048570" i="11" a="1"/>
  <c r="XFD1048570" i="11" s="1"/>
  <c r="XFD1048571" i="11" a="1"/>
  <c r="XFD1048571" i="11" s="1"/>
  <c r="XFD1048572" i="11" a="1"/>
  <c r="XFD1048572" i="11"/>
  <c r="XFD1048573" i="11" a="1"/>
  <c r="XFD1048573" i="11"/>
  <c r="XFD1048574" i="11" a="1"/>
  <c r="XFD1048574" i="11" s="1"/>
  <c r="XFD1048575" i="11" a="1"/>
  <c r="XFD1048575" i="11" s="1"/>
  <c r="D27" i="11"/>
  <c r="D28" i="11"/>
  <c r="B16" i="11"/>
  <c r="B17" i="11"/>
  <c r="B19" i="11"/>
  <c r="B15" i="11"/>
  <c r="B18" i="11" s="1"/>
  <c r="D26" i="11"/>
  <c r="D25" i="11"/>
  <c r="XFD1048550" i="7" a="1"/>
  <c r="XFD1048550" i="7"/>
  <c r="XFD1048551" i="7" a="1"/>
  <c r="XFD1048551" i="7"/>
  <c r="XFD1048552" i="7" a="1"/>
  <c r="XFD1048552" i="7" s="1"/>
  <c r="XFD1048553" i="7" a="1"/>
  <c r="XFD1048553" i="7"/>
  <c r="XFD1048554" i="7" a="1"/>
  <c r="XFD1048554" i="7" s="1"/>
  <c r="XFD1048555" i="7" a="1"/>
  <c r="XFD1048555" i="7" s="1"/>
  <c r="XFD1048556" i="7" a="1"/>
  <c r="XFD1048556" i="7" s="1"/>
  <c r="XFD1048557" i="7" a="1"/>
  <c r="XFD1048557" i="7"/>
  <c r="XFD1048558" i="7" a="1"/>
  <c r="XFD1048558" i="7" s="1"/>
  <c r="XFD1048559" i="7" a="1"/>
  <c r="XFD1048559" i="7" s="1"/>
  <c r="XFD1048560" i="7" a="1"/>
  <c r="XFD1048560" i="7" s="1"/>
  <c r="XFD1048561" i="7" a="1"/>
  <c r="XFD1048561" i="7"/>
  <c r="XFD1048562" i="7" a="1"/>
  <c r="XFD1048562" i="7" s="1"/>
  <c r="XFD1048563" i="7" a="1"/>
  <c r="XFD1048563" i="7" s="1"/>
  <c r="XFD1048564" i="7" a="1"/>
  <c r="XFD1048564" i="7" s="1"/>
  <c r="XFD1048565" i="7" a="1"/>
  <c r="XFD1048565" i="7"/>
  <c r="XFD1048566" i="7" a="1"/>
  <c r="XFD1048566" i="7" s="1"/>
  <c r="XFD1048567" i="7" a="1"/>
  <c r="XFD1048567" i="7" s="1"/>
  <c r="XFD1048568" i="7" a="1"/>
  <c r="XFD1048568" i="7" s="1"/>
  <c r="XFD1048569" i="7" a="1"/>
  <c r="XFD1048569" i="7"/>
  <c r="XFD1048570" i="7" a="1"/>
  <c r="XFD1048570" i="7" s="1"/>
  <c r="XFD1048571" i="7" a="1"/>
  <c r="XFD1048571" i="7" s="1"/>
  <c r="XFD1048572" i="7" a="1"/>
  <c r="XFD1048572" i="7" s="1"/>
  <c r="XFD1048573" i="7" a="1"/>
  <c r="XFD1048573" i="7"/>
  <c r="XFD1048574" i="7" a="1"/>
  <c r="XFD1048574" i="7" s="1"/>
  <c r="XFD1048575" i="7" a="1"/>
  <c r="XFD1048575" i="7" s="1"/>
  <c r="D15" i="7"/>
  <c r="D16" i="7"/>
  <c r="D17" i="7"/>
  <c r="D14" i="7"/>
  <c r="B11" i="7"/>
  <c r="B13" i="6"/>
  <c r="E10" i="6"/>
  <c r="E11" i="6" s="1"/>
  <c r="E12" i="6" s="1"/>
  <c r="E13" i="6" s="1"/>
  <c r="E14" i="6" s="1"/>
  <c r="E15" i="6" s="1"/>
  <c r="E16" i="6" s="1"/>
  <c r="E17" i="6" s="1"/>
  <c r="E18" i="6" s="1"/>
  <c r="E19" i="6" s="1"/>
  <c r="E20" i="6" s="1"/>
  <c r="E21" i="6" s="1"/>
  <c r="E22" i="6" s="1"/>
  <c r="E23" i="6" s="1"/>
  <c r="E24" i="6" s="1"/>
  <c r="E25" i="6" s="1"/>
  <c r="E26" i="6" s="1"/>
  <c r="E27" i="6" s="1"/>
  <c r="E28" i="6" s="1"/>
  <c r="E9" i="6"/>
  <c r="F23" i="6"/>
  <c r="F17" i="6"/>
  <c r="O8" i="5"/>
  <c r="O12" i="5"/>
  <c r="D16" i="11"/>
  <c r="F11" i="6"/>
  <c r="F27" i="6"/>
  <c r="F12" i="6"/>
  <c r="G17" i="7"/>
  <c r="F21" i="6"/>
  <c r="F10" i="6"/>
  <c r="O11" i="5"/>
  <c r="F15" i="6"/>
  <c r="F20" i="6"/>
  <c r="C12" i="6"/>
  <c r="D15" i="11"/>
  <c r="G14" i="7"/>
  <c r="G16" i="7"/>
  <c r="F9" i="6"/>
  <c r="F19" i="6"/>
  <c r="F18" i="6"/>
  <c r="F28" i="6"/>
  <c r="G15" i="7"/>
  <c r="F26" i="6"/>
  <c r="F24" i="6"/>
  <c r="C13" i="6"/>
  <c r="F14" i="6"/>
  <c r="F22" i="6"/>
  <c r="F16" i="6"/>
  <c r="F25" i="6"/>
  <c r="D17" i="11"/>
  <c r="F13" i="6"/>
  <c r="O13" i="5"/>
  <c r="D19" i="11"/>
  <c r="O9" i="5"/>
  <c r="B7" i="19" l="1"/>
  <c r="B22" i="11"/>
  <c r="B12" i="6"/>
  <c r="N8" i="5"/>
  <c r="N9" i="5" s="1"/>
  <c r="C28" i="5"/>
  <c r="F28" i="5" s="1"/>
  <c r="D28" i="5"/>
  <c r="G28" i="5" s="1"/>
  <c r="E28" i="5"/>
  <c r="H28" i="5" s="1"/>
  <c r="C29" i="5"/>
  <c r="F29" i="5" s="1"/>
  <c r="D29" i="5"/>
  <c r="G29" i="5" s="1"/>
  <c r="E29" i="5"/>
  <c r="H29" i="5" s="1"/>
  <c r="C30" i="5"/>
  <c r="F30" i="5" s="1"/>
  <c r="D30" i="5"/>
  <c r="E30" i="5"/>
  <c r="H30" i="5" s="1"/>
  <c r="G30" i="5"/>
  <c r="C31" i="5"/>
  <c r="F31" i="5" s="1"/>
  <c r="D31" i="5"/>
  <c r="G31" i="5" s="1"/>
  <c r="E31" i="5"/>
  <c r="H31" i="5" s="1"/>
  <c r="C32" i="5"/>
  <c r="F32" i="5" s="1"/>
  <c r="D32" i="5"/>
  <c r="G32" i="5" s="1"/>
  <c r="E32" i="5"/>
  <c r="H32" i="5" s="1"/>
  <c r="C33" i="5"/>
  <c r="F33" i="5" s="1"/>
  <c r="D33" i="5"/>
  <c r="G33" i="5" s="1"/>
  <c r="E33" i="5"/>
  <c r="H33" i="5" s="1"/>
  <c r="C34" i="5"/>
  <c r="F34" i="5" s="1"/>
  <c r="D34" i="5"/>
  <c r="G34" i="5" s="1"/>
  <c r="E34" i="5"/>
  <c r="H34" i="5" s="1"/>
  <c r="C35" i="5"/>
  <c r="F35" i="5" s="1"/>
  <c r="D35" i="5"/>
  <c r="G35" i="5" s="1"/>
  <c r="E35" i="5"/>
  <c r="H35" i="5" s="1"/>
  <c r="C36" i="5"/>
  <c r="F36" i="5" s="1"/>
  <c r="D36" i="5"/>
  <c r="G36" i="5" s="1"/>
  <c r="E36" i="5"/>
  <c r="H36" i="5" s="1"/>
  <c r="C37" i="5"/>
  <c r="F37" i="5" s="1"/>
  <c r="D37" i="5"/>
  <c r="G37" i="5" s="1"/>
  <c r="E37" i="5"/>
  <c r="H37" i="5" s="1"/>
  <c r="C38" i="5"/>
  <c r="D38" i="5"/>
  <c r="E38" i="5"/>
  <c r="H38" i="5" s="1"/>
  <c r="F38" i="5"/>
  <c r="G38" i="5"/>
  <c r="C39" i="5"/>
  <c r="F39" i="5" s="1"/>
  <c r="D39" i="5"/>
  <c r="G39" i="5" s="1"/>
  <c r="E39" i="5"/>
  <c r="H39" i="5" s="1"/>
  <c r="B21" i="4"/>
  <c r="B22" i="4" s="1"/>
  <c r="B18" i="4"/>
  <c r="B16" i="4"/>
  <c r="B17" i="4" s="1"/>
  <c r="B23" i="4" s="1"/>
  <c r="B14" i="3"/>
  <c r="B16" i="3" s="1"/>
  <c r="C10" i="2"/>
  <c r="B10" i="2"/>
  <c r="D16" i="2" s="1"/>
  <c r="D17" i="2" s="1"/>
  <c r="D18" i="2" s="1"/>
  <c r="D19" i="2" s="1"/>
  <c r="D20" i="2" s="1"/>
  <c r="D21" i="2" s="1"/>
  <c r="C6" i="2"/>
  <c r="C16" i="2" s="1"/>
  <c r="C17" i="2" s="1"/>
  <c r="B6" i="2"/>
  <c r="B16" i="2" s="1"/>
  <c r="B17" i="2" s="1"/>
  <c r="B18" i="2" s="1"/>
  <c r="B20" i="1"/>
  <c r="B16" i="1"/>
  <c r="B15" i="1"/>
  <c r="C24" i="4"/>
  <c r="C20" i="1"/>
  <c r="C18" i="1"/>
  <c r="C15" i="1"/>
  <c r="C18" i="4"/>
  <c r="C16" i="3"/>
  <c r="C14" i="3"/>
  <c r="C16" i="4"/>
  <c r="C20" i="3"/>
  <c r="C19" i="1"/>
  <c r="C21" i="3"/>
  <c r="C22" i="4"/>
  <c r="C23" i="4"/>
  <c r="C16" i="1"/>
  <c r="C17" i="4"/>
  <c r="C21" i="4"/>
  <c r="F41" i="5" l="1"/>
  <c r="H41" i="5"/>
  <c r="G41" i="5"/>
  <c r="N12" i="5"/>
  <c r="N11" i="5"/>
  <c r="B24" i="4"/>
  <c r="E3" i="4" s="1"/>
  <c r="B20" i="3"/>
  <c r="B21" i="3" s="1"/>
  <c r="F5" i="3" s="1"/>
  <c r="F17" i="2"/>
  <c r="B19" i="2"/>
  <c r="E18" i="2"/>
  <c r="C18" i="2"/>
  <c r="E17" i="2"/>
  <c r="F16" i="2"/>
  <c r="E16" i="2"/>
  <c r="C12" i="2"/>
  <c r="B12" i="2"/>
  <c r="B18" i="1"/>
  <c r="B19" i="1" s="1"/>
  <c r="N13" i="5" l="1"/>
  <c r="C19" i="2"/>
  <c r="F18" i="2"/>
  <c r="E19" i="2"/>
  <c r="B20" i="2"/>
  <c r="T5" i="5" l="1"/>
  <c r="W5" i="5"/>
  <c r="B21" i="2"/>
  <c r="E21" i="2" s="1"/>
  <c r="E20" i="2"/>
  <c r="C20" i="2"/>
  <c r="F19" i="2"/>
  <c r="C21" i="2" l="1"/>
  <c r="F21" i="2" s="1"/>
  <c r="F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<sst xmlns="http://schemas.openxmlformats.org/spreadsheetml/2006/main" count="623" uniqueCount="369">
  <si>
    <t>givens:</t>
  </si>
  <si>
    <t>costs:</t>
  </si>
  <si>
    <t>fixed:</t>
  </si>
  <si>
    <t>variable:</t>
  </si>
  <si>
    <t>each shirt</t>
  </si>
  <si>
    <t>total cost</t>
  </si>
  <si>
    <t>selling price before:</t>
  </si>
  <si>
    <t>selling price after:</t>
  </si>
  <si>
    <t>revenue:</t>
  </si>
  <si>
    <t>no.of shirts ordered:</t>
  </si>
  <si>
    <t>no.of shirts sold before:</t>
  </si>
  <si>
    <t>no.of shirts sold after:</t>
  </si>
  <si>
    <t>total revenue:</t>
  </si>
  <si>
    <t>total profit:</t>
  </si>
  <si>
    <t>demand:</t>
  </si>
  <si>
    <t>NCAA T-SHIRT VENDOR</t>
  </si>
  <si>
    <t xml:space="preserve">Scenario </t>
  </si>
  <si>
    <t>Randy is a t-shirt vendor who plans to order t-shirts with the names of the NCAA final four teams from a manufacturer and then sell them to fans.  The fixed cost of any order is $750, the variable cost per T-shirt to Randy is $8, and Randy’s selling price is $18.  However, this price will be charged only until a week after the tournament. After that time, Randy figures that the interest in the t-shirts will be low, so he plans to sell all remaining t-shirts, if any, at $6 each.  His best guess is that the demand for the t-shirts during the full price period will be 1500.  He is thinking about ordering 1450 t-shirts, but he wants to build a spreadsheet model that will let him experiment with the uncertain demand and his order quantity.  How should he proceed?</t>
  </si>
  <si>
    <t>FORMULAS</t>
  </si>
  <si>
    <t>data</t>
  </si>
  <si>
    <t>woodworks bookshelf &amp; co.</t>
  </si>
  <si>
    <t>cherry</t>
  </si>
  <si>
    <t>oak</t>
  </si>
  <si>
    <t>labour</t>
  </si>
  <si>
    <t>resources</t>
  </si>
  <si>
    <t>current unit cost</t>
  </si>
  <si>
    <t>labour rate</t>
  </si>
  <si>
    <t>labour hours</t>
  </si>
  <si>
    <t>total labour  cost</t>
  </si>
  <si>
    <t>total cost:</t>
  </si>
  <si>
    <t>year</t>
  </si>
  <si>
    <t>total cherry</t>
  </si>
  <si>
    <t>total oak</t>
  </si>
  <si>
    <t>anticipated growth rate</t>
  </si>
  <si>
    <t>The Woodworks Company produces a variety of custom-designed wood furniture, made from either cherry or oak. The company knows that wood prices and labor costs are likely to increase in the future. The table below shows the number of board-feet and labor hours required for a bookshelf, the current costs per board-foot and labor hour, and the anticipated annual increases in these costs.
Build a spreadsheet model that enables the company to experiment with the growth rates in wood and labor costs so that a manager can see, both numerically and graphically, how the costs of bookshelves vary in the next few years.</t>
  </si>
  <si>
    <t>scenario</t>
  </si>
  <si>
    <t>QUALITY SWEATER COMPANY</t>
  </si>
  <si>
    <t>given:</t>
  </si>
  <si>
    <t>fixed costs:</t>
  </si>
  <si>
    <t>variable costs:</t>
  </si>
  <si>
    <t>printing</t>
  </si>
  <si>
    <t>mailing</t>
  </si>
  <si>
    <t>reply envelopes</t>
  </si>
  <si>
    <t>labor &amp; materials</t>
  </si>
  <si>
    <t>catalogs offered:</t>
  </si>
  <si>
    <t>response rate:</t>
  </si>
  <si>
    <t>total orders:</t>
  </si>
  <si>
    <t>average customer order:</t>
  </si>
  <si>
    <t>per catalog</t>
  </si>
  <si>
    <t>per order</t>
  </si>
  <si>
    <t>dummy value</t>
  </si>
  <si>
    <t>formula</t>
  </si>
  <si>
    <t>profit forecasting table</t>
  </si>
  <si>
    <t>response rate</t>
  </si>
  <si>
    <t>profit</t>
  </si>
  <si>
    <t>SCENARIO:</t>
  </si>
  <si>
    <t xml:space="preserve">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
1) How does a change in the response rate affect profit?
2) For what response rate does the company break even?
3) If the company estimates a response rate of 3%, should it proceed with the mailing?
4) How does the presence of uncertainty affect the usefulness of the model?  </t>
  </si>
  <si>
    <t>B&amp;N BOOKSTORE</t>
  </si>
  <si>
    <t>GIVEN:</t>
  </si>
  <si>
    <t>cost price of each</t>
  </si>
  <si>
    <t>hardcopy of the novel SP (each):</t>
  </si>
  <si>
    <t>&lt;--dummy value (500-4500)</t>
  </si>
  <si>
    <t>left-over orders:</t>
  </si>
  <si>
    <t>left-over order SP (each):</t>
  </si>
  <si>
    <t>no.of units ordered (hardcopy):</t>
  </si>
  <si>
    <t>hardcopy orders sold :</t>
  </si>
  <si>
    <t>No. of units ordered (&gt; atleast)</t>
  </si>
  <si>
    <r>
      <t xml:space="preserve">left-over orders </t>
    </r>
    <r>
      <rPr>
        <b/>
        <sz val="11"/>
        <color theme="1"/>
        <rFont val="Calibri"/>
        <family val="2"/>
        <scheme val="minor"/>
      </rPr>
      <t>WAY2</t>
    </r>
    <r>
      <rPr>
        <sz val="11"/>
        <color theme="1"/>
        <rFont val="Calibri"/>
        <family val="2"/>
        <scheme val="minor"/>
      </rPr>
      <t>:</t>
    </r>
  </si>
  <si>
    <t xml:space="preserve">revenue: </t>
  </si>
  <si>
    <t>COST PRICE on each hardcopy:</t>
  </si>
  <si>
    <t>demand</t>
  </si>
  <si>
    <t>order</t>
  </si>
  <si>
    <t>formulas</t>
  </si>
  <si>
    <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How many copies of this hardback novel should B&amp;N order from the publisher?</t>
  </si>
  <si>
    <t>GIVEN DATA:</t>
  </si>
  <si>
    <t>MONTH</t>
  </si>
  <si>
    <t>PRICE</t>
  </si>
  <si>
    <t>DEMAND(00s)</t>
  </si>
  <si>
    <t>THE 19TH HOLE GOLF CLUB</t>
  </si>
  <si>
    <t>PREDICTION MODELS:</t>
  </si>
  <si>
    <t>LINEAR:</t>
  </si>
  <si>
    <t>SLOPE(M)</t>
  </si>
  <si>
    <t>INTERCEPT(B)</t>
  </si>
  <si>
    <t>Y=MX+B</t>
  </si>
  <si>
    <t>EXPONENTIAL</t>
  </si>
  <si>
    <t>Y=AE^(BX)</t>
  </si>
  <si>
    <t>CONSTANT(A)</t>
  </si>
  <si>
    <t>CONSTANT(B)</t>
  </si>
  <si>
    <t>POWER</t>
  </si>
  <si>
    <t>Y = AX^B</t>
  </si>
  <si>
    <t>CONST(A)</t>
  </si>
  <si>
    <t>CONST(B)</t>
  </si>
  <si>
    <t>PREDICTIONS BASED ON MODEL</t>
  </si>
  <si>
    <t>PRICE(X)</t>
  </si>
  <si>
    <t>LINEAR</t>
  </si>
  <si>
    <t>ABSOLUTE PERCENTAGE ERROR</t>
  </si>
  <si>
    <t>AVERAGE:</t>
  </si>
  <si>
    <t>&lt;--using the model with the smallest error %</t>
  </si>
  <si>
    <t>MODEL THE BUSINESS</t>
  </si>
  <si>
    <t>unit cost:</t>
  </si>
  <si>
    <t>sale price:</t>
  </si>
  <si>
    <t>demand(00s)</t>
  </si>
  <si>
    <t>actual demand:</t>
  </si>
  <si>
    <t>profit:</t>
  </si>
  <si>
    <t>per set of clubs</t>
  </si>
  <si>
    <t>&lt;--dummy (multiple of 10)</t>
  </si>
  <si>
    <t>PROFIT FORECASTING</t>
  </si>
  <si>
    <t>SALE PRICE</t>
  </si>
  <si>
    <t>PROFIT</t>
  </si>
  <si>
    <t>UNIT COST</t>
  </si>
  <si>
    <t>DATA</t>
  </si>
  <si>
    <t>FORMULA</t>
  </si>
  <si>
    <t>SCENARIO</t>
  </si>
  <si>
    <t>The 19th Hole sells golf clubs at its golf outlet stores throughout the US.  The company knows that the demand for its club varies considerably with price.  In the last year, the demand at each price level was recorded in the table below.The company wants to estimate the relationship between demand and price and then use this estimated relationship to answer the following questions: 
Assuming the unit cost of producing a set of clubs is $250, and the price must be a multiple of $10, what price should the company charge to maximize its profit?
How does the optimal price depend on the unit cost of producing a set of clubs?
Is the model an accurate representation of reality?</t>
  </si>
  <si>
    <t xml:space="preserve"> M</t>
  </si>
  <si>
    <t>GOPHER DRUGS</t>
  </si>
  <si>
    <t>LIFETIME(YRS)</t>
  </si>
  <si>
    <t>ANNUAL RATE OF INCREASE AFTER 8</t>
  </si>
  <si>
    <t>ANNUAL RATE OF DECREASE AFTER 20</t>
  </si>
  <si>
    <t>FINAL DEVELOPMENT COST AT THE BEG OF 1 YEAR(MILLION)</t>
  </si>
  <si>
    <t>DISCOUNT RATE</t>
  </si>
  <si>
    <t>CASH FLOWS</t>
  </si>
  <si>
    <t>END OF YEAR</t>
  </si>
  <si>
    <t>GROSS MARGIN($M)</t>
  </si>
  <si>
    <t>GROSS MARGIN IN 1 YEAR(M)</t>
  </si>
  <si>
    <t xml:space="preserve">INC THROUGH THE YEAR </t>
  </si>
  <si>
    <t>NET PRESENT VALUE</t>
  </si>
  <si>
    <t>TRUE NET PRESENT VALUE:</t>
  </si>
  <si>
    <t>CAMPAIGN MARKETING</t>
  </si>
  <si>
    <t>total marketing cost:</t>
  </si>
  <si>
    <t>per ad cost</t>
  </si>
  <si>
    <t>reach</t>
  </si>
  <si>
    <t>radio ads(x)</t>
  </si>
  <si>
    <t>TV ads(y)</t>
  </si>
  <si>
    <t>&lt;--variables</t>
  </si>
  <si>
    <t>objective(MAX):</t>
  </si>
  <si>
    <t>no. of ads</t>
  </si>
  <si>
    <t>constraint table</t>
  </si>
  <si>
    <t>LHS</t>
  </si>
  <si>
    <t>SIGN</t>
  </si>
  <si>
    <t>RHS</t>
  </si>
  <si>
    <t>No.of people reached:</t>
  </si>
  <si>
    <t>&lt;=</t>
  </si>
  <si>
    <t>budget:</t>
  </si>
  <si>
    <t>Tv ads:</t>
  </si>
  <si>
    <t>radio ads:</t>
  </si>
  <si>
    <t>&gt;=</t>
  </si>
  <si>
    <t>(lhs formula)</t>
  </si>
  <si>
    <t>radio ads &gt;= TV ads:</t>
  </si>
  <si>
    <t>x</t>
  </si>
  <si>
    <t>y</t>
  </si>
  <si>
    <t>SOLVER SOLUTION:</t>
  </si>
  <si>
    <t>X=</t>
  </si>
  <si>
    <t>Y=</t>
  </si>
  <si>
    <t>MAX</t>
  </si>
  <si>
    <t>R-T&gt;=0</t>
  </si>
  <si>
    <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How many ads of each type should be used?
How many people will be reached?</t>
  </si>
  <si>
    <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end of the respective years.  Using an annual discount rate of 12% for purposes of calculating net present value (NPV), the drug company wants to answer the following questions: 
Is the drug worth pursuing, or should Gopher Drugs abandon it now and not incur the $9.3M development cost?
How do changes in the model change the answer to the prior question?</t>
  </si>
  <si>
    <t>PC TECH COMPANY</t>
  </si>
  <si>
    <t>GIVEN</t>
  </si>
  <si>
    <t>assemble</t>
  </si>
  <si>
    <t>test</t>
  </si>
  <si>
    <t>pieces to be sold</t>
  </si>
  <si>
    <t>SP of each</t>
  </si>
  <si>
    <t>CP of its component parts</t>
  </si>
  <si>
    <t>cost of labor per hour</t>
  </si>
  <si>
    <t>NET PROFIT:</t>
  </si>
  <si>
    <t>total revenue</t>
  </si>
  <si>
    <t>constraints</t>
  </si>
  <si>
    <t>lhs</t>
  </si>
  <si>
    <t>sign</t>
  </si>
  <si>
    <t>rhs</t>
  </si>
  <si>
    <t>assembly hours</t>
  </si>
  <si>
    <t>testing hours</t>
  </si>
  <si>
    <t>no.of basics</t>
  </si>
  <si>
    <t>no.of XPs</t>
  </si>
  <si>
    <t>total cost of assembling:</t>
  </si>
  <si>
    <t>total cost of testing:</t>
  </si>
  <si>
    <t>Total cost of component parts</t>
  </si>
  <si>
    <t>total cost added:</t>
  </si>
  <si>
    <t>basics(x)</t>
  </si>
  <si>
    <t>XPs(y)</t>
  </si>
  <si>
    <t>LP MODEL SOLUTION</t>
  </si>
  <si>
    <t>MAX PROFIT=</t>
  </si>
  <si>
    <t>PC TECH CO.</t>
  </si>
  <si>
    <t>investment</t>
  </si>
  <si>
    <t>tech stocks</t>
  </si>
  <si>
    <t>high risk municipal bonds</t>
  </si>
  <si>
    <t>municipal bonds</t>
  </si>
  <si>
    <t>ROR</t>
  </si>
  <si>
    <t>L.A. MUNICIPAL BIND</t>
  </si>
  <si>
    <t>THOMPSON ELECTRONICS INC.</t>
  </si>
  <si>
    <t>UNITED AEROSPACE COPR.</t>
  </si>
  <si>
    <t>PALMER TECHNOLOGIES</t>
  </si>
  <si>
    <t>HDN STOCK(HIGH RISK)</t>
  </si>
  <si>
    <t>VARIABLES:</t>
  </si>
  <si>
    <t>TYPE OF STOCK</t>
  </si>
  <si>
    <t>MUNI</t>
  </si>
  <si>
    <t>TECH</t>
  </si>
  <si>
    <t>HIGH RISK</t>
  </si>
  <si>
    <t>VAR</t>
  </si>
  <si>
    <t>X1</t>
  </si>
  <si>
    <t>X2</t>
  </si>
  <si>
    <t>X3</t>
  </si>
  <si>
    <t>X4</t>
  </si>
  <si>
    <t>X5</t>
  </si>
  <si>
    <t>amount invested</t>
  </si>
  <si>
    <t>CONSTRAINTS</t>
  </si>
  <si>
    <t>BUDGET</t>
  </si>
  <si>
    <t>MUNI BONDS</t>
  </si>
  <si>
    <t>TECH  STOCKS</t>
  </si>
  <si>
    <t>NO MORE THAN 50% MUNI BONDS AT HIGH RISK</t>
  </si>
  <si>
    <t>X5&lt;=50%X1 --&gt; X5-50%X1&lt;=0</t>
  </si>
  <si>
    <t>OBJECTIVE: RATE OF RETURN (MAX):</t>
  </si>
  <si>
    <t>LP SIMPLEX MODEL SOLUTION</t>
  </si>
  <si>
    <t>ROR($)</t>
  </si>
  <si>
    <t>KYOKO HS</t>
  </si>
  <si>
    <t>DEVON HS</t>
  </si>
  <si>
    <t>MANNY HS</t>
  </si>
  <si>
    <t>CAPACITY</t>
  </si>
  <si>
    <t>LOCATED</t>
  </si>
  <si>
    <t>B</t>
  </si>
  <si>
    <t>C</t>
  </si>
  <si>
    <t>E</t>
  </si>
  <si>
    <t>WALKING DISTANCE(miles)</t>
  </si>
  <si>
    <t>sector</t>
  </si>
  <si>
    <t>dist to kyoko(B)</t>
  </si>
  <si>
    <t>no.of students</t>
  </si>
  <si>
    <t>dist to devon( C)</t>
  </si>
  <si>
    <t>dist to manny( E)</t>
  </si>
  <si>
    <t>A</t>
  </si>
  <si>
    <t>D</t>
  </si>
  <si>
    <t xml:space="preserve">OBJECTIVE: </t>
  </si>
  <si>
    <t>MINIMIZE TOTAL DISTANCE TRAVELLED BY THE BUS</t>
  </si>
  <si>
    <t>distance(MIN):</t>
  </si>
  <si>
    <t>total students</t>
  </si>
  <si>
    <t>AB</t>
  </si>
  <si>
    <t>AC</t>
  </si>
  <si>
    <t>AE</t>
  </si>
  <si>
    <t>BB</t>
  </si>
  <si>
    <t>BC</t>
  </si>
  <si>
    <t>BE</t>
  </si>
  <si>
    <t>CC</t>
  </si>
  <si>
    <t>CB</t>
  </si>
  <si>
    <t>CE</t>
  </si>
  <si>
    <t>VARIABLES</t>
  </si>
  <si>
    <t>DB</t>
  </si>
  <si>
    <t>DC</t>
  </si>
  <si>
    <t>DE</t>
  </si>
  <si>
    <t>EE</t>
  </si>
  <si>
    <t>EB</t>
  </si>
  <si>
    <t>EC</t>
  </si>
  <si>
    <t>NO.OF STUDENTS</t>
  </si>
  <si>
    <t>MILES</t>
  </si>
  <si>
    <t>900 IN SCHOOL C</t>
  </si>
  <si>
    <t>900 IN SCHOOL B</t>
  </si>
  <si>
    <t>900 IN SCHOOL E</t>
  </si>
  <si>
    <t>700 IN A</t>
  </si>
  <si>
    <t>500 IN B</t>
  </si>
  <si>
    <t>100 IN C</t>
  </si>
  <si>
    <t>800 IN D</t>
  </si>
  <si>
    <t>400 IN E</t>
  </si>
  <si>
    <t>=</t>
  </si>
  <si>
    <t>NO,OF STUDENTS</t>
  </si>
  <si>
    <t>MIN MILES</t>
  </si>
  <si>
    <t>DATA TABLE</t>
  </si>
  <si>
    <t>JONES</t>
  </si>
  <si>
    <t>SMITH</t>
  </si>
  <si>
    <t>WILSON</t>
  </si>
  <si>
    <t>OMAHA</t>
  </si>
  <si>
    <t>MIAMI</t>
  </si>
  <si>
    <t>DALLAS</t>
  </si>
  <si>
    <t>NY</t>
  </si>
  <si>
    <t>NEW HIRES</t>
  </si>
  <si>
    <t>OFFICES</t>
  </si>
  <si>
    <t>TOTAL</t>
  </si>
  <si>
    <t>EACH CANDIDATE PER OFFICE</t>
  </si>
  <si>
    <t>ASSIGNMENT TABLE:</t>
  </si>
  <si>
    <t>OBJECTIVE(MIN):</t>
  </si>
  <si>
    <t>TOTAL COST:</t>
  </si>
  <si>
    <t>SOLUTION:</t>
  </si>
  <si>
    <t>AND ASSIGNMENT IS:</t>
  </si>
  <si>
    <t>MLB UMPIRE ASSIGNMENT</t>
  </si>
  <si>
    <t>SEATTLE</t>
  </si>
  <si>
    <t>AIRLINGTON</t>
  </si>
  <si>
    <t>OAKLAND</t>
  </si>
  <si>
    <t>BALTIMORE</t>
  </si>
  <si>
    <t>KANSAS</t>
  </si>
  <si>
    <t>CHICAGO</t>
  </si>
  <si>
    <t>DETROIT</t>
  </si>
  <si>
    <t>TORONTO</t>
  </si>
  <si>
    <t>X</t>
  </si>
  <si>
    <t>CITIES</t>
  </si>
  <si>
    <t>CREWS OF MLB UMPIRES</t>
  </si>
  <si>
    <t>ONLY 1 PER CITY</t>
  </si>
  <si>
    <t>OBJECTIVE:</t>
  </si>
  <si>
    <t>MIN TOTAL  MILES</t>
  </si>
  <si>
    <t>DATA TABLE:-</t>
  </si>
  <si>
    <t>ASSIGNMENT:-</t>
  </si>
  <si>
    <t>LP MMODEL SOLUTION:</t>
  </si>
  <si>
    <t>TOTAL MIN MILES:</t>
  </si>
  <si>
    <t>princess-brides, A Wedding dress Retailer</t>
  </si>
  <si>
    <t>prime time ads</t>
  </si>
  <si>
    <t>other time ads</t>
  </si>
  <si>
    <t>cost per ad</t>
  </si>
  <si>
    <t>budget(per week):</t>
  </si>
  <si>
    <t>constraints:</t>
  </si>
  <si>
    <t>budget</t>
  </si>
  <si>
    <t>off peak ads</t>
  </si>
  <si>
    <t>Y</t>
  </si>
  <si>
    <t>no.of ads</t>
  </si>
  <si>
    <t>total advertising cost:</t>
  </si>
  <si>
    <t>&lt;--vars</t>
  </si>
  <si>
    <t>objective: MAX REACH</t>
  </si>
  <si>
    <t>PRIME ADS</t>
  </si>
  <si>
    <t>OFF PEAK ADS</t>
  </si>
  <si>
    <t>MAX REACH:</t>
  </si>
  <si>
    <t>PROBLEM!!!</t>
  </si>
  <si>
    <t>LP SIMPLEX INTEGER CONSTRAINT SOLUTION</t>
  </si>
  <si>
    <t>MAX REACH</t>
  </si>
  <si>
    <t>BINARY INVESTMENT DECISION</t>
  </si>
  <si>
    <t>NAME</t>
  </si>
  <si>
    <t>EXPECTED ANNUAL RETURN($1000)</t>
  </si>
  <si>
    <t>COST OF BLOCK OF SHARES($1000)</t>
  </si>
  <si>
    <t>TRANS-TEXAS OIL</t>
  </si>
  <si>
    <t>BP</t>
  </si>
  <si>
    <t>DUTCH SHELL</t>
  </si>
  <si>
    <t>HOUSTON DRILLING</t>
  </si>
  <si>
    <t>TEXAS PETROLEUM</t>
  </si>
  <si>
    <t>SAN DIEGO OIL</t>
  </si>
  <si>
    <t>CALIFORNIA PETRO.</t>
  </si>
  <si>
    <t>X6</t>
  </si>
  <si>
    <t>X7</t>
  </si>
  <si>
    <t>INTEGER CONSTRAINT X</t>
  </si>
  <si>
    <t>INT</t>
  </si>
  <si>
    <t>INTEGER CONSTRAINT Y</t>
  </si>
  <si>
    <t>(0,1)</t>
  </si>
  <si>
    <t>CALIFORNIA PETRO</t>
  </si>
  <si>
    <t>2 TEXAS OIL  ATLEAST</t>
  </si>
  <si>
    <t>FOREIGN OIL NO MORE THAN 1</t>
  </si>
  <si>
    <t>ONE OF 2 CA</t>
  </si>
  <si>
    <t>LP SIMPLEX INTEGER MODEL SOLUTION</t>
  </si>
  <si>
    <t>MAX RETURN</t>
  </si>
  <si>
    <t>LINEAR VARS</t>
  </si>
  <si>
    <t>NON LINEAR VARS</t>
  </si>
  <si>
    <t>XY</t>
  </si>
  <si>
    <t>Y2</t>
  </si>
  <si>
    <t>COEFF</t>
  </si>
  <si>
    <t>TERM</t>
  </si>
  <si>
    <t>RETURN</t>
  </si>
  <si>
    <t>&lt;--VARIANCE(MIN)</t>
  </si>
  <si>
    <t>NON-LINEAR MODEL SOLUTION</t>
  </si>
  <si>
    <t>MIN VARIANCE:</t>
  </si>
  <si>
    <t>NON LINEAR MINIMUM VARIANCE PROBLEM</t>
  </si>
  <si>
    <t>MOTORCROSS REVENUE PROBLEM</t>
  </si>
  <si>
    <t>X=XJ6</t>
  </si>
  <si>
    <t>Y=XJ8</t>
  </si>
  <si>
    <t>4-0.1X</t>
  </si>
  <si>
    <t>5-0.02Y</t>
  </si>
  <si>
    <t>OBJJECTIVE(MAX):</t>
  </si>
  <si>
    <t>CONTRAINTS:</t>
  </si>
  <si>
    <t>HOURS</t>
  </si>
  <si>
    <t>NLP MODEL SOLUTION</t>
  </si>
  <si>
    <t>XJ6</t>
  </si>
  <si>
    <t>XJ8</t>
  </si>
  <si>
    <t>MAX REVENUE</t>
  </si>
  <si>
    <t>VARS</t>
  </si>
  <si>
    <t>NO.OF UNITS</t>
  </si>
  <si>
    <t>http://bit.ly/4bctB0C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</si>
</sst>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0.0%"/>
    <numFmt numFmtId="168" formatCode="&quot;$&quot;#,##0"/>
    <numFmt numFmtId="169" formatCode="_(&quot;$&quot;* #,##0.0_);_(&quot;$&quot;* \(#,##0.0\);_(&quot;$&quot;* &quot;-&quot;??_);_(@_)"/>
  </numFmts>
  <fonts count="2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color theme="6" tint="-0.249977111117893"/>
      <name val="Calibri"/>
      <family val="2"/>
      <scheme val="minor"/>
    </font>
    <font>
      <b/>
      <sz val="24"/>
      <color rgb="FF1F1F1F"/>
      <name val="Var(--cds-font-family-source-sa"/>
    </font>
    <font>
      <sz val="11"/>
      <color theme="6" tint="0.39997558519241921"/>
      <name val="Calibri"/>
      <family val="2"/>
      <scheme val="minor"/>
    </font>
    <font>
      <sz val="11"/>
      <color theme="2" tint="-0.499984740745262"/>
      <name val="Calibri"/>
      <family val="2"/>
      <scheme val="minor"/>
    </font>
    <font>
      <b/>
      <sz val="20"/>
      <color theme="1"/>
      <name val="Calibri"/>
      <family val="2"/>
      <scheme val="minor"/>
    </font>
    <font>
      <sz val="9"/>
      <color theme="1"/>
      <name val="Calibri"/>
      <family val="2"/>
      <scheme val="minor"/>
    </font>
    <font>
      <sz val="11"/>
      <color theme="4" tint="-0.499984740745262"/>
      <name val="Calibri"/>
      <family val="2"/>
      <scheme val="minor"/>
    </font>
    <font>
      <sz val="11"/>
      <color theme="6"/>
      <name val="Calibri"/>
      <family val="2"/>
      <scheme val="minor"/>
    </font>
    <font>
      <b/>
      <sz val="26"/>
      <color theme="3"/>
      <name val="Calibri"/>
      <family val="2"/>
      <scheme val="minor"/>
    </font>
    <font>
      <sz val="11"/>
      <name val="Calibri"/>
      <family val="2"/>
      <scheme val="minor"/>
    </font>
    <font>
      <sz val="11"/>
      <color theme="0" tint="-0.499984740745262"/>
      <name val="Calibri"/>
      <family val="2"/>
      <scheme val="minor"/>
    </font>
    <font>
      <b/>
      <sz val="11"/>
      <color theme="0" tint="-0.499984740745262"/>
      <name val="Calibri"/>
      <family val="2"/>
      <scheme val="minor"/>
    </font>
    <font>
      <sz val="11"/>
      <color theme="0" tint="-0.34998626667073579"/>
      <name val="Calibri"/>
      <family val="2"/>
      <scheme val="minor"/>
    </font>
    <font>
      <b/>
      <sz val="10"/>
      <color theme="1"/>
      <name val="Calibri"/>
      <family val="2"/>
      <scheme val="minor"/>
    </font>
    <font>
      <b/>
      <sz val="11"/>
      <color rgb="FFFF0000"/>
      <name val="Calibri"/>
      <family val="2"/>
      <scheme val="minor"/>
    </font>
    <font>
      <u/>
      <sz val="11"/>
      <color theme="10"/>
      <name val="Calibri"/>
      <family val="2"/>
      <scheme val="minor"/>
    </font>
  </fonts>
  <fills count="14">
    <fill>
      <patternFill patternType="none"/>
    </fill>
    <fill>
      <patternFill patternType="gray125"/>
    </fill>
    <fill>
      <patternFill patternType="solid">
        <fgColor rgb="FFFFFFCC"/>
      </patternFill>
    </fill>
    <fill>
      <patternFill patternType="solid">
        <fgColor theme="7" tint="0.79998168889431442"/>
        <bgColor indexed="65"/>
      </patternFill>
    </fill>
    <fill>
      <patternFill patternType="solid">
        <fgColor theme="9" tint="0.39997558519241921"/>
        <bgColor indexed="64"/>
      </patternFill>
    </fill>
    <fill>
      <patternFill patternType="solid">
        <fgColor theme="8" tint="0.79998168889431442"/>
        <bgColor theme="8" tint="0.79998168889431442"/>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1" fillId="2" borderId="3" applyNumberFormat="0" applyFont="0" applyAlignment="0" applyProtection="0"/>
    <xf numFmtId="0" fontId="1" fillId="3" borderId="0" applyNumberFormat="0" applyBorder="0" applyAlignment="0" applyProtection="0"/>
    <xf numFmtId="43" fontId="1" fillId="0" borderId="0" applyFont="0" applyFill="0" applyBorder="0" applyAlignment="0" applyProtection="0"/>
    <xf numFmtId="0" fontId="20" fillId="0" borderId="0" applyNumberFormat="0" applyFill="0" applyBorder="0" applyAlignment="0" applyProtection="0"/>
  </cellStyleXfs>
  <cellXfs count="154">
    <xf numFmtId="0" fontId="0" fillId="0" borderId="0" xfId="0"/>
    <xf numFmtId="44" fontId="0" fillId="0" borderId="0" xfId="1" applyFont="1"/>
    <xf numFmtId="164" fontId="0" fillId="0" borderId="0" xfId="1" applyNumberFormat="1" applyFont="1"/>
    <xf numFmtId="164" fontId="0" fillId="0" borderId="0" xfId="0" applyNumberFormat="1"/>
    <xf numFmtId="0" fontId="0" fillId="0" borderId="0" xfId="0" applyAlignment="1">
      <alignment horizontal="center"/>
    </xf>
    <xf numFmtId="0" fontId="4" fillId="0" borderId="0" xfId="0" applyFont="1"/>
    <xf numFmtId="0" fontId="4" fillId="0" borderId="0" xfId="0" applyFont="1" applyAlignment="1">
      <alignment horizontal="center"/>
    </xf>
    <xf numFmtId="0" fontId="4" fillId="0" borderId="0" xfId="0" applyFont="1" applyAlignment="1">
      <alignment horizontal="left"/>
    </xf>
    <xf numFmtId="0" fontId="0" fillId="0" borderId="0" xfId="0" applyAlignment="1">
      <alignment horizontal="left" indent="1"/>
    </xf>
    <xf numFmtId="0" fontId="0" fillId="0" borderId="0" xfId="0" applyAlignment="1">
      <alignment horizontal="left"/>
    </xf>
    <xf numFmtId="0" fontId="5" fillId="0" borderId="0" xfId="0" applyFont="1"/>
    <xf numFmtId="164" fontId="0" fillId="4" borderId="0" xfId="1" applyNumberFormat="1" applyFont="1" applyFill="1"/>
    <xf numFmtId="0" fontId="0" fillId="4" borderId="0" xfId="0" applyFill="1"/>
    <xf numFmtId="9" fontId="0" fillId="0" borderId="0" xfId="2" applyFont="1"/>
    <xf numFmtId="0" fontId="0" fillId="0" borderId="0" xfId="1" applyNumberFormat="1" applyFont="1"/>
    <xf numFmtId="44" fontId="0" fillId="0" borderId="0" xfId="0" applyNumberFormat="1"/>
    <xf numFmtId="0" fontId="0" fillId="5" borderId="4" xfId="0" applyFill="1" applyBorder="1"/>
    <xf numFmtId="10" fontId="0" fillId="0" borderId="0" xfId="2" applyNumberFormat="1" applyFont="1" applyAlignment="1">
      <alignment horizontal="center"/>
    </xf>
    <xf numFmtId="44" fontId="0" fillId="7" borderId="0" xfId="1" applyFont="1" applyFill="1"/>
    <xf numFmtId="44" fontId="0" fillId="7" borderId="0" xfId="0" applyNumberFormat="1" applyFill="1"/>
    <xf numFmtId="44" fontId="0" fillId="8" borderId="0" xfId="0" applyNumberFormat="1" applyFill="1"/>
    <xf numFmtId="0" fontId="4" fillId="7" borderId="0" xfId="0" applyFont="1" applyFill="1"/>
    <xf numFmtId="0" fontId="0" fillId="5" borderId="4" xfId="0" applyFill="1" applyBorder="1" applyAlignment="1">
      <alignment horizontal="center"/>
    </xf>
    <xf numFmtId="10" fontId="0" fillId="6" borderId="4" xfId="2" applyNumberFormat="1" applyFont="1" applyFill="1" applyBorder="1"/>
    <xf numFmtId="0" fontId="4" fillId="8" borderId="0" xfId="0" applyFont="1" applyFill="1"/>
    <xf numFmtId="0" fontId="0" fillId="8" borderId="0" xfId="0" applyFill="1"/>
    <xf numFmtId="165" fontId="0" fillId="0" borderId="0" xfId="1" applyNumberFormat="1" applyFont="1"/>
    <xf numFmtId="165" fontId="0" fillId="0" borderId="0" xfId="0" applyNumberFormat="1"/>
    <xf numFmtId="10" fontId="0" fillId="4" borderId="0" xfId="1" applyNumberFormat="1" applyFont="1" applyFill="1"/>
    <xf numFmtId="44" fontId="5" fillId="0" borderId="0" xfId="0" applyNumberFormat="1" applyFont="1" applyAlignment="1">
      <alignment horizontal="left"/>
    </xf>
    <xf numFmtId="10" fontId="0" fillId="0" borderId="0" xfId="0" applyNumberFormat="1" applyAlignment="1">
      <alignment horizontal="left"/>
    </xf>
    <xf numFmtId="44" fontId="0" fillId="0" borderId="0" xfId="0" applyNumberFormat="1" applyAlignment="1">
      <alignment horizontal="left"/>
    </xf>
    <xf numFmtId="0" fontId="0" fillId="9" borderId="0" xfId="0" applyFill="1"/>
    <xf numFmtId="0" fontId="8" fillId="0" borderId="0" xfId="0" applyFont="1"/>
    <xf numFmtId="0" fontId="8" fillId="9" borderId="0" xfId="0" applyFont="1" applyFill="1"/>
    <xf numFmtId="0" fontId="0" fillId="0" borderId="5" xfId="0" applyBorder="1" applyAlignment="1">
      <alignment horizontal="center" vertical="center"/>
    </xf>
    <xf numFmtId="165" fontId="0" fillId="0" borderId="5" xfId="0" applyNumberFormat="1" applyBorder="1" applyAlignment="1">
      <alignment horizontal="center" vertical="center"/>
    </xf>
    <xf numFmtId="0" fontId="0" fillId="0" borderId="5" xfId="0" applyBorder="1"/>
    <xf numFmtId="165" fontId="7" fillId="0" borderId="5" xfId="0" applyNumberFormat="1" applyFont="1" applyBorder="1"/>
    <xf numFmtId="44" fontId="0" fillId="0" borderId="5" xfId="0" applyNumberForma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4" fillId="0" borderId="6" xfId="0" applyFont="1" applyBorder="1"/>
    <xf numFmtId="1" fontId="0" fillId="0" borderId="0" xfId="0" applyNumberFormat="1"/>
    <xf numFmtId="2" fontId="0" fillId="0" borderId="5" xfId="0" applyNumberFormat="1" applyBorder="1"/>
    <xf numFmtId="166" fontId="0" fillId="0" borderId="5" xfId="0" applyNumberFormat="1" applyBorder="1"/>
    <xf numFmtId="167" fontId="0" fillId="0" borderId="5" xfId="2" applyNumberFormat="1" applyFont="1" applyBorder="1"/>
    <xf numFmtId="0" fontId="4" fillId="0" borderId="5" xfId="0" applyFont="1" applyBorder="1"/>
    <xf numFmtId="167" fontId="0" fillId="0" borderId="5" xfId="0" applyNumberFormat="1" applyBorder="1"/>
    <xf numFmtId="165" fontId="0" fillId="4" borderId="0" xfId="0" applyNumberFormat="1" applyFill="1"/>
    <xf numFmtId="165" fontId="0" fillId="0" borderId="5" xfId="0" applyNumberFormat="1" applyBorder="1"/>
    <xf numFmtId="168" fontId="0" fillId="0" borderId="5" xfId="0" applyNumberFormat="1" applyBorder="1"/>
    <xf numFmtId="0" fontId="11" fillId="0" borderId="5" xfId="0" applyFont="1" applyBorder="1"/>
    <xf numFmtId="168" fontId="0" fillId="0" borderId="0" xfId="0" applyNumberFormat="1"/>
    <xf numFmtId="44" fontId="12" fillId="0" borderId="5" xfId="0" applyNumberFormat="1" applyFont="1" applyBorder="1"/>
    <xf numFmtId="164" fontId="12" fillId="0" borderId="5" xfId="0" applyNumberFormat="1" applyFont="1" applyBorder="1"/>
    <xf numFmtId="164" fontId="0" fillId="0" borderId="5" xfId="0" applyNumberFormat="1" applyBorder="1"/>
    <xf numFmtId="0" fontId="0" fillId="0" borderId="0" xfId="0" applyAlignment="1">
      <alignment wrapText="1"/>
    </xf>
    <xf numFmtId="169" fontId="0" fillId="0" borderId="0" xfId="1" applyNumberFormat="1" applyFont="1"/>
    <xf numFmtId="9" fontId="0" fillId="0" borderId="0" xfId="0" applyNumberFormat="1"/>
    <xf numFmtId="0" fontId="12" fillId="0" borderId="0" xfId="0" applyFont="1"/>
    <xf numFmtId="0" fontId="4" fillId="0" borderId="5" xfId="0" applyFont="1" applyBorder="1" applyAlignment="1">
      <alignment horizontal="center" vertical="center"/>
    </xf>
    <xf numFmtId="8" fontId="0" fillId="0" borderId="0" xfId="0" applyNumberFormat="1"/>
    <xf numFmtId="0" fontId="0" fillId="4" borderId="5" xfId="0" applyFill="1" applyBorder="1"/>
    <xf numFmtId="0" fontId="15" fillId="0" borderId="0" xfId="0" applyFont="1"/>
    <xf numFmtId="164" fontId="0" fillId="0" borderId="5" xfId="1" applyNumberFormat="1" applyFont="1" applyBorder="1" applyAlignment="1">
      <alignment horizontal="center" vertical="center"/>
    </xf>
    <xf numFmtId="168" fontId="0" fillId="0" borderId="5" xfId="7" applyNumberFormat="1" applyFont="1" applyBorder="1" applyAlignment="1">
      <alignment horizontal="center" vertical="center"/>
    </xf>
    <xf numFmtId="168" fontId="14" fillId="10" borderId="0" xfId="0" applyNumberFormat="1" applyFont="1" applyFill="1"/>
    <xf numFmtId="0" fontId="16" fillId="0" borderId="0" xfId="0" applyFont="1"/>
    <xf numFmtId="0" fontId="4" fillId="0" borderId="19" xfId="0" applyFont="1" applyBorder="1" applyAlignment="1">
      <alignment horizontal="center" vertical="center"/>
    </xf>
    <xf numFmtId="0" fontId="0" fillId="0" borderId="20" xfId="0" applyBorder="1"/>
    <xf numFmtId="0" fontId="4" fillId="0" borderId="21" xfId="0" applyFont="1" applyBorder="1" applyAlignment="1">
      <alignment horizontal="center" vertical="center"/>
    </xf>
    <xf numFmtId="0" fontId="0" fillId="0" borderId="22" xfId="0" applyBorder="1"/>
    <xf numFmtId="0" fontId="4" fillId="0" borderId="23" xfId="0" applyFont="1" applyBorder="1" applyAlignment="1">
      <alignment horizontal="center" vertical="center"/>
    </xf>
    <xf numFmtId="168" fontId="0" fillId="0" borderId="24" xfId="0" applyNumberFormat="1" applyBorder="1"/>
    <xf numFmtId="0" fontId="15" fillId="0" borderId="18" xfId="0" applyFont="1" applyBorder="1" applyAlignment="1">
      <alignment horizontal="center" vertical="center"/>
    </xf>
    <xf numFmtId="0" fontId="17" fillId="0" borderId="0" xfId="0" applyFont="1"/>
    <xf numFmtId="168" fontId="14" fillId="11" borderId="0" xfId="0" applyNumberFormat="1" applyFont="1" applyFill="1"/>
    <xf numFmtId="0" fontId="4" fillId="0" borderId="5" xfId="0" applyFont="1" applyBorder="1" applyAlignment="1">
      <alignment horizontal="center"/>
    </xf>
    <xf numFmtId="168" fontId="0" fillId="0" borderId="0" xfId="1" applyNumberFormat="1" applyFont="1"/>
    <xf numFmtId="0" fontId="0" fillId="0" borderId="0" xfId="0" applyAlignment="1">
      <alignment horizontal="center" vertical="center"/>
    </xf>
    <xf numFmtId="10" fontId="0" fillId="0" borderId="5" xfId="2" applyNumberFormat="1" applyFont="1" applyBorder="1" applyAlignment="1">
      <alignment horizontal="center" vertical="center"/>
    </xf>
    <xf numFmtId="165" fontId="0" fillId="4" borderId="5" xfId="0" applyNumberFormat="1" applyFill="1" applyBorder="1" applyAlignment="1">
      <alignment horizontal="center" vertical="center"/>
    </xf>
    <xf numFmtId="10" fontId="0" fillId="0" borderId="5" xfId="0" applyNumberFormat="1" applyBorder="1" applyAlignment="1">
      <alignment horizontal="center" vertical="center"/>
    </xf>
    <xf numFmtId="168" fontId="0" fillId="0" borderId="5" xfId="0" applyNumberFormat="1" applyBorder="1" applyAlignment="1">
      <alignment horizontal="center" vertical="center"/>
    </xf>
    <xf numFmtId="9" fontId="0" fillId="0" borderId="5" xfId="0" applyNumberFormat="1" applyBorder="1" applyAlignment="1">
      <alignment horizontal="center" vertical="center"/>
    </xf>
    <xf numFmtId="0" fontId="4" fillId="0" borderId="0" xfId="0" applyFont="1" applyAlignment="1">
      <alignment horizontal="center" vertical="center"/>
    </xf>
    <xf numFmtId="165" fontId="0" fillId="11" borderId="0" xfId="0" applyNumberFormat="1" applyFill="1"/>
    <xf numFmtId="0" fontId="0" fillId="11" borderId="0" xfId="0" applyFill="1"/>
    <xf numFmtId="0" fontId="15" fillId="0" borderId="0" xfId="0" applyFont="1" applyAlignment="1">
      <alignment horizontal="center"/>
    </xf>
    <xf numFmtId="0" fontId="0" fillId="12" borderId="5" xfId="0" applyFill="1" applyBorder="1" applyAlignment="1">
      <alignment horizontal="center" vertical="center"/>
    </xf>
    <xf numFmtId="0" fontId="18" fillId="0" borderId="5" xfId="0" applyFont="1" applyBorder="1" applyAlignment="1">
      <alignment wrapText="1"/>
    </xf>
    <xf numFmtId="0" fontId="0" fillId="12" borderId="0" xfId="0" applyFill="1"/>
    <xf numFmtId="0" fontId="0" fillId="10" borderId="0" xfId="0" applyFill="1"/>
    <xf numFmtId="0" fontId="0" fillId="0" borderId="5" xfId="0" applyBorder="1" applyAlignment="1">
      <alignment horizontal="center"/>
    </xf>
    <xf numFmtId="0" fontId="0" fillId="12" borderId="5" xfId="0" applyFill="1" applyBorder="1"/>
    <xf numFmtId="168" fontId="0" fillId="0" borderId="0" xfId="0" applyNumberFormat="1" applyAlignment="1">
      <alignment horizontal="center"/>
    </xf>
    <xf numFmtId="168" fontId="0" fillId="0" borderId="5" xfId="0" applyNumberFormat="1" applyBorder="1" applyAlignment="1">
      <alignment horizontal="center"/>
    </xf>
    <xf numFmtId="0" fontId="0" fillId="4" borderId="5" xfId="0" applyFill="1" applyBorder="1" applyAlignment="1">
      <alignment horizontal="center"/>
    </xf>
    <xf numFmtId="0" fontId="19" fillId="0" borderId="0" xfId="0" applyFont="1"/>
    <xf numFmtId="0" fontId="0" fillId="0" borderId="5" xfId="0" applyBorder="1" applyAlignment="1">
      <alignment horizontal="center" vertical="center" wrapText="1"/>
    </xf>
    <xf numFmtId="0" fontId="0" fillId="4" borderId="5" xfId="0" applyFill="1" applyBorder="1" applyAlignment="1">
      <alignment horizontal="center" vertical="center" wrapText="1"/>
    </xf>
    <xf numFmtId="168" fontId="0" fillId="0" borderId="0" xfId="0" applyNumberFormat="1" applyAlignment="1">
      <alignment horizontal="center" vertical="center"/>
    </xf>
    <xf numFmtId="168" fontId="0" fillId="10" borderId="0" xfId="0" applyNumberFormat="1" applyFill="1" applyAlignment="1">
      <alignment horizontal="center" vertical="center"/>
    </xf>
    <xf numFmtId="165" fontId="4" fillId="0" borderId="5" xfId="0" applyNumberFormat="1" applyFont="1" applyBorder="1"/>
    <xf numFmtId="9" fontId="0" fillId="4" borderId="5" xfId="0" applyNumberFormat="1" applyFill="1" applyBorder="1"/>
    <xf numFmtId="9" fontId="0" fillId="0" borderId="5" xfId="2" applyFont="1" applyBorder="1"/>
    <xf numFmtId="9" fontId="0" fillId="0" borderId="5" xfId="0" applyNumberFormat="1" applyBorder="1"/>
    <xf numFmtId="0" fontId="2" fillId="0" borderId="1" xfId="3"/>
    <xf numFmtId="0" fontId="0" fillId="13" borderId="0" xfId="0" applyFill="1" applyAlignment="1">
      <alignment horizontal="center" vertical="center"/>
    </xf>
    <xf numFmtId="0" fontId="0" fillId="11" borderId="0" xfId="0" applyFill="1" applyAlignment="1">
      <alignment horizontal="center" vertical="center"/>
    </xf>
    <xf numFmtId="6" fontId="0" fillId="0" borderId="0" xfId="0" applyNumberFormat="1" applyAlignment="1">
      <alignment horizontal="center" vertical="center"/>
    </xf>
    <xf numFmtId="0" fontId="20" fillId="0" borderId="0" xfId="8"/>
    <xf numFmtId="0" fontId="2" fillId="0" borderId="1" xfId="3" applyAlignment="1">
      <alignment horizontal="center"/>
    </xf>
    <xf numFmtId="0" fontId="1" fillId="3" borderId="0" xfId="6" applyAlignment="1">
      <alignment horizontal="center" vertical="center" wrapText="1"/>
    </xf>
    <xf numFmtId="0" fontId="6" fillId="2" borderId="3" xfId="5" applyFont="1" applyAlignment="1">
      <alignment horizontal="center" vertical="center"/>
    </xf>
    <xf numFmtId="0" fontId="1" fillId="3" borderId="0" xfId="6" applyAlignment="1">
      <alignment horizontal="center" wrapText="1"/>
    </xf>
    <xf numFmtId="0" fontId="0" fillId="2" borderId="3" xfId="5" applyFont="1" applyAlignment="1">
      <alignment horizontal="center"/>
    </xf>
    <xf numFmtId="0" fontId="3" fillId="0" borderId="2" xfId="4" applyAlignment="1">
      <alignment horizontal="center"/>
    </xf>
    <xf numFmtId="0" fontId="1" fillId="3" borderId="0" xfId="6" applyAlignment="1">
      <alignment horizontal="left" vertical="top" wrapText="1"/>
    </xf>
    <xf numFmtId="0" fontId="9" fillId="0" borderId="5" xfId="0" applyFont="1" applyBorder="1" applyAlignment="1">
      <alignment horizontal="center"/>
    </xf>
    <xf numFmtId="0" fontId="9" fillId="0" borderId="5" xfId="0" applyFont="1" applyBorder="1" applyAlignment="1">
      <alignment horizontal="center" vertical="center" textRotation="90"/>
    </xf>
    <xf numFmtId="0" fontId="1" fillId="3" borderId="0" xfId="6" applyAlignment="1">
      <alignment vertical="center" wrapText="1"/>
    </xf>
    <xf numFmtId="0" fontId="1" fillId="3" borderId="0" xfId="6" applyAlignment="1">
      <alignment vertical="center"/>
    </xf>
    <xf numFmtId="0" fontId="9" fillId="2" borderId="3" xfId="5" applyFont="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10" fillId="0" borderId="14" xfId="0" applyFont="1" applyBorder="1" applyAlignment="1">
      <alignment horizontal="left" vertical="top" wrapText="1"/>
    </xf>
    <xf numFmtId="0" fontId="10" fillId="0" borderId="0" xfId="0" applyFont="1" applyAlignment="1">
      <alignment horizontal="left" vertical="top"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12" fillId="0" borderId="0" xfId="0" applyFont="1" applyAlignment="1">
      <alignment horizontal="center"/>
    </xf>
    <xf numFmtId="0" fontId="13" fillId="0" borderId="1" xfId="3" applyFont="1" applyAlignment="1">
      <alignment horizontal="center"/>
    </xf>
    <xf numFmtId="0" fontId="9" fillId="0" borderId="5" xfId="0" applyFont="1" applyBorder="1" applyAlignment="1">
      <alignment horizontal="center" vertical="center" textRotation="90" wrapText="1"/>
    </xf>
    <xf numFmtId="0" fontId="4" fillId="0" borderId="5" xfId="0" applyFont="1" applyBorder="1" applyAlignment="1">
      <alignment horizontal="center"/>
    </xf>
    <xf numFmtId="0" fontId="4" fillId="0" borderId="0" xfId="0" applyFont="1" applyAlignment="1">
      <alignment horizontal="center"/>
    </xf>
    <xf numFmtId="0" fontId="0" fillId="0" borderId="0" xfId="0" applyAlignment="1">
      <alignment horizontal="center"/>
    </xf>
    <xf numFmtId="0" fontId="1" fillId="3" borderId="0" xfId="6" applyAlignment="1">
      <alignment horizontal="left" vertical="center" wrapText="1"/>
    </xf>
    <xf numFmtId="0" fontId="1" fillId="3" borderId="0" xfId="6" applyAlignment="1">
      <alignment horizontal="left" vertical="center"/>
    </xf>
    <xf numFmtId="0" fontId="0" fillId="2" borderId="25" xfId="5" applyFont="1" applyBorder="1" applyAlignment="1">
      <alignment horizontal="center"/>
    </xf>
    <xf numFmtId="0" fontId="0" fillId="2" borderId="26" xfId="5" applyFont="1" applyBorder="1" applyAlignment="1">
      <alignment horizontal="center"/>
    </xf>
    <xf numFmtId="0" fontId="0" fillId="2" borderId="27" xfId="5" applyFont="1" applyBorder="1" applyAlignment="1">
      <alignment horizontal="center"/>
    </xf>
    <xf numFmtId="168" fontId="4" fillId="0" borderId="5" xfId="0" applyNumberFormat="1" applyFont="1" applyBorder="1" applyAlignment="1">
      <alignment horizontal="center"/>
    </xf>
    <xf numFmtId="0" fontId="15" fillId="0" borderId="0" xfId="0" applyFont="1" applyAlignment="1">
      <alignment horizontal="center" vertical="center"/>
    </xf>
    <xf numFmtId="0" fontId="0" fillId="0" borderId="0" xfId="0" applyAlignment="1">
      <alignment horizontal="center" textRotation="90" wrapText="1"/>
    </xf>
    <xf numFmtId="0" fontId="0" fillId="0" borderId="5" xfId="0" applyBorder="1" applyAlignment="1">
      <alignment horizontal="center" textRotation="90" wrapText="1"/>
    </xf>
    <xf numFmtId="0" fontId="0" fillId="0" borderId="5" xfId="0" applyBorder="1" applyAlignment="1">
      <alignment horizontal="center"/>
    </xf>
    <xf numFmtId="0" fontId="4" fillId="0" borderId="5" xfId="0" applyFont="1" applyBorder="1"/>
    <xf numFmtId="9" fontId="4" fillId="0" borderId="5" xfId="0" applyNumberFormat="1" applyFont="1" applyBorder="1"/>
  </cellXfs>
  <cellStyles count="9">
    <cellStyle name="20% - Accent4" xfId="6" builtinId="42"/>
    <cellStyle name="Comma" xfId="7" builtinId="3"/>
    <cellStyle name="Currency" xfId="1" builtinId="4"/>
    <cellStyle name="Heading 1" xfId="3" builtinId="16"/>
    <cellStyle name="Heading 2" xfId="4" builtinId="17"/>
    <cellStyle name="Hyperlink" xfId="8" builtinId="8"/>
    <cellStyle name="Normal" xfId="0" builtinId="0"/>
    <cellStyle name="Note" xfId="5" builtinId="10"/>
    <cellStyle name="Percent" xfId="2" builtinId="5"/>
  </cellStyles>
  <dxfs count="1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woodworks bookshelf co. cost projjections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6541447944006998"/>
          <c:y val="0.17171296296296298"/>
          <c:w val="0.83458552055992996"/>
          <c:h val="0.61498432487605714"/>
        </c:manualLayout>
      </c:layout>
      <c:lineChart>
        <c:grouping val="standard"/>
        <c:varyColors val="0"/>
        <c:ser>
          <c:idx val="0"/>
          <c:order val="0"/>
          <c:tx>
            <c:strRef>
              <c:f>'WOODWORKS BOOKSHELF CO.'!$B$15</c:f>
              <c:strCache>
                <c:ptCount val="1"/>
                <c:pt idx="0">
                  <c:v>cherry</c:v>
                </c:pt>
              </c:strCache>
            </c:strRef>
          </c:tx>
          <c:spPr>
            <a:ln w="28575" cap="rnd">
              <a:solidFill>
                <a:schemeClr val="accent1"/>
              </a:solidFill>
              <a:round/>
            </a:ln>
            <a:effectLst/>
          </c:spPr>
          <c:marker>
            <c:symbol val="none"/>
          </c:marker>
          <c:cat>
            <c:numRef>
              <c:f>'WOODWORKS BOOKSHELF CO.'!$A$16:$A$21</c:f>
              <c:numCache>
                <c:formatCode>General</c:formatCode>
                <c:ptCount val="6"/>
                <c:pt idx="0">
                  <c:v>0</c:v>
                </c:pt>
                <c:pt idx="1">
                  <c:v>1</c:v>
                </c:pt>
                <c:pt idx="2">
                  <c:v>2</c:v>
                </c:pt>
                <c:pt idx="3">
                  <c:v>3</c:v>
                </c:pt>
                <c:pt idx="4">
                  <c:v>4</c:v>
                </c:pt>
                <c:pt idx="5">
                  <c:v>5</c:v>
                </c:pt>
              </c:numCache>
            </c:numRef>
          </c:cat>
          <c:val>
            <c:numRef>
              <c:f>'WOODWORKS BOOKSHELF CO.'!$B$16:$B$21</c:f>
              <c:numCache>
                <c:formatCode>_("$"* #,##0.00_);_("$"* \(#,##0.00\);_("$"* "-"??_);_(@_)</c:formatCode>
                <c:ptCount val="6"/>
                <c:pt idx="0">
                  <c:v>165</c:v>
                </c:pt>
                <c:pt idx="1">
                  <c:v>168.96</c:v>
                </c:pt>
                <c:pt idx="2">
                  <c:v>173.01504</c:v>
                </c:pt>
                <c:pt idx="3">
                  <c:v>177.16740096000001</c:v>
                </c:pt>
                <c:pt idx="4">
                  <c:v>181.41941858304003</c:v>
                </c:pt>
                <c:pt idx="5">
                  <c:v>185.77348462903299</c:v>
                </c:pt>
              </c:numCache>
            </c:numRef>
          </c:val>
          <c:smooth val="0"/>
          <c:extLst>
            <c:ext xmlns:c16="http://schemas.microsoft.com/office/drawing/2014/chart" uri="{C3380CC4-5D6E-409C-BE32-E72D297353CC}">
              <c16:uniqueId val="{00000000-77C6-4BBC-B4E1-8C54C58A91F4}"/>
            </c:ext>
          </c:extLst>
        </c:ser>
        <c:ser>
          <c:idx val="1"/>
          <c:order val="1"/>
          <c:tx>
            <c:strRef>
              <c:f>'WOODWORKS BOOKSHELF CO.'!$C$15</c:f>
              <c:strCache>
                <c:ptCount val="1"/>
                <c:pt idx="0">
                  <c:v>oak</c:v>
                </c:pt>
              </c:strCache>
            </c:strRef>
          </c:tx>
          <c:spPr>
            <a:ln w="28575" cap="rnd">
              <a:solidFill>
                <a:schemeClr val="accent2"/>
              </a:solidFill>
              <a:round/>
            </a:ln>
            <a:effectLst/>
          </c:spPr>
          <c:marker>
            <c:symbol val="none"/>
          </c:marker>
          <c:cat>
            <c:numRef>
              <c:f>'WOODWORKS BOOKSHELF CO.'!$A$16:$A$21</c:f>
              <c:numCache>
                <c:formatCode>General</c:formatCode>
                <c:ptCount val="6"/>
                <c:pt idx="0">
                  <c:v>0</c:v>
                </c:pt>
                <c:pt idx="1">
                  <c:v>1</c:v>
                </c:pt>
                <c:pt idx="2">
                  <c:v>2</c:v>
                </c:pt>
                <c:pt idx="3">
                  <c:v>3</c:v>
                </c:pt>
                <c:pt idx="4">
                  <c:v>4</c:v>
                </c:pt>
                <c:pt idx="5">
                  <c:v>5</c:v>
                </c:pt>
              </c:numCache>
            </c:numRef>
          </c:cat>
          <c:val>
            <c:numRef>
              <c:f>'WOODWORKS BOOKSHELF CO.'!$C$16:$C$21</c:f>
              <c:numCache>
                <c:formatCode>_("$"* #,##0.00_);_("$"* \(#,##0.00\);_("$"* "-"??_);_(@_)</c:formatCode>
                <c:ptCount val="6"/>
                <c:pt idx="0">
                  <c:v>129</c:v>
                </c:pt>
                <c:pt idx="1">
                  <c:v>131.19299999999998</c:v>
                </c:pt>
                <c:pt idx="2">
                  <c:v>133.42328099999997</c:v>
                </c:pt>
                <c:pt idx="3">
                  <c:v>135.69147677699996</c:v>
                </c:pt>
                <c:pt idx="4">
                  <c:v>137.99823188220896</c:v>
                </c:pt>
                <c:pt idx="5">
                  <c:v>140.34420182420649</c:v>
                </c:pt>
              </c:numCache>
            </c:numRef>
          </c:val>
          <c:smooth val="0"/>
          <c:extLst>
            <c:ext xmlns:c16="http://schemas.microsoft.com/office/drawing/2014/chart" uri="{C3380CC4-5D6E-409C-BE32-E72D297353CC}">
              <c16:uniqueId val="{00000001-77C6-4BBC-B4E1-8C54C58A91F4}"/>
            </c:ext>
          </c:extLst>
        </c:ser>
        <c:ser>
          <c:idx val="2"/>
          <c:order val="2"/>
          <c:tx>
            <c:strRef>
              <c:f>'WOODWORKS BOOKSHELF CO.'!$D$15</c:f>
              <c:strCache>
                <c:ptCount val="1"/>
                <c:pt idx="0">
                  <c:v>labour</c:v>
                </c:pt>
              </c:strCache>
            </c:strRef>
          </c:tx>
          <c:spPr>
            <a:ln w="28575" cap="rnd">
              <a:solidFill>
                <a:schemeClr val="accent3"/>
              </a:solidFill>
              <a:round/>
            </a:ln>
            <a:effectLst/>
          </c:spPr>
          <c:marker>
            <c:symbol val="none"/>
          </c:marker>
          <c:cat>
            <c:numRef>
              <c:f>'WOODWORKS BOOKSHELF CO.'!$A$16:$A$21</c:f>
              <c:numCache>
                <c:formatCode>General</c:formatCode>
                <c:ptCount val="6"/>
                <c:pt idx="0">
                  <c:v>0</c:v>
                </c:pt>
                <c:pt idx="1">
                  <c:v>1</c:v>
                </c:pt>
                <c:pt idx="2">
                  <c:v>2</c:v>
                </c:pt>
                <c:pt idx="3">
                  <c:v>3</c:v>
                </c:pt>
                <c:pt idx="4">
                  <c:v>4</c:v>
                </c:pt>
                <c:pt idx="5">
                  <c:v>5</c:v>
                </c:pt>
              </c:numCache>
            </c:numRef>
          </c:cat>
          <c:val>
            <c:numRef>
              <c:f>'WOODWORKS BOOKSHELF CO.'!$D$16:$D$21</c:f>
              <c:numCache>
                <c:formatCode>_("$"* #,##0.00_);_("$"* \(#,##0.00\);_("$"* "-"??_);_(@_)</c:formatCode>
                <c:ptCount val="6"/>
                <c:pt idx="0">
                  <c:v>296</c:v>
                </c:pt>
                <c:pt idx="1">
                  <c:v>300.44</c:v>
                </c:pt>
                <c:pt idx="2">
                  <c:v>304.94659999999999</c:v>
                </c:pt>
                <c:pt idx="3">
                  <c:v>309.52079899999995</c:v>
                </c:pt>
                <c:pt idx="4">
                  <c:v>314.16361098499993</c:v>
                </c:pt>
                <c:pt idx="5">
                  <c:v>318.87606514977489</c:v>
                </c:pt>
              </c:numCache>
            </c:numRef>
          </c:val>
          <c:smooth val="0"/>
          <c:extLst>
            <c:ext xmlns:c16="http://schemas.microsoft.com/office/drawing/2014/chart" uri="{C3380CC4-5D6E-409C-BE32-E72D297353CC}">
              <c16:uniqueId val="{00000002-77C6-4BBC-B4E1-8C54C58A91F4}"/>
            </c:ext>
          </c:extLst>
        </c:ser>
        <c:ser>
          <c:idx val="3"/>
          <c:order val="3"/>
          <c:tx>
            <c:strRef>
              <c:f>'WOODWORKS BOOKSHELF CO.'!$E$15</c:f>
              <c:strCache>
                <c:ptCount val="1"/>
                <c:pt idx="0">
                  <c:v>total cherry</c:v>
                </c:pt>
              </c:strCache>
            </c:strRef>
          </c:tx>
          <c:spPr>
            <a:ln w="28575" cap="rnd">
              <a:solidFill>
                <a:schemeClr val="accent4"/>
              </a:solidFill>
              <a:round/>
            </a:ln>
            <a:effectLst/>
          </c:spPr>
          <c:marker>
            <c:symbol val="none"/>
          </c:marker>
          <c:cat>
            <c:numRef>
              <c:f>'WOODWORKS BOOKSHELF CO.'!$A$16:$A$21</c:f>
              <c:numCache>
                <c:formatCode>General</c:formatCode>
                <c:ptCount val="6"/>
                <c:pt idx="0">
                  <c:v>0</c:v>
                </c:pt>
                <c:pt idx="1">
                  <c:v>1</c:v>
                </c:pt>
                <c:pt idx="2">
                  <c:v>2</c:v>
                </c:pt>
                <c:pt idx="3">
                  <c:v>3</c:v>
                </c:pt>
                <c:pt idx="4">
                  <c:v>4</c:v>
                </c:pt>
                <c:pt idx="5">
                  <c:v>5</c:v>
                </c:pt>
              </c:numCache>
            </c:numRef>
          </c:cat>
          <c:val>
            <c:numRef>
              <c:f>'WOODWORKS BOOKSHELF CO.'!$E$16:$E$21</c:f>
              <c:numCache>
                <c:formatCode>_("$"* #,##0.00_);_("$"* \(#,##0.00\);_("$"* "-"??_);_(@_)</c:formatCode>
                <c:ptCount val="6"/>
                <c:pt idx="0">
                  <c:v>461</c:v>
                </c:pt>
                <c:pt idx="1">
                  <c:v>469.4</c:v>
                </c:pt>
                <c:pt idx="2">
                  <c:v>477.96163999999999</c:v>
                </c:pt>
                <c:pt idx="3">
                  <c:v>486.68819995999996</c:v>
                </c:pt>
                <c:pt idx="4">
                  <c:v>495.58302956803993</c:v>
                </c:pt>
                <c:pt idx="5">
                  <c:v>504.64954977880791</c:v>
                </c:pt>
              </c:numCache>
            </c:numRef>
          </c:val>
          <c:smooth val="0"/>
          <c:extLst>
            <c:ext xmlns:c16="http://schemas.microsoft.com/office/drawing/2014/chart" uri="{C3380CC4-5D6E-409C-BE32-E72D297353CC}">
              <c16:uniqueId val="{00000003-77C6-4BBC-B4E1-8C54C58A91F4}"/>
            </c:ext>
          </c:extLst>
        </c:ser>
        <c:ser>
          <c:idx val="4"/>
          <c:order val="4"/>
          <c:tx>
            <c:strRef>
              <c:f>'WOODWORKS BOOKSHELF CO.'!$F$15</c:f>
              <c:strCache>
                <c:ptCount val="1"/>
                <c:pt idx="0">
                  <c:v>total oak</c:v>
                </c:pt>
              </c:strCache>
            </c:strRef>
          </c:tx>
          <c:spPr>
            <a:ln w="28575" cap="rnd">
              <a:solidFill>
                <a:schemeClr val="accent5"/>
              </a:solidFill>
              <a:round/>
            </a:ln>
            <a:effectLst/>
          </c:spPr>
          <c:marker>
            <c:symbol val="none"/>
          </c:marker>
          <c:cat>
            <c:numRef>
              <c:f>'WOODWORKS BOOKSHELF CO.'!$A$16:$A$21</c:f>
              <c:numCache>
                <c:formatCode>General</c:formatCode>
                <c:ptCount val="6"/>
                <c:pt idx="0">
                  <c:v>0</c:v>
                </c:pt>
                <c:pt idx="1">
                  <c:v>1</c:v>
                </c:pt>
                <c:pt idx="2">
                  <c:v>2</c:v>
                </c:pt>
                <c:pt idx="3">
                  <c:v>3</c:v>
                </c:pt>
                <c:pt idx="4">
                  <c:v>4</c:v>
                </c:pt>
                <c:pt idx="5">
                  <c:v>5</c:v>
                </c:pt>
              </c:numCache>
            </c:numRef>
          </c:cat>
          <c:val>
            <c:numRef>
              <c:f>'WOODWORKS BOOKSHELF CO.'!$F$16:$F$21</c:f>
              <c:numCache>
                <c:formatCode>_("$"* #,##0.00_);_("$"* \(#,##0.00\);_("$"* "-"??_);_(@_)</c:formatCode>
                <c:ptCount val="6"/>
                <c:pt idx="0">
                  <c:v>425</c:v>
                </c:pt>
                <c:pt idx="1">
                  <c:v>431.63299999999998</c:v>
                </c:pt>
                <c:pt idx="2">
                  <c:v>438.36988099999996</c:v>
                </c:pt>
                <c:pt idx="3">
                  <c:v>445.21227577699995</c:v>
                </c:pt>
                <c:pt idx="4">
                  <c:v>452.16184286720886</c:v>
                </c:pt>
                <c:pt idx="5">
                  <c:v>459.22026697398138</c:v>
                </c:pt>
              </c:numCache>
            </c:numRef>
          </c:val>
          <c:smooth val="0"/>
          <c:extLst>
            <c:ext xmlns:c16="http://schemas.microsoft.com/office/drawing/2014/chart" uri="{C3380CC4-5D6E-409C-BE32-E72D297353CC}">
              <c16:uniqueId val="{00000004-77C6-4BBC-B4E1-8C54C58A91F4}"/>
            </c:ext>
          </c:extLst>
        </c:ser>
        <c:dLbls>
          <c:showLegendKey val="0"/>
          <c:showVal val="0"/>
          <c:showCatName val="0"/>
          <c:showSerName val="0"/>
          <c:showPercent val="0"/>
          <c:showBubbleSize val="0"/>
        </c:dLbls>
        <c:smooth val="0"/>
        <c:axId val="846232704"/>
        <c:axId val="846226944"/>
      </c:lineChart>
      <c:catAx>
        <c:axId val="846232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226944"/>
        <c:crosses val="autoZero"/>
        <c:auto val="1"/>
        <c:lblAlgn val="ctr"/>
        <c:lblOffset val="100"/>
        <c:noMultiLvlLbl val="0"/>
      </c:catAx>
      <c:valAx>
        <c:axId val="84622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232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quality</a:t>
            </a:r>
            <a:r>
              <a:rPr lang="en-US" baseline="0"/>
              <a:t> sweater co. profit vs response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470450568678915"/>
          <c:y val="0.16245370370370371"/>
          <c:w val="0.79350218722659671"/>
          <c:h val="0.77736111111111106"/>
        </c:manualLayout>
      </c:layout>
      <c:barChart>
        <c:barDir val="col"/>
        <c:grouping val="clustered"/>
        <c:varyColors val="0"/>
        <c:ser>
          <c:idx val="0"/>
          <c:order val="0"/>
          <c:tx>
            <c:strRef>
              <c:f>'QUALITY SWEATER CO.'!$F$4</c:f>
              <c:strCache>
                <c:ptCount val="1"/>
                <c:pt idx="0">
                  <c:v>profit</c:v>
                </c:pt>
              </c:strCache>
            </c:strRef>
          </c:tx>
          <c:spPr>
            <a:solidFill>
              <a:schemeClr val="accent1"/>
            </a:solidFill>
            <a:ln>
              <a:noFill/>
            </a:ln>
            <a:effectLst/>
          </c:spPr>
          <c:invertIfNegative val="0"/>
          <c:cat>
            <c:numRef>
              <c:f>'QUALITY SWEATER CO.'!$E$5:$E$19</c:f>
              <c:numCache>
                <c:formatCode>0.00%</c:formatCode>
                <c:ptCount val="15"/>
                <c:pt idx="1">
                  <c:v>3.5000000000000003E-2</c:v>
                </c:pt>
                <c:pt idx="2">
                  <c:v>0.04</c:v>
                </c:pt>
                <c:pt idx="3">
                  <c:v>4.4999999999999998E-2</c:v>
                </c:pt>
                <c:pt idx="4">
                  <c:v>0.05</c:v>
                </c:pt>
                <c:pt idx="5">
                  <c:v>5.5E-2</c:v>
                </c:pt>
                <c:pt idx="6">
                  <c:v>0.06</c:v>
                </c:pt>
                <c:pt idx="7">
                  <c:v>6.5000000000000002E-2</c:v>
                </c:pt>
                <c:pt idx="8">
                  <c:v>7.0000000000000007E-2</c:v>
                </c:pt>
                <c:pt idx="9">
                  <c:v>7.4999999999999997E-2</c:v>
                </c:pt>
                <c:pt idx="10">
                  <c:v>0.08</c:v>
                </c:pt>
                <c:pt idx="11">
                  <c:v>8.5000000000000006E-2</c:v>
                </c:pt>
                <c:pt idx="12">
                  <c:v>0.09</c:v>
                </c:pt>
                <c:pt idx="13">
                  <c:v>9.5000000000000001E-2</c:v>
                </c:pt>
                <c:pt idx="14">
                  <c:v>0.1</c:v>
                </c:pt>
              </c:numCache>
            </c:numRef>
          </c:cat>
          <c:val>
            <c:numRef>
              <c:f>'QUALITY SWEATER CO.'!$F$5:$F$19</c:f>
              <c:numCache>
                <c:formatCode>_("$"* #,##0.00_);_("$"* \(#,##0.00\);_("$"* "-"??_);_(@_)</c:formatCode>
                <c:ptCount val="15"/>
                <c:pt idx="0">
                  <c:v>0</c:v>
                </c:pt>
                <c:pt idx="1">
                  <c:v>-17700</c:v>
                </c:pt>
                <c:pt idx="2">
                  <c:v>-13800</c:v>
                </c:pt>
                <c:pt idx="3">
                  <c:v>-9900</c:v>
                </c:pt>
                <c:pt idx="4">
                  <c:v>-6000</c:v>
                </c:pt>
                <c:pt idx="5">
                  <c:v>-2100.0000000000291</c:v>
                </c:pt>
                <c:pt idx="6">
                  <c:v>1799.9999999999709</c:v>
                </c:pt>
                <c:pt idx="7">
                  <c:v>5699.9999999999709</c:v>
                </c:pt>
                <c:pt idx="8">
                  <c:v>9600</c:v>
                </c:pt>
                <c:pt idx="9">
                  <c:v>13500</c:v>
                </c:pt>
                <c:pt idx="10">
                  <c:v>17400</c:v>
                </c:pt>
                <c:pt idx="11">
                  <c:v>21300</c:v>
                </c:pt>
                <c:pt idx="12">
                  <c:v>25200</c:v>
                </c:pt>
                <c:pt idx="13">
                  <c:v>29100</c:v>
                </c:pt>
                <c:pt idx="14">
                  <c:v>33000</c:v>
                </c:pt>
              </c:numCache>
            </c:numRef>
          </c:val>
          <c:extLst>
            <c:ext xmlns:c16="http://schemas.microsoft.com/office/drawing/2014/chart" uri="{C3380CC4-5D6E-409C-BE32-E72D297353CC}">
              <c16:uniqueId val="{00000000-0AE4-40E9-9267-3E71308619F0}"/>
            </c:ext>
          </c:extLst>
        </c:ser>
        <c:dLbls>
          <c:showLegendKey val="0"/>
          <c:showVal val="0"/>
          <c:showCatName val="0"/>
          <c:showSerName val="0"/>
          <c:showPercent val="0"/>
          <c:showBubbleSize val="0"/>
        </c:dLbls>
        <c:gapWidth val="219"/>
        <c:overlap val="-27"/>
        <c:axId val="351415088"/>
        <c:axId val="351416048"/>
      </c:barChart>
      <c:catAx>
        <c:axId val="351415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RESPONSE</a:t>
                </a:r>
                <a:r>
                  <a:rPr lang="en-IN" baseline="0"/>
                  <a:t> RATE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416048"/>
        <c:crosses val="autoZero"/>
        <c:auto val="1"/>
        <c:lblAlgn val="ctr"/>
        <c:lblOffset val="100"/>
        <c:noMultiLvlLbl val="0"/>
      </c:catAx>
      <c:valAx>
        <c:axId val="35141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41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B&amp;N</a:t>
            </a:r>
            <a:r>
              <a:rPr lang="en-IN" baseline="0"/>
              <a:t> BOOKSTORE DEMAND VS ORDERS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95384951881015"/>
          <c:y val="0.18097222222222226"/>
          <c:w val="0.85721062992125985"/>
          <c:h val="0.60027668416447943"/>
        </c:manualLayout>
      </c:layout>
      <c:barChart>
        <c:barDir val="col"/>
        <c:grouping val="clustered"/>
        <c:varyColors val="0"/>
        <c:ser>
          <c:idx val="0"/>
          <c:order val="0"/>
          <c:tx>
            <c:strRef>
              <c:f>'B&amp;N BOOKSTORE'!$D$3:$E$3</c:f>
              <c:strCache>
                <c:ptCount val="2"/>
                <c:pt idx="1">
                  <c:v>$7,000.00</c:v>
                </c:pt>
              </c:strCache>
            </c:strRef>
          </c:tx>
          <c:spPr>
            <a:solidFill>
              <a:schemeClr val="accent1"/>
            </a:solidFill>
            <a:ln>
              <a:noFill/>
            </a:ln>
            <a:effectLst/>
          </c:spPr>
          <c:invertIfNegative val="0"/>
          <c:cat>
            <c:strRef>
              <c:f>'B&amp;N BOOKSTORE'!$F$2:$N$2</c:f>
              <c:strCache>
                <c:ptCount val="1"/>
                <c:pt idx="0">
                  <c:v>demand</c:v>
                </c:pt>
              </c:strCache>
            </c:strRef>
          </c:cat>
          <c:val>
            <c:numRef>
              <c:f>'B&amp;N BOOKSTORE'!$F$3:$N$3</c:f>
              <c:numCache>
                <c:formatCode>General</c:formatCode>
                <c:ptCount val="9"/>
                <c:pt idx="0">
                  <c:v>500</c:v>
                </c:pt>
                <c:pt idx="1">
                  <c:v>1000</c:v>
                </c:pt>
                <c:pt idx="2">
                  <c:v>1500</c:v>
                </c:pt>
                <c:pt idx="3">
                  <c:v>2000</c:v>
                </c:pt>
                <c:pt idx="4">
                  <c:v>2500</c:v>
                </c:pt>
                <c:pt idx="5">
                  <c:v>3000</c:v>
                </c:pt>
                <c:pt idx="6">
                  <c:v>3500</c:v>
                </c:pt>
                <c:pt idx="7">
                  <c:v>4000</c:v>
                </c:pt>
                <c:pt idx="8">
                  <c:v>4500</c:v>
                </c:pt>
              </c:numCache>
            </c:numRef>
          </c:val>
          <c:extLst>
            <c:ext xmlns:c16="http://schemas.microsoft.com/office/drawing/2014/chart" uri="{C3380CC4-5D6E-409C-BE32-E72D297353CC}">
              <c16:uniqueId val="{00000000-AB65-464A-9794-1DFB8843C95D}"/>
            </c:ext>
          </c:extLst>
        </c:ser>
        <c:ser>
          <c:idx val="1"/>
          <c:order val="1"/>
          <c:tx>
            <c:strRef>
              <c:f>'B&amp;N BOOKSTORE'!$D$4:$E$4</c:f>
              <c:strCache>
                <c:ptCount val="2"/>
                <c:pt idx="0">
                  <c:v>order</c:v>
                </c:pt>
                <c:pt idx="1">
                  <c:v>500</c:v>
                </c:pt>
              </c:strCache>
            </c:strRef>
          </c:tx>
          <c:spPr>
            <a:solidFill>
              <a:schemeClr val="accent2"/>
            </a:solidFill>
            <a:ln>
              <a:noFill/>
            </a:ln>
            <a:effectLst/>
          </c:spPr>
          <c:invertIfNegative val="0"/>
          <c:cat>
            <c:strRef>
              <c:f>'B&amp;N BOOKSTORE'!$F$2:$N$2</c:f>
              <c:strCache>
                <c:ptCount val="1"/>
                <c:pt idx="0">
                  <c:v>demand</c:v>
                </c:pt>
              </c:strCache>
            </c:strRef>
          </c:cat>
          <c:val>
            <c:numRef>
              <c:f>'B&amp;N BOOKSTORE'!$F$4:$N$4</c:f>
              <c:numCache>
                <c:formatCode>_("$"* #,##0.00_);_("$"* \(#,##0.00\);_("$"* "-"??_);_(@_)</c:formatCode>
                <c:ptCount val="9"/>
                <c:pt idx="0">
                  <c:v>3000</c:v>
                </c:pt>
                <c:pt idx="1">
                  <c:v>3000</c:v>
                </c:pt>
                <c:pt idx="2">
                  <c:v>3000</c:v>
                </c:pt>
                <c:pt idx="3">
                  <c:v>3000</c:v>
                </c:pt>
                <c:pt idx="4">
                  <c:v>3000</c:v>
                </c:pt>
                <c:pt idx="5">
                  <c:v>3000</c:v>
                </c:pt>
                <c:pt idx="6">
                  <c:v>3000</c:v>
                </c:pt>
                <c:pt idx="7">
                  <c:v>3000</c:v>
                </c:pt>
                <c:pt idx="8">
                  <c:v>3000</c:v>
                </c:pt>
              </c:numCache>
            </c:numRef>
          </c:val>
          <c:extLst>
            <c:ext xmlns:c16="http://schemas.microsoft.com/office/drawing/2014/chart" uri="{C3380CC4-5D6E-409C-BE32-E72D297353CC}">
              <c16:uniqueId val="{00000001-AB65-464A-9794-1DFB8843C95D}"/>
            </c:ext>
          </c:extLst>
        </c:ser>
        <c:ser>
          <c:idx val="2"/>
          <c:order val="2"/>
          <c:tx>
            <c:strRef>
              <c:f>'B&amp;N BOOKSTORE'!$D$5:$E$5</c:f>
              <c:strCache>
                <c:ptCount val="2"/>
                <c:pt idx="0">
                  <c:v>order</c:v>
                </c:pt>
                <c:pt idx="1">
                  <c:v>1000</c:v>
                </c:pt>
              </c:strCache>
            </c:strRef>
          </c:tx>
          <c:spPr>
            <a:solidFill>
              <a:schemeClr val="accent3"/>
            </a:solidFill>
            <a:ln>
              <a:noFill/>
            </a:ln>
            <a:effectLst/>
          </c:spPr>
          <c:invertIfNegative val="0"/>
          <c:cat>
            <c:strRef>
              <c:f>'B&amp;N BOOKSTORE'!$F$2:$N$2</c:f>
              <c:strCache>
                <c:ptCount val="1"/>
                <c:pt idx="0">
                  <c:v>demand</c:v>
                </c:pt>
              </c:strCache>
            </c:strRef>
          </c:cat>
          <c:val>
            <c:numRef>
              <c:f>'B&amp;N BOOKSTORE'!$F$5:$N$5</c:f>
              <c:numCache>
                <c:formatCode>_("$"* #,##0.00_);_("$"* \(#,##0.00\);_("$"* "-"??_);_(@_)</c:formatCode>
                <c:ptCount val="9"/>
                <c:pt idx="0">
                  <c:v>-3000</c:v>
                </c:pt>
                <c:pt idx="1">
                  <c:v>7000</c:v>
                </c:pt>
                <c:pt idx="2">
                  <c:v>7000</c:v>
                </c:pt>
                <c:pt idx="3">
                  <c:v>7000</c:v>
                </c:pt>
                <c:pt idx="4">
                  <c:v>7000</c:v>
                </c:pt>
                <c:pt idx="5">
                  <c:v>7000</c:v>
                </c:pt>
                <c:pt idx="6">
                  <c:v>7000</c:v>
                </c:pt>
                <c:pt idx="7">
                  <c:v>7000</c:v>
                </c:pt>
                <c:pt idx="8">
                  <c:v>7000</c:v>
                </c:pt>
              </c:numCache>
            </c:numRef>
          </c:val>
          <c:extLst>
            <c:ext xmlns:c16="http://schemas.microsoft.com/office/drawing/2014/chart" uri="{C3380CC4-5D6E-409C-BE32-E72D297353CC}">
              <c16:uniqueId val="{00000002-AB65-464A-9794-1DFB8843C95D}"/>
            </c:ext>
          </c:extLst>
        </c:ser>
        <c:ser>
          <c:idx val="3"/>
          <c:order val="3"/>
          <c:tx>
            <c:strRef>
              <c:f>'B&amp;N BOOKSTORE'!$D$6:$E$6</c:f>
              <c:strCache>
                <c:ptCount val="2"/>
                <c:pt idx="0">
                  <c:v>order</c:v>
                </c:pt>
                <c:pt idx="1">
                  <c:v>1500</c:v>
                </c:pt>
              </c:strCache>
            </c:strRef>
          </c:tx>
          <c:spPr>
            <a:solidFill>
              <a:schemeClr val="accent4"/>
            </a:solidFill>
            <a:ln>
              <a:noFill/>
            </a:ln>
            <a:effectLst/>
          </c:spPr>
          <c:invertIfNegative val="0"/>
          <c:cat>
            <c:strRef>
              <c:f>'B&amp;N BOOKSTORE'!$F$2:$N$2</c:f>
              <c:strCache>
                <c:ptCount val="1"/>
                <c:pt idx="0">
                  <c:v>demand</c:v>
                </c:pt>
              </c:strCache>
            </c:strRef>
          </c:cat>
          <c:val>
            <c:numRef>
              <c:f>'B&amp;N BOOKSTORE'!$F$6:$N$6</c:f>
              <c:numCache>
                <c:formatCode>_("$"* #,##0.00_);_("$"* \(#,##0.00\);_("$"* "-"??_);_(@_)</c:formatCode>
                <c:ptCount val="9"/>
                <c:pt idx="0">
                  <c:v>-9500</c:v>
                </c:pt>
                <c:pt idx="1">
                  <c:v>500</c:v>
                </c:pt>
                <c:pt idx="2">
                  <c:v>10500</c:v>
                </c:pt>
                <c:pt idx="3">
                  <c:v>10500</c:v>
                </c:pt>
                <c:pt idx="4">
                  <c:v>10500</c:v>
                </c:pt>
                <c:pt idx="5">
                  <c:v>10500</c:v>
                </c:pt>
                <c:pt idx="6">
                  <c:v>10500</c:v>
                </c:pt>
                <c:pt idx="7">
                  <c:v>10500</c:v>
                </c:pt>
                <c:pt idx="8">
                  <c:v>10500</c:v>
                </c:pt>
              </c:numCache>
            </c:numRef>
          </c:val>
          <c:extLst>
            <c:ext xmlns:c16="http://schemas.microsoft.com/office/drawing/2014/chart" uri="{C3380CC4-5D6E-409C-BE32-E72D297353CC}">
              <c16:uniqueId val="{00000003-AB65-464A-9794-1DFB8843C95D}"/>
            </c:ext>
          </c:extLst>
        </c:ser>
        <c:ser>
          <c:idx val="4"/>
          <c:order val="4"/>
          <c:tx>
            <c:strRef>
              <c:f>'B&amp;N BOOKSTORE'!$D$7:$E$7</c:f>
              <c:strCache>
                <c:ptCount val="2"/>
                <c:pt idx="0">
                  <c:v>order</c:v>
                </c:pt>
                <c:pt idx="1">
                  <c:v>2000</c:v>
                </c:pt>
              </c:strCache>
            </c:strRef>
          </c:tx>
          <c:spPr>
            <a:solidFill>
              <a:schemeClr val="accent5"/>
            </a:solidFill>
            <a:ln>
              <a:noFill/>
            </a:ln>
            <a:effectLst/>
          </c:spPr>
          <c:invertIfNegative val="0"/>
          <c:cat>
            <c:strRef>
              <c:f>'B&amp;N BOOKSTORE'!$F$2:$N$2</c:f>
              <c:strCache>
                <c:ptCount val="1"/>
                <c:pt idx="0">
                  <c:v>demand</c:v>
                </c:pt>
              </c:strCache>
            </c:strRef>
          </c:cat>
          <c:val>
            <c:numRef>
              <c:f>'B&amp;N BOOKSTORE'!$F$7:$N$7</c:f>
              <c:numCache>
                <c:formatCode>_("$"* #,##0.00_);_("$"* \(#,##0.00\);_("$"* "-"??_);_(@_)</c:formatCode>
                <c:ptCount val="9"/>
                <c:pt idx="0">
                  <c:v>-14500</c:v>
                </c:pt>
                <c:pt idx="1">
                  <c:v>-4500</c:v>
                </c:pt>
                <c:pt idx="2">
                  <c:v>5500</c:v>
                </c:pt>
                <c:pt idx="3">
                  <c:v>15500</c:v>
                </c:pt>
                <c:pt idx="4">
                  <c:v>15500</c:v>
                </c:pt>
                <c:pt idx="5">
                  <c:v>15500</c:v>
                </c:pt>
                <c:pt idx="6">
                  <c:v>15500</c:v>
                </c:pt>
                <c:pt idx="7">
                  <c:v>15500</c:v>
                </c:pt>
                <c:pt idx="8">
                  <c:v>15500</c:v>
                </c:pt>
              </c:numCache>
            </c:numRef>
          </c:val>
          <c:extLst>
            <c:ext xmlns:c16="http://schemas.microsoft.com/office/drawing/2014/chart" uri="{C3380CC4-5D6E-409C-BE32-E72D297353CC}">
              <c16:uniqueId val="{00000004-AB65-464A-9794-1DFB8843C95D}"/>
            </c:ext>
          </c:extLst>
        </c:ser>
        <c:ser>
          <c:idx val="5"/>
          <c:order val="5"/>
          <c:tx>
            <c:strRef>
              <c:f>'B&amp;N BOOKSTORE'!$D$8:$E$8</c:f>
              <c:strCache>
                <c:ptCount val="2"/>
                <c:pt idx="0">
                  <c:v>order</c:v>
                </c:pt>
                <c:pt idx="1">
                  <c:v>2500</c:v>
                </c:pt>
              </c:strCache>
            </c:strRef>
          </c:tx>
          <c:spPr>
            <a:solidFill>
              <a:schemeClr val="accent6"/>
            </a:solidFill>
            <a:ln>
              <a:noFill/>
            </a:ln>
            <a:effectLst/>
          </c:spPr>
          <c:invertIfNegative val="0"/>
          <c:cat>
            <c:strRef>
              <c:f>'B&amp;N BOOKSTORE'!$F$2:$N$2</c:f>
              <c:strCache>
                <c:ptCount val="1"/>
                <c:pt idx="0">
                  <c:v>demand</c:v>
                </c:pt>
              </c:strCache>
            </c:strRef>
          </c:cat>
          <c:val>
            <c:numRef>
              <c:f>'B&amp;N BOOKSTORE'!$F$8:$N$8</c:f>
              <c:numCache>
                <c:formatCode>_("$"* #,##0.00_);_("$"* \(#,##0.00\);_("$"* "-"??_);_(@_)</c:formatCode>
                <c:ptCount val="9"/>
                <c:pt idx="0">
                  <c:v>-20625</c:v>
                </c:pt>
                <c:pt idx="1">
                  <c:v>-10625</c:v>
                </c:pt>
                <c:pt idx="2">
                  <c:v>-625</c:v>
                </c:pt>
                <c:pt idx="3">
                  <c:v>9375</c:v>
                </c:pt>
                <c:pt idx="4">
                  <c:v>19375</c:v>
                </c:pt>
                <c:pt idx="5">
                  <c:v>19375</c:v>
                </c:pt>
                <c:pt idx="6">
                  <c:v>19375</c:v>
                </c:pt>
                <c:pt idx="7">
                  <c:v>19375</c:v>
                </c:pt>
                <c:pt idx="8">
                  <c:v>19375</c:v>
                </c:pt>
              </c:numCache>
            </c:numRef>
          </c:val>
          <c:extLst>
            <c:ext xmlns:c16="http://schemas.microsoft.com/office/drawing/2014/chart" uri="{C3380CC4-5D6E-409C-BE32-E72D297353CC}">
              <c16:uniqueId val="{00000005-AB65-464A-9794-1DFB8843C95D}"/>
            </c:ext>
          </c:extLst>
        </c:ser>
        <c:ser>
          <c:idx val="6"/>
          <c:order val="6"/>
          <c:tx>
            <c:strRef>
              <c:f>'B&amp;N BOOKSTORE'!$D$9:$E$9</c:f>
              <c:strCache>
                <c:ptCount val="2"/>
                <c:pt idx="0">
                  <c:v>order</c:v>
                </c:pt>
                <c:pt idx="1">
                  <c:v>3000</c:v>
                </c:pt>
              </c:strCache>
            </c:strRef>
          </c:tx>
          <c:spPr>
            <a:solidFill>
              <a:schemeClr val="accent1">
                <a:lumMod val="60000"/>
              </a:schemeClr>
            </a:solidFill>
            <a:ln>
              <a:noFill/>
            </a:ln>
            <a:effectLst/>
          </c:spPr>
          <c:invertIfNegative val="0"/>
          <c:cat>
            <c:strRef>
              <c:f>'B&amp;N BOOKSTORE'!$F$2:$N$2</c:f>
              <c:strCache>
                <c:ptCount val="1"/>
                <c:pt idx="0">
                  <c:v>demand</c:v>
                </c:pt>
              </c:strCache>
            </c:strRef>
          </c:cat>
          <c:val>
            <c:numRef>
              <c:f>'B&amp;N BOOKSTORE'!$F$9:$N$9</c:f>
              <c:numCache>
                <c:formatCode>_("$"* #,##0.00_);_("$"* \(#,##0.00\);_("$"* "-"??_);_(@_)</c:formatCode>
                <c:ptCount val="9"/>
                <c:pt idx="0">
                  <c:v>-25250</c:v>
                </c:pt>
                <c:pt idx="1">
                  <c:v>-15250</c:v>
                </c:pt>
                <c:pt idx="2">
                  <c:v>-5250</c:v>
                </c:pt>
                <c:pt idx="3">
                  <c:v>4750</c:v>
                </c:pt>
                <c:pt idx="4">
                  <c:v>14750</c:v>
                </c:pt>
                <c:pt idx="5">
                  <c:v>24750</c:v>
                </c:pt>
                <c:pt idx="6">
                  <c:v>24750</c:v>
                </c:pt>
                <c:pt idx="7">
                  <c:v>24750</c:v>
                </c:pt>
                <c:pt idx="8">
                  <c:v>24750</c:v>
                </c:pt>
              </c:numCache>
            </c:numRef>
          </c:val>
          <c:extLst>
            <c:ext xmlns:c16="http://schemas.microsoft.com/office/drawing/2014/chart" uri="{C3380CC4-5D6E-409C-BE32-E72D297353CC}">
              <c16:uniqueId val="{00000006-AB65-464A-9794-1DFB8843C95D}"/>
            </c:ext>
          </c:extLst>
        </c:ser>
        <c:ser>
          <c:idx val="7"/>
          <c:order val="7"/>
          <c:tx>
            <c:strRef>
              <c:f>'B&amp;N BOOKSTORE'!$D$10:$E$10</c:f>
              <c:strCache>
                <c:ptCount val="2"/>
                <c:pt idx="0">
                  <c:v>order</c:v>
                </c:pt>
                <c:pt idx="1">
                  <c:v>3500</c:v>
                </c:pt>
              </c:strCache>
            </c:strRef>
          </c:tx>
          <c:spPr>
            <a:solidFill>
              <a:schemeClr val="accent2">
                <a:lumMod val="60000"/>
              </a:schemeClr>
            </a:solidFill>
            <a:ln>
              <a:noFill/>
            </a:ln>
            <a:effectLst/>
          </c:spPr>
          <c:invertIfNegative val="0"/>
          <c:cat>
            <c:strRef>
              <c:f>'B&amp;N BOOKSTORE'!$F$2:$N$2</c:f>
              <c:strCache>
                <c:ptCount val="1"/>
                <c:pt idx="0">
                  <c:v>demand</c:v>
                </c:pt>
              </c:strCache>
            </c:strRef>
          </c:cat>
          <c:val>
            <c:numRef>
              <c:f>'B&amp;N BOOKSTORE'!$F$10:$N$10</c:f>
              <c:numCache>
                <c:formatCode>_("$"* #,##0.00_);_("$"* \(#,##0.00\);_("$"* "-"??_);_(@_)</c:formatCode>
                <c:ptCount val="9"/>
                <c:pt idx="0">
                  <c:v>-31125</c:v>
                </c:pt>
                <c:pt idx="1">
                  <c:v>-21125</c:v>
                </c:pt>
                <c:pt idx="2">
                  <c:v>-11125</c:v>
                </c:pt>
                <c:pt idx="3">
                  <c:v>-1125</c:v>
                </c:pt>
                <c:pt idx="4">
                  <c:v>8875</c:v>
                </c:pt>
                <c:pt idx="5">
                  <c:v>18875</c:v>
                </c:pt>
                <c:pt idx="6">
                  <c:v>28875</c:v>
                </c:pt>
                <c:pt idx="7">
                  <c:v>28875</c:v>
                </c:pt>
                <c:pt idx="8">
                  <c:v>28875</c:v>
                </c:pt>
              </c:numCache>
            </c:numRef>
          </c:val>
          <c:extLst>
            <c:ext xmlns:c16="http://schemas.microsoft.com/office/drawing/2014/chart" uri="{C3380CC4-5D6E-409C-BE32-E72D297353CC}">
              <c16:uniqueId val="{00000007-AB65-464A-9794-1DFB8843C95D}"/>
            </c:ext>
          </c:extLst>
        </c:ser>
        <c:ser>
          <c:idx val="8"/>
          <c:order val="8"/>
          <c:tx>
            <c:strRef>
              <c:f>'B&amp;N BOOKSTORE'!$D$11:$E$11</c:f>
              <c:strCache>
                <c:ptCount val="2"/>
                <c:pt idx="0">
                  <c:v>order</c:v>
                </c:pt>
                <c:pt idx="1">
                  <c:v>4000</c:v>
                </c:pt>
              </c:strCache>
            </c:strRef>
          </c:tx>
          <c:spPr>
            <a:solidFill>
              <a:schemeClr val="accent3">
                <a:lumMod val="60000"/>
              </a:schemeClr>
            </a:solidFill>
            <a:ln>
              <a:noFill/>
            </a:ln>
            <a:effectLst/>
          </c:spPr>
          <c:invertIfNegative val="0"/>
          <c:cat>
            <c:strRef>
              <c:f>'B&amp;N BOOKSTORE'!$F$2:$N$2</c:f>
              <c:strCache>
                <c:ptCount val="1"/>
                <c:pt idx="0">
                  <c:v>demand</c:v>
                </c:pt>
              </c:strCache>
            </c:strRef>
          </c:cat>
          <c:val>
            <c:numRef>
              <c:f>'B&amp;N BOOKSTORE'!$F$11:$N$11</c:f>
              <c:numCache>
                <c:formatCode>_("$"* #,##0.00_);_("$"* \(#,##0.00\);_("$"* "-"??_);_(@_)</c:formatCode>
                <c:ptCount val="9"/>
                <c:pt idx="0">
                  <c:v>-35200</c:v>
                </c:pt>
                <c:pt idx="1">
                  <c:v>-25200</c:v>
                </c:pt>
                <c:pt idx="2">
                  <c:v>-15200</c:v>
                </c:pt>
                <c:pt idx="3">
                  <c:v>-5200</c:v>
                </c:pt>
                <c:pt idx="4">
                  <c:v>4800</c:v>
                </c:pt>
                <c:pt idx="5">
                  <c:v>14800</c:v>
                </c:pt>
                <c:pt idx="6">
                  <c:v>24800</c:v>
                </c:pt>
                <c:pt idx="7">
                  <c:v>34800</c:v>
                </c:pt>
                <c:pt idx="8">
                  <c:v>34800</c:v>
                </c:pt>
              </c:numCache>
            </c:numRef>
          </c:val>
          <c:extLst>
            <c:ext xmlns:c16="http://schemas.microsoft.com/office/drawing/2014/chart" uri="{C3380CC4-5D6E-409C-BE32-E72D297353CC}">
              <c16:uniqueId val="{00000008-AB65-464A-9794-1DFB8843C95D}"/>
            </c:ext>
          </c:extLst>
        </c:ser>
        <c:ser>
          <c:idx val="9"/>
          <c:order val="9"/>
          <c:tx>
            <c:strRef>
              <c:f>'B&amp;N BOOKSTORE'!$D$12:$E$12</c:f>
              <c:strCache>
                <c:ptCount val="2"/>
                <c:pt idx="0">
                  <c:v>order</c:v>
                </c:pt>
                <c:pt idx="1">
                  <c:v>4500</c:v>
                </c:pt>
              </c:strCache>
            </c:strRef>
          </c:tx>
          <c:spPr>
            <a:solidFill>
              <a:schemeClr val="accent4">
                <a:lumMod val="60000"/>
              </a:schemeClr>
            </a:solidFill>
            <a:ln>
              <a:noFill/>
            </a:ln>
            <a:effectLst/>
          </c:spPr>
          <c:invertIfNegative val="0"/>
          <c:cat>
            <c:strRef>
              <c:f>'B&amp;N BOOKSTORE'!$F$2:$N$2</c:f>
              <c:strCache>
                <c:ptCount val="1"/>
                <c:pt idx="0">
                  <c:v>demand</c:v>
                </c:pt>
              </c:strCache>
            </c:strRef>
          </c:cat>
          <c:val>
            <c:numRef>
              <c:f>'B&amp;N BOOKSTORE'!$F$12:$N$12</c:f>
              <c:numCache>
                <c:formatCode>_("$"* #,##0.00_);_("$"* \(#,##0.00\);_("$"* "-"??_);_(@_)</c:formatCode>
                <c:ptCount val="9"/>
                <c:pt idx="0">
                  <c:v>-40850</c:v>
                </c:pt>
                <c:pt idx="1">
                  <c:v>-30850</c:v>
                </c:pt>
                <c:pt idx="2">
                  <c:v>-20850</c:v>
                </c:pt>
                <c:pt idx="3">
                  <c:v>-10850</c:v>
                </c:pt>
                <c:pt idx="4">
                  <c:v>-850</c:v>
                </c:pt>
                <c:pt idx="5">
                  <c:v>9150</c:v>
                </c:pt>
                <c:pt idx="6">
                  <c:v>19150</c:v>
                </c:pt>
                <c:pt idx="7">
                  <c:v>29150</c:v>
                </c:pt>
                <c:pt idx="8">
                  <c:v>39150</c:v>
                </c:pt>
              </c:numCache>
            </c:numRef>
          </c:val>
          <c:extLst>
            <c:ext xmlns:c16="http://schemas.microsoft.com/office/drawing/2014/chart" uri="{C3380CC4-5D6E-409C-BE32-E72D297353CC}">
              <c16:uniqueId val="{00000009-AB65-464A-9794-1DFB8843C95D}"/>
            </c:ext>
          </c:extLst>
        </c:ser>
        <c:dLbls>
          <c:showLegendKey val="0"/>
          <c:showVal val="0"/>
          <c:showCatName val="0"/>
          <c:showSerName val="0"/>
          <c:showPercent val="0"/>
          <c:showBubbleSize val="0"/>
        </c:dLbls>
        <c:gapWidth val="219"/>
        <c:overlap val="-27"/>
        <c:axId val="73028992"/>
        <c:axId val="73040032"/>
      </c:barChart>
      <c:catAx>
        <c:axId val="7302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r>
                  <a:rPr lang="en-IN" baseline="0"/>
                  <a:t> AND ORDERS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0032"/>
        <c:crosses val="autoZero"/>
        <c:auto val="1"/>
        <c:lblAlgn val="ctr"/>
        <c:lblOffset val="100"/>
        <c:noMultiLvlLbl val="0"/>
      </c:catAx>
      <c:valAx>
        <c:axId val="73040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2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a:t>
            </a:r>
            <a:r>
              <a:rPr lang="en-IN" baseline="0"/>
              <a:t> VS PROFIT SCATTERPLOT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 GOLF CLUB'!$C$5</c:f>
              <c:strCache>
                <c:ptCount val="1"/>
                <c:pt idx="0">
                  <c:v>DEMAND(00s)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olid"/>
              </a:ln>
              <a:effectLst/>
            </c:spPr>
            <c:trendlineType val="linear"/>
            <c:dispRSqr val="0"/>
            <c:dispEq val="1"/>
            <c:trendlineLbl>
              <c:layout>
                <c:manualLayout>
                  <c:x val="5.1521216097987751E-2"/>
                  <c:y val="-0.3376811752697579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1"/>
            <c:trendlineLbl>
              <c:layout>
                <c:manualLayout>
                  <c:x val="-0.20871478565179352"/>
                  <c:y val="-0.1348680373286672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rgbClr val="FF0000"/>
                </a:solidFill>
                <a:prstDash val="sysDot"/>
              </a:ln>
              <a:effectLst/>
            </c:spPr>
            <c:trendlineType val="power"/>
            <c:dispRSqr val="0"/>
            <c:dispEq val="1"/>
            <c:trendlineLbl>
              <c:layout>
                <c:manualLayout>
                  <c:x val="-7.1929404067713504E-2"/>
                  <c:y val="2.4137639671065716E-2"/>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'19TH HOLE GOLF CLUB'!$B$6:$B$17</c:f>
              <c:numCache>
                <c:formatCode>"$"#,##0</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'19TH HOLE GOLF CLUB'!$C$6:$C$17</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40F1-4325-A22F-AE1586EEC44B}"/>
            </c:ext>
          </c:extLst>
        </c:ser>
        <c:dLbls>
          <c:showLegendKey val="0"/>
          <c:showVal val="0"/>
          <c:showCatName val="0"/>
          <c:showSerName val="0"/>
          <c:showPercent val="0"/>
          <c:showBubbleSize val="0"/>
        </c:dLbls>
        <c:axId val="409225328"/>
        <c:axId val="409226768"/>
      </c:scatterChart>
      <c:valAx>
        <c:axId val="409225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26768"/>
        <c:crosses val="autoZero"/>
        <c:crossBetween val="midCat"/>
      </c:valAx>
      <c:valAx>
        <c:axId val="409226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25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a:t>
            </a:r>
            <a:r>
              <a:rPr lang="en-IN" baseline="0"/>
              <a:t>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 GOLF CLUB'!$T$4</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'19TH HOLE GOLF CLUB'!$S$5:$S$61</c:f>
              <c:numCache>
                <c:formatCode>"$"#,##0</c:formatCode>
                <c:ptCount val="57"/>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pt idx="37">
                  <c:v>610</c:v>
                </c:pt>
                <c:pt idx="38">
                  <c:v>620</c:v>
                </c:pt>
                <c:pt idx="39">
                  <c:v>630</c:v>
                </c:pt>
                <c:pt idx="40">
                  <c:v>640</c:v>
                </c:pt>
                <c:pt idx="41">
                  <c:v>650</c:v>
                </c:pt>
                <c:pt idx="42">
                  <c:v>660</c:v>
                </c:pt>
                <c:pt idx="43">
                  <c:v>670</c:v>
                </c:pt>
                <c:pt idx="44">
                  <c:v>680</c:v>
                </c:pt>
                <c:pt idx="45">
                  <c:v>690</c:v>
                </c:pt>
                <c:pt idx="46">
                  <c:v>700</c:v>
                </c:pt>
                <c:pt idx="47">
                  <c:v>710</c:v>
                </c:pt>
                <c:pt idx="48">
                  <c:v>720</c:v>
                </c:pt>
                <c:pt idx="49">
                  <c:v>730</c:v>
                </c:pt>
                <c:pt idx="50">
                  <c:v>740</c:v>
                </c:pt>
                <c:pt idx="51">
                  <c:v>750</c:v>
                </c:pt>
                <c:pt idx="52">
                  <c:v>760</c:v>
                </c:pt>
                <c:pt idx="53">
                  <c:v>770</c:v>
                </c:pt>
                <c:pt idx="54">
                  <c:v>780</c:v>
                </c:pt>
                <c:pt idx="55">
                  <c:v>790</c:v>
                </c:pt>
                <c:pt idx="56">
                  <c:v>800</c:v>
                </c:pt>
              </c:numCache>
            </c:numRef>
          </c:xVal>
          <c:yVal>
            <c:numRef>
              <c:f>'19TH HOLE GOLF CLUB'!$T$5:$T$61</c:f>
              <c:numCache>
                <c:formatCode>"$"#,##0</c:formatCode>
                <c:ptCount val="57"/>
                <c:pt idx="0" formatCode="_(&quot;$&quot;* #,##0.00_);_(&quot;$&quot;* \(#,##0.00\);_(&quot;$&quot;* &quot;-&quot;??_);_(@_)">
                  <c:v>831338.85314930137</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pt idx="37">
                  <c:v>1024731.2726827315</c:v>
                </c:pt>
                <c:pt idx="38">
                  <c:v>1021022.2237432048</c:v>
                </c:pt>
                <c:pt idx="39">
                  <c:v>1017088.2634793159</c:v>
                </c:pt>
                <c:pt idx="40">
                  <c:v>1012954.7173026291</c:v>
                </c:pt>
                <c:pt idx="41">
                  <c:v>1008644.4924491229</c:v>
                </c:pt>
                <c:pt idx="42">
                  <c:v>1004178.3234829371</c:v>
                </c:pt>
                <c:pt idx="43">
                  <c:v>999574.99043870345</c:v>
                </c:pt>
                <c:pt idx="44">
                  <c:v>994851.51295467373</c:v>
                </c:pt>
                <c:pt idx="45">
                  <c:v>990023.32329994719</c:v>
                </c:pt>
                <c:pt idx="46">
                  <c:v>985104.42081539321</c:v>
                </c:pt>
                <c:pt idx="47">
                  <c:v>980107.50995916908</c:v>
                </c:pt>
                <c:pt idx="48">
                  <c:v>975044.1238656675</c:v>
                </c:pt>
                <c:pt idx="49">
                  <c:v>969924.73508398188</c:v>
                </c:pt>
                <c:pt idx="50">
                  <c:v>964758.8549528002</c:v>
                </c:pt>
                <c:pt idx="51">
                  <c:v>959555.12288789009</c:v>
                </c:pt>
                <c:pt idx="52">
                  <c:v>954321.38670201262</c:v>
                </c:pt>
                <c:pt idx="53">
                  <c:v>949064.7749414182</c:v>
                </c:pt>
                <c:pt idx="54">
                  <c:v>943791.76210536808</c:v>
                </c:pt>
                <c:pt idx="55">
                  <c:v>938508.22751260083</c:v>
                </c:pt>
                <c:pt idx="56">
                  <c:v>933219.50848926988</c:v>
                </c:pt>
              </c:numCache>
            </c:numRef>
          </c:yVal>
          <c:smooth val="0"/>
          <c:extLst>
            <c:ext xmlns:c16="http://schemas.microsoft.com/office/drawing/2014/chart" uri="{C3380CC4-5D6E-409C-BE32-E72D297353CC}">
              <c16:uniqueId val="{00000000-4F25-414A-90C2-8E60B1FE8623}"/>
            </c:ext>
          </c:extLst>
        </c:ser>
        <c:dLbls>
          <c:showLegendKey val="0"/>
          <c:showVal val="0"/>
          <c:showCatName val="0"/>
          <c:showSerName val="0"/>
          <c:showPercent val="0"/>
          <c:showBubbleSize val="0"/>
        </c:dLbls>
        <c:axId val="448199280"/>
        <c:axId val="448199760"/>
      </c:scatterChart>
      <c:valAx>
        <c:axId val="4481992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a:t>
                </a:r>
                <a:r>
                  <a:rPr lang="en-IN" baseline="0"/>
                  <a:t> PRICE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199760"/>
        <c:crosses val="autoZero"/>
        <c:crossBetween val="midCat"/>
      </c:valAx>
      <c:valAx>
        <c:axId val="448199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1992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 PRICE</a:t>
            </a:r>
            <a:r>
              <a:rPr lang="en-IN" baseline="0"/>
              <a:t> VS </a:t>
            </a:r>
            <a:r>
              <a:rPr lang="en-IN"/>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'19TH HOLE GOLF CLUB'!$T$4</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'19TH HOLE GOLF CLUB'!$S$5:$S$64</c:f>
              <c:numCache>
                <c:formatCode>"$"#,##0</c:formatCode>
                <c:ptCount val="60"/>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pt idx="37">
                  <c:v>610</c:v>
                </c:pt>
                <c:pt idx="38">
                  <c:v>620</c:v>
                </c:pt>
                <c:pt idx="39">
                  <c:v>630</c:v>
                </c:pt>
                <c:pt idx="40">
                  <c:v>640</c:v>
                </c:pt>
                <c:pt idx="41">
                  <c:v>650</c:v>
                </c:pt>
                <c:pt idx="42">
                  <c:v>660</c:v>
                </c:pt>
                <c:pt idx="43">
                  <c:v>670</c:v>
                </c:pt>
                <c:pt idx="44">
                  <c:v>680</c:v>
                </c:pt>
                <c:pt idx="45">
                  <c:v>690</c:v>
                </c:pt>
                <c:pt idx="46">
                  <c:v>700</c:v>
                </c:pt>
                <c:pt idx="47">
                  <c:v>710</c:v>
                </c:pt>
                <c:pt idx="48">
                  <c:v>720</c:v>
                </c:pt>
                <c:pt idx="49">
                  <c:v>730</c:v>
                </c:pt>
                <c:pt idx="50">
                  <c:v>740</c:v>
                </c:pt>
                <c:pt idx="51">
                  <c:v>750</c:v>
                </c:pt>
                <c:pt idx="52">
                  <c:v>760</c:v>
                </c:pt>
                <c:pt idx="53">
                  <c:v>770</c:v>
                </c:pt>
                <c:pt idx="54">
                  <c:v>780</c:v>
                </c:pt>
                <c:pt idx="55">
                  <c:v>790</c:v>
                </c:pt>
                <c:pt idx="56">
                  <c:v>800</c:v>
                </c:pt>
                <c:pt idx="57">
                  <c:v>900</c:v>
                </c:pt>
                <c:pt idx="58">
                  <c:v>1000</c:v>
                </c:pt>
                <c:pt idx="59">
                  <c:v>1500</c:v>
                </c:pt>
              </c:numCache>
            </c:numRef>
          </c:xVal>
          <c:yVal>
            <c:numRef>
              <c:f>'19TH HOLE GOLF CLUB'!$T$5:$T$64</c:f>
              <c:numCache>
                <c:formatCode>"$"#,##0</c:formatCode>
                <c:ptCount val="60"/>
                <c:pt idx="0" formatCode="_(&quot;$&quot;* #,##0.00_);_(&quot;$&quot;* \(#,##0.00\);_(&quot;$&quot;* &quot;-&quot;??_);_(@_)">
                  <c:v>831338.85314930137</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pt idx="37">
                  <c:v>1024731.2726827315</c:v>
                </c:pt>
                <c:pt idx="38">
                  <c:v>1021022.2237432048</c:v>
                </c:pt>
                <c:pt idx="39">
                  <c:v>1017088.2634793159</c:v>
                </c:pt>
                <c:pt idx="40">
                  <c:v>1012954.7173026291</c:v>
                </c:pt>
                <c:pt idx="41">
                  <c:v>1008644.4924491229</c:v>
                </c:pt>
                <c:pt idx="42">
                  <c:v>1004178.3234829371</c:v>
                </c:pt>
                <c:pt idx="43">
                  <c:v>999574.99043870345</c:v>
                </c:pt>
                <c:pt idx="44">
                  <c:v>994851.51295467373</c:v>
                </c:pt>
                <c:pt idx="45">
                  <c:v>990023.32329994719</c:v>
                </c:pt>
                <c:pt idx="46">
                  <c:v>985104.42081539321</c:v>
                </c:pt>
                <c:pt idx="47">
                  <c:v>980107.50995916908</c:v>
                </c:pt>
                <c:pt idx="48">
                  <c:v>975044.1238656675</c:v>
                </c:pt>
                <c:pt idx="49">
                  <c:v>969924.73508398188</c:v>
                </c:pt>
                <c:pt idx="50">
                  <c:v>964758.8549528002</c:v>
                </c:pt>
                <c:pt idx="51">
                  <c:v>959555.12288789009</c:v>
                </c:pt>
                <c:pt idx="52">
                  <c:v>954321.38670201262</c:v>
                </c:pt>
                <c:pt idx="53">
                  <c:v>949064.7749414182</c:v>
                </c:pt>
                <c:pt idx="54">
                  <c:v>943791.76210536808</c:v>
                </c:pt>
                <c:pt idx="55">
                  <c:v>938508.22751260083</c:v>
                </c:pt>
                <c:pt idx="56">
                  <c:v>933219.50848926988</c:v>
                </c:pt>
                <c:pt idx="57" formatCode="_(&quot;$&quot;* #,##0_);_(&quot;$&quot;* \(#,##0\);_(&quot;$&quot;* &quot;-&quot;??_);_(@_)">
                  <c:v>880917.95766693447</c:v>
                </c:pt>
                <c:pt idx="58" formatCode="_(&quot;$&quot;* #,##0_);_(&quot;$&quot;* \(#,##0\);_(&quot;$&quot;* &quot;-&quot;??_);_(@_)">
                  <c:v>831338.85314930137</c:v>
                </c:pt>
                <c:pt idx="59" formatCode="_(&quot;$&quot;* #,##0_);_(&quot;$&quot;* \(#,##0\);_(&quot;$&quot;* &quot;-&quot;??_);_(@_)">
                  <c:v>639211.68487958203</c:v>
                </c:pt>
              </c:numCache>
            </c:numRef>
          </c:yVal>
          <c:smooth val="0"/>
          <c:extLst>
            <c:ext xmlns:c16="http://schemas.microsoft.com/office/drawing/2014/chart" uri="{C3380CC4-5D6E-409C-BE32-E72D297353CC}">
              <c16:uniqueId val="{00000000-9334-4640-ADA1-EC9C740FB066}"/>
            </c:ext>
          </c:extLst>
        </c:ser>
        <c:dLbls>
          <c:showLegendKey val="0"/>
          <c:showVal val="0"/>
          <c:showCatName val="0"/>
          <c:showSerName val="0"/>
          <c:showPercent val="0"/>
          <c:showBubbleSize val="0"/>
        </c:dLbls>
        <c:axId val="409215248"/>
        <c:axId val="409210448"/>
      </c:scatterChart>
      <c:valAx>
        <c:axId val="409215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10448"/>
        <c:crosses val="autoZero"/>
        <c:crossBetween val="midCat"/>
      </c:valAx>
      <c:valAx>
        <c:axId val="4092104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2152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a:t>
            </a:r>
            <a:r>
              <a:rPr lang="en-IN" baseline="0"/>
              <a:t> PRICE VS UNIT COST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'19TH HOLE GOLF CLUB'!$W$4:$W$5</c:f>
              <c:strCache>
                <c:ptCount val="2"/>
                <c:pt idx="1">
                  <c:v> $831,339 </c:v>
                </c:pt>
              </c:strCache>
            </c:strRef>
          </c:tx>
          <c:spPr>
            <a:solidFill>
              <a:schemeClr val="accent1"/>
            </a:solidFill>
            <a:ln>
              <a:noFill/>
            </a:ln>
            <a:effectLst/>
          </c:spPr>
          <c:invertIfNegative val="0"/>
          <c:cat>
            <c:strRef>
              <c:f>'19TH HOLE GOLF CLUB'!$V$6:$V$60</c:f>
              <c:strCache>
                <c:ptCount val="1"/>
                <c:pt idx="0">
                  <c:v>SALE PRICE</c:v>
                </c:pt>
              </c:strCache>
            </c:strRef>
          </c:cat>
          <c:val>
            <c:numRef>
              <c:f>'19TH HOLE GOLF CLUB'!$W$6:$W$60</c:f>
              <c:numCache>
                <c:formatCode>_("$"* #,##0_);_("$"* \(#,##0\);_("$"* "-"??_);_(@_)</c:formatCode>
                <c:ptCount val="5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numCache>
            </c:numRef>
          </c:val>
          <c:extLst>
            <c:ext xmlns:c16="http://schemas.microsoft.com/office/drawing/2014/chart" uri="{C3380CC4-5D6E-409C-BE32-E72D297353CC}">
              <c16:uniqueId val="{00000000-2059-4759-BF65-1E23605BC239}"/>
            </c:ext>
          </c:extLst>
        </c:ser>
        <c:ser>
          <c:idx val="1"/>
          <c:order val="1"/>
          <c:tx>
            <c:strRef>
              <c:f>'19TH HOLE GOLF CLUB'!$X$4:$X$5</c:f>
              <c:strCache>
                <c:ptCount val="2"/>
                <c:pt idx="0">
                  <c:v>UNIT COST</c:v>
                </c:pt>
                <c:pt idx="1">
                  <c:v> $250 </c:v>
                </c:pt>
              </c:strCache>
            </c:strRef>
          </c:tx>
          <c:spPr>
            <a:solidFill>
              <a:schemeClr val="accent2"/>
            </a:solidFill>
            <a:ln>
              <a:noFill/>
            </a:ln>
            <a:effectLst/>
          </c:spPr>
          <c:invertIfNegative val="0"/>
          <c:cat>
            <c:strRef>
              <c:f>'19TH HOLE GOLF CLUB'!$V$6:$V$60</c:f>
              <c:strCache>
                <c:ptCount val="1"/>
                <c:pt idx="0">
                  <c:v>SALE PRICE</c:v>
                </c:pt>
              </c:strCache>
            </c:strRef>
          </c:cat>
          <c:val>
            <c:numRef>
              <c:f>'19TH HOLE GOLF CLUB'!$X$6:$X$60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1-2059-4759-BF65-1E23605BC239}"/>
            </c:ext>
          </c:extLst>
        </c:ser>
        <c:ser>
          <c:idx val="2"/>
          <c:order val="2"/>
          <c:tx>
            <c:strRef>
              <c:f>'19TH HOLE GOLF CLUB'!$Y$4:$Y$5</c:f>
              <c:strCache>
                <c:ptCount val="2"/>
                <c:pt idx="0">
                  <c:v>UNIT COST</c:v>
                </c:pt>
                <c:pt idx="1">
                  <c:v> $300 </c:v>
                </c:pt>
              </c:strCache>
            </c:strRef>
          </c:tx>
          <c:spPr>
            <a:solidFill>
              <a:schemeClr val="accent3"/>
            </a:solidFill>
            <a:ln>
              <a:noFill/>
            </a:ln>
            <a:effectLst/>
          </c:spPr>
          <c:invertIfNegative val="0"/>
          <c:cat>
            <c:strRef>
              <c:f>'19TH HOLE GOLF CLUB'!$V$6:$V$60</c:f>
              <c:strCache>
                <c:ptCount val="1"/>
                <c:pt idx="0">
                  <c:v>SALE PRICE</c:v>
                </c:pt>
              </c:strCache>
            </c:strRef>
          </c:cat>
          <c:val>
            <c:numRef>
              <c:f>'19TH HOLE GOLF CLUB'!$Y$6:$Y$60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2-2059-4759-BF65-1E23605BC239}"/>
            </c:ext>
          </c:extLst>
        </c:ser>
        <c:ser>
          <c:idx val="3"/>
          <c:order val="3"/>
          <c:tx>
            <c:strRef>
              <c:f>'19TH HOLE GOLF CLUB'!$Z$4:$Z$5</c:f>
              <c:strCache>
                <c:ptCount val="2"/>
                <c:pt idx="0">
                  <c:v>UNIT COST</c:v>
                </c:pt>
                <c:pt idx="1">
                  <c:v> $350 </c:v>
                </c:pt>
              </c:strCache>
            </c:strRef>
          </c:tx>
          <c:spPr>
            <a:solidFill>
              <a:schemeClr val="accent4"/>
            </a:solidFill>
            <a:ln>
              <a:noFill/>
            </a:ln>
            <a:effectLst/>
          </c:spPr>
          <c:invertIfNegative val="0"/>
          <c:cat>
            <c:strRef>
              <c:f>'19TH HOLE GOLF CLUB'!$V$6:$V$60</c:f>
              <c:strCache>
                <c:ptCount val="1"/>
                <c:pt idx="0">
                  <c:v>SALE PRICE</c:v>
                </c:pt>
              </c:strCache>
            </c:strRef>
          </c:cat>
          <c:val>
            <c:numRef>
              <c:f>'19TH HOLE GOLF CLUB'!$Z$6:$Z$60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3-2059-4759-BF65-1E23605BC239}"/>
            </c:ext>
          </c:extLst>
        </c:ser>
        <c:ser>
          <c:idx val="4"/>
          <c:order val="4"/>
          <c:tx>
            <c:strRef>
              <c:f>'19TH HOLE GOLF CLUB'!$AA$4:$AA$5</c:f>
              <c:strCache>
                <c:ptCount val="2"/>
                <c:pt idx="0">
                  <c:v>UNIT COST</c:v>
                </c:pt>
                <c:pt idx="1">
                  <c:v> $400 </c:v>
                </c:pt>
              </c:strCache>
            </c:strRef>
          </c:tx>
          <c:spPr>
            <a:solidFill>
              <a:schemeClr val="accent5"/>
            </a:solidFill>
            <a:ln>
              <a:noFill/>
            </a:ln>
            <a:effectLst/>
          </c:spPr>
          <c:invertIfNegative val="0"/>
          <c:cat>
            <c:strRef>
              <c:f>'19TH HOLE GOLF CLUB'!$V$6:$V$60</c:f>
              <c:strCache>
                <c:ptCount val="1"/>
                <c:pt idx="0">
                  <c:v>SALE PRICE</c:v>
                </c:pt>
              </c:strCache>
            </c:strRef>
          </c:cat>
          <c:val>
            <c:numRef>
              <c:f>'19TH HOLE GOLF CLUB'!$AA$6:$AA$60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4-2059-4759-BF65-1E23605BC239}"/>
            </c:ext>
          </c:extLst>
        </c:ser>
        <c:ser>
          <c:idx val="5"/>
          <c:order val="5"/>
          <c:tx>
            <c:strRef>
              <c:f>'19TH HOLE GOLF CLUB'!$AB$4:$AB$5</c:f>
              <c:strCache>
                <c:ptCount val="2"/>
                <c:pt idx="0">
                  <c:v>UNIT COST</c:v>
                </c:pt>
                <c:pt idx="1">
                  <c:v> $450 </c:v>
                </c:pt>
              </c:strCache>
            </c:strRef>
          </c:tx>
          <c:spPr>
            <a:solidFill>
              <a:schemeClr val="accent6"/>
            </a:solidFill>
            <a:ln>
              <a:noFill/>
            </a:ln>
            <a:effectLst/>
          </c:spPr>
          <c:invertIfNegative val="0"/>
          <c:cat>
            <c:strRef>
              <c:f>'19TH HOLE GOLF CLUB'!$V$6:$V$60</c:f>
              <c:strCache>
                <c:ptCount val="1"/>
                <c:pt idx="0">
                  <c:v>SALE PRICE</c:v>
                </c:pt>
              </c:strCache>
            </c:strRef>
          </c:cat>
          <c:val>
            <c:numRef>
              <c:f>'19TH HOLE GOLF CLUB'!$AB$6:$AB$60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5-2059-4759-BF65-1E23605BC239}"/>
            </c:ext>
          </c:extLst>
        </c:ser>
        <c:ser>
          <c:idx val="6"/>
          <c:order val="6"/>
          <c:tx>
            <c:strRef>
              <c:f>'19TH HOLE GOLF CLUB'!$AC$4:$AC$5</c:f>
              <c:strCache>
                <c:ptCount val="2"/>
                <c:pt idx="0">
                  <c:v>UNIT COST</c:v>
                </c:pt>
                <c:pt idx="1">
                  <c:v> $500 </c:v>
                </c:pt>
              </c:strCache>
            </c:strRef>
          </c:tx>
          <c:spPr>
            <a:solidFill>
              <a:schemeClr val="accent1">
                <a:lumMod val="60000"/>
              </a:schemeClr>
            </a:solidFill>
            <a:ln>
              <a:noFill/>
            </a:ln>
            <a:effectLst/>
          </c:spPr>
          <c:invertIfNegative val="0"/>
          <c:cat>
            <c:strRef>
              <c:f>'19TH HOLE GOLF CLUB'!$V$6:$V$60</c:f>
              <c:strCache>
                <c:ptCount val="1"/>
                <c:pt idx="0">
                  <c:v>SALE PRICE</c:v>
                </c:pt>
              </c:strCache>
            </c:strRef>
          </c:cat>
          <c:val>
            <c:numRef>
              <c:f>'19TH HOLE GOLF CLUB'!$AC$6:$AC$60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6-2059-4759-BF65-1E23605BC239}"/>
            </c:ext>
          </c:extLst>
        </c:ser>
        <c:ser>
          <c:idx val="7"/>
          <c:order val="7"/>
          <c:tx>
            <c:strRef>
              <c:f>'19TH HOLE GOLF CLUB'!$AD$4:$AD$5</c:f>
              <c:strCache>
                <c:ptCount val="2"/>
                <c:pt idx="0">
                  <c:v>UNIT COST</c:v>
                </c:pt>
                <c:pt idx="1">
                  <c:v> $550 </c:v>
                </c:pt>
              </c:strCache>
            </c:strRef>
          </c:tx>
          <c:spPr>
            <a:solidFill>
              <a:schemeClr val="accent2">
                <a:lumMod val="60000"/>
              </a:schemeClr>
            </a:solidFill>
            <a:ln>
              <a:noFill/>
            </a:ln>
            <a:effectLst/>
          </c:spPr>
          <c:invertIfNegative val="0"/>
          <c:cat>
            <c:strRef>
              <c:f>'19TH HOLE GOLF CLUB'!$V$6:$V$60</c:f>
              <c:strCache>
                <c:ptCount val="1"/>
                <c:pt idx="0">
                  <c:v>SALE PRICE</c:v>
                </c:pt>
              </c:strCache>
            </c:strRef>
          </c:cat>
          <c:val>
            <c:numRef>
              <c:f>'19TH HOLE GOLF CLUB'!$AD$6:$AD$60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7-2059-4759-BF65-1E23605BC239}"/>
            </c:ext>
          </c:extLst>
        </c:ser>
        <c:ser>
          <c:idx val="8"/>
          <c:order val="8"/>
          <c:tx>
            <c:strRef>
              <c:f>'19TH HOLE GOLF CLUB'!$AE$4:$AE$5</c:f>
              <c:strCache>
                <c:ptCount val="2"/>
                <c:pt idx="0">
                  <c:v>UNIT COST</c:v>
                </c:pt>
                <c:pt idx="1">
                  <c:v> $600 </c:v>
                </c:pt>
              </c:strCache>
            </c:strRef>
          </c:tx>
          <c:spPr>
            <a:solidFill>
              <a:schemeClr val="accent3">
                <a:lumMod val="60000"/>
              </a:schemeClr>
            </a:solidFill>
            <a:ln>
              <a:noFill/>
            </a:ln>
            <a:effectLst/>
          </c:spPr>
          <c:invertIfNegative val="0"/>
          <c:cat>
            <c:strRef>
              <c:f>'19TH HOLE GOLF CLUB'!$V$6:$V$60</c:f>
              <c:strCache>
                <c:ptCount val="1"/>
                <c:pt idx="0">
                  <c:v>SALE PRICE</c:v>
                </c:pt>
              </c:strCache>
            </c:strRef>
          </c:cat>
          <c:val>
            <c:numRef>
              <c:f>'19TH HOLE GOLF CLUB'!$AE$6:$AE$60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8-2059-4759-BF65-1E23605BC239}"/>
            </c:ext>
          </c:extLst>
        </c:ser>
        <c:ser>
          <c:idx val="9"/>
          <c:order val="9"/>
          <c:tx>
            <c:strRef>
              <c:f>'19TH HOLE GOLF CLUB'!$AF$4:$AF$5</c:f>
              <c:strCache>
                <c:ptCount val="2"/>
                <c:pt idx="0">
                  <c:v>UNIT COST</c:v>
                </c:pt>
                <c:pt idx="1">
                  <c:v> $650 </c:v>
                </c:pt>
              </c:strCache>
            </c:strRef>
          </c:tx>
          <c:spPr>
            <a:solidFill>
              <a:schemeClr val="accent4">
                <a:lumMod val="60000"/>
              </a:schemeClr>
            </a:solidFill>
            <a:ln>
              <a:noFill/>
            </a:ln>
            <a:effectLst/>
          </c:spPr>
          <c:invertIfNegative val="0"/>
          <c:cat>
            <c:strRef>
              <c:f>'19TH HOLE GOLF CLUB'!$V$6:$V$60</c:f>
              <c:strCache>
                <c:ptCount val="1"/>
                <c:pt idx="0">
                  <c:v>SALE PRICE</c:v>
                </c:pt>
              </c:strCache>
            </c:strRef>
          </c:cat>
          <c:val>
            <c:numRef>
              <c:f>'19TH HOLE GOLF CLUB'!$AF$6:$AF$60</c:f>
              <c:numCache>
                <c:formatCode>_("$"* #,##0_);_("$"* \(#,##0\);_("$"* "-"??_);_(@_)</c:formatCode>
                <c:ptCount val="55"/>
                <c:pt idx="0">
                  <c:v>831338.85314930137</c:v>
                </c:pt>
                <c:pt idx="1">
                  <c:v>831338.85314930137</c:v>
                </c:pt>
                <c:pt idx="2">
                  <c:v>831338.85314930137</c:v>
                </c:pt>
                <c:pt idx="3">
                  <c:v>831338.85314930137</c:v>
                </c:pt>
                <c:pt idx="4">
                  <c:v>831338.85314930137</c:v>
                </c:pt>
                <c:pt idx="5">
                  <c:v>831338.85314930137</c:v>
                </c:pt>
                <c:pt idx="6">
                  <c:v>831338.85314930137</c:v>
                </c:pt>
                <c:pt idx="7">
                  <c:v>831338.85314930137</c:v>
                </c:pt>
                <c:pt idx="8">
                  <c:v>831338.85314930137</c:v>
                </c:pt>
                <c:pt idx="9">
                  <c:v>831338.85314930137</c:v>
                </c:pt>
                <c:pt idx="10">
                  <c:v>831338.85314930137</c:v>
                </c:pt>
                <c:pt idx="11">
                  <c:v>831338.85314930137</c:v>
                </c:pt>
                <c:pt idx="12">
                  <c:v>831338.85314930137</c:v>
                </c:pt>
                <c:pt idx="13">
                  <c:v>831338.85314930137</c:v>
                </c:pt>
                <c:pt idx="14">
                  <c:v>831338.85314930137</c:v>
                </c:pt>
                <c:pt idx="15">
                  <c:v>831338.85314930137</c:v>
                </c:pt>
                <c:pt idx="16">
                  <c:v>831338.85314930137</c:v>
                </c:pt>
                <c:pt idx="17">
                  <c:v>831338.85314930137</c:v>
                </c:pt>
                <c:pt idx="18">
                  <c:v>831338.85314930137</c:v>
                </c:pt>
                <c:pt idx="19">
                  <c:v>831338.85314930137</c:v>
                </c:pt>
                <c:pt idx="20">
                  <c:v>831338.85314930137</c:v>
                </c:pt>
                <c:pt idx="21">
                  <c:v>831338.85314930137</c:v>
                </c:pt>
                <c:pt idx="22">
                  <c:v>831338.85314930137</c:v>
                </c:pt>
                <c:pt idx="23">
                  <c:v>831338.85314930137</c:v>
                </c:pt>
                <c:pt idx="24">
                  <c:v>831338.85314930137</c:v>
                </c:pt>
                <c:pt idx="25">
                  <c:v>831338.85314930137</c:v>
                </c:pt>
                <c:pt idx="26">
                  <c:v>831338.85314930137</c:v>
                </c:pt>
                <c:pt idx="27">
                  <c:v>831338.85314930137</c:v>
                </c:pt>
                <c:pt idx="28">
                  <c:v>831338.85314930137</c:v>
                </c:pt>
                <c:pt idx="29">
                  <c:v>831338.85314930137</c:v>
                </c:pt>
                <c:pt idx="30">
                  <c:v>831338.85314930137</c:v>
                </c:pt>
                <c:pt idx="31">
                  <c:v>831338.85314930137</c:v>
                </c:pt>
                <c:pt idx="32">
                  <c:v>831338.85314930137</c:v>
                </c:pt>
                <c:pt idx="33">
                  <c:v>831338.85314930137</c:v>
                </c:pt>
                <c:pt idx="34">
                  <c:v>831338.85314930137</c:v>
                </c:pt>
                <c:pt idx="35">
                  <c:v>831338.85314930137</c:v>
                </c:pt>
                <c:pt idx="36">
                  <c:v>831338.85314930137</c:v>
                </c:pt>
                <c:pt idx="37">
                  <c:v>831338.85314930137</c:v>
                </c:pt>
                <c:pt idx="38">
                  <c:v>831338.85314930137</c:v>
                </c:pt>
                <c:pt idx="39">
                  <c:v>831338.85314930137</c:v>
                </c:pt>
                <c:pt idx="40">
                  <c:v>831338.85314930137</c:v>
                </c:pt>
                <c:pt idx="41">
                  <c:v>831338.85314930137</c:v>
                </c:pt>
                <c:pt idx="42">
                  <c:v>831338.85314930137</c:v>
                </c:pt>
                <c:pt idx="43">
                  <c:v>831338.85314930137</c:v>
                </c:pt>
                <c:pt idx="44">
                  <c:v>831338.85314930137</c:v>
                </c:pt>
                <c:pt idx="45">
                  <c:v>831338.85314930137</c:v>
                </c:pt>
                <c:pt idx="46">
                  <c:v>831338.85314930137</c:v>
                </c:pt>
                <c:pt idx="47">
                  <c:v>831338.85314930137</c:v>
                </c:pt>
                <c:pt idx="48">
                  <c:v>831338.85314930137</c:v>
                </c:pt>
                <c:pt idx="49">
                  <c:v>831338.85314930137</c:v>
                </c:pt>
                <c:pt idx="50">
                  <c:v>831338.85314930137</c:v>
                </c:pt>
                <c:pt idx="51">
                  <c:v>831338.85314930137</c:v>
                </c:pt>
                <c:pt idx="52">
                  <c:v>831338.85314930137</c:v>
                </c:pt>
                <c:pt idx="53">
                  <c:v>831338.85314930137</c:v>
                </c:pt>
                <c:pt idx="54">
                  <c:v>831338.85314930137</c:v>
                </c:pt>
              </c:numCache>
            </c:numRef>
          </c:val>
          <c:extLst>
            <c:ext xmlns:c16="http://schemas.microsoft.com/office/drawing/2014/chart" uri="{C3380CC4-5D6E-409C-BE32-E72D297353CC}">
              <c16:uniqueId val="{00000009-2059-4759-BF65-1E23605BC239}"/>
            </c:ext>
          </c:extLst>
        </c:ser>
        <c:dLbls>
          <c:showLegendKey val="0"/>
          <c:showVal val="0"/>
          <c:showCatName val="0"/>
          <c:showSerName val="0"/>
          <c:showPercent val="0"/>
          <c:showBubbleSize val="0"/>
        </c:dLbls>
        <c:gapWidth val="219"/>
        <c:overlap val="-27"/>
        <c:axId val="560445712"/>
        <c:axId val="560449552"/>
      </c:barChart>
      <c:catAx>
        <c:axId val="56044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449552"/>
        <c:crosses val="autoZero"/>
        <c:auto val="1"/>
        <c:lblAlgn val="ctr"/>
        <c:lblOffset val="100"/>
        <c:noMultiLvlLbl val="0"/>
      </c:catAx>
      <c:valAx>
        <c:axId val="5604495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445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8.png"/></Relationships>
</file>

<file path=xl/drawings/_rels/drawing13.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6</xdr:col>
      <xdr:colOff>365760</xdr:colOff>
      <xdr:row>2</xdr:row>
      <xdr:rowOff>163830</xdr:rowOff>
    </xdr:from>
    <xdr:to>
      <xdr:col>14</xdr:col>
      <xdr:colOff>327660</xdr:colOff>
      <xdr:row>20</xdr:row>
      <xdr:rowOff>121920</xdr:rowOff>
    </xdr:to>
    <xdr:graphicFrame macro="">
      <xdr:nvGraphicFramePr>
        <xdr:cNvPr id="3" name="Chart 2">
          <a:extLst>
            <a:ext uri="{FF2B5EF4-FFF2-40B4-BE49-F238E27FC236}">
              <a16:creationId xmlns:a16="http://schemas.microsoft.com/office/drawing/2014/main" id="{E7939D2C-019F-4177-E2FF-8C8B0D452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144780</xdr:colOff>
      <xdr:row>3</xdr:row>
      <xdr:rowOff>102870</xdr:rowOff>
    </xdr:from>
    <xdr:to>
      <xdr:col>15</xdr:col>
      <xdr:colOff>586740</xdr:colOff>
      <xdr:row>22</xdr:row>
      <xdr:rowOff>137160</xdr:rowOff>
    </xdr:to>
    <xdr:graphicFrame macro="">
      <xdr:nvGraphicFramePr>
        <xdr:cNvPr id="2" name="Chart 1">
          <a:extLst>
            <a:ext uri="{FF2B5EF4-FFF2-40B4-BE49-F238E27FC236}">
              <a16:creationId xmlns:a16="http://schemas.microsoft.com/office/drawing/2014/main" id="{67041C05-CEBC-AE06-E5D6-5C919542F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160020</xdr:colOff>
      <xdr:row>13</xdr:row>
      <xdr:rowOff>87630</xdr:rowOff>
    </xdr:from>
    <xdr:to>
      <xdr:col>13</xdr:col>
      <xdr:colOff>304800</xdr:colOff>
      <xdr:row>33</xdr:row>
      <xdr:rowOff>0</xdr:rowOff>
    </xdr:to>
    <xdr:graphicFrame macro="">
      <xdr:nvGraphicFramePr>
        <xdr:cNvPr id="2" name="Chart 1">
          <a:extLst>
            <a:ext uri="{FF2B5EF4-FFF2-40B4-BE49-F238E27FC236}">
              <a16:creationId xmlns:a16="http://schemas.microsoft.com/office/drawing/2014/main" id="{92910B67-A642-42A6-1EB0-FCD202C85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480060</xdr:colOff>
      <xdr:row>1</xdr:row>
      <xdr:rowOff>87630</xdr:rowOff>
    </xdr:from>
    <xdr:to>
      <xdr:col>11</xdr:col>
      <xdr:colOff>175260</xdr:colOff>
      <xdr:row>16</xdr:row>
      <xdr:rowOff>87630</xdr:rowOff>
    </xdr:to>
    <xdr:graphicFrame macro="">
      <xdr:nvGraphicFramePr>
        <xdr:cNvPr id="2" name="Chart 1">
          <a:extLst>
            <a:ext uri="{FF2B5EF4-FFF2-40B4-BE49-F238E27FC236}">
              <a16:creationId xmlns:a16="http://schemas.microsoft.com/office/drawing/2014/main" id="{4F3877F5-9A62-9BD2-28CF-FDA5BB465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149256</xdr:colOff>
      <xdr:row>26</xdr:row>
      <xdr:rowOff>77771</xdr:rowOff>
    </xdr:from>
    <xdr:to>
      <xdr:col>17</xdr:col>
      <xdr:colOff>361359</xdr:colOff>
      <xdr:row>40</xdr:row>
      <xdr:rowOff>291445</xdr:rowOff>
    </xdr:to>
    <xdr:graphicFrame macro="">
      <xdr:nvGraphicFramePr>
        <xdr:cNvPr id="3" name="Chart 2">
          <a:extLst>
            <a:ext uri="{FF2B5EF4-FFF2-40B4-BE49-F238E27FC236}">
              <a16:creationId xmlns:a16="http://schemas.microsoft.com/office/drawing/2014/main" id="{A37BF283-B297-7726-849C-1E72DFE46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149258</xdr:colOff>
      <xdr:row>42</xdr:row>
      <xdr:rowOff>132761</xdr:rowOff>
    </xdr:from>
    <xdr:to>
      <xdr:col>17</xdr:col>
      <xdr:colOff>361361</xdr:colOff>
      <xdr:row>57</xdr:row>
      <xdr:rowOff>165755</xdr:rowOff>
    </xdr:to>
    <xdr:graphicFrame macro="">
      <xdr:nvGraphicFramePr>
        <xdr:cNvPr id="4" name="Chart 3">
          <a:extLst>
            <a:ext uri="{FF2B5EF4-FFF2-40B4-BE49-F238E27FC236}">
              <a16:creationId xmlns:a16="http://schemas.microsoft.com/office/drawing/2014/main" id="{FF1EF286-8400-C076-5395-399F17EA8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141401</xdr:colOff>
      <xdr:row>3</xdr:row>
      <xdr:rowOff>62060</xdr:rowOff>
    </xdr:from>
    <xdr:to>
      <xdr:col>43</xdr:col>
      <xdr:colOff>534185</xdr:colOff>
      <xdr:row>32</xdr:row>
      <xdr:rowOff>133546</xdr:rowOff>
    </xdr:to>
    <xdr:graphicFrame macro="">
      <xdr:nvGraphicFramePr>
        <xdr:cNvPr id="5" name="Chart 4">
          <a:extLst>
            <a:ext uri="{FF2B5EF4-FFF2-40B4-BE49-F238E27FC236}">
              <a16:creationId xmlns:a16="http://schemas.microsoft.com/office/drawing/2014/main" id="{782CEBC2-8FC6-607E-3AFE-664B0D127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388620</xdr:colOff>
      <xdr:row>1</xdr:row>
      <xdr:rowOff>167640</xdr:rowOff>
    </xdr:from>
    <xdr:to>
      <xdr:col>23</xdr:col>
      <xdr:colOff>236220</xdr:colOff>
      <xdr:row>18</xdr:row>
      <xdr:rowOff>88640</xdr:rowOff>
    </xdr:to>
    <xdr:pic>
      <xdr:nvPicPr>
        <xdr:cNvPr id="3" name="Picture 2">
          <a:extLst>
            <a:ext uri="{FF2B5EF4-FFF2-40B4-BE49-F238E27FC236}">
              <a16:creationId xmlns:a16="http://schemas.microsoft.com/office/drawing/2014/main" id="{38D40C00-DFEC-BF1C-C5C5-8FA595698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84620" y="350520"/>
          <a:ext cx="7772400" cy="30375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22860</xdr:colOff>
      <xdr:row>0</xdr:row>
      <xdr:rowOff>106680</xdr:rowOff>
    </xdr:from>
    <xdr:to>
      <xdr:col>20</xdr:col>
      <xdr:colOff>388620</xdr:colOff>
      <xdr:row>21</xdr:row>
      <xdr:rowOff>12536</xdr:rowOff>
    </xdr:to>
    <xdr:pic>
      <xdr:nvPicPr>
        <xdr:cNvPr id="2" name="Picture 1">
          <a:extLst>
            <a:ext uri="{FF2B5EF4-FFF2-40B4-BE49-F238E27FC236}">
              <a16:creationId xmlns:a16="http://schemas.microsoft.com/office/drawing/2014/main" id="{31106DD7-3C13-7963-8C36-E3A54D0A32D7}"/>
            </a:ext>
          </a:extLst>
        </xdr:cNvPr>
        <xdr:cNvPicPr>
          <a:picLocks noChangeAspect="1"/>
        </xdr:cNvPicPr>
      </xdr:nvPicPr>
      <xdr:blipFill>
        <a:blip xmlns:r="http://schemas.openxmlformats.org/officeDocument/2006/relationships" r:embed="rId1"/>
        <a:stretch>
          <a:fillRect/>
        </a:stretch>
      </xdr:blipFill>
      <xdr:spPr>
        <a:xfrm>
          <a:off x="6118860" y="106680"/>
          <a:ext cx="6461760" cy="38301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304801</xdr:colOff>
      <xdr:row>19</xdr:row>
      <xdr:rowOff>571500</xdr:rowOff>
    </xdr:from>
    <xdr:to>
      <xdr:col>6</xdr:col>
      <xdr:colOff>843045</xdr:colOff>
      <xdr:row>41</xdr:row>
      <xdr:rowOff>91440</xdr:rowOff>
    </xdr:to>
    <xdr:pic>
      <xdr:nvPicPr>
        <xdr:cNvPr id="2" name="Picture 1">
          <a:extLst>
            <a:ext uri="{FF2B5EF4-FFF2-40B4-BE49-F238E27FC236}">
              <a16:creationId xmlns:a16="http://schemas.microsoft.com/office/drawing/2014/main" id="{C9B33A80-874E-948E-8A0F-BB888F17BF27}"/>
            </a:ext>
          </a:extLst>
        </xdr:cNvPr>
        <xdr:cNvPicPr>
          <a:picLocks noChangeAspect="1"/>
        </xdr:cNvPicPr>
      </xdr:nvPicPr>
      <xdr:blipFill>
        <a:blip xmlns:r="http://schemas.openxmlformats.org/officeDocument/2006/relationships" r:embed="rId1"/>
        <a:stretch>
          <a:fillRect/>
        </a:stretch>
      </xdr:blipFill>
      <xdr:spPr>
        <a:xfrm>
          <a:off x="304801" y="4130040"/>
          <a:ext cx="6893324" cy="433578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60960</xdr:colOff>
      <xdr:row>6</xdr:row>
      <xdr:rowOff>60960</xdr:rowOff>
    </xdr:from>
    <xdr:to>
      <xdr:col>23</xdr:col>
      <xdr:colOff>221628</xdr:colOff>
      <xdr:row>21</xdr:row>
      <xdr:rowOff>61198</xdr:rowOff>
    </xdr:to>
    <xdr:pic>
      <xdr:nvPicPr>
        <xdr:cNvPr id="2" name="Picture 1">
          <a:extLst>
            <a:ext uri="{FF2B5EF4-FFF2-40B4-BE49-F238E27FC236}">
              <a16:creationId xmlns:a16="http://schemas.microsoft.com/office/drawing/2014/main" id="{B2D9B3A4-6F7A-CA3E-D873-E972E83E126B}"/>
            </a:ext>
          </a:extLst>
        </xdr:cNvPr>
        <xdr:cNvPicPr>
          <a:picLocks noChangeAspect="1"/>
        </xdr:cNvPicPr>
      </xdr:nvPicPr>
      <xdr:blipFill>
        <a:blip xmlns:r="http://schemas.openxmlformats.org/officeDocument/2006/relationships" r:embed="rId1"/>
        <a:stretch>
          <a:fillRect/>
        </a:stretch>
      </xdr:blipFill>
      <xdr:spPr>
        <a:xfrm>
          <a:off x="7399020" y="1158240"/>
          <a:ext cx="7475868" cy="27434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68580</xdr:colOff>
      <xdr:row>1</xdr:row>
      <xdr:rowOff>175260</xdr:rowOff>
    </xdr:from>
    <xdr:to>
      <xdr:col>24</xdr:col>
      <xdr:colOff>297834</xdr:colOff>
      <xdr:row>23</xdr:row>
      <xdr:rowOff>38437</xdr:rowOff>
    </xdr:to>
    <xdr:pic>
      <xdr:nvPicPr>
        <xdr:cNvPr id="2" name="Picture 1">
          <a:extLst>
            <a:ext uri="{FF2B5EF4-FFF2-40B4-BE49-F238E27FC236}">
              <a16:creationId xmlns:a16="http://schemas.microsoft.com/office/drawing/2014/main" id="{A54FD991-7C27-D1AC-5504-30105A8432C5}"/>
            </a:ext>
          </a:extLst>
        </xdr:cNvPr>
        <xdr:cNvPicPr>
          <a:picLocks noChangeAspect="1"/>
        </xdr:cNvPicPr>
      </xdr:nvPicPr>
      <xdr:blipFill>
        <a:blip xmlns:r="http://schemas.openxmlformats.org/officeDocument/2006/relationships" r:embed="rId1"/>
        <a:stretch>
          <a:fillRect/>
        </a:stretch>
      </xdr:blipFill>
      <xdr:spPr>
        <a:xfrm>
          <a:off x="8694420" y="434340"/>
          <a:ext cx="7544454" cy="389415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0</xdr:colOff>
      <xdr:row>2</xdr:row>
      <xdr:rowOff>0</xdr:rowOff>
    </xdr:from>
    <xdr:to>
      <xdr:col>21</xdr:col>
      <xdr:colOff>549292</xdr:colOff>
      <xdr:row>11</xdr:row>
      <xdr:rowOff>122073</xdr:rowOff>
    </xdr:to>
    <xdr:pic>
      <xdr:nvPicPr>
        <xdr:cNvPr id="2" name="Picture 1">
          <a:extLst>
            <a:ext uri="{FF2B5EF4-FFF2-40B4-BE49-F238E27FC236}">
              <a16:creationId xmlns:a16="http://schemas.microsoft.com/office/drawing/2014/main" id="{215EFF1E-F4EE-BAA3-3915-53014E58E09B}"/>
            </a:ext>
          </a:extLst>
        </xdr:cNvPr>
        <xdr:cNvPicPr>
          <a:picLocks noChangeAspect="1"/>
        </xdr:cNvPicPr>
      </xdr:nvPicPr>
      <xdr:blipFill>
        <a:blip xmlns:r="http://schemas.openxmlformats.org/officeDocument/2006/relationships" r:embed="rId1"/>
        <a:stretch>
          <a:fillRect/>
        </a:stretch>
      </xdr:blipFill>
      <xdr:spPr>
        <a:xfrm>
          <a:off x="6096000" y="365760"/>
          <a:ext cx="7521592" cy="176799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464820</xdr:colOff>
      <xdr:row>1</xdr:row>
      <xdr:rowOff>152401</xdr:rowOff>
    </xdr:from>
    <xdr:to>
      <xdr:col>22</xdr:col>
      <xdr:colOff>335280</xdr:colOff>
      <xdr:row>18</xdr:row>
      <xdr:rowOff>69022</xdr:rowOff>
    </xdr:to>
    <xdr:pic>
      <xdr:nvPicPr>
        <xdr:cNvPr id="2" name="Picture 1">
          <a:extLst>
            <a:ext uri="{FF2B5EF4-FFF2-40B4-BE49-F238E27FC236}">
              <a16:creationId xmlns:a16="http://schemas.microsoft.com/office/drawing/2014/main" id="{FC36B70C-8626-998D-087A-13D7F8DEC6AD}"/>
            </a:ext>
          </a:extLst>
        </xdr:cNvPr>
        <xdr:cNvPicPr>
          <a:picLocks noChangeAspect="1"/>
        </xdr:cNvPicPr>
      </xdr:nvPicPr>
      <xdr:blipFill>
        <a:blip xmlns:r="http://schemas.openxmlformats.org/officeDocument/2006/relationships" r:embed="rId1"/>
        <a:stretch>
          <a:fillRect/>
        </a:stretch>
      </xdr:blipFill>
      <xdr:spPr>
        <a:xfrm>
          <a:off x="12382500" y="335281"/>
          <a:ext cx="5966460" cy="414121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601980</xdr:colOff>
      <xdr:row>1</xdr:row>
      <xdr:rowOff>160020</xdr:rowOff>
    </xdr:from>
    <xdr:to>
      <xdr:col>21</xdr:col>
      <xdr:colOff>122565</xdr:colOff>
      <xdr:row>17</xdr:row>
      <xdr:rowOff>7861</xdr:rowOff>
    </xdr:to>
    <xdr:pic>
      <xdr:nvPicPr>
        <xdr:cNvPr id="2" name="Picture 1">
          <a:extLst>
            <a:ext uri="{FF2B5EF4-FFF2-40B4-BE49-F238E27FC236}">
              <a16:creationId xmlns:a16="http://schemas.microsoft.com/office/drawing/2014/main" id="{8F29EC43-D6F7-3C7D-D15B-859BFD8E5927}"/>
            </a:ext>
          </a:extLst>
        </xdr:cNvPr>
        <xdr:cNvPicPr>
          <a:picLocks noChangeAspect="1"/>
        </xdr:cNvPicPr>
      </xdr:nvPicPr>
      <xdr:blipFill>
        <a:blip xmlns:r="http://schemas.openxmlformats.org/officeDocument/2006/relationships" r:embed="rId1"/>
        <a:stretch>
          <a:fillRect/>
        </a:stretch>
      </xdr:blipFill>
      <xdr:spPr>
        <a:xfrm>
          <a:off x="5478780" y="342900"/>
          <a:ext cx="7445385" cy="278154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20</xdr:col>
      <xdr:colOff>122565</xdr:colOff>
      <xdr:row>14</xdr:row>
      <xdr:rowOff>91622</xdr:rowOff>
    </xdr:to>
    <xdr:pic>
      <xdr:nvPicPr>
        <xdr:cNvPr id="2" name="Picture 1">
          <a:extLst>
            <a:ext uri="{FF2B5EF4-FFF2-40B4-BE49-F238E27FC236}">
              <a16:creationId xmlns:a16="http://schemas.microsoft.com/office/drawing/2014/main" id="{25DD1D9C-C521-0804-15DD-B9208929A274}"/>
            </a:ext>
          </a:extLst>
        </xdr:cNvPr>
        <xdr:cNvPicPr>
          <a:picLocks noChangeAspect="1"/>
        </xdr:cNvPicPr>
      </xdr:nvPicPr>
      <xdr:blipFill>
        <a:blip xmlns:r="http://schemas.openxmlformats.org/officeDocument/2006/relationships" r:embed="rId1"/>
        <a:stretch>
          <a:fillRect/>
        </a:stretch>
      </xdr:blipFill>
      <xdr:spPr>
        <a:xfrm>
          <a:off x="4876800" y="548640"/>
          <a:ext cx="7437765" cy="210330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252861-F85A-49DB-BFB7-CCF4CDF37E37}" name="Table1" displayName="Table1" ref="A15:F21" totalsRowShown="0">
  <tableColumns count="6">
    <tableColumn id="1" xr3:uid="{7515853C-3358-4380-8CA3-B36EA7AFBAC9}" name="year" dataDxfId="17"/>
    <tableColumn id="2" xr3:uid="{A38A2815-B88B-4590-9BF4-DE7AAEE612DD}" name="cherry" dataDxfId="16">
      <calculatedColumnFormula>B15*(1+$B$16)</calculatedColumnFormula>
    </tableColumn>
    <tableColumn id="3" xr3:uid="{69B532A5-0AA1-4577-B3AD-2B377BA329EA}" name="oak" dataDxfId="15">
      <calculatedColumnFormula>C15*(1+$C$16)</calculatedColumnFormula>
    </tableColumn>
    <tableColumn id="4" xr3:uid="{0DD1D18F-48C5-4DD6-A908-42C604E84405}" name="labour" dataDxfId="14">
      <calculatedColumnFormula>D15*(1+$D$16)</calculatedColumnFormula>
    </tableColumn>
    <tableColumn id="5" xr3:uid="{65F716B1-B315-4C47-A78B-ABD5331CDE82}" name="total cherry" dataDxfId="13">
      <calculatedColumnFormula>B16+D16</calculatedColumnFormula>
    </tableColumn>
    <tableColumn id="6" xr3:uid="{880309C3-75DA-49E1-8497-DEFDC1CFECEC}" name="total oak" dataDxfId="12">
      <calculatedColumnFormula>C16+D16</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 dockstate="right" visibility="0" width="438"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0339484-63CE-496E-917E-917B7E4D731F}">
  <we:reference id="wa104100404" version="3.0.0.1" store="en-US" storeType="OMEX"/>
  <we:alternateReferences>
    <we:reference id="wa104100404" version="3.0.0.1" store="wa104100404" storeType="OMEX"/>
  </we:alternateReferences>
  <we:properties>
    <we:property name="BQsAVBIqH3saM2IpCzR3O2k0LRgxAj1tIQYm" value="&quot;ew==&quot;"/>
    <we:property name="BQsAVBIqH3saM2IpCzR3O2k0LRgxAj1tIQYr" value="&quot;eQ==&quot;"/>
    <we:property name="BQsAVBIqH3saM2IpCzR3O2k0LRgxAj1tIQYx" value="&quot;eGl7TQ==&quot;"/>
    <we:property name="BQsAVBIqH3saM2IpCzR3O2k0LRgxAj1tJAY2" value="&quot;eA==&quot;"/>
    <we:property name="BQsAVBIqH3saM2IpCzR3O2k0LRgxAj1tJAYy" value="&quot;eA==&quot;"/>
    <we:property name="BQsAVBIqH3saM2IpCzR3O2k0LRgxAj1tJB4xWQ==" value="&quot;bA9mRXJda3psR3o=&quot;"/>
    <we:property name="BQsAVBIqH3saM2IpCzR3O2k0LRgxAj1tJB4xWg==" value="&quot;bANmRX5da3VsR3s=&quot;"/>
    <we:property name="BQsAVBIqH3saM2IpCzR3O2k0LRgxAj1tJB4xWw==" value="&quot;&quot;"/>
    <we:property name="BQsAVBIqH3saM2IpCzR3O2k0LRgxAj1tJQQ2" value="&quot;eGlyQ3I=&quot;"/>
    <we:property name="BQsAVBIqH3saM2IpCzR3O2k0LRgxAj1tJQUu" value="&quot;eA==&quot;"/>
    <we:property name="BQsAVBIqH3saM2IpCzR3O2k0LRgxAj1tJRM2" value="&quot;eg==&quot;"/>
    <we:property name="BQsAVBIqH3saM2IpCzR3O2k0LRgxAj1tJRgr" value="&quot;e3c=&quot;"/>
    <we:property name="BQsAVBIqH3saM2IpCzR3O2k0LRgxAj1tJgIw" value="&quot;eg==&quot;"/>
    <we:property name="BQsAVBIqH3saM2IpCzR3O2k0LRgxAj1tJgMv" value="&quot;eg==&quot;"/>
    <we:property name="BQsAVBIqH3saM2IpCzR3O2k0LRgxAj1tJhMl" value="&quot;eQ==&quot;"/>
    <we:property name="BQsAVBIqH3saM2IpCzR3O2k0LRgxAj1tKQQx" value="&quot;eQ==&quot;"/>
    <we:property name="BQsAVBIqH3saM2IpCzR3O2k0LRgxAj1tKRUh" value="&quot;eGlyRHY=&quot;"/>
    <we:property name="BQsAVBIqH3saM2IpCzR3O2k0LRgxAj1tKwAl" value="&quot;eGlyRHdW&quot;"/>
    <we:property name="BQsAVBIqH3saM2IpCzR3O2k0LRgxAj1tLRgl" value="&quot;BBc=&quot;"/>
    <we:property name="BQsAVBIqH3saM2IpCzR3O2k0LRgxAj1tLhMj" value="&quot;eGlyRHdXfwM=&quot;"/>
    <we:property name="BQsAVBIqH3saM2IpCzR3O2k0LRgxAj1tLxcy" value="&quot;eGlyRHdXfwM=&quot;"/>
    <we:property name="BQsAVBIqH3saM2IpCzR3O2k0LRgxAj1tOAQn" value="&quot;eGlyRHdXfwM=&quot;"/>
    <we:property name="BQsAVBIqH3saM2IpCzR3O2k0LRgxAj1tOgUm" value="&quot;eA==&quot;"/>
    <we:property name="BQsAVBIqH3saM2IpCzR3O2k0LRgxAj1tOh4xWQ==" value="&quot;bA1mRXJda3hsR3o=&quot;"/>
    <we:property name="BQsAVBIqH3saM2IpCzR3O2k0LRgxAj1tOh4xWg==" value="&quot;bANmRnZda3VsRHM=&quot;"/>
    <we:property name="BQsAVBIqH3saM2IpCzR3O2k0LRgxAj1tOh4xWw==" value="&quot;&quot;"/>
    <we:property name="BQsAVBIqH3saM2IpCzR3O2k0LRgxAj1tOhMuWQ==" value="&quot;aHpi&quot;"/>
    <we:property name="BQsAVBIqH3saM2IpCzR3O2k0LRgxAj1tOhMuWg==" value="&quot;aHt/VA==&quot;"/>
    <we:property name="BQsAVBIqH3saM2IpCzR3O2k0LRgxAj1tOhMuWw==" value="&quot;aHt/VA==&quot;"/>
    <we:property name="BQsAVBIqH3saM2IpCzR3O2k0LRgxAj1tOhMx" value="&quot;fQ==&quot;"/>
    <we:property name="BQsAVBIqH3saM2IpCzR3O2k0LRgxAj1tOhQ0" value="&quot;eQ==&quot;"/>
    <we:property name="BQsAVBIqH3saM2IpCzR3O2k0LRgxAj1tOho6" value="&quot;eA==&quot;"/>
    <we:property name="BQsAVBIqH3saM2IpCzR3O2k0LRgxAj1tOwIj" value="&quot;eA==&quot;"/>
    <we:property name="BQsAVBIqH3saM2IpCzR3O2k0LRgxAj1tOwU4" value="&quot;eXdy&quot;"/>
    <we:property name="BQsAVBIqH3saM2IpCzR3O2k0LRgxAj1tOxUu" value="&quot;eQ==&quot;"/>
    <we:property name="BQsAVBIqH3saM2IpCzR3O2k0LRgxAj1tOxkh" value="&quot;eA==&quot;"/>
    <we:property name="BQsAVBIqH3saM2IpCzR3O2k0LRgxAj1tPBku" value="&quot;eGlyRQ==&quot;"/>
    <we:property name="BQsAVBIqH3saM2IpCzR3O2kIIB4=" value="&quot;bARmRnI=&quot;"/>
    <we:property name="BQsAVBIqH3saM2IpCzR3O2kKIwwKDiE=" value="&quot;eg==&quot;"/>
    <we:property name="BQsAVBIqH3saM2IpCzR3O2kRIwYuBi1eLQU=" value="&quot;bANmRXJda3VsR3o=&quot;"/>
    <we:property name="BQsAVBIqH3saM2IpCzR3O2kRIwYuBi1eLQVz" value="&quot;&quot;"/>
    <we:property name="CRQRPQApAncGImI4CihyOQ0KYwcoCzlXOik2BzQ=" value="&quot;eGlyRQ==&quot;"/>
    <we:property name="CRQRPQApAncGImI4CihyOQ0KYwcoCzlXOikhHj8=" value="&quot;eGlyRHdW&quot;"/>
    <we:property name="CRQRPQApAncGImI4CihyOQ0KYwcoCzlXOikjCzs=" value="&quot;eGlyRHY=&quot;"/>
    <we:property name="CRQRPQApAncGImI4CihyOQ0KYwcoCzlXOikjGis=" value="&quot;eQ==&quot;"/>
    <we:property name="CRQRPQApAncGImI4CihyOQ0KYwcoCzlXOikkDTk=" value="&quot;eGlyRHdXfwM=&quot;"/>
    <we:property name="CRQRPQApAncGImI4CihyOQ0KYwcoCzlXOiklCSg=" value="&quot;eGlyRHdXfwM=&quot;"/>
    <we:property name="CRQRPQApAncGImI4CihyOQ0KYwcoCzlXOiknBj8=" value="&quot;BBc=&quot;"/>
    <we:property name="CRQRPQApAncGImI4CihyOQ0KYwcoCzlXOikrGCs=" value="&quot;eGl7TQ==&quot;"/>
    <we:property name="CRQRPQApAncGImI4CihyOQ0KYwcoCzlXOikrGDE=" value="&quot;eQ==&quot;"/>
    <we:property name="CRQRPQApAncGImI4CihyOQ0KYwcoCzlXOikrGDw=" value="&quot;ew==&quot;"/>
    <we:property name="CRQRPQApAncGImI4CihyOQ0KYwcoCzlXOiksDT8=" value="&quot;eQ==&quot;"/>
    <we:property name="CRQRPQApAncGImI4CihyOQ0KYwcoCzlXOiksHCo=" value="&quot;eg==&quot;"/>
    <we:property name="CRQRPQApAncGImI4CihyOQ0KYwcoCzlXOiksHTU=" value="&quot;eg==&quot;"/>
    <we:property name="CRQRPQApAncGImI4CihyOQ0KYwcoCzlXOikuACtU" value="&quot;&quot;"/>
    <we:property name="CRQRPQApAncGImI4CihyOQ0KYwcoCzlXOikuACtV" value="&quot;bARmRXBda3RsR3U=&quot;"/>
    <we:property name="CRQRPQApAncGImI4CihyOQ0KYwcoCzlXOikuACtW" value="&quot;bABmRXNda3VsR3Q=&quot;"/>
    <we:property name="CRQRPQApAncGImI4CihyOQ0KYwcoCzlXOikuGCg=" value="&quot;eA==&quot;"/>
    <we:property name="CRQRPQApAncGImI4CihyOQ0KYwcoCzlXOikuGCw=" value="&quot;eA==&quot;"/>
    <we:property name="CRQRPQApAncGImI4CihyOQ0KYwcoCzlXOikvBjE=" value="&quot;e3c=&quot;"/>
    <we:property name="CRQRPQApAncGImI4CihyOQ0KYwcoCzlXOikvDSw=" value="&quot;eg==&quot;"/>
    <we:property name="CRQRPQApAncGImI4CihyOQ0KYwcoCzlXOikvGiw=" value="&quot;eGlyQ3I=&quot;"/>
    <we:property name="CRQRPQApAncGImI4CihyOQ0KYwcoCzlXOikvGzQ=" value="&quot;eA==&quot;"/>
    <we:property name="CRQRPQApAncGImI4CihyOQ0KYwcoCzlXOikwACtU" value="&quot;&quot;"/>
    <we:property name="CRQRPQApAncGImI4CihyOQ0KYwcoCzlXOikwACtV" value="&quot;bARmRX5da3RsR3s=&quot;"/>
    <we:property name="CRQRPQApAncGImI4CihyOQ0KYwcoCzlXOikwACtW" value="&quot;bA5mRXNda3tsR3Q=&quot;"/>
    <we:property name="CRQRPQApAncGImI4CihyOQ0KYwcoCzlXOikwBCA=" value="&quot;eA==&quot;"/>
    <we:property name="CRQRPQApAncGImI4CihyOQ0KYwcoCzlXOikwCi4=" value="&quot;eQ==&quot;"/>
    <we:property name="CRQRPQApAncGImI4CihyOQ0KYwcoCzlXOikwDSs=" value="&quot;fQ==&quot;"/>
    <we:property name="CRQRPQApAncGImI4CihyOQ0KYwcoCzlXOikwDTRU" value="&quot;aHt/VA==&quot;"/>
    <we:property name="CRQRPQApAncGImI4CihyOQ0KYwcoCzlXOikwDTRV" value="&quot;aHt/VA==&quot;"/>
    <we:property name="CRQRPQApAncGImI4CihyOQ0KYwcoCzlXOikwDTRW" value="&quot;aHpi&quot;"/>
    <we:property name="CRQRPQApAncGImI4CihyOQ0KYwcoCzlXOikwGzw=" value="&quot;eA==&quot;"/>
    <we:property name="CRQRPQApAncGImI4CihyOQ0KYwcoCzlXOikxBzs=" value="&quot;eA==&quot;"/>
    <we:property name="CRQRPQApAncGImI4CihyOQ0KYwcoCzlXOikxCzQ=" value="&quot;eQ==&quot;"/>
    <we:property name="CRQRPQApAncGImI4CihyOQ0KYwcoCzlXOikxGyI=" value="&quot;eXdy&quot;"/>
    <we:property name="CRQRPQApAncGImI4CihyOQ0KYwcoCzlXOikxHDk=" value="&quot;eA==&quot;"/>
    <we:property name="CRQRPQApAncGImI4CihyOQ0KYwcoCzlXOikyGj0=" value="&quot;eGlyRHdXfwM=&quot;"/>
    <we:property name="CRQRPQApAncGImI4CihyOQ0KYyImFSZTKhonG20=" value="&quot;bANmRXI=&quot;"/>
    <we:property name="CRQRPQApAncGImI4CihyOQ0KYyImFSZTKhonG24=" value="&quot;bAJmRXI=&quot;"/>
    <we:property name="CRQRPQApAncGImI4CihyOQ0KYyImFSZTKhonG28=" value="&quot;bAFmRXI=&quot;"/>
    <we:property name="CRQRPQApAncGImI4CihyOQ0KYyImFSZTKhonG2A=" value="&quot;bARmRXE=&quot;"/>
    <we:property name="CRQRPQApAncGImI4CihyOQ0KYyImFSZTKhonG2E=" value="&quot;bANmRXE=&quot;"/>
    <we:property name="CRQRPQApAncGImI4CihyOQ0KYyImFSZTKhonG2k=" value="&quot;bANmRXM=&quot;"/>
    <we:property name="CRQRPQApAncGImI4CihyOQ0KYyImFSZTKhonG2lV" value="&quot;&quot;"/>
    <we:property name="CRQRPQApAncGImI4CihyOQ0KYyImFSZTKhonG2lW" value="&quot;bAFmRXE=&quot;"/>
    <we:property name="CRQRPQApAncGImI4CihyOQ0KYyImFSZTKhonG2lX" value="&quot;bAJmRXE=&quot;"/>
    <we:property name="CRQRPQApAncGImI4CihyOQ0KYyImFSZTKhonG2o=" value="&quot;bAJmRXM=&quot;"/>
    <we:property name="CRQRPQApAncGImI4CihyOQ0KYyImFSZTKhonG2s=" value="&quot;bAFmRXM=&quot;"/>
    <we:property name="CRQRPQApAncGImI4CihyOQ0KYyImFSZTKhonG2w=" value="&quot;bARmRXI=&quot;"/>
    <we:property name="CRQRPQApAncGImI4CihyOQ0KYyImFSZTKhonGw==" value="&quot;bARmRXM=&quot;"/>
    <we:property name="CRQRPQApAncGImI4CihyOQ0KYzkmHwJbJg==" value="&quot;eg==&quot;"/>
    <we:property name="CRQRPQApAncGImI4CihyOQ0KYzslDQ==" value="&quot;bAVmRnQ=&quot;"/>
    <we:property name="CSkxAyIVb2AtBi0aLEZ/FyI=" value="&quot;&quot;"/>
    <we:property name="CSkxAyIVb2AtBi0aLEZ9FDAKKxo=" value="&quot;eQ==&quot;"/>
    <we:property name="CSkxAyIVb2AtBi0aLEZDGiQxJwYYAC5C" value="&quot;eGlyRHdXfwM=&quot;"/>
    <we:property name="CSkxAyIVb2AtBi0aLEZDGiQxJwYYASpT" value="&quot;eGlyRHdXfwM=&quot;"/>
    <we:property name="CSkxAyIVb2AtBi0aLEZDGiQxJwYYAiFV" value="&quot;DxUF&quot;"/>
    <we:property name="CSkxAyIVb2AtBi0aLEZDGiQxJwYYBDlV" value="&quot;eGlyRHdW&quot;"/>
    <we:property name="CSkxAyIVb2AtBi0aLEZDGiQxJwYYBixR" value="&quot;eGlyRHY=&quot;"/>
    <we:property name="CSkxAyIVb2AtBi0aLEZDGiQxJwYYBj1B" value="&quot;eQ==&quot;"/>
    <we:property name="CSkxAyIVb2AtBi0aLEZDGiQxJwYYCSpV" value="&quot;eQ==&quot;"/>
    <we:property name="CSkxAyIVb2AtBi0aLEZDGiQxJwYYCTtA" value="&quot;eg==&quot;"/>
    <we:property name="CSkxAyIVb2AtBi0aLEZDGiQxJwYYCiFb" value="&quot;e3c=&quot;"/>
    <we:property name="CSkxAyIVb2AtBi0aLEZDGiQxJwYYCipG" value="&quot;eg==&quot;"/>
    <we:property name="CSkxAyIVb2AtBi0aLEZDGiQxJwYYCj1G" value="&quot;eGlyQ3I=&quot;"/>
    <we:property name="CSkxAyIVb2AtBi0aLEZDGiQxJwYYCjxe" value="&quot;eA==&quot;"/>
    <we:property name="CSkxAyIVb2AtBi0aLEZDGiQxJwYYCz9C" value="&quot;eA==&quot;"/>
    <we:property name="CSkxAyIVb2AtBi0aLEZDGiQxJwYYCz9G" value="&quot;eA==&quot;"/>
    <we:property name="CSkxAyIVb2AtBi0aLEZDGiQxJwYYDj9B" value="&quot;eGl7TQ==&quot;"/>
    <we:property name="CSkxAyIVb2AtBi0aLEZDGiQxJwYYDj9W" value="&quot;ew==&quot;"/>
    <we:property name="CSkxAyIVb2AtBi0aLEZDGiQxJwYYDj9b" value="&quot;eQ==&quot;"/>
    <we:property name="CSkxAyIVb2AtBi0aLEZDGiQxJwYYEyBe" value="&quot;eGlyRQ==&quot;"/>
    <we:property name="CSkxAyIVb2AtBi0aLEZDGiQxJwYYFCBR" value="&quot;eA==&quot;"/>
    <we:property name="CSkxAyIVb2AtBi0aLEZDGiQxJwYYFCxe" value="&quot;eQ==&quot;"/>
    <we:property name="CSkxAyIVb2AtBi0aLEZDGiQxJwYYFDtT" value="&quot;eA==&quot;"/>
    <we:property name="CSkxAyIVb2AtBi0aLEZDGiQxJwYYFDxI" value="&quot;eXdy&quot;"/>
    <we:property name="CSkxAyIVb2AtBi0aLEZDGiQxJwYYFS1E" value="&quot;eQ==&quot;"/>
    <we:property name="CSkxAyIVb2AtBi0aLEZDGiQxJwYYFSNK" value="&quot;eA==&quot;"/>
    <we:property name="CSkxAyIVb2AtBi0aLEZDGiQxJwYYFSpB" value="&quot;fQ==&quot;"/>
    <we:property name="CSkxAyIVb2AtBi0aLEZDGiQxJwYYFTxW" value="&quot;eA==&quot;"/>
    <we:property name="CSkxAyIVb2AtBi0aLEZDGiQxJwYYFz1X" value="&quot;eGlyRHdXfwM=&quot;"/>
    <we:property name="Cg4MNRU+b3sGIAc7DCp1OxxnBjEELhx7BzhjCzcOXio4NScHKAs5V3k=" value="&quot;eQ==&quot;"/>
    <we:property name="Cg4MNRU+b3sGIAc7DCp1OxxnBjEELhx7BzhjCzcOXio4NSsZJgs7XSQ=" value="&quot;eGlyRHdXfwJ5&quot;"/>
    <we:property name="Cg4MNRU+b3sGIAc7DCp1OxxnBjEELhx7BzhjCzcOXiogIjcGNA==" value="&quot;eQ==&quot;"/>
    <we:property name="Cg4MNRU+b3sGIAc7DCp1OxxnBjEELhx7BzhjCzcOXiohKTYRIAI9QjoTMQc0EVU=" value="&quot;eQ==&quot;"/>
    <we:property name="Cg4MNRU+b3sGIAc7DCp1OxxnBjEELhx7BzhjCzcOXiorMjYAPhcq" value="&quot;eQ==&quot;"/>
    <we:property name="Cg4MNRU+b3sGIAc7DCp1OxxnBjEELhx7BzhjCzcOXiosMiMYMwgj" value="&quot;eGlyRHdXfwJ5&quot;"/>
    <we:property name="Cg4MNRU+b3sGIAc7DCp1OxxnBjEELhx7BzhjGzcLRhA6GC4EMw==" value="&quot;eA==&quot;"/>
    <we:property name="Cg4MNRU+b3sGIAc7DCp1OxxnBjEELhx7BzhjGzcLRhA6GC4ENw==" value="&quot;eA==&quot;"/>
    <we:property name="Cg4MNRU+b3sGIAc7DCp1OxxnBjEELhx7BzhjGzcLRhA6GC4cNFE=" value="&quot;&quot;"/>
    <we:property name="Cg4MNRU+b3sGIAc7DCp1OxxnBjEELhx7BzhjGzcLRhA6GC4cNFI=" value="&quot;bAVmTH1DBxZw&quot;"/>
    <we:property name="Cg4MNRU+b3sGIAc7DCp1OxxnBjEELhx7BzhjGzcLRhA6GC4cNFM=" value="&quot;bA5mRX8=&quot;"/>
    <we:property name="Cg4MNRU+b3sGIAc7DCp1OxxnBjEELhx7BzhjGzcLRhA6GC4cNFQ=" value="&quot;bA5mRXA=&quot;"/>
    <we:property name="Cg4MNRU+b3sGIAc7DCp1OxxnBjEELhx7BzhjGzcLRhA6GC4cNFU=" value="&quot;bA5mRXE=&quot;"/>
    <we:property name="Cg4MNRU+b3sGIAc7DCp1OxxnBjEELhx7BzhjGzcLRhA6GC4cNFY=" value="&quot;bA5mRXI=&quot;"/>
    <we:property name="Cg4MNRU+b3sGIAc7DCp1OxxnBjEELhx7BzhjGzcLRhA6GC8GMw==" value="&quot;eGlyQ3I=&quot;"/>
    <we:property name="Cg4MNRU+b3sGIAc7DCp1OxxnBjEELhx7BzhjGzcLRhA6GC8HKw==" value="&quot;eA==&quot;"/>
    <we:property name="Cg4MNRU+b3sGIAc7DCp1OxxnBjEELhx7BzhjGzcLRhA6GC8RMw==" value="&quot;eg==&quot;"/>
    <we:property name="Cg4MNRU+b3sGIAc7DCp1OxxnBjEELhx7BzhjGzcLRhA6GC8aLg==" value="&quot;e3c=&quot;"/>
    <we:property name="Cg4MNRU+b3sGIAc7DCp1OxxnBjEELhx7BzhjGzcLRhA6GCECIA==" value="&quot;eGlyRHdW&quot;"/>
    <we:property name="Cg4MNRU+b3sGIAc7DCp1OxxnBjEELhx7BzhjGzcLRhA6GCMGNA==" value="&quot;eQ==&quot;"/>
    <we:property name="Cg4MNRU+b3sGIAc7DCp1OxxnBjEELhx7BzhjGzcLRhA6GCMXJA==" value="&quot;eGlyRHY=&quot;"/>
    <we:property name="Cg4MNRU+b3sGIAc7DCp1OxxnBjEELhx7BzhjGzcLRhA6GCQRJg==" value="&quot;eGlyRHdXfwM=&quot;"/>
    <we:property name="Cg4MNRU+b3sGIAc7DCp1OxxnBjEELhx7BzhjGzcLRhA6GCUVNw==" value="&quot;eGlyRHdXfwM=&quot;"/>
    <we:property name="Cg4MNRU+b3sGIAc7DCp1OxxnBjEELhx7BzhjGzcLRhA6GCcaIA==" value="&quot;BBc=&quot;"/>
    <we:property name="Cg4MNRU+b3sGIAc7DCp1OxxnBjEELhx7BzhjGzcLRhA6GCsEIw==" value="&quot;ew==&quot;"/>
    <we:property name="Cg4MNRU+b3sGIAc7DCp1OxxnBjEELhx7BzhjGzcLRhA6GCsELg==" value="&quot;eQ==&quot;"/>
    <we:property name="Cg4MNRU+b3sGIAc7DCp1OxxnBjEELhx7BzhjGzcLRhA6GCsENA==" value="&quot;eGl7TQ==&quot;"/>
    <we:property name="Cg4MNRU+b3sGIAc7DCp1OxxnBjEELhx7BzhjGzcLRhA6GCwANQ==" value="&quot;eg==&quot;"/>
    <we:property name="Cg4MNRU+b3sGIAc7DCp1OxxnBjEELhx7BzhjGzcLRhA6GCwBKg==" value="&quot;fQ==&quot;"/>
    <we:property name="Cg4MNRU+b3sGIAc7DCp1OxxnBjEELhx7BzhjGzcLRhA6GCwRIA==" value="&quot;eQ==&quot;"/>
    <we:property name="Cg4MNRU+b3sGIAc7DCp1OxxnBjEELhx7BzhjGzcLRhA6GDAHIw==" value="&quot;eA==&quot;"/>
    <we:property name="Cg4MNRU+b3sGIAc7DCp1OxxnBjEELhx7BzhjGzcLRhA6GDARK1E=" value="&quot;aHt/VA==&quot;"/>
    <we:property name="Cg4MNRU+b3sGIAc7DCp1OxxnBjEELhx7BzhjGzcLRhA6GDARK1I=" value="&quot;aHpiFi4JLkAx&quot;"/>
    <we:property name="Cg4MNRU+b3sGIAc7DCp1OxxnBjEELhx7BzhjGzcLRhA6GDARK1M=" value="&quot;aHt/VA==&quot;"/>
    <we:property name="Cg4MNRU+b3sGIAc7DCp1OxxnBjEELhx7BzhjGzcLRhA6GDARK1Q=" value="&quot;aHpi&quot;"/>
    <we:property name="Cg4MNRU+b3sGIAc7DCp1OxxnBjEELhx7BzhjGzcLRhA6GDARK1U=" value="&quot;aHt/VA==&quot;"/>
    <we:property name="Cg4MNRU+b3sGIAc7DCp1OxxnBjEELhx7BzhjGzcLRhA6GDARK1Y=" value="&quot;aHl/VA==&quot;"/>
    <we:property name="Cg4MNRU+b3sGIAc7DCp1OxxnBjEELhx7BzhjGzcLRhA6GDARNA==" value="&quot;fQ==&quot;"/>
    <we:property name="Cg4MNRU+b3sGIAc7DCp1OxxnBjEELhx7BzhjGzcLRhA6GDAWMQ==" value="&quot;eQ==&quot;"/>
    <we:property name="Cg4MNRU+b3sGIAc7DCp1OxxnBjEELhx7BzhjGzcLRhA6GDAYPw==" value="&quot;eA==&quot;"/>
    <we:property name="Cg4MNRU+b3sGIAc7DCp1OxxnBjEELhx7BzhjGzcLRhA6GDAcNFE=" value="&quot;&quot;"/>
    <we:property name="Cg4MNRU+b3sGIAc7DCp1OxxnBjEELhx7BzhjGzcLRhA6GDAcNFI=" value="&quot;&quot;"/>
    <we:property name="Cg4MNRU+b3sGIAc7DCp1OxxnBjEELhx7BzhjGzcLRhA6GDAcNFM=" value="&quot;bAxmRX8=&quot;"/>
    <we:property name="Cg4MNRU+b3sGIAc7DCp1OxxnBjEELhx7BzhjGzcLRhA6GDAcNFQ=" value="&quot;bAxmRXA=&quot;"/>
    <we:property name="Cg4MNRU+b3sGIAc7DCp1OxxnBjEELhx7BzhjGzcLRhA6GDAcNFU=" value="&quot;bAxmRXE=&quot;"/>
    <we:property name="Cg4MNRU+b3sGIAc7DCp1OxxnBjEELhx7BzhjGzcLRhA6GDAcNFY=" value="&quot;bAxmRXI=&quot;"/>
    <we:property name="Cg4MNRU+b3sGIAc7DCp1OxxnBjEELhx7BzhjGzcLRhA6GDEAJg==" value="&quot;eA==&quot;"/>
    <we:property name="Cg4MNRU+b3sGIAc7DCp1OxxnBjEELhx7BzhjGzcLRhA6GDEHPQ==" value="&quot;eXdy&quot;"/>
    <we:property name="Cg4MNRU+b3sGIAc7DCp1OxxnBjEELhx7BzhjGzcLRhA6GDEXKw==" value="&quot;eQ==&quot;"/>
    <we:property name="Cg4MNRU+b3sGIAc7DCp1OxxnBjEELhx7BzhjGzcLRhA6GDEbJA==" value="&quot;eA==&quot;"/>
    <we:property name="Cg4MNRU+b3sGIAc7DCp1OxxnBjEELhx7BzhjGzcLRhA6GDIGIg==" value="&quot;eGlyRHdXfwM=&quot;"/>
    <we:property name="Cg4MNRU+b3sGIAc7DCp1OxxnBjEELhx7BzhjGzcLRhA6GDYbKw==" value="&quot;eGlyRQ==&quot;"/>
    <we:property name="Cg4MNRU+b3sGIAc7DCp1OxxnBjEELhx7BzhjJTkffRwm" value="&quot;eQ==&quot;"/>
    <we:property name="Cg4MNRU+b3sGIAc7DCp1OxxnBjEELhx7BzhjJzoN" value="&quot;bA5mTQ==&quot;"/>
    <we:property name="Cg4MNRU+b3sGIAc7DCp1OxxnBjEELhx7BzhjPjkVWRQqKycH" value="&quot;bAVmTH1DBxZw&quot;"/>
    <we:property name="Cg4MNRU+b3sGIAc7DCp1OxxnBjEELhx7BzhjPjkVWRQqKycHdg==" value="&quot;&quot;"/>
    <we:property name="GARiIAIkBxJoNQ1GeDNiNAYUEjsVMw5mATkMSQ4GQhwpJS4RNA==" value="&quot;bA9mQA==&quot;"/>
    <we:property name="GARiIAIkBxJoNQ1GeDNiNAYUEjsVMw5mATkMSQ4GQhwpJS4RNF4=" value="&quot;bBZmQA==&quot;"/>
    <we:property name="GARiIAIkBxJoNQ1GeDNiNAYUEjsVMw5mATkMSQ4GQhwpJS4RNF8=" value="&quot;bBdmQA==&quot;"/>
    <we:property name="GARiIAIkBxJoNQ1GeDNiNAYUEjsVMw5mATkMSQ4GQhwpJS4RNFA=" value="&quot;bAhmQA==&quot;"/>
    <we:property name="GARiIAIkBxJoNQ1GeDNiNAYUEjsVMw5mATkMSQ4GQhwpJS4RNFE=" value="&quot;bAlmQA==&quot;"/>
    <we:property name="GARiIAIkBxJoNQ1GeDNiNAYUEjsVMw5mATkMSQ4GQhwpJS4RNFI=" value="&quot;bApmQA==&quot;"/>
    <we:property name="GARiIAIkBxJoNQ1GeDNiNAYUEjsVMw5mATkMSQ4GQhwpJS4RNFM=" value="&quot;bAtmQA==&quot;"/>
    <we:property name="GARiIAIkBxJoNQ1GeDNiNAYUEjsVMw5mATkMSQ4GQhwpJS4RNFQ=" value="&quot;bAxmQA==&quot;"/>
    <we:property name="GARiIAIkBxJoNQ1GeDNiNAYUEjsVMw5mATkMSQ4GQhwpJS4RNFU=" value="&quot;bA1mQA==&quot;"/>
    <we:property name="GARiIAIkBxJoNQ1GeDNiNAYUEjsVMw5mATkMSQ4GQhwpJS4RNFY=" value="&quot;bA5mQA==&quot;"/>
    <we:property name="GARiIAIkBxJoNQ1GeDNiNAYUEjsVMw5mATkMSQ4GQhwpJS4RNFZ+" value="&quot;bBRmQA==&quot;"/>
    <we:property name="GARiIAIkBxJoNQ1GeDNiNAYUEjsVMw5mATkMSQ4GQhwpJS4RNFZ/" value="&quot;bBVmQA==&quot;"/>
    <we:property name="GARiIAIkBxJoNQ1GeDNiNAYUEjsVMw5mATkMSQ4GQhwpJS4RNFZ6" value="&quot;&quot;"/>
    <we:property name="GARiIAIkBxJoNQ1GeDNiNAYUEjsVMw5mATkMSQ4GQhwpJS4RNFZ7" value="&quot;bBFmQA==&quot;"/>
    <we:property name="GARiIAIkBxJoNQ1GeDNiNAYUEjsVMw5mATkMSQ4GQhwpJS4RNFZ8" value="&quot;bBJmQA==&quot;"/>
    <we:property name="GARiIAIkBxJoNQ1GeDNiNAYUEjsVMw5mATkMSQ4GQhwpJS4RNFZ9" value="&quot;bBNmQA==&quot;"/>
    <we:property name="GARiIAIkBxJoNQ1GeDNiNAYUEjsVMw5mATkMSQ4GQhwpJS4RNFc=" value="&quot;&quot;"/>
    <we:property name="GARiIAIkBxJoNQ1GeDNiNAYUEjsVMw5mATkMSRUGSDghKQ==" value="&quot;eg==&quot;"/>
    <we:property name="GARiIAIkBxJoNQ1GeDNiNAYUEjsVMw5mATkMSRcFWg==" value="&quot;bAVmRX4=&quot;"/>
    <we:property name="GARiIAIkBxJoNQ1GeDNiNAYUEjsVMw5mATkMSSsIXAMtNR0AKAs=" value="&quot;eGlyRQ==&quot;"/>
    <we:property name="GARiIAIkBxJoNQ1GeDNiNAYUEjsVMw5mATkMSSsIXAMtNR0CJgs=" value="&quot;eA==&quot;"/>
    <we:property name="GARiIAIkBxJoNQ1GeDNiNAYUEjsVMw5mATkMSSsIXAMtNR0ENQI=" value="&quot;eGlyRHdXfwM=&quot;"/>
    <we:property name="GARiIAIkBxJoNQ1GeDNiNAYUEjsVMw5mATkMSSsIXAMtNR0GIgt+" value="&quot;aHt/VA==&quot;"/>
    <we:property name="GARiIAIkBxJoNQ1GeDNiNAYUEjsVMw5mATkMSSsIXAMtNR0GIgt8" value="&quot;aHt/VA==&quot;"/>
    <we:property name="GARiIAIkBxJoNQ1GeDNiNAYUEjsVMw5mATkMSSsIXAMtNR0GIgt9" value="&quot;aHpi&quot;"/>
    <we:property name="GARiIAIkBxJoNQ1GeDNiNAYUEjsVMw5mATkMSSsIXAMtNR0GIhQ=" value="&quot;fQ==&quot;"/>
    <we:property name="GARiIAIkBxJoNQ1GeDNiNAYUEjsVMw5mATkMSSsIXAMtNR0GJRE=" value="&quot;eQ==&quot;"/>
    <we:property name="GARiIAIkBxJoNQ1GeDNiNAYUEjsVMw5mATkMSSsIXAMtNR0GKx8=" value="&quot;eA==&quot;"/>
    <we:property name="GARiIAIkBxJoNQ1GeDNiNAYUEjsVMw5mATkMSSsIXAMtNR0GLxR+" value="&quot;bB5mRXdda2tsR3A=&quot;"/>
    <we:property name="GARiIAIkBxJoNQ1GeDNiNAYUEjsVMw5mATkMSSsIXAMtNR0GLxR8" value="&quot;&quot;"/>
    <we:property name="GARiIAIkBxJoNQ1GeDNiNAYUEjsVMw5mATkMSSsIXAMtNR0GLxR9" value="&quot;bB5mRXRda2tsR3U=&quot;"/>
    <we:property name="GARiIAIkBxJoNQ1GeDNiNAYUEjsVMw5mATkMSSsIXAMtNR0GNAM=" value="&quot;eA==&quot;"/>
    <we:property name="GARiIAIkBxJoNQ1GeDNiNAYUEjsVMw5mATkMSSsIXAMtNR0HJAs=" value="&quot;eQ==&quot;"/>
    <we:property name="GARiIAIkBxJoNQ1GeDNiNAYUEjsVMw5mATkMSSsIXAMtNR0HKAQ=" value="&quot;eA==&quot;"/>
    <we:property name="GARiIAIkBxJoNQ1GeDNiNAYUEjsVMw5mATkMSSsIXAMtNR0HMwY=" value="&quot;eA==&quot;"/>
    <we:property name="GARiIAIkBxJoNQ1GeDNiNAYUEjsVMw5mATkMSSsIXAMtNR0HNB0=" value="&quot;eXdy&quot;"/>
    <we:property name="GARiIAIkBxJoNQ1GeDNiNAYUEjsVMw5mATkMSSsIXAMtNR0RKQA=" value="&quot;BBc=&quot;"/>
    <we:property name="GARiIAIkBxJoNQ1GeDNiNAYUEjsVMw5mATkMSSsIXAMtNR0SIgY=" value="&quot;eGlyRHdXfwM=&quot;"/>
    <we:property name="GARiIAIkBxJoNQ1GeDNiNAYUEjsVMw5mATkMSSsIXAMtNR0TJhc=" value="&quot;eGlyRHdXfwM=&quot;"/>
    <we:property name="GARiIAIkBxJoNQ1GeDNiNAYUEjsVMw5mATkMSSsIXAMtNR0VJAQ=" value="&quot;eGlyRHY=&quot;"/>
    <we:property name="GARiIAIkBxJoNQ1GeDNiNAYUEjsVMw5mATkMSSsIXAMtNR0VNRQ=" value="&quot;eQ==&quot;"/>
    <we:property name="GARiIAIkBxJoNQ1GeDNiNAYUEjsVMw5mATkMSSsIXAMtNR0XMQA=" value="&quot;eGlyRHdW&quot;"/>
    <we:property name="GARiIAIkBxJoNQ1GeDNiNAYUEjsVMw5mATkMSSsIXAMtNR0YLxR+" value="&quot;bBBmRXdda2VsR3A=&quot;"/>
    <we:property name="GARiIAIkBxJoNQ1GeDNiNAYUEjsVMw5mATkMSSsIXAMtNR0YLxR8" value="&quot;&quot;"/>
    <we:property name="GARiIAIkBxJoNQ1GeDNiNAYUEjsVMw5mATkMSSsIXAMtNR0YLxR9" value="&quot;bBBmRXRda2VsR3U=&quot;"/>
    <we:property name="GARiIAIkBxJoNQ1GeDNiNAYUEjsVMw5mATkMSSsIXAMtNR0YNxM=" value="&quot;eA==&quot;"/>
    <we:property name="GARiIAIkBxJoNQ1GeDNiNAYUEjsVMw5mATkMSSsIXAMtNR0YNxc=" value="&quot;eA==&quot;"/>
    <we:property name="GARiIAIkBxJoNQ1GeDNiNAYUEjsVMw5mATkMSSsIXAMtNR0ZIhM=" value="&quot;eQ==&quot;"/>
    <we:property name="GARiIAIkBxJoNQ1GeDNiNAYUEjsVMw5mATkMSSsIXAMtNR0ZKQ4=" value="&quot;e3c=&quot;"/>
    <we:property name="GARiIAIkBxJoNQ1GeDNiNAYUEjsVMw5mATkMSSsIXAMtNR0ZNAs=" value="&quot;eA==&quot;"/>
    <we:property name="GARiIAIkBxJoNQ1GeDNiNAYUEjsVMw5mATkMSSsIXAMtNR0ZNRM=" value="&quot;eGlyQ3I=&quot;"/>
    <we:property name="GARiIAIkBxJoNQ1GeDNiNAYUEjsVMw5mATkMSSsIXAMtNR0aIgA=" value="&quot;eQ==&quot;"/>
    <we:property name="GARiIAIkBxJoNQ1GeDNiNAYUEjsVMw5mATkMSSsIXAMtNR0aMgo=" value="&quot;eg==&quot;"/>
    <we:property name="GARiIAIkBxJoNQ1GeDNiNAYUEjsVMw5mATkMSSsIXAMtNR0aMxU=" value="&quot;eg==&quot;"/>
    <we:property name="GARiIAIkBxJoNQ1GeDNiNAYUEjsVMw5mATkMSSsIXAMtNR0dNw4=" value="&quot;eQ==&quot;"/>
    <we:property name="GARiIAIkBxJoNQ1GeDNiNAYUEjsVMw5mATkMSSsIXAMtNR0dNwM=" value="&quot;ew==&quot;"/>
    <we:property name="GARiIAIkBxJoNQ1GeDNiNAYUEjsVMw5mATkMSSsIXAMtNR0dNxQ=" value="&quot;eGl7TQ==&quot;"/>
    <we:property name="GDUtEDIEOxIFHzpJDgZCHCklLhE0" value="&quot;bANmTX1DCRZx&quot;"/>
    <we:property name="GDUtEDIEOxIFHzpJFQZIOCEp" value="&quot;eQ==&quot;"/>
    <we:property name="GDUtEDIEOxIFHzpJFwVa" value="&quot;bANmRX8=&quot;"/>
    <we:property name="GDUtEDIEOxIFHzpJKwhcAy01HQYiC30=" value="&quot;aHl/VA==&quot;"/>
    <we:property name="GDUtEDIEOxIFHzpJKwhcAy01HQYiC34=" value="&quot;aHt/VA==&quot;"/>
    <we:property name="GDUtEDIEOxIFHzpJKwhcAy01HQYvFH0=" value="&quot;eA==&quot;"/>
    <we:property name="GDUtEDIEOxIFHzpJKwhcAy01HQYvFH4=" value="&quot;bAVmRXZda3BsR3c=&quot;"/>
    <we:property name="GDUtEDIEOxIFHzpJKwhcAy01HREpAA==" value="&quot;eA==&quot;"/>
    <we:property name="GDUtEDIEOxIFHzpJKwhcAy01HRgvFH0=" value="&quot;bANmTX1DCRZx&quot;"/>
    <we:property name="GDUtEDIEOxIFHzpJKwhcAy01HRgvFH4=" value="&quot;bARmRXZda3FsR3c=&quot;"/>
    <we:property name="GDUtEDIEOxIFHzpJKwhcAy01HRoiAA==" value="&quot;eQ==&quot;"/>
    <we:property name="GDUtEDIEOxIFHzpJKwhcAy01HRoyCg==" value="&quot;eg==&quot;"/>
    <we:property name="Gy8nETNQbkEnGjQNKjhABy0=" value="&quot;eGlyRHdXfwM=&quot;"/>
    <we:property name="Gy8nETNQbkEnGjQNKjhCBiw=" value="&quot;eA==&quot;"/>
    <we:property name="Gy8nETNQbkEnGjQNKjhCECR0" value="&quot;aHl/VA==&quot;"/>
    <we:property name="Gy8nETNQbkEnGjQNKjhCECR1" value="&quot;aHl/VA==&quot;"/>
    <we:property name="Gy8nETNQbkEnGjQNKjhCECR2" value="&quot;aHt/VA==&quot;"/>
    <we:property name="Gy8nETNQbkEnGjQNKjhCECRy" value="&quot;aHt/VA==&quot;"/>
    <we:property name="Gy8nETNQbkEnGjQNKjhCECRz" value="&quot;aHl/VA==&quot;"/>
    <we:property name="Gy8nETNQbkEnGjQNKjhCEDs=" value="&quot;fQ==&quot;"/>
    <we:property name="Gy8nETNQbkEnGjQNKjhCFz4=" value="&quot;eQ==&quot;"/>
    <we:property name="Gy8nETNQbkEnGjQNKjhCGTA=" value="&quot;eA==&quot;"/>
    <we:property name="Gy8nETNQbkEnGjQNKjhCHTt0" value="&quot;bAFmRXE=&quot;"/>
    <we:property name="Gy8nETNQbkEnGjQNKjhCHTt1" value="&quot;bAFmRXI=&quot;"/>
    <we:property name="Gy8nETNQbkEnGjQNKjhCHTt2" value="&quot;bAFmRXM=&quot;"/>
    <we:property name="Gy8nETNQbkEnGjQNKjhCHTty" value="&quot;&quot;"/>
    <we:property name="Gy8nETNQbkEnGjQNKjhCHTtz" value="&quot;bAFmRXA=&quot;"/>
    <we:property name="Gy8nETNQbkEnGjQNKjhDASk=" value="&quot;eA==&quot;"/>
    <we:property name="Gy8nETNQbkEnGjQNKjhDBjI=" value="&quot;eXdy&quot;"/>
    <we:property name="Gy8nETNQbkEnGjQNKjhDFiQ=" value="&quot;eQ==&quot;"/>
    <we:property name="Gy8nETNQbkEnGjQNKjhDGis=" value="&quot;eA==&quot;"/>
    <we:property name="Gy8nETNQbkEnGjQNKjhEGiQ=" value="&quot;eGlyRQ==&quot;"/>
    <we:property name="Gy8nETNQbkEnGjQNKjhGFCQ=" value="&quot;eA==&quot;"/>
    <we:property name="Gy8nETNQbkEnGjQNKjhRBzs=" value="&quot;eQ==&quot;"/>
    <we:property name="Gy8nETNQbkEnGjQNKjhRFis=" value="&quot;eGlyRHY=&quot;"/>
    <we:property name="Gy8nETNQbkEnGjQNKjhTAy8=" value="&quot;eGlyRHdW&quot;"/>
    <we:property name="Gy8nETNQbkEnGjQNKjhVGy8=" value="&quot;BBc=&quot;"/>
    <we:property name="Gy8nETNQbkEnGjQNKjhWECk=" value="&quot;eGlyRHdXfwM=&quot;"/>
    <we:property name="Gy8nETNQbkEnGjQNKjhXFDg=" value="&quot;eGlyRHdXfwM=&quot;"/>
    <we:property name="Gy8nETNQbkEnGjQNKjhZBSE=" value="&quot;eQ==&quot;"/>
    <we:property name="Gy8nETNQbkEnGjQNKjhZBSw=" value="&quot;ew==&quot;"/>
    <we:property name="Gy8nETNQbkEnGjQNKjhZBTs=" value="&quot;eGl7TQ==&quot;"/>
    <we:property name="Gy8nETNQbkEnGjQNKjhcBTg=" value="&quot;eA==&quot;"/>
    <we:property name="Gy8nETNQbkEnGjQNKjhcBTw=" value="&quot;eA==&quot;"/>
    <we:property name="Gy8nETNQbkEnGjQNKjhcHTt0" value="&quot;bANmRXE=&quot;"/>
    <we:property name="Gy8nETNQbkEnGjQNKjhcHTt1" value="&quot;bANmRXI=&quot;"/>
    <we:property name="Gy8nETNQbkEnGjQNKjhcHTt2" value="&quot;bANmRXM=&quot;"/>
    <we:property name="Gy8nETNQbkEnGjQNKjhcHTty" value="&quot;&quot;"/>
    <we:property name="Gy8nETNQbkEnGjQNKjhcHTtz" value="&quot;bANmRXA=&quot;"/>
    <we:property name="Gy8nETNQbkEnGjQNKjhdBiQ=" value="&quot;eA==&quot;"/>
    <we:property name="Gy8nETNQbkEnGjQNKjhdBzw=" value="&quot;eGlyQ3I=&quot;"/>
    <we:property name="Gy8nETNQbkEnGjQNKjhdEDw=" value="&quot;eQ==&quot;"/>
    <we:property name="Gy8nETNQbkEnGjQNKjhdGyE=" value="&quot;e3c=&quot;"/>
    <we:property name="Gy8nETNQbkEnGjQNKjheACU=" value="&quot;fA==&quot;"/>
    <we:property name="Gy8nETNQbkEnGjQNKjheATo=" value="&quot;eg==&quot;"/>
    <we:property name="Gy8nETNQbkEnGjQNKjheEC8=" value="&quot;eQ==&quot;"/>
    <we:property name="Gy8nETNQblEnHyw3KBVVBicrNBF2" value="&quot;eQ==&quot;"/>
    <we:property name="Gy8nETNQblEnHyw3KBVZGCkrNhsr" value="&quot;eGlyRHdXfwJ5&quot;"/>
    <we:property name="Gy8nETNQblEnHyw3MAJFBzs=" value="&quot;eQ==&quot;"/>
    <we:property name="Gy8nETNQblEnHyw3MQlEEC8iMAQ1AjxdJAAn" value="&quot;eQ==&quot;"/>
    <we:property name="Gy8nETNQblEnHyw3OxJEATE3Jw==" value="&quot;eQ==&quot;"/>
    <we:property name="Gy8nETNQblEnHyw3PBJRGTwoLg==" value="&quot;eGlyRHdXfwJ5&quot;"/>
    <we:property name="Gy8nETNQbmQpBCsJOgtVBg==" value="&quot;bAVmTX1DDBZx&quot;"/>
    <we:property name="Gy8nETNQbmQpBCsJOgtVBng=" value="&quot;&quot;"/>
    <we:property name="Gy8nETNQbmQpBCsJOgtVBnk=" value="&quot;&quot;"/>
    <we:property name="Gy8nETNQbn0qHA==" value="&quot;bAVmRXY=&quot;"/>
    <we:property name="Gy8nETNQbn8pDg8BNg==" value="&quot;eQ==&quot;"/>
    <we:property name="Gy8nETNUbkEnGjQNKjhABy0=" value="&quot;eGlyRHdXfwM=&quot;"/>
    <we:property name="Gy8nETNUbkEnGjQNKjhCBiw=" value="&quot;eA==&quot;"/>
    <we:property name="Gy8nETNUbkEnGjQNKjhCECR1" value="&quot;aHl/VA==&quot;"/>
    <we:property name="Gy8nETNUbkEnGjQNKjhCECR2" value="&quot;aHpi&quot;"/>
    <we:property name="Gy8nETNUbkEnGjQNKjhCEDs=" value="&quot;fQ==&quot;"/>
    <we:property name="Gy8nETNUbkEnGjQNKjhCFz4=" value="&quot;eQ==&quot;"/>
    <we:property name="Gy8nETNUbkEnGjQNKjhCGTA=" value="&quot;eA==&quot;"/>
    <we:property name="Gy8nETNUbkEnGjQNKjhCHTt1" value="&quot;bAFmRXM=&quot;"/>
    <we:property name="Gy8nETNUbkEnGjQNKjhCHTt2" value="&quot;bAFmRXQ=&quot;"/>
    <we:property name="Gy8nETNUbkEnGjQNKjhDASk=" value="&quot;eA==&quot;"/>
    <we:property name="Gy8nETNUbkEnGjQNKjhDBjI=" value="&quot;eXdy&quot;"/>
    <we:property name="Gy8nETNUbkEnGjQNKjhDFiQ=" value="&quot;eQ==&quot;"/>
    <we:property name="Gy8nETNUbkEnGjQNKjhDGis=" value="&quot;eA==&quot;"/>
    <we:property name="Gy8nETNUbkEnGjQNKjhEGiQ=" value="&quot;eGlyRQ==&quot;"/>
    <we:property name="Gy8nETNUbkEnGjQNKjhRBzs=" value="&quot;eQ==&quot;"/>
    <we:property name="Gy8nETNUbkEnGjQNKjhRFis=" value="&quot;eGlyRHY=&quot;"/>
    <we:property name="Gy8nETNUbkEnGjQNKjhTAy8=" value="&quot;eGlyRHdW&quot;"/>
    <we:property name="Gy8nETNUbkEnGjQNKjhVGy8=" value="&quot;DxUF&quot;"/>
    <we:property name="Gy8nETNUbkEnGjQNKjhWECk=" value="&quot;eGlyRHdXfwM=&quot;"/>
    <we:property name="Gy8nETNUbkEnGjQNKjhXFDg=" value="&quot;eGlyRHdXfwM=&quot;"/>
    <we:property name="Gy8nETNUbkEnGjQNKjhZBSE=" value="&quot;eQ==&quot;"/>
    <we:property name="Gy8nETNUbkEnGjQNKjhZBSw=" value="&quot;ew==&quot;"/>
    <we:property name="Gy8nETNUbkEnGjQNKjhZBTs=" value="&quot;eGl7TQ==&quot;"/>
    <we:property name="Gy8nETNUbkEnGjQNKjhcBTg=" value="&quot;eA==&quot;"/>
    <we:property name="Gy8nETNUbkEnGjQNKjhcBTw=" value="&quot;eA==&quot;"/>
    <we:property name="Gy8nETNUbkEnGjQNKjhcHTt1" value="&quot;bANmRXM=&quot;"/>
    <we:property name="Gy8nETNUbkEnGjQNKjhcHTt2" value="&quot;bANmRXQ=&quot;"/>
    <we:property name="Gy8nETNUbkEnGjQNKjhdBiQ=" value="&quot;eA==&quot;"/>
    <we:property name="Gy8nETNUbkEnGjQNKjhdBzw=" value="&quot;eGlyQ3I=&quot;"/>
    <we:property name="Gy8nETNUbkEnGjQNKjhdEDw=" value="&quot;eg==&quot;"/>
    <we:property name="Gy8nETNUbkEnGjQNKjhdGyE=" value="&quot;e3c=&quot;"/>
    <we:property name="Gy8nETNUbkEnGjQNKjheACU=" value="&quot;eg==&quot;"/>
    <we:property name="Gy8nETNUbkEnGjQNKjheATo=" value="&quot;eg==&quot;"/>
    <we:property name="Gy8nETNUbkEnGjQNKjheEC8=" value="&quot;eQ==&quot;"/>
    <we:property name="Gy8nETNUbmQpBCsJOgtVBg==" value="&quot;bAVmQX1DDBZ9&quot;"/>
    <we:property name="Gy8nETNUbn0qHA==" value="&quot;bAJmRXc=&quot;"/>
    <we:property name="Gy8nETNUbn8pDg8BNg==" value="&quot;eg==&quot;"/>
    <we:property name="Gy8nETNWbkEnGjQNKjhABy0=" value="&quot;eGlyRHdXfwM=&quot;"/>
    <we:property name="Gy8nETNWbkEnGjQNKjhCBiw=" value="&quot;eA==&quot;"/>
    <we:property name="Gy8nETNWbkEnGjQNKjhCECR0" value="&quot;aHt/VA==&quot;"/>
    <we:property name="Gy8nETNWbkEnGjQNKjhCECR1" value="&quot;aHl/VA==&quot;"/>
    <we:property name="Gy8nETNWbkEnGjQNKjhCECR2" value="&quot;aHt/VA==&quot;"/>
    <we:property name="Gy8nETNWbkEnGjQNKjhCECRy" value="&quot;aHt/VA==&quot;"/>
    <we:property name="Gy8nETNWbkEnGjQNKjhCECRz" value="&quot;aHpiHSkTKlUtBA==&quot;"/>
    <we:property name="Gy8nETNWbkEnGjQNKjhCEDs=" value="&quot;fQ==&quot;"/>
    <we:property name="Gy8nETNWbkEnGjQNKjhCFz4=" value="&quot;eQ==&quot;"/>
    <we:property name="Gy8nETNWbkEnGjQNKjhCGTA=" value="&quot;eA==&quot;"/>
    <we:property name="Gy8nETNWbkEnGjQNKjhCHTt0" value="&quot;bAFmRXE=&quot;"/>
    <we:property name="Gy8nETNWbkEnGjQNKjhCHTt1" value="&quot;bAFmRXI=&quot;"/>
    <we:property name="Gy8nETNWbkEnGjQNKjhCHTt2" value="&quot;bAFmRXM=&quot;"/>
    <we:property name="Gy8nETNWbkEnGjQNKjhCHTty" value="&quot;&quot;"/>
    <we:property name="Gy8nETNWbkEnGjQNKjhCHTtz" value="&quot;&quot;"/>
    <we:property name="Gy8nETNWbkEnGjQNKjhDASk=" value="&quot;eA==&quot;"/>
    <we:property name="Gy8nETNWbkEnGjQNKjhDBjI=" value="&quot;eXdy&quot;"/>
    <we:property name="Gy8nETNWbkEnGjQNKjhDFiQ=" value="&quot;eQ==&quot;"/>
    <we:property name="Gy8nETNWbkEnGjQNKjhDGis=" value="&quot;eA==&quot;"/>
    <we:property name="Gy8nETNWbkEnGjQNKjhEGiQ=" value="&quot;eA==&quot;"/>
    <we:property name="Gy8nETNWbkEnGjQNKjhGFCQ=" value="&quot;eA==&quot;"/>
    <we:property name="Gy8nETNWbkEnGjQNKjhRBzs=" value="&quot;eQ==&quot;"/>
    <we:property name="Gy8nETNWbkEnGjQNKjhRFis=" value="&quot;eGlyRHY=&quot;"/>
    <we:property name="Gy8nETNWbkEnGjQNKjhTAy8=" value="&quot;eGlyRHdW&quot;"/>
    <we:property name="Gy8nETNWbkEnGjQNKjhVGy8=" value="&quot;BBc=&quot;"/>
    <we:property name="Gy8nETNWbkEnGjQNKjhWECk=" value="&quot;eGlyRHdXfwM=&quot;"/>
    <we:property name="Gy8nETNWbkEnGjQNKjhXFDg=" value="&quot;eGlyRHdXfwM=&quot;"/>
    <we:property name="Gy8nETNWbkEnGjQNKjhZBSE=" value="&quot;eQ==&quot;"/>
    <we:property name="Gy8nETNWbkEnGjQNKjhZBSw=" value="&quot;ew==&quot;"/>
    <we:property name="Gy8nETNWbkEnGjQNKjhZBTs=" value="&quot;eGl7TQ==&quot;"/>
    <we:property name="Gy8nETNWbkEnGjQNKjhcBTg=" value="&quot;eA==&quot;"/>
    <we:property name="Gy8nETNWbkEnGjQNKjhcBTw=" value="&quot;eA==&quot;"/>
    <we:property name="Gy8nETNWbkEnGjQNKjhcHTt0" value="&quot;bANmRXE=&quot;"/>
    <we:property name="Gy8nETNWbkEnGjQNKjhcHTt1" value="&quot;bANmRXI=&quot;"/>
    <we:property name="Gy8nETNWbkEnGjQNKjhcHTt2" value="&quot;bANmRXM=&quot;"/>
    <we:property name="Gy8nETNWbkEnGjQNKjhcHTty" value="&quot;&quot;"/>
    <we:property name="Gy8nETNWbkEnGjQNKjhcHTtz" value="&quot;bAVmTH1DDBZw&quot;"/>
    <we:property name="Gy8nETNWbkEnGjQNKjhdBiQ=" value="&quot;eA==&quot;"/>
    <we:property name="Gy8nETNWbkEnGjQNKjhdBzw=" value="&quot;eGlyQ3I=&quot;"/>
    <we:property name="Gy8nETNWbkEnGjQNKjhdEDw=" value="&quot;eQ==&quot;"/>
    <we:property name="Gy8nETNWbkEnGjQNKjhdGyE=" value="&quot;e3c=&quot;"/>
    <we:property name="Gy8nETNWbkEnGjQNKjheACU=" value="&quot;fA==&quot;"/>
    <we:property name="Gy8nETNWbkEnGjQNKjheATo=" value="&quot;eg==&quot;"/>
    <we:property name="Gy8nETNWbkEnGjQNKjheEC8=" value="&quot;eQ==&quot;"/>
    <we:property name="Gy8nETNWblEnHyw3KBVVBicrNBF2" value="&quot;eQ==&quot;"/>
    <we:property name="Gy8nETNWblEnHyw3KBVZGCkrNhsr" value="&quot;eGlyRHdXfwJ5&quot;"/>
    <we:property name="Gy8nETNWblEnHyw3MAJFBzs=" value="&quot;eQ==&quot;"/>
    <we:property name="Gy8nETNWblEnHyw3MQlEEC8iMAQ1AjxdJAAn" value="&quot;eQ==&quot;"/>
    <we:property name="Gy8nETNWblEnHyw3OxJEATE3Jw==" value="&quot;eQ==&quot;"/>
    <we:property name="Gy8nETNWblEnHyw3PBJRGTwoLg==" value="&quot;eGlyRHdXfwJ5&quot;"/>
    <we:property name="Gy8nETNWbmQpBCsJOgtVBg==" value="&quot;bAVmTH1DDBZw&quot;"/>
    <we:property name="Gy8nETNWbmQpBCsJOgtVBn0=" value="&quot;&quot;"/>
    <we:property name="Gy8nETNWbmQpBCsJOgtVBng=" value="&quot;&quot;"/>
    <we:property name="Gy8nETNWbmQpBCsJOgtVBnk=" value="&quot;&quot;"/>
    <we:property name="Gy8nETNWbmQpBCsJOgtVBno=" value="&quot;&quot;"/>
    <we:property name="Gy8nETNWbmQpBCsJOgtVBns=" value="&quot;&quot;"/>
    <we:property name="Gy8nETNWbmQpBCsJOgtVBnw=" value="&quot;&quot;"/>
    <we:property name="Gy8nETNWbn0qHA==" value="&quot;bAVmRX4=&quot;"/>
    <we:property name="Gy8nETNWbn8pDg8BNg==" value="&quot;eQ==&quot;"/>
    <we:property name="Gy8nETNfbkEnGjQNKjhABy0=" value="&quot;eGlyRHdXfwM=&quot;"/>
    <we:property name="Gy8nETNfbkEnGjQNKjhCBiw=" value="&quot;eA==&quot;"/>
    <we:property name="Gy8nETNfbkEnGjQNKjhCECR0" value="&quot;aHt/VA==&quot;"/>
    <we:property name="Gy8nETNfbkEnGjQNKjhCECR1" value="&quot;aHt/VA==&quot;"/>
    <we:property name="Gy8nETNfbkEnGjQNKjhCECR2" value="&quot;aHt/VA==&quot;"/>
    <we:property name="Gy8nETNfbkEnGjQNKjhCECRy" value="&quot;aHt/VA==&quot;"/>
    <we:property name="Gy8nETNfbkEnGjQNKjhCECRz" value="&quot;aHt/VA==&quot;"/>
    <we:property name="Gy8nETNfbkEnGjQNKjhCEDs=" value="&quot;fQ==&quot;"/>
    <we:property name="Gy8nETNfbkEnGjQNKjhCFz4=" value="&quot;eQ==&quot;"/>
    <we:property name="Gy8nETNfbkEnGjQNKjhCGTA=" value="&quot;eA==&quot;"/>
    <we:property name="Gy8nETNfbkEnGjQNKjhCHTt0" value="&quot;bAFmRnA=&quot;"/>
    <we:property name="Gy8nETNfbkEnGjQNKjhCHTt1" value="&quot;bAFmRnE=&quot;"/>
    <we:property name="Gy8nETNfbkEnGjQNKjhCHTt2" value="&quot;bAFmRnI=&quot;"/>
    <we:property name="Gy8nETNfbkEnGjQNKjhCHTty" value="&quot;&quot;"/>
    <we:property name="Gy8nETNfbkEnGjQNKjhCHTtz" value="&quot;bAFmRn8=&quot;"/>
    <we:property name="Gy8nETNfbkEnGjQNKjhDASk=" value="&quot;eA==&quot;"/>
    <we:property name="Gy8nETNfbkEnGjQNKjhDBjI=" value="&quot;eXdy&quot;"/>
    <we:property name="Gy8nETNfbkEnGjQNKjhDFiQ=" value="&quot;eQ==&quot;"/>
    <we:property name="Gy8nETNfbkEnGjQNKjhDGis=" value="&quot;eA==&quot;"/>
    <we:property name="Gy8nETNfbkEnGjQNKjhEGiQ=" value="&quot;eGlyRQ==&quot;"/>
    <we:property name="Gy8nETNfbkEnGjQNKjhGFCQ=" value="&quot;eA==&quot;"/>
    <we:property name="Gy8nETNfbkEnGjQNKjhRBzs=" value="&quot;eQ==&quot;"/>
    <we:property name="Gy8nETNfbkEnGjQNKjhRFis=" value="&quot;eGlyRHY=&quot;"/>
    <we:property name="Gy8nETNfbkEnGjQNKjhTAy8=" value="&quot;eGlyRHdW&quot;"/>
    <we:property name="Gy8nETNfbkEnGjQNKjhVGy8=" value="&quot;BBc=&quot;"/>
    <we:property name="Gy8nETNfbkEnGjQNKjhWECk=" value="&quot;eGlyRHdXfwM=&quot;"/>
    <we:property name="Gy8nETNfbkEnGjQNKjhXFDg=" value="&quot;eGlyRHdXfwM=&quot;"/>
    <we:property name="Gy8nETNfbkEnGjQNKjhZBSE=" value="&quot;eQ==&quot;"/>
    <we:property name="Gy8nETNfbkEnGjQNKjhZBSw=" value="&quot;ew==&quot;"/>
    <we:property name="Gy8nETNfbkEnGjQNKjhZBTs=" value="&quot;eGl7TQ==&quot;"/>
    <we:property name="Gy8nETNfbkEnGjQNKjhcBTg=" value="&quot;eA==&quot;"/>
    <we:property name="Gy8nETNfbkEnGjQNKjhcBTw=" value="&quot;eA==&quot;"/>
    <we:property name="Gy8nETNfbkEnGjQNKjhcHTt0" value="&quot;bANmRnA=&quot;"/>
    <we:property name="Gy8nETNfbkEnGjQNKjhcHTt1" value="&quot;bANmRnE=&quot;"/>
    <we:property name="Gy8nETNfbkEnGjQNKjhcHTt2" value="&quot;bANmRnI=&quot;"/>
    <we:property name="Gy8nETNfbkEnGjQNKjhcHTty" value="&quot;&quot;"/>
    <we:property name="Gy8nETNfbkEnGjQNKjhcHTtz" value="&quot;bANmRn8=&quot;"/>
    <we:property name="Gy8nETNfbkEnGjQNKjhdBiQ=" value="&quot;eA==&quot;"/>
    <we:property name="Gy8nETNfbkEnGjQNKjhdBzw=" value="&quot;eGlyQ3I=&quot;"/>
    <we:property name="Gy8nETNfbkEnGjQNKjhdEDw=" value="&quot;eQ==&quot;"/>
    <we:property name="Gy8nETNfbkEnGjQNKjhdGyE=" value="&quot;e3c=&quot;"/>
    <we:property name="Gy8nETNfbkEnGjQNKjheACU=" value="&quot;fA==&quot;"/>
    <we:property name="Gy8nETNfbkEnGjQNKjheATo=" value="&quot;eg==&quot;"/>
    <we:property name="Gy8nETNfbkEnGjQNKjheEC8=" value="&quot;eQ==&quot;"/>
    <we:property name="Gy8nETNfbmQpBCsJOgtVBg==" value="&quot;bAVmQg==&quot;"/>
    <we:property name="Gy8nETNfbmQpBCsJOgtVBnk=" value="&quot;bARmQg==&quot;"/>
    <we:property name="Gy8nETNfbn0qHA==" value="&quot;bAVmRnU=&quot;"/>
    <we:property name="Gy8nETNfbn8pDg8BNg==" value="&quot;eQ==&quot;"/>
    <we:property name="UniqueID" value="&quot;20245171718647705136&quot;"/>
    <we:property name="Gy8nETNTbn0qHA==" value="&quot;bAVmQw==&quot;"/>
    <we:property name="Gy8nETNTbkEnGjQNKjhVGy8=" value="&quot;DxUF&quot;"/>
    <we:property name="Gy8nETNTbn8pDg8BNg==" value="&quot;eQ==&quot;"/>
    <we:property name="Gy8nETNTbkEnGjQNKjheEC8=" value="&quot;eQ==&quot;"/>
    <we:property name="Gy8nETNTbkEnGjQNKjhABy0=" value="&quot;eGlyRHdXfwM=&quot;"/>
    <we:property name="Gy8nETNTbkEnGjQNKjhDFiQ=" value="&quot;eQ==&quot;"/>
    <we:property name="Gy8nETNTbkEnGjQNKjhCGTA=" value="&quot;eA==&quot;"/>
    <we:property name="Gy8nETNTbkEnGjQNKjhEGiQ=" value="&quot;eA==&quot;"/>
    <we:property name="Gy8nETNTbkEnGjQNKjhTAy8=" value="&quot;eGlyRHdW&quot;"/>
    <we:property name="Gy8nETNTbkEnGjQNKjhdBiQ=" value="&quot;eA==&quot;"/>
    <we:property name="Gy8nETNTbkEnGjQNKjhDBjI=" value="&quot;eXdy&quot;"/>
    <we:property name="Gy8nETNTbkEnGjQNKjhCBiw=" value="&quot;eA==&quot;"/>
    <we:property name="Gy8nETNTbkEnGjQNKjhdBzw=" value="&quot;eGlyQ3I=&quot;"/>
    <we:property name="Gy8nETNTbkEnGjQNKjhdGyE=" value="&quot;e3c=&quot;"/>
    <we:property name="Gy8nETNTbkEnGjQNKjhCFz4=" value="&quot;eQ==&quot;"/>
    <we:property name="Gy8nETNTbkEnGjQNKjheATo=" value="&quot;eg==&quot;"/>
    <we:property name="Gy8nETNTbkEnGjQNKjhRFis=" value="&quot;eGlyRHY=&quot;"/>
    <we:property name="Gy8nETNTbkEnGjQNKjhCEDs=" value="&quot;fQ==&quot;"/>
    <we:property name="Gy8nETNTbkEnGjQNKjhRBzs=" value="&quot;eQ==&quot;"/>
    <we:property name="Gy8nETNTbkEnGjQNKjhDASk=" value="&quot;eA==&quot;"/>
    <we:property name="Gy8nETNTbkEnGjQNKjhdEDw=" value="&quot;eg==&quot;"/>
    <we:property name="Gy8nETNTbkEnGjQNKjhDGis=" value="&quot;eA==&quot;"/>
    <we:property name="Gy8nETNTbkEnGjQNKjhcBTw=" value="&quot;eA==&quot;"/>
    <we:property name="Gy8nETNTbkEnGjQNKjhcBTg=" value="&quot;eA==&quot;"/>
    <we:property name="Gy8nETNTbkEnGjQNKjhXFDg=" value="&quot;eGlyRHdXfwM=&quot;"/>
    <we:property name="Gy8nETNTbkEnGjQNKjhZBTs=" value="&quot;eGl7TQ==&quot;"/>
    <we:property name="Gy8nETNTbkEnGjQNKjhWECk=" value="&quot;eGlyRHdXfwM=&quot;"/>
    <we:property name="Gy8nETNTbkEnGjQNKjhZBSE=" value="&quot;eQ==&quot;"/>
    <we:property name="Gy8nETNTbkEnGjQNKjhZBSw=" value="&quot;ew==&quot;"/>
    <we:property name="Gy8nETNTbmQpBCsJOgtVBg==" value="&quot;bAVmQX1DDBZ9&quot;"/>
    <we:property name="Gy8nETNTbmQpBCsJOgtVBnk=" value="&quot;&quot;"/>
    <we:property name="Gy8nETNTbkEnGjQNKjheACU=" value="&quot;eg==&quot;"/>
    <we:property name="Gy8nETNTbkEnGjQNKjhcHTt2" value="&quot;bAVmQX1DDBZ9&quot;"/>
    <we:property name="Gy8nETNTbkEnGjQNKjhCECR2" value="&quot;aHpiHSkTKlUtBA==&quot;"/>
    <we:property name="Gy8nETNTbkEnGjQNKjhCHTt2" value="&quot;&quot;"/>
    <we:property name="Gy8nETNTbkEnGjQNKjhcHTt1" value="&quot;bANmRXY=&quot;"/>
    <we:property name="Gy8nETNTbkEnGjQNKjhCECR1" value="&quot;aHt/VA==&quot;"/>
    <we:property name="Gy8nETNTbkEnGjQNKjhCHTt1" value="&quot;bAFmRXY=&quot;"/>
    <we:property name="Gy8nETNTbkEnGjQNKjhVBjw=" value="&quot;eQ==&quot;"/>
    <we:property name="Gy8nETNTbkEnGjQNKjheAjw=" value="&quot;eQ==&quot;"/>
    <we:property name="Gy8nETNTbkEnGjQNKjhEGDs=" value="&quot;eA==&quot;"/>
    <we:property name="Gy8nETNTbkEnGjQNKjhbHD4=" value="&quot;&quot;"/>
  </we:properties>
  <we:bindings>
    <we:binding id="Answer ReportrefEdit" type="matrix" appref="{4C19DBAA-55B5-47BA-AD9C-065D4E31C387}"/>
    <we:binding id="Answer ReportWorker" type="matrix" appref="{E36FDDAA-1D6F-4FAF-80A6-EC5F18C679F8}"/>
    <we:binding id="Sheet7refEdit" type="matrix" appref="{AF772F44-1228-4C63-B941-BCB70EA94D33}"/>
    <we:binding id="Sheet7Worker" type="matrix" appref="{28A07E65-B600-4DE4-897E-7B1061D14AE2}"/>
    <we:binding id="Var$B$9:$C$9" type="matrix" appref="{B9544031-F5D3-4EFF-9E6B-A58CD3563404}"/>
    <we:binding id="Var$B$6" type="matrix" appref="{7DA5EB60-249E-4370-A165-A2EC7CAC9582}"/>
    <we:binding id="Var$C$6" type="matrix" appref="{D3CB20B7-C140-4D75-98A7-69C4920D522D}"/>
    <we:binding id="Var$B$19" type="matrix" appref="{3DAF589D-320E-494D-9C7D-E4554E759335}"/>
    <we:binding id="Var$C$19" type="matrix" appref="{1E231089-4539-40D7-BE46-D5EB9BC62D6B}"/>
    <we:binding id="Var$D$19" type="matrix" appref="{D97E8C22-C1FE-4676-8F91-CFEE82275B0D}"/>
    <we:binding id="Var$E$19" type="matrix" appref="{CA75B6A3-D579-4FEE-9104-5DA0B85B8273}"/>
    <we:binding id="Var$F$19" type="matrix" appref="{F4E71977-3C48-4FE3-8521-270802C04BE4}"/>
    <we:binding id="Var$H$3:$V$3" type="matrix" appref="{E81649EF-F2D6-4085-BCDF-31FA497262C3}"/>
    <we:binding id="Var$H$4" type="matrix" appref="{71DD516B-AEA2-4ECE-82C3-DFC28729AE1C}"/>
    <we:binding id="Var$I$4" type="matrix" appref="{DBFC3C37-97A9-482A-94AC-67695EA84FD2}"/>
    <we:binding id="Var$J$4" type="matrix" appref="{0CCC5190-D707-45AB-8CD4-3DFB050AF45F}"/>
    <we:binding id="Var$K$4" type="matrix" appref="{B32D626C-0935-4558-880D-C2F7ACCD7A8A}"/>
    <we:binding id="Var$L$4" type="matrix" appref="{B4D10FE1-9323-43AA-8640-64EDA041E8CE}"/>
    <we:binding id="Var$M$4" type="matrix" appref="{2561320E-BE09-41E3-8B48-CB46DEB455BC}"/>
    <we:binding id="Var$N$4" type="matrix" appref="{257DD41C-C7E1-4F5E-8232-65F713E60F81}"/>
    <we:binding id="Var$O$4" type="matrix" appref="{7D56FBE0-8036-4D99-9B7F-32FBFB417427}"/>
    <we:binding id="Var$P$4" type="matrix" appref="{3DE4401E-5C21-4882-B246-2A41DD727D3E}"/>
    <we:binding id="Var$Q$4" type="matrix" appref="{FE09AB68-5D10-4667-9A9E-8F229C1FAC42}"/>
    <we:binding id="Var$R$4" type="matrix" appref="{F712847C-D3B3-45F3-B135-A718551C45C3}"/>
    <we:binding id="Var$S$4" type="matrix" appref="{F31D209F-2B07-456B-83EF-4DF84721FFBB}"/>
    <we:binding id="Var$T$4" type="matrix" appref="{71112CDA-294B-436B-B8E4-CE7657237D7A}"/>
    <we:binding id="Var$U$4" type="matrix" appref="{0C27F4A0-15B5-48C6-948C-02BDA6D200E2}"/>
    <we:binding id="Var$V$4" type="matrix" appref="{69083435-2C4A-49DF-8B9E-D907FB3A8AC7}"/>
    <we:binding id="Var$C$14" type="matrix" appref="{F92347B2-E2F9-456E-9604-1AA94BDC3EEF}"/>
    <we:binding id="Var$D$14" type="matrix" appref="{92F733F9-4240-403A-99F5-45DD5D9CAEA5}"/>
    <we:binding id="Var$E$14" type="matrix" appref="{0EFBB60D-4EA7-4A9D-9216-745EEF050D0C}"/>
    <we:binding id="Var$F$14" type="matrix" appref="{C3899040-D2AA-456B-B820-354D2FFAD87D}"/>
    <we:binding id="Var$C$15" type="matrix" appref="{5DBCAB9B-006F-4B7C-88B3-832156011B03}"/>
    <we:binding id="Var$D$15" type="matrix" appref="{D5D0A69F-9CE5-488C-86A0-4AD05176CB18}"/>
    <we:binding id="Var$E$15" type="matrix" appref="{56E388E5-FCA9-4579-9BF2-6F9FA1ACACB6}"/>
    <we:binding id="Var$F$15" type="matrix" appref="{AB2A5218-92C1-4AB0-A61A-4391922329E7}"/>
    <we:binding id="Var$C$16" type="matrix" appref="{90814951-4776-4859-A4B4-937B3D0C1AC0}"/>
    <we:binding id="Var$D$16" type="matrix" appref="{4DFD1A47-5099-440E-866D-4ACEB3E4D8DA}"/>
    <we:binding id="Var$E$16" type="matrix" appref="{DBB30430-BEFA-49CB-90C3-A22F3F7FE154}"/>
    <we:binding id="Var$F$16" type="matrix" appref="{B0A86ADA-F0D7-42E3-ABF2-1D55839E9635}"/>
    <we:binding id="Var$D$15:$G$18" type="matrix" appref="{B5C3E58C-B41A-4299-A1EE-1368EF7E938E}"/>
    <we:binding id="1Var0" type="matrix" appref="{41C8B748-1FC3-4A24-9B24-AFAC5DC4F7C1}"/>
    <we:binding id="2Var0" type="matrix" appref="{A5FEC0C5-E500-4500-8B19-D2E7F84F5288}"/>
    <we:binding id="3Var0" type="matrix" appref="{F8A8ED61-38E7-4517-8225-E1BEEA039CC9}"/>
    <we:binding id="4Var0" type="matrix" appref="{EE1F216E-FFE4-435C-BEC4-F4D51CF8822D}"/>
    <we:binding id="Var0" type="matrix" appref="{69FFF029-6445-4936-92A8-2BD7AAA26654}"/>
    <we:binding id="Var$B$8:$C$8" type="matrix" appref="{7C436F77-7DED-45D7-91B0-F5D24005BBEE}"/>
    <we:binding id="Var$B$8:$H$8" type="matrix" appref="{4EFABD6B-B160-48F7-863D-57D566A65731}"/>
    <we:binding id="refEdit" type="matrix" appref="{3E10DDE4-B0CC-4709-B273-589EBBD15B81}"/>
    <we:binding id="Worker" type="matrix" appref="{9B856636-CB7E-4A33-BF73-C28989685CEF}"/>
    <we:binding id="Obj" type="matrix" appref="{6FA1FE10-6748-4C3A-B704-2652EC602039}"/>
    <we:binding id="Var$B$5:$C$5" type="matrix" appref="{251598FC-DEA8-4E31-A5B5-074A4D3D88EF}"/>
  </we:bindings>
  <we:snapshot xmlns:r="http://schemas.openxmlformats.org/officeDocument/2006/relationships"/>
</we:webextension>
</file>

<file path=xl/webextensions/webextension2.xml><?xml version="1.0" encoding="utf-8"?>
<we:webextension xmlns:we="http://schemas.microsoft.com/office/webextensions/webextension/2010/11" id="{0A8704C1-970A-4833-8163-07A569801029}">
  <we:reference id="wa200000018" version="24.0.0.0" store="en-US" storeType="OMEX"/>
  <we:alternateReferences>
    <we:reference id="wa200000018" version="24.0.0.0" store="wa200000018"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PsiCorrectCorrmat</we:customFunctionIds>
        <we:customFunctionIds>PsiStatic</we:customFunctionIds>
        <we:customFunctionIds>PsiMakeInput</we:customFunctionIds>
        <we:customFunctionIds>PsiSimulationInfo</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it.ly/4bctB0C"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8E56-5BA3-4293-9581-F0500CE10334}">
  <dimension ref="A1:O20"/>
  <sheetViews>
    <sheetView workbookViewId="0">
      <selection activeCell="O6" sqref="O6"/>
    </sheetView>
  </sheetViews>
  <sheetFormatPr defaultRowHeight="14.4"/>
  <cols>
    <col min="1" max="1" width="22.21875" customWidth="1"/>
    <col min="3" max="3" width="17.77734375" customWidth="1"/>
  </cols>
  <sheetData>
    <row r="1" spans="1:15" ht="20.399999999999999" thickBot="1">
      <c r="A1" s="116" t="s">
        <v>15</v>
      </c>
      <c r="B1" s="116"/>
      <c r="C1" s="116"/>
    </row>
    <row r="2" spans="1:15" ht="15" thickTop="1">
      <c r="C2" s="10"/>
    </row>
    <row r="3" spans="1:15">
      <c r="C3" s="10"/>
    </row>
    <row r="4" spans="1:15" ht="30">
      <c r="A4" s="9" t="s">
        <v>0</v>
      </c>
      <c r="B4" t="s">
        <v>19</v>
      </c>
      <c r="C4" s="10" t="s">
        <v>18</v>
      </c>
      <c r="E4" s="118" t="s">
        <v>16</v>
      </c>
      <c r="F4" s="118"/>
      <c r="G4" s="118"/>
      <c r="H4" s="118"/>
      <c r="I4" s="118"/>
      <c r="J4" s="118"/>
      <c r="K4" s="118"/>
      <c r="L4" s="118"/>
    </row>
    <row r="5" spans="1:15">
      <c r="A5" s="7" t="s">
        <v>1</v>
      </c>
      <c r="C5" s="10"/>
    </row>
    <row r="6" spans="1:15" ht="14.4" customHeight="1">
      <c r="A6" s="8" t="s">
        <v>2</v>
      </c>
      <c r="B6" s="2">
        <v>750</v>
      </c>
      <c r="C6" s="10"/>
      <c r="E6" s="117" t="s">
        <v>17</v>
      </c>
      <c r="F6" s="117"/>
      <c r="G6" s="117"/>
      <c r="H6" s="117"/>
      <c r="I6" s="117"/>
      <c r="J6" s="117"/>
      <c r="K6" s="117"/>
      <c r="L6" s="117"/>
      <c r="O6" s="115" t="s">
        <v>368</v>
      </c>
    </row>
    <row r="7" spans="1:15">
      <c r="A7" s="8" t="s">
        <v>3</v>
      </c>
      <c r="B7" s="11">
        <v>8</v>
      </c>
      <c r="C7" s="10" t="s">
        <v>4</v>
      </c>
      <c r="E7" s="117"/>
      <c r="F7" s="117"/>
      <c r="G7" s="117"/>
      <c r="H7" s="117"/>
      <c r="I7" s="117"/>
      <c r="J7" s="117"/>
      <c r="K7" s="117"/>
      <c r="L7" s="117"/>
    </row>
    <row r="8" spans="1:15">
      <c r="A8" s="5" t="s">
        <v>8</v>
      </c>
      <c r="B8" s="2"/>
      <c r="C8" s="10"/>
      <c r="E8" s="117"/>
      <c r="F8" s="117"/>
      <c r="G8" s="117"/>
      <c r="H8" s="117"/>
      <c r="I8" s="117"/>
      <c r="J8" s="117"/>
      <c r="K8" s="117"/>
      <c r="L8" s="117"/>
    </row>
    <row r="9" spans="1:15">
      <c r="A9" s="8" t="s">
        <v>6</v>
      </c>
      <c r="B9" s="2">
        <v>18</v>
      </c>
      <c r="C9" s="10" t="s">
        <v>4</v>
      </c>
      <c r="E9" s="117"/>
      <c r="F9" s="117"/>
      <c r="G9" s="117"/>
      <c r="H9" s="117"/>
      <c r="I9" s="117"/>
      <c r="J9" s="117"/>
      <c r="K9" s="117"/>
      <c r="L9" s="117"/>
    </row>
    <row r="10" spans="1:15">
      <c r="A10" s="8" t="s">
        <v>7</v>
      </c>
      <c r="B10" s="2">
        <v>6</v>
      </c>
      <c r="C10" s="10" t="s">
        <v>4</v>
      </c>
      <c r="E10" s="117"/>
      <c r="F10" s="117"/>
      <c r="G10" s="117"/>
      <c r="H10" s="117"/>
      <c r="I10" s="117"/>
      <c r="J10" s="117"/>
      <c r="K10" s="117"/>
      <c r="L10" s="117"/>
    </row>
    <row r="11" spans="1:15">
      <c r="C11" s="10"/>
      <c r="E11" s="117"/>
      <c r="F11" s="117"/>
      <c r="G11" s="117"/>
      <c r="H11" s="117"/>
      <c r="I11" s="117"/>
      <c r="J11" s="117"/>
      <c r="K11" s="117"/>
      <c r="L11" s="117"/>
    </row>
    <row r="12" spans="1:15" ht="14.4" customHeight="1">
      <c r="C12" s="10"/>
      <c r="E12" s="117"/>
      <c r="F12" s="117"/>
      <c r="G12" s="117"/>
      <c r="H12" s="117"/>
      <c r="I12" s="117"/>
      <c r="J12" s="117"/>
      <c r="K12" s="117"/>
      <c r="L12" s="117"/>
    </row>
    <row r="13" spans="1:15">
      <c r="A13" s="5" t="s">
        <v>9</v>
      </c>
      <c r="B13" s="12">
        <v>1600</v>
      </c>
      <c r="C13" s="10"/>
      <c r="E13" s="117"/>
      <c r="F13" s="117"/>
      <c r="G13" s="117"/>
      <c r="H13" s="117"/>
      <c r="I13" s="117"/>
      <c r="J13" s="117"/>
      <c r="K13" s="117"/>
      <c r="L13" s="117"/>
    </row>
    <row r="14" spans="1:15">
      <c r="A14" s="5" t="s">
        <v>14</v>
      </c>
      <c r="B14">
        <v>1500</v>
      </c>
      <c r="C14" s="10"/>
      <c r="E14" s="117"/>
      <c r="F14" s="117"/>
      <c r="G14" s="117"/>
      <c r="H14" s="117"/>
      <c r="I14" s="117"/>
      <c r="J14" s="117"/>
      <c r="K14" s="117"/>
      <c r="L14" s="117"/>
    </row>
    <row r="15" spans="1:15">
      <c r="A15" s="5" t="s">
        <v>10</v>
      </c>
      <c r="B15" s="12">
        <f>MIN(B13,B14)</f>
        <v>1500</v>
      </c>
      <c r="C15" s="10" t="str">
        <f t="shared" ref="C15:C20" ca="1" si="0">_xlfn.FORMULATEXT(B15)</f>
        <v>=MIN(B13,B14)</v>
      </c>
      <c r="E15" s="117"/>
      <c r="F15" s="117"/>
      <c r="G15" s="117"/>
      <c r="H15" s="117"/>
      <c r="I15" s="117"/>
      <c r="J15" s="117"/>
      <c r="K15" s="117"/>
      <c r="L15" s="117"/>
    </row>
    <row r="16" spans="1:15">
      <c r="A16" s="5" t="s">
        <v>11</v>
      </c>
      <c r="B16" s="12">
        <f>MAX(B13-B14,0)</f>
        <v>100</v>
      </c>
      <c r="C16" s="10" t="str">
        <f t="shared" ca="1" si="0"/>
        <v>=MAX(B13-B14,0)</v>
      </c>
      <c r="E16" s="117"/>
      <c r="F16" s="117"/>
      <c r="G16" s="117"/>
      <c r="H16" s="117"/>
      <c r="I16" s="117"/>
      <c r="J16" s="117"/>
      <c r="K16" s="117"/>
      <c r="L16" s="117"/>
    </row>
    <row r="17" spans="1:12">
      <c r="A17" s="5"/>
      <c r="C17" s="10"/>
      <c r="E17" s="117"/>
      <c r="F17" s="117"/>
      <c r="G17" s="117"/>
      <c r="H17" s="117"/>
      <c r="I17" s="117"/>
      <c r="J17" s="117"/>
      <c r="K17" s="117"/>
      <c r="L17" s="117"/>
    </row>
    <row r="18" spans="1:12">
      <c r="A18" s="5" t="s">
        <v>12</v>
      </c>
      <c r="B18" s="3">
        <f>B9*B15+B10*B16</f>
        <v>27600</v>
      </c>
      <c r="C18" s="10" t="str">
        <f t="shared" ca="1" si="0"/>
        <v>=B9*B15+B10*B16</v>
      </c>
      <c r="E18" s="117"/>
      <c r="F18" s="117"/>
      <c r="G18" s="117"/>
      <c r="H18" s="117"/>
      <c r="I18" s="117"/>
      <c r="J18" s="117"/>
      <c r="K18" s="117"/>
      <c r="L18" s="117"/>
    </row>
    <row r="19" spans="1:12">
      <c r="A19" s="5" t="s">
        <v>13</v>
      </c>
      <c r="B19" s="3">
        <f>B18-B20</f>
        <v>14050</v>
      </c>
      <c r="C19" s="10" t="str">
        <f t="shared" ca="1" si="0"/>
        <v>=B18-B20</v>
      </c>
      <c r="E19" s="117"/>
      <c r="F19" s="117"/>
      <c r="G19" s="117"/>
      <c r="H19" s="117"/>
      <c r="I19" s="117"/>
      <c r="J19" s="117"/>
      <c r="K19" s="117"/>
      <c r="L19" s="117"/>
    </row>
    <row r="20" spans="1:12">
      <c r="A20" s="5" t="s">
        <v>5</v>
      </c>
      <c r="B20" s="3">
        <f>B6+B7*B13</f>
        <v>13550</v>
      </c>
      <c r="C20" s="10" t="str">
        <f t="shared" ca="1" si="0"/>
        <v>=B6+B7*B13</v>
      </c>
    </row>
  </sheetData>
  <mergeCells count="3">
    <mergeCell ref="A1:C1"/>
    <mergeCell ref="E6:L19"/>
    <mergeCell ref="E4:L4"/>
  </mergeCells>
  <hyperlinks>
    <hyperlink ref="O6" r:id="rId1" xr:uid="{52740CEC-D536-4685-8B58-C8ABAA0A98B4}"/>
  </hyperlinks>
  <pageMargins left="0.7" right="0.7" top="0.75" bottom="0.75" header="0.3" footer="0.3"/>
  <pageSetup orientation="portrait" r:id="rId2"/>
  <extLst>
    <ext xmlns:x15="http://schemas.microsoft.com/office/spreadsheetml/2010/11/main" uri="{F7C9EE02-42E1-4005-9D12-6889AFFD525C}">
      <x15:webExtensions xmlns:xm="http://schemas.microsoft.com/office/excel/2006/main">
        <x15:webExtension appRef="{4C19DBAA-55B5-47BA-AD9C-065D4E31C387}">
          <xm:f>#REF!</xm:f>
        </x15:webExtension>
        <x15:webExtension appRef="{E36FDDAA-1D6F-4FAF-80A6-EC5F18C679F8}">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99607-1CFF-41F7-BA52-600D35EA4A48}">
  <dimension ref="A1:W21"/>
  <sheetViews>
    <sheetView topLeftCell="B1" workbookViewId="0">
      <selection activeCell="U19" sqref="U19"/>
    </sheetView>
  </sheetViews>
  <sheetFormatPr defaultRowHeight="14.4"/>
  <cols>
    <col min="1" max="1" width="29.33203125" customWidth="1"/>
    <col min="2" max="2" width="10.77734375" customWidth="1"/>
    <col min="3" max="3" width="11.21875" customWidth="1"/>
    <col min="4" max="5" width="12.5546875" customWidth="1"/>
    <col min="6" max="6" width="10.33203125" customWidth="1"/>
  </cols>
  <sheetData>
    <row r="1" spans="1:23" ht="20.399999999999999" thickBot="1">
      <c r="A1" s="116" t="s">
        <v>20</v>
      </c>
      <c r="B1" s="116"/>
      <c r="C1" s="116"/>
      <c r="D1" s="116"/>
      <c r="E1" s="116"/>
      <c r="F1" s="116"/>
    </row>
    <row r="2" spans="1:23" ht="15" thickTop="1">
      <c r="Q2" s="120" t="s">
        <v>35</v>
      </c>
      <c r="R2" s="120"/>
      <c r="S2" s="120"/>
      <c r="T2" s="120"/>
      <c r="U2" s="120"/>
      <c r="V2" s="120"/>
      <c r="W2" s="120"/>
    </row>
    <row r="3" spans="1:23">
      <c r="B3" s="6" t="s">
        <v>21</v>
      </c>
      <c r="C3" s="6" t="s">
        <v>22</v>
      </c>
    </row>
    <row r="4" spans="1:23" ht="14.4" customHeight="1">
      <c r="A4" s="8" t="s">
        <v>24</v>
      </c>
      <c r="B4">
        <v>30</v>
      </c>
      <c r="C4">
        <v>30</v>
      </c>
      <c r="Q4" s="119" t="s">
        <v>34</v>
      </c>
      <c r="R4" s="119"/>
      <c r="S4" s="119"/>
      <c r="T4" s="119"/>
      <c r="U4" s="119"/>
      <c r="V4" s="119"/>
      <c r="W4" s="119"/>
    </row>
    <row r="5" spans="1:23">
      <c r="A5" s="8" t="s">
        <v>25</v>
      </c>
      <c r="B5" s="1">
        <v>5.5</v>
      </c>
      <c r="C5" s="1">
        <v>4.3</v>
      </c>
      <c r="D5" s="1"/>
      <c r="Q5" s="119"/>
      <c r="R5" s="119"/>
      <c r="S5" s="119"/>
      <c r="T5" s="119"/>
      <c r="U5" s="119"/>
      <c r="V5" s="119"/>
      <c r="W5" s="119"/>
    </row>
    <row r="6" spans="1:23">
      <c r="A6" s="21" t="s">
        <v>5</v>
      </c>
      <c r="B6" s="18">
        <f>B4*B5</f>
        <v>165</v>
      </c>
      <c r="C6" s="18">
        <f>C4*C5</f>
        <v>129</v>
      </c>
      <c r="D6" s="1"/>
      <c r="Q6" s="119"/>
      <c r="R6" s="119"/>
      <c r="S6" s="119"/>
      <c r="T6" s="119"/>
      <c r="U6" s="119"/>
      <c r="V6" s="119"/>
      <c r="W6" s="119"/>
    </row>
    <row r="7" spans="1:23">
      <c r="D7" s="13"/>
      <c r="Q7" s="119"/>
      <c r="R7" s="119"/>
      <c r="S7" s="119"/>
      <c r="T7" s="119"/>
      <c r="U7" s="119"/>
      <c r="V7" s="119"/>
      <c r="W7" s="119"/>
    </row>
    <row r="8" spans="1:23">
      <c r="A8" s="8" t="s">
        <v>27</v>
      </c>
      <c r="B8">
        <v>16</v>
      </c>
      <c r="C8" s="14">
        <v>16</v>
      </c>
      <c r="D8" s="1"/>
      <c r="E8" s="13"/>
      <c r="Q8" s="119"/>
      <c r="R8" s="119"/>
      <c r="S8" s="119"/>
      <c r="T8" s="119"/>
      <c r="U8" s="119"/>
      <c r="V8" s="119"/>
      <c r="W8" s="119"/>
    </row>
    <row r="9" spans="1:23">
      <c r="A9" s="8" t="s">
        <v>26</v>
      </c>
      <c r="B9" s="1">
        <v>18.5</v>
      </c>
      <c r="C9" s="1">
        <v>18.5</v>
      </c>
      <c r="Q9" s="119"/>
      <c r="R9" s="119"/>
      <c r="S9" s="119"/>
      <c r="T9" s="119"/>
      <c r="U9" s="119"/>
      <c r="V9" s="119"/>
      <c r="W9" s="119"/>
    </row>
    <row r="10" spans="1:23">
      <c r="A10" s="21" t="s">
        <v>28</v>
      </c>
      <c r="B10" s="19">
        <f>B8*B9</f>
        <v>296</v>
      </c>
      <c r="C10" s="19">
        <f>C8*C9</f>
        <v>296</v>
      </c>
      <c r="Q10" s="119"/>
      <c r="R10" s="119"/>
      <c r="S10" s="119"/>
      <c r="T10" s="119"/>
      <c r="U10" s="119"/>
      <c r="V10" s="119"/>
      <c r="W10" s="119"/>
    </row>
    <row r="11" spans="1:23">
      <c r="B11" s="15"/>
      <c r="C11" s="15"/>
      <c r="Q11" s="119"/>
      <c r="R11" s="119"/>
      <c r="S11" s="119"/>
      <c r="T11" s="119"/>
      <c r="U11" s="119"/>
      <c r="V11" s="119"/>
      <c r="W11" s="119"/>
    </row>
    <row r="12" spans="1:23">
      <c r="A12" s="21" t="s">
        <v>29</v>
      </c>
      <c r="B12" s="19">
        <f>B6+B10</f>
        <v>461</v>
      </c>
      <c r="C12" s="19">
        <f>C6+C10</f>
        <v>425</v>
      </c>
      <c r="Q12" s="119"/>
      <c r="R12" s="119"/>
      <c r="S12" s="119"/>
      <c r="T12" s="119"/>
      <c r="U12" s="119"/>
      <c r="V12" s="119"/>
      <c r="W12" s="119"/>
    </row>
    <row r="13" spans="1:23">
      <c r="A13" s="24"/>
      <c r="B13" s="20"/>
      <c r="C13" s="20"/>
      <c r="D13" s="25"/>
      <c r="Q13" s="119"/>
      <c r="R13" s="119"/>
      <c r="S13" s="119"/>
      <c r="T13" s="119"/>
      <c r="U13" s="119"/>
      <c r="V13" s="119"/>
      <c r="W13" s="119"/>
    </row>
    <row r="14" spans="1:23">
      <c r="A14" s="22" t="s">
        <v>33</v>
      </c>
      <c r="B14" s="23">
        <v>2.4E-2</v>
      </c>
      <c r="C14" s="23">
        <v>1.7000000000000001E-2</v>
      </c>
      <c r="D14" s="23">
        <v>1.4999999999999999E-2</v>
      </c>
      <c r="E14" s="16"/>
      <c r="F14" s="16"/>
      <c r="Q14" s="119"/>
      <c r="R14" s="119"/>
      <c r="S14" s="119"/>
      <c r="T14" s="119"/>
      <c r="U14" s="119"/>
      <c r="V14" s="119"/>
      <c r="W14" s="119"/>
    </row>
    <row r="15" spans="1:23">
      <c r="A15" s="4" t="s">
        <v>30</v>
      </c>
      <c r="B15" s="17" t="s">
        <v>21</v>
      </c>
      <c r="C15" s="17" t="s">
        <v>22</v>
      </c>
      <c r="D15" s="4" t="s">
        <v>23</v>
      </c>
      <c r="E15" s="4" t="s">
        <v>31</v>
      </c>
      <c r="F15" s="4" t="s">
        <v>32</v>
      </c>
      <c r="Q15" s="119"/>
      <c r="R15" s="119"/>
      <c r="S15" s="119"/>
      <c r="T15" s="119"/>
      <c r="U15" s="119"/>
      <c r="V15" s="119"/>
      <c r="W15" s="119"/>
    </row>
    <row r="16" spans="1:23">
      <c r="A16" s="4">
        <v>0</v>
      </c>
      <c r="B16" s="15">
        <f>B6</f>
        <v>165</v>
      </c>
      <c r="C16" s="15">
        <f>C6</f>
        <v>129</v>
      </c>
      <c r="D16" s="15">
        <f>B10</f>
        <v>296</v>
      </c>
      <c r="E16" s="15">
        <f>B16+D16</f>
        <v>461</v>
      </c>
      <c r="F16" s="15">
        <f>C16+D16</f>
        <v>425</v>
      </c>
    </row>
    <row r="17" spans="1:6">
      <c r="A17" s="4">
        <v>1</v>
      </c>
      <c r="B17" s="15">
        <f>B16*(1+$B$14)</f>
        <v>168.96</v>
      </c>
      <c r="C17" s="15">
        <f>C16*(1+$C$14)</f>
        <v>131.19299999999998</v>
      </c>
      <c r="D17" s="15">
        <f>D16*(1+$D$14)</f>
        <v>300.44</v>
      </c>
      <c r="E17" s="15">
        <f>B17+D17</f>
        <v>469.4</v>
      </c>
      <c r="F17" s="15">
        <f>C17+D17</f>
        <v>431.63299999999998</v>
      </c>
    </row>
    <row r="18" spans="1:6">
      <c r="A18" s="4">
        <v>2</v>
      </c>
      <c r="B18" s="15">
        <f>B17*(1+$B$14)</f>
        <v>173.01504</v>
      </c>
      <c r="C18" s="15">
        <f>C17*(1+$C$14)</f>
        <v>133.42328099999997</v>
      </c>
      <c r="D18" s="15">
        <f>D17*(1+$D$14)</f>
        <v>304.94659999999999</v>
      </c>
      <c r="E18" s="15">
        <f t="shared" ref="E18:E21" si="0">B18+D18</f>
        <v>477.96163999999999</v>
      </c>
      <c r="F18" s="15">
        <f t="shared" ref="F18:F21" si="1">C18+D18</f>
        <v>438.36988099999996</v>
      </c>
    </row>
    <row r="19" spans="1:6">
      <c r="A19" s="4">
        <v>3</v>
      </c>
      <c r="B19" s="15">
        <f>B18*(1+$B$14)</f>
        <v>177.16740096000001</v>
      </c>
      <c r="C19" s="15">
        <f>C18*(1+$C$14)</f>
        <v>135.69147677699996</v>
      </c>
      <c r="D19" s="15">
        <f>D18*(1+$D$14)</f>
        <v>309.52079899999995</v>
      </c>
      <c r="E19" s="15">
        <f t="shared" si="0"/>
        <v>486.68819995999996</v>
      </c>
      <c r="F19" s="15">
        <f t="shared" si="1"/>
        <v>445.21227577699995</v>
      </c>
    </row>
    <row r="20" spans="1:6">
      <c r="A20" s="4">
        <v>4</v>
      </c>
      <c r="B20" s="15">
        <f>B19*(1+$B$14)</f>
        <v>181.41941858304003</v>
      </c>
      <c r="C20" s="15">
        <f>C19*(1+$C$14)</f>
        <v>137.99823188220896</v>
      </c>
      <c r="D20" s="15">
        <f>D19*(1+$D$14)</f>
        <v>314.16361098499993</v>
      </c>
      <c r="E20" s="15">
        <f t="shared" si="0"/>
        <v>495.58302956803993</v>
      </c>
      <c r="F20" s="15">
        <f t="shared" si="1"/>
        <v>452.16184286720886</v>
      </c>
    </row>
    <row r="21" spans="1:6">
      <c r="A21" s="4">
        <v>5</v>
      </c>
      <c r="B21" s="15">
        <f>B20*(1+$B$14)</f>
        <v>185.77348462903299</v>
      </c>
      <c r="C21" s="15">
        <f>C20*(1+$C$14)</f>
        <v>140.34420182420649</v>
      </c>
      <c r="D21" s="15">
        <f>D20*(1+$D$14)</f>
        <v>318.87606514977489</v>
      </c>
      <c r="E21" s="15">
        <f t="shared" si="0"/>
        <v>504.64954977880791</v>
      </c>
      <c r="F21" s="15">
        <f t="shared" si="1"/>
        <v>459.22026697398138</v>
      </c>
    </row>
  </sheetData>
  <mergeCells count="3">
    <mergeCell ref="A1:F1"/>
    <mergeCell ref="Q4:W15"/>
    <mergeCell ref="Q2:W2"/>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8C52-387F-418E-8E41-506659DEC621}">
  <dimension ref="A1:AD24"/>
  <sheetViews>
    <sheetView workbookViewId="0">
      <selection activeCell="Q26" sqref="Q26"/>
    </sheetView>
  </sheetViews>
  <sheetFormatPr defaultRowHeight="14.4"/>
  <cols>
    <col min="1" max="1" width="26.5546875" customWidth="1"/>
    <col min="2" max="2" width="14.5546875" customWidth="1"/>
    <col min="3" max="3" width="32" customWidth="1"/>
    <col min="5" max="5" width="14.6640625" customWidth="1"/>
    <col min="6" max="6" width="13.109375" customWidth="1"/>
  </cols>
  <sheetData>
    <row r="1" spans="1:30" ht="20.399999999999999" thickBot="1">
      <c r="A1" s="116" t="s">
        <v>36</v>
      </c>
      <c r="B1" s="116"/>
      <c r="C1" s="116"/>
      <c r="D1" s="116"/>
      <c r="E1" s="116"/>
      <c r="F1" s="116"/>
      <c r="G1" s="116"/>
      <c r="H1" s="116"/>
      <c r="I1" s="116"/>
      <c r="J1" s="116"/>
      <c r="K1" s="116"/>
      <c r="L1" s="116"/>
      <c r="M1" s="116"/>
      <c r="N1" s="116"/>
      <c r="O1" s="116"/>
      <c r="P1" s="116"/>
    </row>
    <row r="2" spans="1:30" ht="15" thickTop="1"/>
    <row r="3" spans="1:30" ht="18" thickBot="1">
      <c r="A3" s="5" t="s">
        <v>37</v>
      </c>
      <c r="B3" t="s">
        <v>19</v>
      </c>
      <c r="C3" t="s">
        <v>51</v>
      </c>
      <c r="E3" s="121" t="s">
        <v>52</v>
      </c>
      <c r="F3" s="121"/>
    </row>
    <row r="4" spans="1:30" ht="15" thickTop="1">
      <c r="A4" s="5" t="s">
        <v>38</v>
      </c>
      <c r="C4" s="10"/>
      <c r="E4" s="7" t="s">
        <v>53</v>
      </c>
      <c r="F4" s="7" t="s">
        <v>54</v>
      </c>
    </row>
    <row r="5" spans="1:30">
      <c r="A5" t="s">
        <v>40</v>
      </c>
      <c r="B5" s="26">
        <v>20000</v>
      </c>
      <c r="C5" s="10"/>
      <c r="E5" s="9"/>
      <c r="F5" s="29">
        <f>B21</f>
        <v>0</v>
      </c>
    </row>
    <row r="6" spans="1:30">
      <c r="A6" s="5" t="s">
        <v>39</v>
      </c>
      <c r="C6" s="10"/>
      <c r="E6" s="30">
        <v>3.5000000000000003E-2</v>
      </c>
      <c r="F6" s="31">
        <f t="dataTable" ref="F6:F19" dt2D="0" dtr="0" r1="B13"/>
        <v>-17700</v>
      </c>
      <c r="R6" s="120" t="s">
        <v>55</v>
      </c>
      <c r="S6" s="120"/>
      <c r="T6" s="120"/>
      <c r="U6" s="120"/>
      <c r="V6" s="120"/>
      <c r="W6" s="120"/>
      <c r="X6" s="120"/>
      <c r="Y6" s="120"/>
      <c r="Z6" s="120"/>
      <c r="AA6" s="120"/>
      <c r="AB6" s="120"/>
      <c r="AC6" s="120"/>
      <c r="AD6" s="120"/>
    </row>
    <row r="7" spans="1:30">
      <c r="A7" t="s">
        <v>40</v>
      </c>
      <c r="B7" s="26">
        <v>0.1</v>
      </c>
      <c r="C7" s="10" t="s">
        <v>48</v>
      </c>
      <c r="E7" s="30">
        <v>0.04</v>
      </c>
      <c r="F7" s="31">
        <v>-13800</v>
      </c>
    </row>
    <row r="8" spans="1:30" ht="14.4" customHeight="1">
      <c r="A8" t="s">
        <v>41</v>
      </c>
      <c r="B8" s="26">
        <v>0.15</v>
      </c>
      <c r="C8" s="10" t="s">
        <v>48</v>
      </c>
      <c r="E8" s="30">
        <v>4.4999999999999998E-2</v>
      </c>
      <c r="F8" s="31">
        <v>-9900</v>
      </c>
      <c r="R8" s="122" t="s">
        <v>56</v>
      </c>
      <c r="S8" s="122"/>
      <c r="T8" s="122"/>
      <c r="U8" s="122"/>
      <c r="V8" s="122"/>
      <c r="W8" s="122"/>
      <c r="X8" s="122"/>
      <c r="Y8" s="122"/>
      <c r="Z8" s="122"/>
      <c r="AA8" s="122"/>
      <c r="AB8" s="122"/>
      <c r="AC8" s="122"/>
      <c r="AD8" s="122"/>
    </row>
    <row r="9" spans="1:30">
      <c r="A9" t="s">
        <v>42</v>
      </c>
      <c r="B9" s="26">
        <v>0.2</v>
      </c>
      <c r="C9" s="10" t="s">
        <v>49</v>
      </c>
      <c r="E9" s="30">
        <v>0.05</v>
      </c>
      <c r="F9" s="31">
        <v>-6000</v>
      </c>
      <c r="R9" s="122"/>
      <c r="S9" s="122"/>
      <c r="T9" s="122"/>
      <c r="U9" s="122"/>
      <c r="V9" s="122"/>
      <c r="W9" s="122"/>
      <c r="X9" s="122"/>
      <c r="Y9" s="122"/>
      <c r="Z9" s="122"/>
      <c r="AA9" s="122"/>
      <c r="AB9" s="122"/>
      <c r="AC9" s="122"/>
      <c r="AD9" s="122"/>
    </row>
    <row r="10" spans="1:30">
      <c r="A10" t="s">
        <v>43</v>
      </c>
      <c r="B10" s="26">
        <v>32</v>
      </c>
      <c r="C10" s="10" t="s">
        <v>49</v>
      </c>
      <c r="E10" s="30">
        <v>5.5E-2</v>
      </c>
      <c r="F10" s="31">
        <v>-2100.0000000000291</v>
      </c>
      <c r="R10" s="122"/>
      <c r="S10" s="122"/>
      <c r="T10" s="122"/>
      <c r="U10" s="122"/>
      <c r="V10" s="122"/>
      <c r="W10" s="122"/>
      <c r="X10" s="122"/>
      <c r="Y10" s="122"/>
      <c r="Z10" s="122"/>
      <c r="AA10" s="122"/>
      <c r="AB10" s="122"/>
      <c r="AC10" s="122"/>
      <c r="AD10" s="122"/>
    </row>
    <row r="11" spans="1:30">
      <c r="C11" s="10"/>
      <c r="E11" s="30">
        <v>0.06</v>
      </c>
      <c r="F11" s="31">
        <v>1799.9999999999709</v>
      </c>
      <c r="R11" s="122"/>
      <c r="S11" s="122"/>
      <c r="T11" s="122"/>
      <c r="U11" s="122"/>
      <c r="V11" s="122"/>
      <c r="W11" s="122"/>
      <c r="X11" s="122"/>
      <c r="Y11" s="122"/>
      <c r="Z11" s="122"/>
      <c r="AA11" s="122"/>
      <c r="AB11" s="122"/>
      <c r="AC11" s="122"/>
      <c r="AD11" s="122"/>
    </row>
    <row r="12" spans="1:30">
      <c r="A12" s="5" t="s">
        <v>44</v>
      </c>
      <c r="B12">
        <v>100000</v>
      </c>
      <c r="C12" s="10"/>
      <c r="E12" s="30">
        <v>6.5000000000000002E-2</v>
      </c>
      <c r="F12" s="31">
        <v>5699.9999999999709</v>
      </c>
      <c r="R12" s="122"/>
      <c r="S12" s="122"/>
      <c r="T12" s="122"/>
      <c r="U12" s="122"/>
      <c r="V12" s="122"/>
      <c r="W12" s="122"/>
      <c r="X12" s="122"/>
      <c r="Y12" s="122"/>
      <c r="Z12" s="122"/>
      <c r="AA12" s="122"/>
      <c r="AB12" s="122"/>
      <c r="AC12" s="122"/>
      <c r="AD12" s="122"/>
    </row>
    <row r="13" spans="1:30">
      <c r="A13" s="5" t="s">
        <v>45</v>
      </c>
      <c r="B13" s="28">
        <v>5.7692307692307702E-2</v>
      </c>
      <c r="C13" s="10" t="s">
        <v>50</v>
      </c>
      <c r="E13" s="30">
        <v>7.0000000000000007E-2</v>
      </c>
      <c r="F13" s="31">
        <v>9600</v>
      </c>
      <c r="R13" s="122"/>
      <c r="S13" s="122"/>
      <c r="T13" s="122"/>
      <c r="U13" s="122"/>
      <c r="V13" s="122"/>
      <c r="W13" s="122"/>
      <c r="X13" s="122"/>
      <c r="Y13" s="122"/>
      <c r="Z13" s="122"/>
      <c r="AA13" s="122"/>
      <c r="AB13" s="122"/>
      <c r="AC13" s="122"/>
      <c r="AD13" s="122"/>
    </row>
    <row r="14" spans="1:30">
      <c r="A14" s="5" t="s">
        <v>46</v>
      </c>
      <c r="B14">
        <f>B13*B12</f>
        <v>5769.2307692307704</v>
      </c>
      <c r="C14" s="10" t="str">
        <f ca="1">_xlfn.FORMULATEXT(B14)</f>
        <v>=B13*B12</v>
      </c>
      <c r="E14" s="30">
        <v>7.4999999999999997E-2</v>
      </c>
      <c r="F14" s="31">
        <v>13500</v>
      </c>
      <c r="R14" s="122"/>
      <c r="S14" s="122"/>
      <c r="T14" s="122"/>
      <c r="U14" s="122"/>
      <c r="V14" s="122"/>
      <c r="W14" s="122"/>
      <c r="X14" s="122"/>
      <c r="Y14" s="122"/>
      <c r="Z14" s="122"/>
      <c r="AA14" s="122"/>
      <c r="AB14" s="122"/>
      <c r="AC14" s="122"/>
      <c r="AD14" s="122"/>
    </row>
    <row r="15" spans="1:30">
      <c r="C15" s="10"/>
      <c r="E15" s="30">
        <v>0.08</v>
      </c>
      <c r="F15" s="31">
        <v>17400</v>
      </c>
      <c r="R15" s="122"/>
      <c r="S15" s="122"/>
      <c r="T15" s="122"/>
      <c r="U15" s="122"/>
      <c r="V15" s="122"/>
      <c r="W15" s="122"/>
      <c r="X15" s="122"/>
      <c r="Y15" s="122"/>
      <c r="Z15" s="122"/>
      <c r="AA15" s="122"/>
      <c r="AB15" s="122"/>
      <c r="AC15" s="122"/>
      <c r="AD15" s="122"/>
    </row>
    <row r="16" spans="1:30">
      <c r="A16" s="5" t="s">
        <v>29</v>
      </c>
      <c r="B16" s="27">
        <f>B5+(B7+B8)*B12+(B9+B10)*B14</f>
        <v>230769.23076923081</v>
      </c>
      <c r="C16" s="10" t="str">
        <f ca="1">_xlfn.FORMULATEXT(B16)</f>
        <v>=B5+(B7+B8)*B12+(B9+B10)*B14</v>
      </c>
      <c r="E16" s="30">
        <v>8.5000000000000006E-2</v>
      </c>
      <c r="F16" s="31">
        <v>21300</v>
      </c>
      <c r="R16" s="122"/>
      <c r="S16" s="122"/>
      <c r="T16" s="122"/>
      <c r="U16" s="122"/>
      <c r="V16" s="122"/>
      <c r="W16" s="122"/>
      <c r="X16" s="122"/>
      <c r="Y16" s="122"/>
      <c r="Z16" s="122"/>
      <c r="AA16" s="122"/>
      <c r="AB16" s="122"/>
      <c r="AC16" s="122"/>
      <c r="AD16" s="122"/>
    </row>
    <row r="17" spans="1:30">
      <c r="C17" s="10"/>
      <c r="E17" s="30">
        <v>0.09</v>
      </c>
      <c r="F17" s="31">
        <v>25200</v>
      </c>
      <c r="R17" s="122"/>
      <c r="S17" s="122"/>
      <c r="T17" s="122"/>
      <c r="U17" s="122"/>
      <c r="V17" s="122"/>
      <c r="W17" s="122"/>
      <c r="X17" s="122"/>
      <c r="Y17" s="122"/>
      <c r="Z17" s="122"/>
      <c r="AA17" s="122"/>
      <c r="AB17" s="122"/>
      <c r="AC17" s="122"/>
      <c r="AD17" s="122"/>
    </row>
    <row r="18" spans="1:30">
      <c r="A18" s="5" t="s">
        <v>8</v>
      </c>
      <c r="C18" s="10"/>
      <c r="E18" s="30">
        <v>9.5000000000000001E-2</v>
      </c>
      <c r="F18" s="31">
        <v>29100</v>
      </c>
      <c r="R18" s="122"/>
      <c r="S18" s="122"/>
      <c r="T18" s="122"/>
      <c r="U18" s="122"/>
      <c r="V18" s="122"/>
      <c r="W18" s="122"/>
      <c r="X18" s="122"/>
      <c r="Y18" s="122"/>
      <c r="Z18" s="122"/>
      <c r="AA18" s="122"/>
      <c r="AB18" s="122"/>
      <c r="AC18" s="122"/>
      <c r="AD18" s="122"/>
    </row>
    <row r="19" spans="1:30">
      <c r="A19" s="5" t="s">
        <v>47</v>
      </c>
      <c r="B19" s="26">
        <v>40</v>
      </c>
      <c r="C19" s="10"/>
      <c r="E19" s="30">
        <v>0.1</v>
      </c>
      <c r="F19" s="31">
        <v>33000</v>
      </c>
      <c r="R19" s="122"/>
      <c r="S19" s="122"/>
      <c r="T19" s="122"/>
      <c r="U19" s="122"/>
      <c r="V19" s="122"/>
      <c r="W19" s="122"/>
      <c r="X19" s="122"/>
      <c r="Y19" s="122"/>
      <c r="Z19" s="122"/>
      <c r="AA19" s="122"/>
      <c r="AB19" s="122"/>
      <c r="AC19" s="122"/>
      <c r="AD19" s="122"/>
    </row>
    <row r="20" spans="1:30">
      <c r="A20" s="5" t="s">
        <v>12</v>
      </c>
      <c r="B20" s="27">
        <f>B19*B14</f>
        <v>230769.23076923081</v>
      </c>
      <c r="C20" s="10" t="str">
        <f ca="1">_xlfn.FORMULATEXT(B20)</f>
        <v>=B19*B14</v>
      </c>
      <c r="R20" s="122"/>
      <c r="S20" s="122"/>
      <c r="T20" s="122"/>
      <c r="U20" s="122"/>
      <c r="V20" s="122"/>
      <c r="W20" s="122"/>
      <c r="X20" s="122"/>
      <c r="Y20" s="122"/>
      <c r="Z20" s="122"/>
      <c r="AA20" s="122"/>
      <c r="AB20" s="122"/>
      <c r="AC20" s="122"/>
      <c r="AD20" s="122"/>
    </row>
    <row r="21" spans="1:30">
      <c r="A21" s="5" t="s">
        <v>13</v>
      </c>
      <c r="B21" s="15">
        <f>B20-B16</f>
        <v>0</v>
      </c>
      <c r="C21" s="10" t="str">
        <f ca="1">_xlfn.FORMULATEXT(B21)</f>
        <v>=B20-B16</v>
      </c>
      <c r="R21" s="122"/>
      <c r="S21" s="122"/>
      <c r="T21" s="122"/>
      <c r="U21" s="122"/>
      <c r="V21" s="122"/>
      <c r="W21" s="122"/>
      <c r="X21" s="122"/>
      <c r="Y21" s="122"/>
      <c r="Z21" s="122"/>
      <c r="AA21" s="122"/>
      <c r="AB21" s="122"/>
      <c r="AC21" s="122"/>
      <c r="AD21" s="122"/>
    </row>
    <row r="22" spans="1:30">
      <c r="R22" s="122"/>
      <c r="S22" s="122"/>
      <c r="T22" s="122"/>
      <c r="U22" s="122"/>
      <c r="V22" s="122"/>
      <c r="W22" s="122"/>
      <c r="X22" s="122"/>
      <c r="Y22" s="122"/>
      <c r="Z22" s="122"/>
      <c r="AA22" s="122"/>
      <c r="AB22" s="122"/>
      <c r="AC22" s="122"/>
      <c r="AD22" s="122"/>
    </row>
    <row r="23" spans="1:30">
      <c r="R23" s="122"/>
      <c r="S23" s="122"/>
      <c r="T23" s="122"/>
      <c r="U23" s="122"/>
      <c r="V23" s="122"/>
      <c r="W23" s="122"/>
      <c r="X23" s="122"/>
      <c r="Y23" s="122"/>
      <c r="Z23" s="122"/>
      <c r="AA23" s="122"/>
      <c r="AB23" s="122"/>
      <c r="AC23" s="122"/>
      <c r="AD23" s="122"/>
    </row>
    <row r="24" spans="1:30">
      <c r="R24" s="122"/>
      <c r="S24" s="122"/>
      <c r="T24" s="122"/>
      <c r="U24" s="122"/>
      <c r="V24" s="122"/>
      <c r="W24" s="122"/>
      <c r="X24" s="122"/>
      <c r="Y24" s="122"/>
      <c r="Z24" s="122"/>
      <c r="AA24" s="122"/>
      <c r="AB24" s="122"/>
      <c r="AC24" s="122"/>
      <c r="AD24" s="122"/>
    </row>
  </sheetData>
  <mergeCells count="4">
    <mergeCell ref="A1:P1"/>
    <mergeCell ref="E3:F3"/>
    <mergeCell ref="R8:AD24"/>
    <mergeCell ref="R6:AD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72D66-2391-4CD5-8D68-24CC1785313F}">
  <dimension ref="A1:Z24"/>
  <sheetViews>
    <sheetView workbookViewId="0">
      <selection activeCell="C10" sqref="C10"/>
    </sheetView>
  </sheetViews>
  <sheetFormatPr defaultRowHeight="14.4"/>
  <cols>
    <col min="1" max="1" width="30.21875" customWidth="1"/>
    <col min="2" max="2" width="17.77734375" customWidth="1"/>
    <col min="3" max="3" width="26.6640625" customWidth="1"/>
    <col min="6" max="9" width="11.6640625" bestFit="1" customWidth="1"/>
    <col min="10" max="14" width="11.109375" bestFit="1" customWidth="1"/>
  </cols>
  <sheetData>
    <row r="1" spans="1:26" ht="20.399999999999999" thickBot="1">
      <c r="A1" s="116" t="s">
        <v>57</v>
      </c>
      <c r="B1" s="116"/>
      <c r="C1" s="116"/>
      <c r="D1" s="116"/>
      <c r="E1" s="116"/>
      <c r="F1" s="116"/>
      <c r="G1" s="116"/>
      <c r="H1" s="116"/>
      <c r="I1" s="116"/>
      <c r="J1" s="116"/>
      <c r="K1" s="116"/>
      <c r="L1" s="116"/>
      <c r="M1" s="116"/>
      <c r="N1" s="116"/>
      <c r="O1" s="116"/>
    </row>
    <row r="2" spans="1:26" ht="26.4" thickTop="1">
      <c r="D2" s="37"/>
      <c r="E2" s="37"/>
      <c r="F2" s="123" t="s">
        <v>70</v>
      </c>
      <c r="G2" s="123"/>
      <c r="H2" s="123"/>
      <c r="I2" s="123"/>
      <c r="J2" s="123"/>
      <c r="K2" s="123"/>
      <c r="L2" s="123"/>
      <c r="M2" s="123"/>
      <c r="N2" s="123"/>
      <c r="P2" s="127" t="s">
        <v>35</v>
      </c>
      <c r="Q2" s="127"/>
      <c r="R2" s="127"/>
      <c r="S2" s="127"/>
      <c r="T2" s="127"/>
      <c r="U2" s="127"/>
      <c r="V2" s="127"/>
      <c r="W2" s="127"/>
      <c r="X2" s="127"/>
      <c r="Y2" s="127"/>
      <c r="Z2" s="127"/>
    </row>
    <row r="3" spans="1:26">
      <c r="D3" s="37"/>
      <c r="E3" s="38">
        <f>B24</f>
        <v>7000</v>
      </c>
      <c r="F3" s="37">
        <v>500</v>
      </c>
      <c r="G3" s="37">
        <v>1000</v>
      </c>
      <c r="H3" s="37">
        <v>1500</v>
      </c>
      <c r="I3" s="37">
        <v>2000</v>
      </c>
      <c r="J3" s="37">
        <v>2500</v>
      </c>
      <c r="K3" s="37">
        <v>3000</v>
      </c>
      <c r="L3" s="37">
        <v>3500</v>
      </c>
      <c r="M3" s="37">
        <v>4000</v>
      </c>
      <c r="N3" s="37">
        <v>4500</v>
      </c>
    </row>
    <row r="4" spans="1:26">
      <c r="A4" t="s">
        <v>58</v>
      </c>
      <c r="B4" t="s">
        <v>19</v>
      </c>
      <c r="C4" t="s">
        <v>72</v>
      </c>
      <c r="D4" s="124" t="s">
        <v>71</v>
      </c>
      <c r="E4" s="37">
        <v>500</v>
      </c>
      <c r="F4" s="39">
        <f t="dataTable" ref="F4:N12" dt2D="1" dtr="1" r1="B15" r2="B14"/>
        <v>3000</v>
      </c>
      <c r="G4" s="39">
        <v>3000</v>
      </c>
      <c r="H4" s="39">
        <v>3000</v>
      </c>
      <c r="I4" s="39">
        <v>3000</v>
      </c>
      <c r="J4" s="39">
        <v>3000</v>
      </c>
      <c r="K4" s="39">
        <v>3000</v>
      </c>
      <c r="L4" s="39">
        <v>3000</v>
      </c>
      <c r="M4" s="39">
        <v>3000</v>
      </c>
      <c r="N4" s="39">
        <v>3000</v>
      </c>
      <c r="P4" s="125" t="s">
        <v>73</v>
      </c>
      <c r="Q4" s="126"/>
      <c r="R4" s="126"/>
      <c r="S4" s="126"/>
      <c r="T4" s="126"/>
      <c r="U4" s="126"/>
      <c r="V4" s="126"/>
      <c r="W4" s="126"/>
      <c r="X4" s="126"/>
      <c r="Y4" s="126"/>
      <c r="Z4" s="126"/>
    </row>
    <row r="5" spans="1:26">
      <c r="A5" t="s">
        <v>60</v>
      </c>
      <c r="B5" s="27">
        <v>30</v>
      </c>
      <c r="C5" s="33"/>
      <c r="D5" s="124"/>
      <c r="E5" s="37">
        <v>1000</v>
      </c>
      <c r="F5" s="39">
        <v>-3000</v>
      </c>
      <c r="G5" s="39">
        <v>7000</v>
      </c>
      <c r="H5" s="39">
        <v>7000</v>
      </c>
      <c r="I5" s="39">
        <v>7000</v>
      </c>
      <c r="J5" s="39">
        <v>7000</v>
      </c>
      <c r="K5" s="39">
        <v>7000</v>
      </c>
      <c r="L5" s="39">
        <v>7000</v>
      </c>
      <c r="M5" s="39">
        <v>7000</v>
      </c>
      <c r="N5" s="39">
        <v>7000</v>
      </c>
      <c r="P5" s="126"/>
      <c r="Q5" s="126"/>
      <c r="R5" s="126"/>
      <c r="S5" s="126"/>
      <c r="T5" s="126"/>
      <c r="U5" s="126"/>
      <c r="V5" s="126"/>
      <c r="W5" s="126"/>
      <c r="X5" s="126"/>
      <c r="Y5" s="126"/>
      <c r="Z5" s="126"/>
    </row>
    <row r="6" spans="1:26">
      <c r="C6" s="33"/>
      <c r="D6" s="124"/>
      <c r="E6" s="37">
        <v>1500</v>
      </c>
      <c r="F6" s="39">
        <v>-9500</v>
      </c>
      <c r="G6" s="39">
        <v>500</v>
      </c>
      <c r="H6" s="39">
        <v>10500</v>
      </c>
      <c r="I6" s="39">
        <v>10500</v>
      </c>
      <c r="J6" s="39">
        <v>10500</v>
      </c>
      <c r="K6" s="39">
        <v>10500</v>
      </c>
      <c r="L6" s="39">
        <v>10500</v>
      </c>
      <c r="M6" s="39">
        <v>10500</v>
      </c>
      <c r="N6" s="39">
        <v>10500</v>
      </c>
      <c r="P6" s="126"/>
      <c r="Q6" s="126"/>
      <c r="R6" s="126"/>
      <c r="S6" s="126"/>
      <c r="T6" s="126"/>
      <c r="U6" s="126"/>
      <c r="V6" s="126"/>
      <c r="W6" s="126"/>
      <c r="X6" s="126"/>
      <c r="Y6" s="126"/>
      <c r="Z6" s="126"/>
    </row>
    <row r="7" spans="1:26">
      <c r="A7" s="35" t="s">
        <v>66</v>
      </c>
      <c r="B7" s="35" t="s">
        <v>59</v>
      </c>
      <c r="C7" s="33"/>
      <c r="D7" s="124"/>
      <c r="E7" s="37">
        <v>2000</v>
      </c>
      <c r="F7" s="39">
        <v>-14500</v>
      </c>
      <c r="G7" s="39">
        <v>-4500</v>
      </c>
      <c r="H7" s="39">
        <v>5500</v>
      </c>
      <c r="I7" s="39">
        <v>15500</v>
      </c>
      <c r="J7" s="39">
        <v>15500</v>
      </c>
      <c r="K7" s="39">
        <v>15500</v>
      </c>
      <c r="L7" s="39">
        <v>15500</v>
      </c>
      <c r="M7" s="39">
        <v>15500</v>
      </c>
      <c r="N7" s="39">
        <v>15500</v>
      </c>
      <c r="P7" s="126"/>
      <c r="Q7" s="126"/>
      <c r="R7" s="126"/>
      <c r="S7" s="126"/>
      <c r="T7" s="126"/>
      <c r="U7" s="126"/>
      <c r="V7" s="126"/>
      <c r="W7" s="126"/>
      <c r="X7" s="126"/>
      <c r="Y7" s="126"/>
      <c r="Z7" s="126"/>
    </row>
    <row r="8" spans="1:26">
      <c r="A8" s="35">
        <v>0</v>
      </c>
      <c r="B8" s="36">
        <v>24</v>
      </c>
      <c r="C8" s="33"/>
      <c r="D8" s="124"/>
      <c r="E8" s="37">
        <v>2500</v>
      </c>
      <c r="F8" s="39">
        <v>-20625</v>
      </c>
      <c r="G8" s="39">
        <v>-10625</v>
      </c>
      <c r="H8" s="39">
        <v>-625</v>
      </c>
      <c r="I8" s="39">
        <v>9375</v>
      </c>
      <c r="J8" s="39">
        <v>19375</v>
      </c>
      <c r="K8" s="39">
        <v>19375</v>
      </c>
      <c r="L8" s="39">
        <v>19375</v>
      </c>
      <c r="M8" s="39">
        <v>19375</v>
      </c>
      <c r="N8" s="39">
        <v>19375</v>
      </c>
      <c r="P8" s="126"/>
      <c r="Q8" s="126"/>
      <c r="R8" s="126"/>
      <c r="S8" s="126"/>
      <c r="T8" s="126"/>
      <c r="U8" s="126"/>
      <c r="V8" s="126"/>
      <c r="W8" s="126"/>
      <c r="X8" s="126"/>
      <c r="Y8" s="126"/>
      <c r="Z8" s="126"/>
    </row>
    <row r="9" spans="1:26">
      <c r="A9" s="35">
        <v>1000</v>
      </c>
      <c r="B9" s="36">
        <v>23</v>
      </c>
      <c r="C9" s="33"/>
      <c r="D9" s="124"/>
      <c r="E9" s="37">
        <v>3000</v>
      </c>
      <c r="F9" s="39">
        <v>-25250</v>
      </c>
      <c r="G9" s="39">
        <v>-15250</v>
      </c>
      <c r="H9" s="39">
        <v>-5250</v>
      </c>
      <c r="I9" s="39">
        <v>4750</v>
      </c>
      <c r="J9" s="39">
        <v>14750</v>
      </c>
      <c r="K9" s="39">
        <v>24750</v>
      </c>
      <c r="L9" s="39">
        <v>24750</v>
      </c>
      <c r="M9" s="39">
        <v>24750</v>
      </c>
      <c r="N9" s="39">
        <v>24750</v>
      </c>
      <c r="P9" s="126"/>
      <c r="Q9" s="126"/>
      <c r="R9" s="126"/>
      <c r="S9" s="126"/>
      <c r="T9" s="126"/>
      <c r="U9" s="126"/>
      <c r="V9" s="126"/>
      <c r="W9" s="126"/>
      <c r="X9" s="126"/>
      <c r="Y9" s="126"/>
      <c r="Z9" s="126"/>
    </row>
    <row r="10" spans="1:26">
      <c r="A10" s="35">
        <v>2000</v>
      </c>
      <c r="B10" s="36">
        <v>22.25</v>
      </c>
      <c r="C10" s="33"/>
      <c r="D10" s="124"/>
      <c r="E10" s="37">
        <v>3500</v>
      </c>
      <c r="F10" s="39">
        <v>-31125</v>
      </c>
      <c r="G10" s="39">
        <v>-21125</v>
      </c>
      <c r="H10" s="39">
        <v>-11125</v>
      </c>
      <c r="I10" s="39">
        <v>-1125</v>
      </c>
      <c r="J10" s="39">
        <v>8875</v>
      </c>
      <c r="K10" s="39">
        <v>18875</v>
      </c>
      <c r="L10" s="39">
        <v>28875</v>
      </c>
      <c r="M10" s="39">
        <v>28875</v>
      </c>
      <c r="N10" s="39">
        <v>28875</v>
      </c>
      <c r="P10" s="126"/>
      <c r="Q10" s="126"/>
      <c r="R10" s="126"/>
      <c r="S10" s="126"/>
      <c r="T10" s="126"/>
      <c r="U10" s="126"/>
      <c r="V10" s="126"/>
      <c r="W10" s="126"/>
      <c r="X10" s="126"/>
      <c r="Y10" s="126"/>
      <c r="Z10" s="126"/>
    </row>
    <row r="11" spans="1:26">
      <c r="A11" s="35">
        <v>3000</v>
      </c>
      <c r="B11" s="36">
        <v>21.75</v>
      </c>
      <c r="C11" s="33"/>
      <c r="D11" s="124"/>
      <c r="E11" s="37">
        <v>4000</v>
      </c>
      <c r="F11" s="39">
        <v>-35200</v>
      </c>
      <c r="G11" s="39">
        <v>-25200</v>
      </c>
      <c r="H11" s="39">
        <v>-15200</v>
      </c>
      <c r="I11" s="39">
        <v>-5200</v>
      </c>
      <c r="J11" s="39">
        <v>4800</v>
      </c>
      <c r="K11" s="39">
        <v>14800</v>
      </c>
      <c r="L11" s="39">
        <v>24800</v>
      </c>
      <c r="M11" s="39">
        <v>34800</v>
      </c>
      <c r="N11" s="39">
        <v>34800</v>
      </c>
      <c r="P11" s="126"/>
      <c r="Q11" s="126"/>
      <c r="R11" s="126"/>
      <c r="S11" s="126"/>
      <c r="T11" s="126"/>
      <c r="U11" s="126"/>
      <c r="V11" s="126"/>
      <c r="W11" s="126"/>
      <c r="X11" s="126"/>
      <c r="Y11" s="126"/>
      <c r="Z11" s="126"/>
    </row>
    <row r="12" spans="1:26">
      <c r="A12" s="35">
        <v>4000</v>
      </c>
      <c r="B12" s="36">
        <v>21.3</v>
      </c>
      <c r="C12" s="33"/>
      <c r="D12" s="124"/>
      <c r="E12" s="37">
        <v>4500</v>
      </c>
      <c r="F12" s="39">
        <v>-40850</v>
      </c>
      <c r="G12" s="39">
        <v>-30850</v>
      </c>
      <c r="H12" s="39">
        <v>-20850</v>
      </c>
      <c r="I12" s="39">
        <v>-10850</v>
      </c>
      <c r="J12" s="39">
        <v>-850</v>
      </c>
      <c r="K12" s="39">
        <v>9150</v>
      </c>
      <c r="L12" s="39">
        <v>19150</v>
      </c>
      <c r="M12" s="39">
        <v>29150</v>
      </c>
      <c r="N12" s="39">
        <v>39150</v>
      </c>
      <c r="P12" s="126"/>
      <c r="Q12" s="126"/>
      <c r="R12" s="126"/>
      <c r="S12" s="126"/>
      <c r="T12" s="126"/>
      <c r="U12" s="126"/>
      <c r="V12" s="126"/>
      <c r="W12" s="126"/>
      <c r="X12" s="126"/>
      <c r="Y12" s="126"/>
      <c r="Z12" s="126"/>
    </row>
    <row r="13" spans="1:26">
      <c r="C13" s="33"/>
      <c r="P13" s="126"/>
      <c r="Q13" s="126"/>
      <c r="R13" s="126"/>
      <c r="S13" s="126"/>
      <c r="T13" s="126"/>
      <c r="U13" s="126"/>
      <c r="V13" s="126"/>
      <c r="W13" s="126"/>
      <c r="X13" s="126"/>
      <c r="Y13" s="126"/>
      <c r="Z13" s="126"/>
    </row>
    <row r="14" spans="1:26">
      <c r="A14" t="s">
        <v>64</v>
      </c>
      <c r="B14" s="12">
        <v>1000</v>
      </c>
      <c r="C14" s="33"/>
      <c r="P14" s="126"/>
      <c r="Q14" s="126"/>
      <c r="R14" s="126"/>
      <c r="S14" s="126"/>
      <c r="T14" s="126"/>
      <c r="U14" s="126"/>
      <c r="V14" s="126"/>
      <c r="W14" s="126"/>
      <c r="X14" s="126"/>
      <c r="Y14" s="126"/>
      <c r="Z14" s="126"/>
    </row>
    <row r="15" spans="1:26">
      <c r="A15" t="s">
        <v>14</v>
      </c>
      <c r="B15" s="12">
        <v>2500</v>
      </c>
      <c r="C15" s="33" t="s">
        <v>61</v>
      </c>
      <c r="P15" s="126"/>
      <c r="Q15" s="126"/>
      <c r="R15" s="126"/>
      <c r="S15" s="126"/>
      <c r="T15" s="126"/>
      <c r="U15" s="126"/>
      <c r="V15" s="126"/>
      <c r="W15" s="126"/>
      <c r="X15" s="126"/>
      <c r="Y15" s="126"/>
      <c r="Z15" s="126"/>
    </row>
    <row r="16" spans="1:26">
      <c r="A16" t="s">
        <v>65</v>
      </c>
      <c r="B16">
        <f>MIN(B15,B14)</f>
        <v>1000</v>
      </c>
      <c r="C16" s="33" t="str">
        <f ca="1">_xlfn.FORMULATEXT(B16)</f>
        <v>=MIN(B15,B14)</v>
      </c>
      <c r="P16" s="126"/>
      <c r="Q16" s="126"/>
      <c r="R16" s="126"/>
      <c r="S16" s="126"/>
      <c r="T16" s="126"/>
      <c r="U16" s="126"/>
      <c r="V16" s="126"/>
      <c r="W16" s="126"/>
      <c r="X16" s="126"/>
      <c r="Y16" s="126"/>
      <c r="Z16" s="126"/>
    </row>
    <row r="17" spans="1:26">
      <c r="A17" s="32" t="s">
        <v>62</v>
      </c>
      <c r="B17" s="32">
        <f>MAX(B14-B16,0)</f>
        <v>0</v>
      </c>
      <c r="C17" s="34" t="str">
        <f ca="1">_xlfn.FORMULATEXT(B17)</f>
        <v>=MAX(B14-B16,0)</v>
      </c>
      <c r="P17" s="126"/>
      <c r="Q17" s="126"/>
      <c r="R17" s="126"/>
      <c r="S17" s="126"/>
      <c r="T17" s="126"/>
      <c r="U17" s="126"/>
      <c r="V17" s="126"/>
      <c r="W17" s="126"/>
      <c r="X17" s="126"/>
      <c r="Y17" s="126"/>
      <c r="Z17" s="126"/>
    </row>
    <row r="18" spans="1:26">
      <c r="A18" t="s">
        <v>67</v>
      </c>
      <c r="B18">
        <f>IF(B15&gt;B14,0,B14-B15)</f>
        <v>0</v>
      </c>
      <c r="C18" s="33" t="str">
        <f ca="1">_xlfn.FORMULATEXT(B18)</f>
        <v>=IF(B15&gt;B14,0,B14-B15)</v>
      </c>
    </row>
    <row r="19" spans="1:26">
      <c r="A19" t="s">
        <v>63</v>
      </c>
      <c r="B19" s="27">
        <v>10</v>
      </c>
      <c r="C19" s="33"/>
    </row>
    <row r="20" spans="1:26">
      <c r="C20" s="33"/>
    </row>
    <row r="21" spans="1:26">
      <c r="A21" t="s">
        <v>69</v>
      </c>
      <c r="B21" s="27">
        <f>VLOOKUP(B14,A7:B12,2,TRUE)</f>
        <v>23</v>
      </c>
      <c r="C21" s="33" t="str">
        <f ca="1">_xlfn.FORMULATEXT(B21)</f>
        <v>=VLOOKUP(B14,A7:B12,2,TRUE)</v>
      </c>
    </row>
    <row r="22" spans="1:26">
      <c r="A22" s="5" t="s">
        <v>29</v>
      </c>
      <c r="B22" s="27">
        <f>B21*B14</f>
        <v>23000</v>
      </c>
      <c r="C22" s="33" t="str">
        <f ca="1">_xlfn.FORMULATEXT(B22)</f>
        <v>=B21*B14</v>
      </c>
    </row>
    <row r="23" spans="1:26">
      <c r="A23" s="5" t="s">
        <v>68</v>
      </c>
      <c r="B23" s="27">
        <f>B16*B5+B17*B19</f>
        <v>30000</v>
      </c>
      <c r="C23" s="33" t="str">
        <f ca="1">_xlfn.FORMULATEXT(B23)</f>
        <v>=B16*B5+B17*B19</v>
      </c>
    </row>
    <row r="24" spans="1:26">
      <c r="A24" s="5" t="s">
        <v>13</v>
      </c>
      <c r="B24" s="27">
        <f>B23-B22</f>
        <v>7000</v>
      </c>
      <c r="C24" s="33" t="str">
        <f ca="1">_xlfn.FORMULATEXT(B24)</f>
        <v>=B23-B22</v>
      </c>
    </row>
  </sheetData>
  <mergeCells count="5">
    <mergeCell ref="A1:O1"/>
    <mergeCell ref="F2:N2"/>
    <mergeCell ref="D4:D12"/>
    <mergeCell ref="P4:Z17"/>
    <mergeCell ref="P2:Z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1C560-C98B-4734-BAFA-7F75E6CC269A}">
  <dimension ref="A1:AR65"/>
  <sheetViews>
    <sheetView topLeftCell="M1" zoomScaleNormal="100" workbookViewId="0">
      <selection activeCell="P18" sqref="P18"/>
    </sheetView>
  </sheetViews>
  <sheetFormatPr defaultRowHeight="14.4"/>
  <cols>
    <col min="1" max="1" width="13" customWidth="1"/>
    <col min="2" max="2" width="13.33203125" customWidth="1"/>
    <col min="3" max="3" width="13.109375" customWidth="1"/>
    <col min="4" max="4" width="15.33203125" customWidth="1"/>
    <col min="5" max="5" width="12" customWidth="1"/>
    <col min="6" max="6" width="11.21875" customWidth="1"/>
    <col min="7" max="7" width="14.21875" customWidth="1"/>
    <col min="8" max="8" width="12.44140625" customWidth="1"/>
    <col min="13" max="13" width="15" customWidth="1"/>
    <col min="14" max="14" width="12.77734375" bestFit="1" customWidth="1"/>
    <col min="19" max="19" width="13.77734375" customWidth="1"/>
    <col min="20" max="20" width="12.44140625" bestFit="1" customWidth="1"/>
    <col min="23" max="23" width="12.5546875" bestFit="1" customWidth="1"/>
    <col min="24" max="24" width="14.109375" bestFit="1" customWidth="1"/>
    <col min="25" max="25" width="13" bestFit="1" customWidth="1"/>
    <col min="26" max="32" width="14.6640625" bestFit="1" customWidth="1"/>
  </cols>
  <sheetData>
    <row r="1" spans="1:44" ht="37.799999999999997" customHeight="1" thickBot="1">
      <c r="A1" s="137" t="s">
        <v>78</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row>
    <row r="2" spans="1:44" ht="15" thickTop="1"/>
    <row r="3" spans="1:44">
      <c r="A3" t="s">
        <v>74</v>
      </c>
      <c r="M3" s="140" t="s">
        <v>98</v>
      </c>
      <c r="N3" s="140"/>
      <c r="O3" s="140"/>
      <c r="P3" s="140"/>
      <c r="Q3" s="140"/>
      <c r="S3" t="s">
        <v>106</v>
      </c>
    </row>
    <row r="4" spans="1:44">
      <c r="M4" s="5" t="s">
        <v>58</v>
      </c>
      <c r="N4" t="s">
        <v>110</v>
      </c>
      <c r="O4" s="141" t="s">
        <v>111</v>
      </c>
      <c r="P4" s="141"/>
      <c r="Q4" s="141"/>
      <c r="S4" s="50" t="s">
        <v>107</v>
      </c>
      <c r="T4" s="50" t="s">
        <v>108</v>
      </c>
      <c r="V4" s="37"/>
      <c r="W4" s="37"/>
      <c r="X4" s="139" t="s">
        <v>109</v>
      </c>
      <c r="Y4" s="139"/>
      <c r="Z4" s="139"/>
      <c r="AA4" s="139"/>
      <c r="AB4" s="139"/>
      <c r="AC4" s="139"/>
      <c r="AD4" s="139"/>
      <c r="AE4" s="139"/>
      <c r="AF4" s="139"/>
    </row>
    <row r="5" spans="1:44" ht="20.399999999999999" customHeight="1">
      <c r="A5" s="37" t="s">
        <v>75</v>
      </c>
      <c r="B5" s="37" t="s">
        <v>76</v>
      </c>
      <c r="C5" s="37" t="s">
        <v>77</v>
      </c>
      <c r="O5" s="136"/>
      <c r="P5" s="136"/>
      <c r="Q5" s="136"/>
      <c r="S5" s="37"/>
      <c r="T5" s="57">
        <f>N13</f>
        <v>831338.85314930137</v>
      </c>
      <c r="V5" s="37"/>
      <c r="W5" s="58">
        <f>N13</f>
        <v>831338.85314930137</v>
      </c>
      <c r="X5" s="59">
        <v>250</v>
      </c>
      <c r="Y5" s="59">
        <v>300</v>
      </c>
      <c r="Z5" s="59">
        <v>350</v>
      </c>
      <c r="AA5" s="59">
        <v>400</v>
      </c>
      <c r="AB5" s="59">
        <v>450</v>
      </c>
      <c r="AC5" s="59">
        <v>500</v>
      </c>
      <c r="AD5" s="59">
        <v>550</v>
      </c>
      <c r="AE5" s="59">
        <v>600</v>
      </c>
      <c r="AF5" s="59">
        <v>650</v>
      </c>
    </row>
    <row r="6" spans="1:44">
      <c r="A6" s="37">
        <v>1</v>
      </c>
      <c r="B6" s="54">
        <v>450</v>
      </c>
      <c r="C6" s="37">
        <v>45</v>
      </c>
      <c r="M6" t="s">
        <v>99</v>
      </c>
      <c r="N6" s="27">
        <v>250</v>
      </c>
      <c r="O6" s="136" t="s">
        <v>104</v>
      </c>
      <c r="P6" s="136"/>
      <c r="Q6" s="136"/>
      <c r="S6" s="54">
        <v>250</v>
      </c>
      <c r="T6" s="54">
        <f t="dataTable" ref="T6:T64" dt2D="0" dtr="0" r1="N7"/>
        <v>0</v>
      </c>
      <c r="V6" s="138" t="s">
        <v>107</v>
      </c>
      <c r="W6" s="59">
        <v>260</v>
      </c>
      <c r="X6" s="59">
        <f t="dataTable" ref="X6:AF60" dt2D="1" dtr="1" r1="N6" r2="N7"/>
        <v>831338.85314930137</v>
      </c>
      <c r="Y6" s="59">
        <v>831338.85314930137</v>
      </c>
      <c r="Z6" s="59">
        <v>831338.85314930137</v>
      </c>
      <c r="AA6" s="59">
        <v>831338.85314930137</v>
      </c>
      <c r="AB6" s="59">
        <v>831338.85314930137</v>
      </c>
      <c r="AC6" s="59">
        <v>831338.85314930137</v>
      </c>
      <c r="AD6" s="59">
        <v>831338.85314930137</v>
      </c>
      <c r="AE6" s="59">
        <v>831338.85314930137</v>
      </c>
      <c r="AF6" s="59">
        <v>831338.85314930137</v>
      </c>
    </row>
    <row r="7" spans="1:44">
      <c r="A7" s="37">
        <v>2</v>
      </c>
      <c r="B7" s="54">
        <v>300</v>
      </c>
      <c r="C7" s="37">
        <v>103</v>
      </c>
      <c r="M7" t="s">
        <v>100</v>
      </c>
      <c r="N7" s="52">
        <v>1000</v>
      </c>
      <c r="O7" s="136" t="s">
        <v>105</v>
      </c>
      <c r="P7" s="136"/>
      <c r="Q7" s="136"/>
      <c r="S7" s="54">
        <v>260</v>
      </c>
      <c r="T7" s="54">
        <v>144859.72842847556</v>
      </c>
      <c r="V7" s="138"/>
      <c r="W7" s="59">
        <v>270</v>
      </c>
      <c r="X7" s="59">
        <v>831338.85314930137</v>
      </c>
      <c r="Y7" s="59">
        <v>831338.85314930137</v>
      </c>
      <c r="Z7" s="59">
        <v>831338.85314930137</v>
      </c>
      <c r="AA7" s="59">
        <v>831338.85314930137</v>
      </c>
      <c r="AB7" s="59">
        <v>831338.85314930137</v>
      </c>
      <c r="AC7" s="59">
        <v>831338.85314930137</v>
      </c>
      <c r="AD7" s="59">
        <v>831338.85314930137</v>
      </c>
      <c r="AE7" s="59">
        <v>831338.85314930137</v>
      </c>
      <c r="AF7" s="59">
        <v>831338.85314930137</v>
      </c>
    </row>
    <row r="8" spans="1:44">
      <c r="A8" s="37">
        <v>3</v>
      </c>
      <c r="B8" s="54">
        <v>440</v>
      </c>
      <c r="C8" s="37">
        <v>49</v>
      </c>
      <c r="M8" t="s">
        <v>101</v>
      </c>
      <c r="N8" s="46">
        <f>H22*N7^H23</f>
        <v>11.084518041990686</v>
      </c>
      <c r="O8" s="136" t="str">
        <f ca="1">_xlfn.FORMULATEXT(N8)</f>
        <v>=H22*N7^H23</v>
      </c>
      <c r="P8" s="136"/>
      <c r="Q8" s="136"/>
      <c r="S8" s="54">
        <v>270</v>
      </c>
      <c r="T8" s="54">
        <v>269590.60184817808</v>
      </c>
      <c r="V8" s="138"/>
      <c r="W8" s="59">
        <v>280</v>
      </c>
      <c r="X8" s="59">
        <v>831338.85314930137</v>
      </c>
      <c r="Y8" s="59">
        <v>831338.85314930137</v>
      </c>
      <c r="Z8" s="59">
        <v>831338.85314930137</v>
      </c>
      <c r="AA8" s="59">
        <v>831338.85314930137</v>
      </c>
      <c r="AB8" s="59">
        <v>831338.85314930137</v>
      </c>
      <c r="AC8" s="59">
        <v>831338.85314930137</v>
      </c>
      <c r="AD8" s="59">
        <v>831338.85314930137</v>
      </c>
      <c r="AE8" s="59">
        <v>831338.85314930137</v>
      </c>
      <c r="AF8" s="59">
        <v>831338.85314930137</v>
      </c>
    </row>
    <row r="9" spans="1:44">
      <c r="A9" s="37">
        <v>4</v>
      </c>
      <c r="B9" s="54">
        <v>360</v>
      </c>
      <c r="C9" s="37">
        <v>86</v>
      </c>
      <c r="M9" t="s">
        <v>102</v>
      </c>
      <c r="N9" s="46">
        <f>N8*100</f>
        <v>1108.4518041990686</v>
      </c>
      <c r="O9" s="136" t="str">
        <f t="shared" ref="O9:O13" ca="1" si="0">_xlfn.FORMULATEXT(N9)</f>
        <v>=N8*100</v>
      </c>
      <c r="P9" s="136"/>
      <c r="Q9" s="136"/>
      <c r="S9" s="54">
        <v>280</v>
      </c>
      <c r="T9" s="54">
        <v>377277.18719872413</v>
      </c>
      <c r="V9" s="138"/>
      <c r="W9" s="59">
        <v>290</v>
      </c>
      <c r="X9" s="59">
        <v>831338.85314930137</v>
      </c>
      <c r="Y9" s="59">
        <v>831338.85314930137</v>
      </c>
      <c r="Z9" s="59">
        <v>831338.85314930137</v>
      </c>
      <c r="AA9" s="59">
        <v>831338.85314930137</v>
      </c>
      <c r="AB9" s="59">
        <v>831338.85314930137</v>
      </c>
      <c r="AC9" s="59">
        <v>831338.85314930137</v>
      </c>
      <c r="AD9" s="59">
        <v>831338.85314930137</v>
      </c>
      <c r="AE9" s="59">
        <v>831338.85314930137</v>
      </c>
      <c r="AF9" s="59">
        <v>831338.85314930137</v>
      </c>
    </row>
    <row r="10" spans="1:44">
      <c r="A10" s="37">
        <v>5</v>
      </c>
      <c r="B10" s="54">
        <v>290</v>
      </c>
      <c r="C10" s="37">
        <v>125</v>
      </c>
      <c r="O10" s="136"/>
      <c r="P10" s="136"/>
      <c r="Q10" s="136"/>
      <c r="S10" s="54">
        <v>290</v>
      </c>
      <c r="T10" s="54">
        <v>470458.61526328744</v>
      </c>
      <c r="V10" s="138"/>
      <c r="W10" s="59">
        <v>300</v>
      </c>
      <c r="X10" s="59">
        <v>831338.85314930137</v>
      </c>
      <c r="Y10" s="59">
        <v>831338.85314930137</v>
      </c>
      <c r="Z10" s="59">
        <v>831338.85314930137</v>
      </c>
      <c r="AA10" s="59">
        <v>831338.85314930137</v>
      </c>
      <c r="AB10" s="59">
        <v>831338.85314930137</v>
      </c>
      <c r="AC10" s="59">
        <v>831338.85314930137</v>
      </c>
      <c r="AD10" s="59">
        <v>831338.85314930137</v>
      </c>
      <c r="AE10" s="59">
        <v>831338.85314930137</v>
      </c>
      <c r="AF10" s="59">
        <v>831338.85314930137</v>
      </c>
    </row>
    <row r="11" spans="1:44">
      <c r="A11" s="37">
        <v>6</v>
      </c>
      <c r="B11" s="54">
        <v>450</v>
      </c>
      <c r="C11" s="37">
        <v>52</v>
      </c>
      <c r="M11" s="5" t="s">
        <v>29</v>
      </c>
      <c r="N11" s="27">
        <f>N6*N9</f>
        <v>277112.95104976714</v>
      </c>
      <c r="O11" s="136" t="str">
        <f t="shared" ca="1" si="0"/>
        <v>=N6*N9</v>
      </c>
      <c r="P11" s="136"/>
      <c r="Q11" s="136"/>
      <c r="S11" s="54">
        <v>300</v>
      </c>
      <c r="T11" s="54">
        <v>551238.40185229108</v>
      </c>
      <c r="V11" s="138"/>
      <c r="W11" s="59">
        <v>310</v>
      </c>
      <c r="X11" s="59">
        <v>831338.85314930137</v>
      </c>
      <c r="Y11" s="59">
        <v>831338.85314930137</v>
      </c>
      <c r="Z11" s="59">
        <v>831338.85314930137</v>
      </c>
      <c r="AA11" s="59">
        <v>831338.85314930137</v>
      </c>
      <c r="AB11" s="59">
        <v>831338.85314930137</v>
      </c>
      <c r="AC11" s="59">
        <v>831338.85314930137</v>
      </c>
      <c r="AD11" s="59">
        <v>831338.85314930137</v>
      </c>
      <c r="AE11" s="59">
        <v>831338.85314930137</v>
      </c>
      <c r="AF11" s="59">
        <v>831338.85314930137</v>
      </c>
    </row>
    <row r="12" spans="1:44">
      <c r="A12" s="37">
        <v>7</v>
      </c>
      <c r="B12" s="54">
        <v>340</v>
      </c>
      <c r="C12" s="37">
        <v>87</v>
      </c>
      <c r="M12" s="5" t="s">
        <v>8</v>
      </c>
      <c r="N12" s="27">
        <f>N7*N9</f>
        <v>1108451.8041990686</v>
      </c>
      <c r="O12" s="136" t="str">
        <f t="shared" ca="1" si="0"/>
        <v>=N7*N9</v>
      </c>
      <c r="P12" s="136"/>
      <c r="Q12" s="136"/>
      <c r="S12" s="54">
        <v>310</v>
      </c>
      <c r="T12" s="54">
        <v>621369.53021456813</v>
      </c>
      <c r="V12" s="138"/>
      <c r="W12" s="59">
        <v>320</v>
      </c>
      <c r="X12" s="59">
        <v>831338.85314930137</v>
      </c>
      <c r="Y12" s="59">
        <v>831338.85314930137</v>
      </c>
      <c r="Z12" s="59">
        <v>831338.85314930137</v>
      </c>
      <c r="AA12" s="59">
        <v>831338.85314930137</v>
      </c>
      <c r="AB12" s="59">
        <v>831338.85314930137</v>
      </c>
      <c r="AC12" s="59">
        <v>831338.85314930137</v>
      </c>
      <c r="AD12" s="59">
        <v>831338.85314930137</v>
      </c>
      <c r="AE12" s="59">
        <v>831338.85314930137</v>
      </c>
      <c r="AF12" s="59">
        <v>831338.85314930137</v>
      </c>
    </row>
    <row r="13" spans="1:44">
      <c r="A13" s="37">
        <v>8</v>
      </c>
      <c r="B13" s="54">
        <v>370</v>
      </c>
      <c r="C13" s="37">
        <v>68</v>
      </c>
      <c r="M13" s="5" t="s">
        <v>103</v>
      </c>
      <c r="N13" s="15">
        <f>N12-N11</f>
        <v>831338.85314930137</v>
      </c>
      <c r="O13" s="136" t="str">
        <f t="shared" ca="1" si="0"/>
        <v>=N12-N11</v>
      </c>
      <c r="P13" s="136"/>
      <c r="Q13" s="136"/>
      <c r="S13" s="54">
        <v>320</v>
      </c>
      <c r="T13" s="54">
        <v>682320.93416212313</v>
      </c>
      <c r="V13" s="138"/>
      <c r="W13" s="59">
        <v>330</v>
      </c>
      <c r="X13" s="59">
        <v>831338.85314930137</v>
      </c>
      <c r="Y13" s="59">
        <v>831338.85314930137</v>
      </c>
      <c r="Z13" s="59">
        <v>831338.85314930137</v>
      </c>
      <c r="AA13" s="59">
        <v>831338.85314930137</v>
      </c>
      <c r="AB13" s="59">
        <v>831338.85314930137</v>
      </c>
      <c r="AC13" s="59">
        <v>831338.85314930137</v>
      </c>
      <c r="AD13" s="59">
        <v>831338.85314930137</v>
      </c>
      <c r="AE13" s="59">
        <v>831338.85314930137</v>
      </c>
      <c r="AF13" s="59">
        <v>831338.85314930137</v>
      </c>
    </row>
    <row r="14" spans="1:44">
      <c r="A14" s="37">
        <v>9</v>
      </c>
      <c r="B14" s="54">
        <v>500</v>
      </c>
      <c r="C14" s="37">
        <v>45</v>
      </c>
      <c r="S14" s="54">
        <v>330</v>
      </c>
      <c r="T14" s="54">
        <v>735329.86392835062</v>
      </c>
      <c r="V14" s="138"/>
      <c r="W14" s="59">
        <v>340</v>
      </c>
      <c r="X14" s="59">
        <v>831338.85314930137</v>
      </c>
      <c r="Y14" s="59">
        <v>831338.85314930137</v>
      </c>
      <c r="Z14" s="59">
        <v>831338.85314930137</v>
      </c>
      <c r="AA14" s="59">
        <v>831338.85314930137</v>
      </c>
      <c r="AB14" s="59">
        <v>831338.85314930137</v>
      </c>
      <c r="AC14" s="59">
        <v>831338.85314930137</v>
      </c>
      <c r="AD14" s="59">
        <v>831338.85314930137</v>
      </c>
      <c r="AE14" s="59">
        <v>831338.85314930137</v>
      </c>
      <c r="AF14" s="59">
        <v>831338.85314930137</v>
      </c>
    </row>
    <row r="15" spans="1:44">
      <c r="A15" s="37">
        <v>10</v>
      </c>
      <c r="B15" s="54">
        <v>490</v>
      </c>
      <c r="C15" s="37">
        <v>44</v>
      </c>
      <c r="S15" s="54">
        <v>340</v>
      </c>
      <c r="T15" s="54">
        <v>781443.44106265297</v>
      </c>
      <c r="V15" s="138"/>
      <c r="W15" s="59">
        <v>350</v>
      </c>
      <c r="X15" s="59">
        <v>831338.85314930137</v>
      </c>
      <c r="Y15" s="59">
        <v>831338.85314930137</v>
      </c>
      <c r="Z15" s="59">
        <v>831338.85314930137</v>
      </c>
      <c r="AA15" s="59">
        <v>831338.85314930137</v>
      </c>
      <c r="AB15" s="59">
        <v>831338.85314930137</v>
      </c>
      <c r="AC15" s="59">
        <v>831338.85314930137</v>
      </c>
      <c r="AD15" s="59">
        <v>831338.85314930137</v>
      </c>
      <c r="AE15" s="59">
        <v>831338.85314930137</v>
      </c>
      <c r="AF15" s="59">
        <v>831338.85314930137</v>
      </c>
    </row>
    <row r="16" spans="1:44">
      <c r="A16" s="37">
        <v>11</v>
      </c>
      <c r="B16" s="54">
        <v>430</v>
      </c>
      <c r="C16" s="37">
        <v>58</v>
      </c>
      <c r="S16" s="54">
        <v>350</v>
      </c>
      <c r="T16" s="54">
        <v>821551.86522268457</v>
      </c>
      <c r="V16" s="138"/>
      <c r="W16" s="59">
        <v>360</v>
      </c>
      <c r="X16" s="59">
        <v>831338.85314930137</v>
      </c>
      <c r="Y16" s="59">
        <v>831338.85314930137</v>
      </c>
      <c r="Z16" s="59">
        <v>831338.85314930137</v>
      </c>
      <c r="AA16" s="59">
        <v>831338.85314930137</v>
      </c>
      <c r="AB16" s="59">
        <v>831338.85314930137</v>
      </c>
      <c r="AC16" s="59">
        <v>831338.85314930137</v>
      </c>
      <c r="AD16" s="59">
        <v>831338.85314930137</v>
      </c>
      <c r="AE16" s="59">
        <v>831338.85314930137</v>
      </c>
      <c r="AF16" s="59">
        <v>831338.85314930137</v>
      </c>
    </row>
    <row r="17" spans="1:32">
      <c r="A17" s="37">
        <v>12</v>
      </c>
      <c r="B17" s="54">
        <v>390</v>
      </c>
      <c r="C17" s="37">
        <v>68</v>
      </c>
      <c r="S17" s="54">
        <v>360</v>
      </c>
      <c r="T17" s="54">
        <v>856415.12424477958</v>
      </c>
      <c r="V17" s="138"/>
      <c r="W17" s="59">
        <v>370</v>
      </c>
      <c r="X17" s="59">
        <v>831338.85314930137</v>
      </c>
      <c r="Y17" s="59">
        <v>831338.85314930137</v>
      </c>
      <c r="Z17" s="59">
        <v>831338.85314930137</v>
      </c>
      <c r="AA17" s="59">
        <v>831338.85314930137</v>
      </c>
      <c r="AB17" s="59">
        <v>831338.85314930137</v>
      </c>
      <c r="AC17" s="59">
        <v>831338.85314930137</v>
      </c>
      <c r="AD17" s="59">
        <v>831338.85314930137</v>
      </c>
      <c r="AE17" s="59">
        <v>831338.85314930137</v>
      </c>
      <c r="AF17" s="59">
        <v>831338.85314930137</v>
      </c>
    </row>
    <row r="18" spans="1:32">
      <c r="S18" s="54">
        <v>370</v>
      </c>
      <c r="T18" s="54">
        <v>886684.61116254725</v>
      </c>
      <c r="V18" s="138"/>
      <c r="W18" s="59">
        <v>380</v>
      </c>
      <c r="X18" s="59">
        <v>831338.85314930137</v>
      </c>
      <c r="Y18" s="59">
        <v>831338.85314930137</v>
      </c>
      <c r="Z18" s="59">
        <v>831338.85314930137</v>
      </c>
      <c r="AA18" s="59">
        <v>831338.85314930137</v>
      </c>
      <c r="AB18" s="59">
        <v>831338.85314930137</v>
      </c>
      <c r="AC18" s="59">
        <v>831338.85314930137</v>
      </c>
      <c r="AD18" s="59">
        <v>831338.85314930137</v>
      </c>
      <c r="AE18" s="59">
        <v>831338.85314930137</v>
      </c>
      <c r="AF18" s="59">
        <v>831338.85314930137</v>
      </c>
    </row>
    <row r="19" spans="1:32" ht="15" thickBot="1">
      <c r="S19" s="54">
        <v>380</v>
      </c>
      <c r="T19" s="54">
        <v>912920.72098907013</v>
      </c>
      <c r="V19" s="138"/>
      <c r="W19" s="59">
        <v>390</v>
      </c>
      <c r="X19" s="59">
        <v>831338.85314930137</v>
      </c>
      <c r="Y19" s="59">
        <v>831338.85314930137</v>
      </c>
      <c r="Z19" s="59">
        <v>831338.85314930137</v>
      </c>
      <c r="AA19" s="59">
        <v>831338.85314930137</v>
      </c>
      <c r="AB19" s="59">
        <v>831338.85314930137</v>
      </c>
      <c r="AC19" s="59">
        <v>831338.85314930137</v>
      </c>
      <c r="AD19" s="59">
        <v>831338.85314930137</v>
      </c>
      <c r="AE19" s="59">
        <v>831338.85314930137</v>
      </c>
      <c r="AF19" s="59">
        <v>831338.85314930137</v>
      </c>
    </row>
    <row r="20" spans="1:32" ht="23.4" customHeight="1" thickBot="1">
      <c r="A20" s="133" t="s">
        <v>79</v>
      </c>
      <c r="B20" s="134"/>
      <c r="C20" s="134"/>
      <c r="D20" s="134"/>
      <c r="E20" s="134"/>
      <c r="F20" s="134"/>
      <c r="G20" s="134"/>
      <c r="H20" s="135"/>
      <c r="S20" s="54">
        <v>390</v>
      </c>
      <c r="T20" s="54">
        <v>935607.253438466</v>
      </c>
      <c r="V20" s="138"/>
      <c r="W20" s="59">
        <v>400</v>
      </c>
      <c r="X20" s="59">
        <v>831338.85314930137</v>
      </c>
      <c r="Y20" s="59">
        <v>831338.85314930137</v>
      </c>
      <c r="Z20" s="59">
        <v>831338.85314930137</v>
      </c>
      <c r="AA20" s="59">
        <v>831338.85314930137</v>
      </c>
      <c r="AB20" s="59">
        <v>831338.85314930137</v>
      </c>
      <c r="AC20" s="59">
        <v>831338.85314930137</v>
      </c>
      <c r="AD20" s="59">
        <v>831338.85314930137</v>
      </c>
      <c r="AE20" s="59">
        <v>831338.85314930137</v>
      </c>
      <c r="AF20" s="59">
        <v>831338.85314930137</v>
      </c>
    </row>
    <row r="21" spans="1:32">
      <c r="A21" s="45" t="s">
        <v>80</v>
      </c>
      <c r="B21" t="s">
        <v>83</v>
      </c>
      <c r="D21" s="5" t="s">
        <v>84</v>
      </c>
      <c r="E21" t="s">
        <v>85</v>
      </c>
      <c r="G21" s="5" t="s">
        <v>88</v>
      </c>
      <c r="H21" s="41" t="s">
        <v>89</v>
      </c>
      <c r="S21" s="54">
        <v>400</v>
      </c>
      <c r="T21" s="54">
        <v>955163.26238462282</v>
      </c>
      <c r="V21" s="138"/>
      <c r="W21" s="59">
        <v>410</v>
      </c>
      <c r="X21" s="59">
        <v>831338.85314930137</v>
      </c>
      <c r="Y21" s="59">
        <v>831338.85314930137</v>
      </c>
      <c r="Z21" s="59">
        <v>831338.85314930137</v>
      </c>
      <c r="AA21" s="59">
        <v>831338.85314930137</v>
      </c>
      <c r="AB21" s="59">
        <v>831338.85314930137</v>
      </c>
      <c r="AC21" s="59">
        <v>831338.85314930137</v>
      </c>
      <c r="AD21" s="59">
        <v>831338.85314930137</v>
      </c>
      <c r="AE21" s="59">
        <v>831338.85314930137</v>
      </c>
      <c r="AF21" s="59">
        <v>831338.85314930137</v>
      </c>
    </row>
    <row r="22" spans="1:32">
      <c r="A22" s="40" t="s">
        <v>81</v>
      </c>
      <c r="B22">
        <v>-0.35460000000000003</v>
      </c>
      <c r="D22" t="s">
        <v>86</v>
      </c>
      <c r="E22">
        <v>466.51</v>
      </c>
      <c r="G22" t="s">
        <v>90</v>
      </c>
      <c r="H22" s="41">
        <v>5871064</v>
      </c>
      <c r="S22" s="54">
        <v>410</v>
      </c>
      <c r="T22" s="54">
        <v>971952.85243747453</v>
      </c>
      <c r="V22" s="138"/>
      <c r="W22" s="59">
        <v>420</v>
      </c>
      <c r="X22" s="59">
        <v>831338.85314930137</v>
      </c>
      <c r="Y22" s="59">
        <v>831338.85314930137</v>
      </c>
      <c r="Z22" s="59">
        <v>831338.85314930137</v>
      </c>
      <c r="AA22" s="59">
        <v>831338.85314930137</v>
      </c>
      <c r="AB22" s="59">
        <v>831338.85314930137</v>
      </c>
      <c r="AC22" s="59">
        <v>831338.85314930137</v>
      </c>
      <c r="AD22" s="59">
        <v>831338.85314930137</v>
      </c>
      <c r="AE22" s="59">
        <v>831338.85314930137</v>
      </c>
      <c r="AF22" s="59">
        <v>831338.85314930137</v>
      </c>
    </row>
    <row r="23" spans="1:32" ht="15" thickBot="1">
      <c r="A23" s="42" t="s">
        <v>82</v>
      </c>
      <c r="B23" s="43">
        <v>211.31</v>
      </c>
      <c r="C23" s="43"/>
      <c r="D23" s="43" t="s">
        <v>87</v>
      </c>
      <c r="E23" s="43">
        <v>-5.0000000000000001E-3</v>
      </c>
      <c r="F23" s="43"/>
      <c r="G23" s="43" t="s">
        <v>91</v>
      </c>
      <c r="H23" s="44">
        <v>-1.9079999999999999</v>
      </c>
      <c r="S23" s="54">
        <v>420</v>
      </c>
      <c r="T23" s="54">
        <v>986293.31587235699</v>
      </c>
      <c r="V23" s="138"/>
      <c r="W23" s="59">
        <v>430</v>
      </c>
      <c r="X23" s="59">
        <v>831338.85314930137</v>
      </c>
      <c r="Y23" s="59">
        <v>831338.85314930137</v>
      </c>
      <c r="Z23" s="59">
        <v>831338.85314930137</v>
      </c>
      <c r="AA23" s="59">
        <v>831338.85314930137</v>
      </c>
      <c r="AB23" s="59">
        <v>831338.85314930137</v>
      </c>
      <c r="AC23" s="59">
        <v>831338.85314930137</v>
      </c>
      <c r="AD23" s="59">
        <v>831338.85314930137</v>
      </c>
      <c r="AE23" s="59">
        <v>831338.85314930137</v>
      </c>
      <c r="AF23" s="59">
        <v>831338.85314930137</v>
      </c>
    </row>
    <row r="24" spans="1:32">
      <c r="S24" s="54">
        <v>430</v>
      </c>
      <c r="T24" s="54">
        <v>998461.92082203622</v>
      </c>
      <c r="V24" s="138"/>
      <c r="W24" s="59">
        <v>440</v>
      </c>
      <c r="X24" s="59">
        <v>831338.85314930137</v>
      </c>
      <c r="Y24" s="59">
        <v>831338.85314930137</v>
      </c>
      <c r="Z24" s="59">
        <v>831338.85314930137</v>
      </c>
      <c r="AA24" s="59">
        <v>831338.85314930137</v>
      </c>
      <c r="AB24" s="59">
        <v>831338.85314930137</v>
      </c>
      <c r="AC24" s="59">
        <v>831338.85314930137</v>
      </c>
      <c r="AD24" s="59">
        <v>831338.85314930137</v>
      </c>
      <c r="AE24" s="59">
        <v>831338.85314930137</v>
      </c>
      <c r="AF24" s="59">
        <v>831338.85314930137</v>
      </c>
    </row>
    <row r="25" spans="1:32">
      <c r="S25" s="54">
        <v>440</v>
      </c>
      <c r="T25" s="54">
        <v>1008701.5979665397</v>
      </c>
      <c r="V25" s="138"/>
      <c r="W25" s="59">
        <v>450</v>
      </c>
      <c r="X25" s="59">
        <v>831338.85314930137</v>
      </c>
      <c r="Y25" s="59">
        <v>831338.85314930137</v>
      </c>
      <c r="Z25" s="59">
        <v>831338.85314930137</v>
      </c>
      <c r="AA25" s="59">
        <v>831338.85314930137</v>
      </c>
      <c r="AB25" s="59">
        <v>831338.85314930137</v>
      </c>
      <c r="AC25" s="59">
        <v>831338.85314930137</v>
      </c>
      <c r="AD25" s="59">
        <v>831338.85314930137</v>
      </c>
      <c r="AE25" s="59">
        <v>831338.85314930137</v>
      </c>
      <c r="AF25" s="59">
        <v>831338.85314930137</v>
      </c>
    </row>
    <row r="26" spans="1:32" ht="18" customHeight="1">
      <c r="A26" s="128" t="s">
        <v>92</v>
      </c>
      <c r="B26" s="129"/>
      <c r="C26" s="129"/>
      <c r="D26" s="129"/>
      <c r="E26" s="130"/>
      <c r="F26" s="128" t="s">
        <v>95</v>
      </c>
      <c r="G26" s="129"/>
      <c r="H26" s="130"/>
      <c r="S26" s="54">
        <v>450</v>
      </c>
      <c r="T26" s="54">
        <v>1017225.7233983984</v>
      </c>
      <c r="V26" s="138"/>
      <c r="W26" s="59">
        <v>460</v>
      </c>
      <c r="X26" s="59">
        <v>831338.85314930137</v>
      </c>
      <c r="Y26" s="59">
        <v>831338.85314930137</v>
      </c>
      <c r="Z26" s="59">
        <v>831338.85314930137</v>
      </c>
      <c r="AA26" s="59">
        <v>831338.85314930137</v>
      </c>
      <c r="AB26" s="59">
        <v>831338.85314930137</v>
      </c>
      <c r="AC26" s="59">
        <v>831338.85314930137</v>
      </c>
      <c r="AD26" s="59">
        <v>831338.85314930137</v>
      </c>
      <c r="AE26" s="59">
        <v>831338.85314930137</v>
      </c>
      <c r="AF26" s="59">
        <v>831338.85314930137</v>
      </c>
    </row>
    <row r="27" spans="1:32">
      <c r="A27" s="50" t="s">
        <v>93</v>
      </c>
      <c r="B27" s="50" t="s">
        <v>77</v>
      </c>
      <c r="C27" s="50" t="s">
        <v>94</v>
      </c>
      <c r="D27" s="50" t="s">
        <v>84</v>
      </c>
      <c r="E27" s="50" t="s">
        <v>88</v>
      </c>
      <c r="F27" s="50" t="s">
        <v>94</v>
      </c>
      <c r="G27" s="50" t="s">
        <v>84</v>
      </c>
      <c r="H27" s="50" t="s">
        <v>88</v>
      </c>
      <c r="S27" s="54">
        <v>460</v>
      </c>
      <c r="T27" s="54">
        <v>1024222.1565401531</v>
      </c>
      <c r="V27" s="138"/>
      <c r="W27" s="59">
        <v>470</v>
      </c>
      <c r="X27" s="59">
        <v>831338.85314930137</v>
      </c>
      <c r="Y27" s="59">
        <v>831338.85314930137</v>
      </c>
      <c r="Z27" s="59">
        <v>831338.85314930137</v>
      </c>
      <c r="AA27" s="59">
        <v>831338.85314930137</v>
      </c>
      <c r="AB27" s="59">
        <v>831338.85314930137</v>
      </c>
      <c r="AC27" s="59">
        <v>831338.85314930137</v>
      </c>
      <c r="AD27" s="59">
        <v>831338.85314930137</v>
      </c>
      <c r="AE27" s="59">
        <v>831338.85314930137</v>
      </c>
      <c r="AF27" s="59">
        <v>831338.85314930137</v>
      </c>
    </row>
    <row r="28" spans="1:32">
      <c r="A28" s="55">
        <v>450</v>
      </c>
      <c r="B28" s="55">
        <v>45</v>
      </c>
      <c r="C28" s="47">
        <f>$B$22*A28+$B$23</f>
        <v>51.739999999999981</v>
      </c>
      <c r="D28" s="47">
        <f>$E$22*EXP($E$23*A28)</f>
        <v>49.169792250355329</v>
      </c>
      <c r="E28" s="48">
        <f>$H$22*A28^$H$23</f>
        <v>50.861286169919921</v>
      </c>
      <c r="F28" s="49">
        <f>ABS(C28-B28)/B28</f>
        <v>0.14977777777777734</v>
      </c>
      <c r="G28" s="49">
        <f>ABS(D28-B28)/B28</f>
        <v>9.2662050007896193E-2</v>
      </c>
      <c r="H28" s="49">
        <f>ABS(E28-B28)/B28</f>
        <v>0.13025080377599826</v>
      </c>
      <c r="S28" s="54">
        <v>470</v>
      </c>
      <c r="T28" s="54">
        <v>1029856.6614397548</v>
      </c>
      <c r="V28" s="138"/>
      <c r="W28" s="59">
        <v>480</v>
      </c>
      <c r="X28" s="59">
        <v>831338.85314930137</v>
      </c>
      <c r="Y28" s="59">
        <v>831338.85314930137</v>
      </c>
      <c r="Z28" s="59">
        <v>831338.85314930137</v>
      </c>
      <c r="AA28" s="59">
        <v>831338.85314930137</v>
      </c>
      <c r="AB28" s="59">
        <v>831338.85314930137</v>
      </c>
      <c r="AC28" s="59">
        <v>831338.85314930137</v>
      </c>
      <c r="AD28" s="59">
        <v>831338.85314930137</v>
      </c>
      <c r="AE28" s="59">
        <v>831338.85314930137</v>
      </c>
      <c r="AF28" s="59">
        <v>831338.85314930137</v>
      </c>
    </row>
    <row r="29" spans="1:32">
      <c r="A29" s="55">
        <v>300</v>
      </c>
      <c r="B29" s="55">
        <v>103</v>
      </c>
      <c r="C29" s="47">
        <f t="shared" ref="C29:C39" si="1">$B$22*A29+$B$23</f>
        <v>104.92999999999999</v>
      </c>
      <c r="D29" s="47">
        <f t="shared" ref="D29:D39" si="2">$E$22*EXP($E$23*A29)</f>
        <v>104.09245101084399</v>
      </c>
      <c r="E29" s="48">
        <f t="shared" ref="E29:E39" si="3">$H$22*A29^$H$23</f>
        <v>110.2476803704582</v>
      </c>
      <c r="F29" s="49">
        <f t="shared" ref="F29:F39" si="4">ABS(C29-B29)/B29</f>
        <v>1.8737864077669832E-2</v>
      </c>
      <c r="G29" s="49">
        <f t="shared" ref="G29:G39" si="5">ABS(D29-B29)/B29</f>
        <v>1.0606320493630948E-2</v>
      </c>
      <c r="H29" s="49">
        <f t="shared" ref="H29:H39" si="6">ABS(E29-B29)/B29</f>
        <v>7.0365828839399985E-2</v>
      </c>
      <c r="S29" s="54">
        <v>480</v>
      </c>
      <c r="T29" s="54">
        <v>1034275.8155834542</v>
      </c>
      <c r="V29" s="138"/>
      <c r="W29" s="59">
        <v>490</v>
      </c>
      <c r="X29" s="59">
        <v>831338.85314930137</v>
      </c>
      <c r="Y29" s="59">
        <v>831338.85314930137</v>
      </c>
      <c r="Z29" s="59">
        <v>831338.85314930137</v>
      </c>
      <c r="AA29" s="59">
        <v>831338.85314930137</v>
      </c>
      <c r="AB29" s="59">
        <v>831338.85314930137</v>
      </c>
      <c r="AC29" s="59">
        <v>831338.85314930137</v>
      </c>
      <c r="AD29" s="59">
        <v>831338.85314930137</v>
      </c>
      <c r="AE29" s="59">
        <v>831338.85314930137</v>
      </c>
      <c r="AF29" s="59">
        <v>831338.85314930137</v>
      </c>
    </row>
    <row r="30" spans="1:32">
      <c r="A30" s="55">
        <v>440</v>
      </c>
      <c r="B30" s="55">
        <v>49</v>
      </c>
      <c r="C30" s="47">
        <f t="shared" si="1"/>
        <v>55.286000000000001</v>
      </c>
      <c r="D30" s="47">
        <f t="shared" si="2"/>
        <v>51.69078140761237</v>
      </c>
      <c r="E30" s="48">
        <f t="shared" si="3"/>
        <v>53.089557787712614</v>
      </c>
      <c r="F30" s="49">
        <f t="shared" si="4"/>
        <v>0.12828571428571431</v>
      </c>
      <c r="G30" s="49">
        <f t="shared" si="5"/>
        <v>5.4913906277803466E-2</v>
      </c>
      <c r="H30" s="49">
        <f t="shared" si="6"/>
        <v>8.3460363014543154E-2</v>
      </c>
      <c r="S30" s="54">
        <v>490</v>
      </c>
      <c r="T30" s="54">
        <v>1037609.4911199291</v>
      </c>
      <c r="V30" s="138"/>
      <c r="W30" s="59">
        <v>500</v>
      </c>
      <c r="X30" s="59">
        <v>831338.85314930137</v>
      </c>
      <c r="Y30" s="59">
        <v>831338.85314930137</v>
      </c>
      <c r="Z30" s="59">
        <v>831338.85314930137</v>
      </c>
      <c r="AA30" s="59">
        <v>831338.85314930137</v>
      </c>
      <c r="AB30" s="59">
        <v>831338.85314930137</v>
      </c>
      <c r="AC30" s="59">
        <v>831338.85314930137</v>
      </c>
      <c r="AD30" s="59">
        <v>831338.85314930137</v>
      </c>
      <c r="AE30" s="59">
        <v>831338.85314930137</v>
      </c>
      <c r="AF30" s="59">
        <v>831338.85314930137</v>
      </c>
    </row>
    <row r="31" spans="1:32">
      <c r="A31" s="55">
        <v>360</v>
      </c>
      <c r="B31" s="55">
        <v>86</v>
      </c>
      <c r="C31" s="47">
        <f t="shared" si="1"/>
        <v>83.653999999999996</v>
      </c>
      <c r="D31" s="47">
        <f t="shared" si="2"/>
        <v>77.113584344252331</v>
      </c>
      <c r="E31" s="48">
        <f t="shared" si="3"/>
        <v>77.85592038588905</v>
      </c>
      <c r="F31" s="49">
        <f t="shared" si="4"/>
        <v>2.7279069767441901E-2</v>
      </c>
      <c r="G31" s="49">
        <f t="shared" si="5"/>
        <v>0.10333041460171709</v>
      </c>
      <c r="H31" s="49">
        <f t="shared" si="6"/>
        <v>9.4698600164080812E-2</v>
      </c>
      <c r="S31" s="54">
        <v>500</v>
      </c>
      <c r="T31" s="54">
        <v>1039972.9779989794</v>
      </c>
      <c r="V31" s="138"/>
      <c r="W31" s="59">
        <v>510</v>
      </c>
      <c r="X31" s="59">
        <v>831338.85314930137</v>
      </c>
      <c r="Y31" s="59">
        <v>831338.85314930137</v>
      </c>
      <c r="Z31" s="59">
        <v>831338.85314930137</v>
      </c>
      <c r="AA31" s="59">
        <v>831338.85314930137</v>
      </c>
      <c r="AB31" s="59">
        <v>831338.85314930137</v>
      </c>
      <c r="AC31" s="59">
        <v>831338.85314930137</v>
      </c>
      <c r="AD31" s="59">
        <v>831338.85314930137</v>
      </c>
      <c r="AE31" s="59">
        <v>831338.85314930137</v>
      </c>
      <c r="AF31" s="59">
        <v>831338.85314930137</v>
      </c>
    </row>
    <row r="32" spans="1:32">
      <c r="A32" s="55">
        <v>290</v>
      </c>
      <c r="B32" s="55">
        <v>125</v>
      </c>
      <c r="C32" s="47">
        <f t="shared" si="1"/>
        <v>108.476</v>
      </c>
      <c r="D32" s="47">
        <f t="shared" si="2"/>
        <v>109.42938509863754</v>
      </c>
      <c r="E32" s="48">
        <f t="shared" si="3"/>
        <v>117.61465381582187</v>
      </c>
      <c r="F32" s="49">
        <f t="shared" si="4"/>
        <v>0.132192</v>
      </c>
      <c r="G32" s="49">
        <f t="shared" si="5"/>
        <v>0.12456491921089968</v>
      </c>
      <c r="H32" s="49">
        <f t="shared" si="6"/>
        <v>5.9082769473425063E-2</v>
      </c>
      <c r="S32" s="54">
        <v>510</v>
      </c>
      <c r="T32" s="54">
        <v>1041468.8061629091</v>
      </c>
      <c r="V32" s="138"/>
      <c r="W32" s="59">
        <v>520</v>
      </c>
      <c r="X32" s="59">
        <v>831338.85314930137</v>
      </c>
      <c r="Y32" s="59">
        <v>831338.85314930137</v>
      </c>
      <c r="Z32" s="59">
        <v>831338.85314930137</v>
      </c>
      <c r="AA32" s="59">
        <v>831338.85314930137</v>
      </c>
      <c r="AB32" s="59">
        <v>831338.85314930137</v>
      </c>
      <c r="AC32" s="59">
        <v>831338.85314930137</v>
      </c>
      <c r="AD32" s="59">
        <v>831338.85314930137</v>
      </c>
      <c r="AE32" s="59">
        <v>831338.85314930137</v>
      </c>
      <c r="AF32" s="59">
        <v>831338.85314930137</v>
      </c>
    </row>
    <row r="33" spans="1:32">
      <c r="A33" s="55">
        <v>450</v>
      </c>
      <c r="B33" s="55">
        <v>52</v>
      </c>
      <c r="C33" s="47">
        <f t="shared" si="1"/>
        <v>51.739999999999981</v>
      </c>
      <c r="D33" s="47">
        <f t="shared" si="2"/>
        <v>49.169792250355329</v>
      </c>
      <c r="E33" s="48">
        <f t="shared" si="3"/>
        <v>50.861286169919921</v>
      </c>
      <c r="F33" s="49">
        <f t="shared" si="4"/>
        <v>5.0000000000003713E-3</v>
      </c>
      <c r="G33" s="49">
        <f t="shared" si="5"/>
        <v>5.4427072108551369E-2</v>
      </c>
      <c r="H33" s="49">
        <f t="shared" si="6"/>
        <v>2.1898342886155355E-2</v>
      </c>
      <c r="S33" s="54">
        <v>520</v>
      </c>
      <c r="T33" s="54">
        <v>1042188.3139489595</v>
      </c>
      <c r="V33" s="138"/>
      <c r="W33" s="59">
        <v>530</v>
      </c>
      <c r="X33" s="59">
        <v>831338.85314930137</v>
      </c>
      <c r="Y33" s="59">
        <v>831338.85314930137</v>
      </c>
      <c r="Z33" s="59">
        <v>831338.85314930137</v>
      </c>
      <c r="AA33" s="59">
        <v>831338.85314930137</v>
      </c>
      <c r="AB33" s="59">
        <v>831338.85314930137</v>
      </c>
      <c r="AC33" s="59">
        <v>831338.85314930137</v>
      </c>
      <c r="AD33" s="59">
        <v>831338.85314930137</v>
      </c>
      <c r="AE33" s="59">
        <v>831338.85314930137</v>
      </c>
      <c r="AF33" s="59">
        <v>831338.85314930137</v>
      </c>
    </row>
    <row r="34" spans="1:32">
      <c r="A34" s="55">
        <v>340</v>
      </c>
      <c r="B34" s="55">
        <v>87</v>
      </c>
      <c r="C34" s="47">
        <f t="shared" si="1"/>
        <v>90.745999999999995</v>
      </c>
      <c r="D34" s="47">
        <f t="shared" si="2"/>
        <v>85.223690805841244</v>
      </c>
      <c r="E34" s="48">
        <f t="shared" si="3"/>
        <v>86.827049006961417</v>
      </c>
      <c r="F34" s="49">
        <f t="shared" si="4"/>
        <v>4.3057471264367757E-2</v>
      </c>
      <c r="G34" s="49">
        <f t="shared" si="5"/>
        <v>2.0417347059296046E-2</v>
      </c>
      <c r="H34" s="49">
        <f t="shared" si="6"/>
        <v>1.9879424487193459E-3</v>
      </c>
      <c r="S34" s="54">
        <v>530</v>
      </c>
      <c r="T34" s="54">
        <v>1042213.0017719698</v>
      </c>
      <c r="V34" s="138"/>
      <c r="W34" s="59">
        <v>540</v>
      </c>
      <c r="X34" s="59">
        <v>831338.85314930137</v>
      </c>
      <c r="Y34" s="59">
        <v>831338.85314930137</v>
      </c>
      <c r="Z34" s="59">
        <v>831338.85314930137</v>
      </c>
      <c r="AA34" s="59">
        <v>831338.85314930137</v>
      </c>
      <c r="AB34" s="59">
        <v>831338.85314930137</v>
      </c>
      <c r="AC34" s="59">
        <v>831338.85314930137</v>
      </c>
      <c r="AD34" s="59">
        <v>831338.85314930137</v>
      </c>
      <c r="AE34" s="59">
        <v>831338.85314930137</v>
      </c>
      <c r="AF34" s="59">
        <v>831338.85314930137</v>
      </c>
    </row>
    <row r="35" spans="1:32">
      <c r="A35" s="55">
        <v>370</v>
      </c>
      <c r="B35" s="55">
        <v>68</v>
      </c>
      <c r="C35" s="47">
        <f t="shared" si="1"/>
        <v>80.108000000000004</v>
      </c>
      <c r="D35" s="47">
        <f t="shared" si="2"/>
        <v>73.352710456970414</v>
      </c>
      <c r="E35" s="48">
        <f t="shared" si="3"/>
        <v>73.890384263545585</v>
      </c>
      <c r="F35" s="49">
        <f t="shared" si="4"/>
        <v>0.17805882352941182</v>
      </c>
      <c r="G35" s="49">
        <f t="shared" si="5"/>
        <v>7.8716330249564911E-2</v>
      </c>
      <c r="H35" s="49">
        <f t="shared" si="6"/>
        <v>8.6623297993317416E-2</v>
      </c>
      <c r="S35" s="54">
        <v>540</v>
      </c>
      <c r="T35" s="54">
        <v>1041615.7035724644</v>
      </c>
      <c r="V35" s="138"/>
      <c r="W35" s="59">
        <v>550</v>
      </c>
      <c r="X35" s="59">
        <v>831338.85314930137</v>
      </c>
      <c r="Y35" s="59">
        <v>831338.85314930137</v>
      </c>
      <c r="Z35" s="59">
        <v>831338.85314930137</v>
      </c>
      <c r="AA35" s="59">
        <v>831338.85314930137</v>
      </c>
      <c r="AB35" s="59">
        <v>831338.85314930137</v>
      </c>
      <c r="AC35" s="59">
        <v>831338.85314930137</v>
      </c>
      <c r="AD35" s="59">
        <v>831338.85314930137</v>
      </c>
      <c r="AE35" s="59">
        <v>831338.85314930137</v>
      </c>
      <c r="AF35" s="59">
        <v>831338.85314930137</v>
      </c>
    </row>
    <row r="36" spans="1:32">
      <c r="A36" s="55">
        <v>500</v>
      </c>
      <c r="B36" s="55">
        <v>45</v>
      </c>
      <c r="C36" s="47">
        <f t="shared" si="1"/>
        <v>34.009999999999991</v>
      </c>
      <c r="D36" s="47">
        <f t="shared" si="2"/>
        <v>38.293472708035026</v>
      </c>
      <c r="E36" s="48">
        <f t="shared" si="3"/>
        <v>41.59891911995917</v>
      </c>
      <c r="F36" s="49">
        <f t="shared" si="4"/>
        <v>0.24422222222222242</v>
      </c>
      <c r="G36" s="49">
        <f t="shared" si="5"/>
        <v>0.14903393982144386</v>
      </c>
      <c r="H36" s="49">
        <f t="shared" si="6"/>
        <v>7.5579575112018446E-2</v>
      </c>
      <c r="S36" s="54">
        <v>550</v>
      </c>
      <c r="T36" s="54">
        <v>1040461.6031350964</v>
      </c>
      <c r="V36" s="138"/>
      <c r="W36" s="59">
        <v>560</v>
      </c>
      <c r="X36" s="59">
        <v>831338.85314930137</v>
      </c>
      <c r="Y36" s="59">
        <v>831338.85314930137</v>
      </c>
      <c r="Z36" s="59">
        <v>831338.85314930137</v>
      </c>
      <c r="AA36" s="59">
        <v>831338.85314930137</v>
      </c>
      <c r="AB36" s="59">
        <v>831338.85314930137</v>
      </c>
      <c r="AC36" s="59">
        <v>831338.85314930137</v>
      </c>
      <c r="AD36" s="59">
        <v>831338.85314930137</v>
      </c>
      <c r="AE36" s="59">
        <v>831338.85314930137</v>
      </c>
      <c r="AF36" s="59">
        <v>831338.85314930137</v>
      </c>
    </row>
    <row r="37" spans="1:32">
      <c r="A37" s="55">
        <v>490</v>
      </c>
      <c r="B37" s="55">
        <v>44</v>
      </c>
      <c r="C37" s="47">
        <f t="shared" si="1"/>
        <v>37.555999999999983</v>
      </c>
      <c r="D37" s="47">
        <f t="shared" si="2"/>
        <v>40.256821037821332</v>
      </c>
      <c r="E37" s="48">
        <f t="shared" si="3"/>
        <v>43.233728796663705</v>
      </c>
      <c r="F37" s="49">
        <f t="shared" si="4"/>
        <v>0.14645454545454584</v>
      </c>
      <c r="G37" s="49">
        <f t="shared" si="5"/>
        <v>8.5072249140424272E-2</v>
      </c>
      <c r="H37" s="49">
        <f t="shared" si="6"/>
        <v>1.7415254621279432E-2</v>
      </c>
      <c r="S37" s="54">
        <v>560</v>
      </c>
      <c r="T37" s="54">
        <v>1038809.1179690239</v>
      </c>
      <c r="V37" s="138"/>
      <c r="W37" s="59">
        <v>570</v>
      </c>
      <c r="X37" s="59">
        <v>831338.85314930137</v>
      </c>
      <c r="Y37" s="59">
        <v>831338.85314930137</v>
      </c>
      <c r="Z37" s="59">
        <v>831338.85314930137</v>
      </c>
      <c r="AA37" s="59">
        <v>831338.85314930137</v>
      </c>
      <c r="AB37" s="59">
        <v>831338.85314930137</v>
      </c>
      <c r="AC37" s="59">
        <v>831338.85314930137</v>
      </c>
      <c r="AD37" s="59">
        <v>831338.85314930137</v>
      </c>
      <c r="AE37" s="59">
        <v>831338.85314930137</v>
      </c>
      <c r="AF37" s="59">
        <v>831338.85314930137</v>
      </c>
    </row>
    <row r="38" spans="1:32">
      <c r="A38" s="55">
        <v>430</v>
      </c>
      <c r="B38" s="55">
        <v>58</v>
      </c>
      <c r="C38" s="47">
        <f t="shared" si="1"/>
        <v>58.831999999999994</v>
      </c>
      <c r="D38" s="47">
        <f t="shared" si="2"/>
        <v>54.341024442914069</v>
      </c>
      <c r="E38" s="48">
        <f t="shared" si="3"/>
        <v>55.470106712335337</v>
      </c>
      <c r="F38" s="49">
        <f t="shared" si="4"/>
        <v>1.4344827586206787E-2</v>
      </c>
      <c r="G38" s="49">
        <f t="shared" si="5"/>
        <v>6.3085785466998806E-2</v>
      </c>
      <c r="H38" s="49">
        <f t="shared" si="6"/>
        <v>4.3618849787321778E-2</v>
      </c>
      <c r="S38" s="54">
        <v>570</v>
      </c>
      <c r="T38" s="54">
        <v>1036710.669808225</v>
      </c>
      <c r="V38" s="138"/>
      <c r="W38" s="59">
        <v>580</v>
      </c>
      <c r="X38" s="59">
        <v>831338.85314930137</v>
      </c>
      <c r="Y38" s="59">
        <v>831338.85314930137</v>
      </c>
      <c r="Z38" s="59">
        <v>831338.85314930137</v>
      </c>
      <c r="AA38" s="59">
        <v>831338.85314930137</v>
      </c>
      <c r="AB38" s="59">
        <v>831338.85314930137</v>
      </c>
      <c r="AC38" s="59">
        <v>831338.85314930137</v>
      </c>
      <c r="AD38" s="59">
        <v>831338.85314930137</v>
      </c>
      <c r="AE38" s="59">
        <v>831338.85314930137</v>
      </c>
      <c r="AF38" s="59">
        <v>831338.85314930137</v>
      </c>
    </row>
    <row r="39" spans="1:32">
      <c r="A39" s="55">
        <v>390</v>
      </c>
      <c r="B39" s="55">
        <v>68</v>
      </c>
      <c r="C39" s="47">
        <f t="shared" si="1"/>
        <v>73.015999999999991</v>
      </c>
      <c r="D39" s="47">
        <f t="shared" si="2"/>
        <v>66.372277135824447</v>
      </c>
      <c r="E39" s="48">
        <f t="shared" si="3"/>
        <v>66.829089531318985</v>
      </c>
      <c r="F39" s="49">
        <f t="shared" si="4"/>
        <v>7.3764705882352816E-2</v>
      </c>
      <c r="G39" s="49">
        <f t="shared" si="5"/>
        <v>2.393710094375813E-2</v>
      </c>
      <c r="H39" s="49">
        <f t="shared" si="6"/>
        <v>1.7219271598250221E-2</v>
      </c>
      <c r="S39" s="54">
        <v>580</v>
      </c>
      <c r="T39" s="54">
        <v>1034213.3577876764</v>
      </c>
      <c r="V39" s="138"/>
      <c r="W39" s="59">
        <v>590</v>
      </c>
      <c r="X39" s="59">
        <v>831338.85314930137</v>
      </c>
      <c r="Y39" s="59">
        <v>831338.85314930137</v>
      </c>
      <c r="Z39" s="59">
        <v>831338.85314930137</v>
      </c>
      <c r="AA39" s="59">
        <v>831338.85314930137</v>
      </c>
      <c r="AB39" s="59">
        <v>831338.85314930137</v>
      </c>
      <c r="AC39" s="59">
        <v>831338.85314930137</v>
      </c>
      <c r="AD39" s="59">
        <v>831338.85314930137</v>
      </c>
      <c r="AE39" s="59">
        <v>831338.85314930137</v>
      </c>
      <c r="AF39" s="59">
        <v>831338.85314930137</v>
      </c>
    </row>
    <row r="40" spans="1:32">
      <c r="S40" s="54">
        <v>590</v>
      </c>
      <c r="T40" s="54">
        <v>1031359.5478624469</v>
      </c>
      <c r="V40" s="138"/>
      <c r="W40" s="59">
        <v>600</v>
      </c>
      <c r="X40" s="59">
        <v>831338.85314930137</v>
      </c>
      <c r="Y40" s="59">
        <v>831338.85314930137</v>
      </c>
      <c r="Z40" s="59">
        <v>831338.85314930137</v>
      </c>
      <c r="AA40" s="59">
        <v>831338.85314930137</v>
      </c>
      <c r="AB40" s="59">
        <v>831338.85314930137</v>
      </c>
      <c r="AC40" s="59">
        <v>831338.85314930137</v>
      </c>
      <c r="AD40" s="59">
        <v>831338.85314930137</v>
      </c>
      <c r="AE40" s="59">
        <v>831338.85314930137</v>
      </c>
      <c r="AF40" s="59">
        <v>831338.85314930137</v>
      </c>
    </row>
    <row r="41" spans="1:32" ht="32.4" customHeight="1">
      <c r="E41" s="50" t="s">
        <v>96</v>
      </c>
      <c r="F41" s="51">
        <f>AVERAGE(F28:F39)</f>
        <v>9.6764585153975916E-2</v>
      </c>
      <c r="G41" s="51">
        <f t="shared" ref="G41:H41" si="7">AVERAGE(G28:G39)</f>
        <v>7.17306196151654E-2</v>
      </c>
      <c r="H41" s="51">
        <f t="shared" si="7"/>
        <v>5.8516741642875771E-2</v>
      </c>
      <c r="I41" s="131" t="s">
        <v>97</v>
      </c>
      <c r="J41" s="132"/>
      <c r="S41" s="54">
        <v>600</v>
      </c>
      <c r="T41" s="54">
        <v>1028187.3899667513</v>
      </c>
      <c r="V41" s="138"/>
      <c r="W41" s="59">
        <v>610</v>
      </c>
      <c r="X41" s="59">
        <v>831338.85314930137</v>
      </c>
      <c r="Y41" s="59">
        <v>831338.85314930137</v>
      </c>
      <c r="Z41" s="59">
        <v>831338.85314930137</v>
      </c>
      <c r="AA41" s="59">
        <v>831338.85314930137</v>
      </c>
      <c r="AB41" s="59">
        <v>831338.85314930137</v>
      </c>
      <c r="AC41" s="59">
        <v>831338.85314930137</v>
      </c>
      <c r="AD41" s="59">
        <v>831338.85314930137</v>
      </c>
      <c r="AE41" s="59">
        <v>831338.85314930137</v>
      </c>
      <c r="AF41" s="59">
        <v>831338.85314930137</v>
      </c>
    </row>
    <row r="42" spans="1:32">
      <c r="S42" s="54">
        <v>610</v>
      </c>
      <c r="T42" s="54">
        <v>1024731.2726827315</v>
      </c>
      <c r="V42" s="138"/>
      <c r="W42" s="59">
        <v>620</v>
      </c>
      <c r="X42" s="59">
        <v>831338.85314930137</v>
      </c>
      <c r="Y42" s="59">
        <v>831338.85314930137</v>
      </c>
      <c r="Z42" s="59">
        <v>831338.85314930137</v>
      </c>
      <c r="AA42" s="59">
        <v>831338.85314930137</v>
      </c>
      <c r="AB42" s="59">
        <v>831338.85314930137</v>
      </c>
      <c r="AC42" s="59">
        <v>831338.85314930137</v>
      </c>
      <c r="AD42" s="59">
        <v>831338.85314930137</v>
      </c>
      <c r="AE42" s="59">
        <v>831338.85314930137</v>
      </c>
      <c r="AF42" s="59">
        <v>831338.85314930137</v>
      </c>
    </row>
    <row r="43" spans="1:32">
      <c r="S43" s="54">
        <v>620</v>
      </c>
      <c r="T43" s="54">
        <v>1021022.2237432048</v>
      </c>
      <c r="V43" s="138"/>
      <c r="W43" s="59">
        <v>630</v>
      </c>
      <c r="X43" s="59">
        <v>831338.85314930137</v>
      </c>
      <c r="Y43" s="59">
        <v>831338.85314930137</v>
      </c>
      <c r="Z43" s="59">
        <v>831338.85314930137</v>
      </c>
      <c r="AA43" s="59">
        <v>831338.85314930137</v>
      </c>
      <c r="AB43" s="59">
        <v>831338.85314930137</v>
      </c>
      <c r="AC43" s="59">
        <v>831338.85314930137</v>
      </c>
      <c r="AD43" s="59">
        <v>831338.85314930137</v>
      </c>
      <c r="AE43" s="59">
        <v>831338.85314930137</v>
      </c>
      <c r="AF43" s="59">
        <v>831338.85314930137</v>
      </c>
    </row>
    <row r="44" spans="1:32">
      <c r="S44" s="54">
        <v>630</v>
      </c>
      <c r="T44" s="54">
        <v>1017088.2634793159</v>
      </c>
      <c r="V44" s="138"/>
      <c r="W44" s="59">
        <v>640</v>
      </c>
      <c r="X44" s="59">
        <v>831338.85314930137</v>
      </c>
      <c r="Y44" s="59">
        <v>831338.85314930137</v>
      </c>
      <c r="Z44" s="59">
        <v>831338.85314930137</v>
      </c>
      <c r="AA44" s="59">
        <v>831338.85314930137</v>
      </c>
      <c r="AB44" s="59">
        <v>831338.85314930137</v>
      </c>
      <c r="AC44" s="59">
        <v>831338.85314930137</v>
      </c>
      <c r="AD44" s="59">
        <v>831338.85314930137</v>
      </c>
      <c r="AE44" s="59">
        <v>831338.85314930137</v>
      </c>
      <c r="AF44" s="59">
        <v>831338.85314930137</v>
      </c>
    </row>
    <row r="45" spans="1:32">
      <c r="B45" s="120" t="s">
        <v>112</v>
      </c>
      <c r="C45" s="120"/>
      <c r="D45" s="120"/>
      <c r="E45" s="120"/>
      <c r="F45" s="120"/>
      <c r="G45" s="120"/>
      <c r="H45" s="120"/>
      <c r="S45" s="54">
        <v>640</v>
      </c>
      <c r="T45" s="54">
        <v>1012954.7173026291</v>
      </c>
      <c r="V45" s="138"/>
      <c r="W45" s="59">
        <v>650</v>
      </c>
      <c r="X45" s="59">
        <v>831338.85314930137</v>
      </c>
      <c r="Y45" s="59">
        <v>831338.85314930137</v>
      </c>
      <c r="Z45" s="59">
        <v>831338.85314930137</v>
      </c>
      <c r="AA45" s="59">
        <v>831338.85314930137</v>
      </c>
      <c r="AB45" s="59">
        <v>831338.85314930137</v>
      </c>
      <c r="AC45" s="59">
        <v>831338.85314930137</v>
      </c>
      <c r="AD45" s="59">
        <v>831338.85314930137</v>
      </c>
      <c r="AE45" s="59">
        <v>831338.85314930137</v>
      </c>
      <c r="AF45" s="59">
        <v>831338.85314930137</v>
      </c>
    </row>
    <row r="46" spans="1:32">
      <c r="S46" s="54">
        <v>650</v>
      </c>
      <c r="T46" s="54">
        <v>1008644.4924491229</v>
      </c>
      <c r="V46" s="138"/>
      <c r="W46" s="59">
        <v>660</v>
      </c>
      <c r="X46" s="59">
        <v>831338.85314930137</v>
      </c>
      <c r="Y46" s="59">
        <v>831338.85314930137</v>
      </c>
      <c r="Z46" s="59">
        <v>831338.85314930137</v>
      </c>
      <c r="AA46" s="59">
        <v>831338.85314930137</v>
      </c>
      <c r="AB46" s="59">
        <v>831338.85314930137</v>
      </c>
      <c r="AC46" s="59">
        <v>831338.85314930137</v>
      </c>
      <c r="AD46" s="59">
        <v>831338.85314930137</v>
      </c>
      <c r="AE46" s="59">
        <v>831338.85314930137</v>
      </c>
      <c r="AF46" s="59">
        <v>831338.85314930137</v>
      </c>
    </row>
    <row r="47" spans="1:32">
      <c r="B47" s="122" t="s">
        <v>113</v>
      </c>
      <c r="C47" s="122"/>
      <c r="D47" s="122"/>
      <c r="E47" s="122"/>
      <c r="F47" s="122"/>
      <c r="G47" s="122"/>
      <c r="H47" s="122"/>
      <c r="S47" s="54">
        <v>660</v>
      </c>
      <c r="T47" s="54">
        <v>1004178.3234829371</v>
      </c>
      <c r="V47" s="138"/>
      <c r="W47" s="59">
        <v>670</v>
      </c>
      <c r="X47" s="59">
        <v>831338.85314930137</v>
      </c>
      <c r="Y47" s="59">
        <v>831338.85314930137</v>
      </c>
      <c r="Z47" s="59">
        <v>831338.85314930137</v>
      </c>
      <c r="AA47" s="59">
        <v>831338.85314930137</v>
      </c>
      <c r="AB47" s="59">
        <v>831338.85314930137</v>
      </c>
      <c r="AC47" s="59">
        <v>831338.85314930137</v>
      </c>
      <c r="AD47" s="59">
        <v>831338.85314930137</v>
      </c>
      <c r="AE47" s="59">
        <v>831338.85314930137</v>
      </c>
      <c r="AF47" s="59">
        <v>831338.85314930137</v>
      </c>
    </row>
    <row r="48" spans="1:32">
      <c r="B48" s="122"/>
      <c r="C48" s="122"/>
      <c r="D48" s="122"/>
      <c r="E48" s="122"/>
      <c r="F48" s="122"/>
      <c r="G48" s="122"/>
      <c r="H48" s="122"/>
      <c r="S48" s="54">
        <v>670</v>
      </c>
      <c r="T48" s="54">
        <v>999574.99043870345</v>
      </c>
      <c r="V48" s="138"/>
      <c r="W48" s="59">
        <v>680</v>
      </c>
      <c r="X48" s="59">
        <v>831338.85314930137</v>
      </c>
      <c r="Y48" s="59">
        <v>831338.85314930137</v>
      </c>
      <c r="Z48" s="59">
        <v>831338.85314930137</v>
      </c>
      <c r="AA48" s="59">
        <v>831338.85314930137</v>
      </c>
      <c r="AB48" s="59">
        <v>831338.85314930137</v>
      </c>
      <c r="AC48" s="59">
        <v>831338.85314930137</v>
      </c>
      <c r="AD48" s="59">
        <v>831338.85314930137</v>
      </c>
      <c r="AE48" s="59">
        <v>831338.85314930137</v>
      </c>
      <c r="AF48" s="59">
        <v>831338.85314930137</v>
      </c>
    </row>
    <row r="49" spans="2:34">
      <c r="B49" s="122"/>
      <c r="C49" s="122"/>
      <c r="D49" s="122"/>
      <c r="E49" s="122"/>
      <c r="F49" s="122"/>
      <c r="G49" s="122"/>
      <c r="H49" s="122"/>
      <c r="S49" s="54">
        <v>680</v>
      </c>
      <c r="T49" s="54">
        <v>994851.51295467373</v>
      </c>
      <c r="V49" s="138"/>
      <c r="W49" s="59">
        <v>690</v>
      </c>
      <c r="X49" s="59">
        <v>831338.85314930137</v>
      </c>
      <c r="Y49" s="59">
        <v>831338.85314930137</v>
      </c>
      <c r="Z49" s="59">
        <v>831338.85314930137</v>
      </c>
      <c r="AA49" s="59">
        <v>831338.85314930137</v>
      </c>
      <c r="AB49" s="59">
        <v>831338.85314930137</v>
      </c>
      <c r="AC49" s="59">
        <v>831338.85314930137</v>
      </c>
      <c r="AD49" s="59">
        <v>831338.85314930137</v>
      </c>
      <c r="AE49" s="59">
        <v>831338.85314930137</v>
      </c>
      <c r="AF49" s="59">
        <v>831338.85314930137</v>
      </c>
    </row>
    <row r="50" spans="2:34">
      <c r="B50" s="122"/>
      <c r="C50" s="122"/>
      <c r="D50" s="122"/>
      <c r="E50" s="122"/>
      <c r="F50" s="122"/>
      <c r="G50" s="122"/>
      <c r="H50" s="122"/>
      <c r="S50" s="54">
        <v>690</v>
      </c>
      <c r="T50" s="54">
        <v>990023.32329994719</v>
      </c>
      <c r="V50" s="138"/>
      <c r="W50" s="59">
        <v>700</v>
      </c>
      <c r="X50" s="59">
        <v>831338.85314930137</v>
      </c>
      <c r="Y50" s="59">
        <v>831338.85314930137</v>
      </c>
      <c r="Z50" s="59">
        <v>831338.85314930137</v>
      </c>
      <c r="AA50" s="59">
        <v>831338.85314930137</v>
      </c>
      <c r="AB50" s="59">
        <v>831338.85314930137</v>
      </c>
      <c r="AC50" s="59">
        <v>831338.85314930137</v>
      </c>
      <c r="AD50" s="59">
        <v>831338.85314930137</v>
      </c>
      <c r="AE50" s="59">
        <v>831338.85314930137</v>
      </c>
      <c r="AF50" s="59">
        <v>831338.85314930137</v>
      </c>
    </row>
    <row r="51" spans="2:34">
      <c r="B51" s="122"/>
      <c r="C51" s="122"/>
      <c r="D51" s="122"/>
      <c r="E51" s="122"/>
      <c r="F51" s="122"/>
      <c r="G51" s="122"/>
      <c r="H51" s="122"/>
      <c r="S51" s="54">
        <v>700</v>
      </c>
      <c r="T51" s="54">
        <v>985104.42081539321</v>
      </c>
      <c r="V51" s="138"/>
      <c r="W51" s="59">
        <v>710</v>
      </c>
      <c r="X51" s="59">
        <v>831338.85314930137</v>
      </c>
      <c r="Y51" s="59">
        <v>831338.85314930137</v>
      </c>
      <c r="Z51" s="59">
        <v>831338.85314930137</v>
      </c>
      <c r="AA51" s="59">
        <v>831338.85314930137</v>
      </c>
      <c r="AB51" s="59">
        <v>831338.85314930137</v>
      </c>
      <c r="AC51" s="59">
        <v>831338.85314930137</v>
      </c>
      <c r="AD51" s="59">
        <v>831338.85314930137</v>
      </c>
      <c r="AE51" s="59">
        <v>831338.85314930137</v>
      </c>
      <c r="AF51" s="59">
        <v>831338.85314930137</v>
      </c>
    </row>
    <row r="52" spans="2:34">
      <c r="B52" s="122"/>
      <c r="C52" s="122"/>
      <c r="D52" s="122"/>
      <c r="E52" s="122"/>
      <c r="F52" s="122"/>
      <c r="G52" s="122"/>
      <c r="H52" s="122"/>
      <c r="S52" s="54">
        <v>710</v>
      </c>
      <c r="T52" s="54">
        <v>980107.50995916908</v>
      </c>
      <c r="V52" s="138"/>
      <c r="W52" s="59">
        <v>720</v>
      </c>
      <c r="X52" s="59">
        <v>831338.85314930137</v>
      </c>
      <c r="Y52" s="59">
        <v>831338.85314930137</v>
      </c>
      <c r="Z52" s="59">
        <v>831338.85314930137</v>
      </c>
      <c r="AA52" s="59">
        <v>831338.85314930137</v>
      </c>
      <c r="AB52" s="59">
        <v>831338.85314930137</v>
      </c>
      <c r="AC52" s="59">
        <v>831338.85314930137</v>
      </c>
      <c r="AD52" s="59">
        <v>831338.85314930137</v>
      </c>
      <c r="AE52" s="59">
        <v>831338.85314930137</v>
      </c>
      <c r="AF52" s="59">
        <v>831338.85314930137</v>
      </c>
      <c r="AH52" s="59"/>
    </row>
    <row r="53" spans="2:34">
      <c r="B53" s="122"/>
      <c r="C53" s="122"/>
      <c r="D53" s="122"/>
      <c r="E53" s="122"/>
      <c r="F53" s="122"/>
      <c r="G53" s="122"/>
      <c r="H53" s="122"/>
      <c r="S53" s="54">
        <v>720</v>
      </c>
      <c r="T53" s="54">
        <v>975044.1238656675</v>
      </c>
      <c r="V53" s="138"/>
      <c r="W53" s="59">
        <v>730</v>
      </c>
      <c r="X53" s="59">
        <v>831338.85314930137</v>
      </c>
      <c r="Y53" s="59">
        <v>831338.85314930137</v>
      </c>
      <c r="Z53" s="59">
        <v>831338.85314930137</v>
      </c>
      <c r="AA53" s="59">
        <v>831338.85314930137</v>
      </c>
      <c r="AB53" s="59">
        <v>831338.85314930137</v>
      </c>
      <c r="AC53" s="59">
        <v>831338.85314930137</v>
      </c>
      <c r="AD53" s="59">
        <v>831338.85314930137</v>
      </c>
      <c r="AE53" s="59">
        <v>831338.85314930137</v>
      </c>
      <c r="AF53" s="59">
        <v>831338.85314930137</v>
      </c>
    </row>
    <row r="54" spans="2:34">
      <c r="B54" s="122"/>
      <c r="C54" s="122"/>
      <c r="D54" s="122"/>
      <c r="E54" s="122"/>
      <c r="F54" s="122"/>
      <c r="G54" s="122"/>
      <c r="H54" s="122"/>
      <c r="S54" s="54">
        <v>730</v>
      </c>
      <c r="T54" s="54">
        <v>969924.73508398188</v>
      </c>
      <c r="V54" s="138"/>
      <c r="W54" s="59">
        <v>740</v>
      </c>
      <c r="X54" s="59">
        <v>831338.85314930137</v>
      </c>
      <c r="Y54" s="59">
        <v>831338.85314930137</v>
      </c>
      <c r="Z54" s="59">
        <v>831338.85314930137</v>
      </c>
      <c r="AA54" s="59">
        <v>831338.85314930137</v>
      </c>
      <c r="AB54" s="59">
        <v>831338.85314930137</v>
      </c>
      <c r="AC54" s="59">
        <v>831338.85314930137</v>
      </c>
      <c r="AD54" s="59">
        <v>831338.85314930137</v>
      </c>
      <c r="AE54" s="59">
        <v>831338.85314930137</v>
      </c>
      <c r="AF54" s="59">
        <v>831338.85314930137</v>
      </c>
    </row>
    <row r="55" spans="2:34">
      <c r="B55" s="122"/>
      <c r="C55" s="122"/>
      <c r="D55" s="122"/>
      <c r="E55" s="122"/>
      <c r="F55" s="122"/>
      <c r="G55" s="122"/>
      <c r="H55" s="122"/>
      <c r="S55" s="54">
        <v>740</v>
      </c>
      <c r="T55" s="54">
        <v>964758.8549528002</v>
      </c>
      <c r="V55" s="138"/>
      <c r="W55" s="59">
        <v>750</v>
      </c>
      <c r="X55" s="59">
        <v>831338.85314930137</v>
      </c>
      <c r="Y55" s="59">
        <v>831338.85314930137</v>
      </c>
      <c r="Z55" s="59">
        <v>831338.85314930137</v>
      </c>
      <c r="AA55" s="59">
        <v>831338.85314930137</v>
      </c>
      <c r="AB55" s="59">
        <v>831338.85314930137</v>
      </c>
      <c r="AC55" s="59">
        <v>831338.85314930137</v>
      </c>
      <c r="AD55" s="59">
        <v>831338.85314930137</v>
      </c>
      <c r="AE55" s="59">
        <v>831338.85314930137</v>
      </c>
      <c r="AF55" s="59">
        <v>831338.85314930137</v>
      </c>
    </row>
    <row r="56" spans="2:34">
      <c r="B56" s="122"/>
      <c r="C56" s="122"/>
      <c r="D56" s="122"/>
      <c r="E56" s="122"/>
      <c r="F56" s="122"/>
      <c r="G56" s="122"/>
      <c r="H56" s="122"/>
      <c r="S56" s="54">
        <v>750</v>
      </c>
      <c r="T56" s="54">
        <v>959555.12288789009</v>
      </c>
      <c r="V56" s="138"/>
      <c r="W56" s="59">
        <v>760</v>
      </c>
      <c r="X56" s="59">
        <v>831338.85314930137</v>
      </c>
      <c r="Y56" s="59">
        <v>831338.85314930137</v>
      </c>
      <c r="Z56" s="59">
        <v>831338.85314930137</v>
      </c>
      <c r="AA56" s="59">
        <v>831338.85314930137</v>
      </c>
      <c r="AB56" s="59">
        <v>831338.85314930137</v>
      </c>
      <c r="AC56" s="59">
        <v>831338.85314930137</v>
      </c>
      <c r="AD56" s="59">
        <v>831338.85314930137</v>
      </c>
      <c r="AE56" s="59">
        <v>831338.85314930137</v>
      </c>
      <c r="AF56" s="59">
        <v>831338.85314930137</v>
      </c>
    </row>
    <row r="57" spans="2:34">
      <c r="B57" s="122"/>
      <c r="C57" s="122"/>
      <c r="D57" s="122"/>
      <c r="E57" s="122"/>
      <c r="F57" s="122"/>
      <c r="G57" s="122"/>
      <c r="H57" s="122"/>
      <c r="S57" s="54">
        <v>760</v>
      </c>
      <c r="T57" s="54">
        <v>954321.38670201262</v>
      </c>
      <c r="V57" s="138"/>
      <c r="W57" s="59">
        <v>770</v>
      </c>
      <c r="X57" s="59">
        <v>831338.85314930137</v>
      </c>
      <c r="Y57" s="59">
        <v>831338.85314930137</v>
      </c>
      <c r="Z57" s="59">
        <v>831338.85314930137</v>
      </c>
      <c r="AA57" s="59">
        <v>831338.85314930137</v>
      </c>
      <c r="AB57" s="59">
        <v>831338.85314930137</v>
      </c>
      <c r="AC57" s="59">
        <v>831338.85314930137</v>
      </c>
      <c r="AD57" s="59">
        <v>831338.85314930137</v>
      </c>
      <c r="AE57" s="59">
        <v>831338.85314930137</v>
      </c>
      <c r="AF57" s="59">
        <v>831338.85314930137</v>
      </c>
    </row>
    <row r="58" spans="2:34">
      <c r="B58" s="122"/>
      <c r="C58" s="122"/>
      <c r="D58" s="122"/>
      <c r="E58" s="122"/>
      <c r="F58" s="122"/>
      <c r="G58" s="122"/>
      <c r="H58" s="122"/>
      <c r="S58" s="54">
        <v>770</v>
      </c>
      <c r="T58" s="54">
        <v>949064.7749414182</v>
      </c>
      <c r="V58" s="138"/>
      <c r="W58" s="59">
        <v>780</v>
      </c>
      <c r="X58" s="59">
        <v>831338.85314930137</v>
      </c>
      <c r="Y58" s="59">
        <v>831338.85314930137</v>
      </c>
      <c r="Z58" s="59">
        <v>831338.85314930137</v>
      </c>
      <c r="AA58" s="59">
        <v>831338.85314930137</v>
      </c>
      <c r="AB58" s="59">
        <v>831338.85314930137</v>
      </c>
      <c r="AC58" s="59">
        <v>831338.85314930137</v>
      </c>
      <c r="AD58" s="59">
        <v>831338.85314930137</v>
      </c>
      <c r="AE58" s="59">
        <v>831338.85314930137</v>
      </c>
      <c r="AF58" s="59">
        <v>831338.85314930137</v>
      </c>
    </row>
    <row r="59" spans="2:34">
      <c r="B59" s="122"/>
      <c r="C59" s="122"/>
      <c r="D59" s="122"/>
      <c r="E59" s="122"/>
      <c r="F59" s="122"/>
      <c r="G59" s="122"/>
      <c r="H59" s="122"/>
      <c r="S59" s="54">
        <v>780</v>
      </c>
      <c r="T59" s="54">
        <v>943791.76210536808</v>
      </c>
      <c r="V59" s="138"/>
      <c r="W59" s="59">
        <v>790</v>
      </c>
      <c r="X59" s="59">
        <v>831338.85314930137</v>
      </c>
      <c r="Y59" s="59">
        <v>831338.85314930137</v>
      </c>
      <c r="Z59" s="59">
        <v>831338.85314930137</v>
      </c>
      <c r="AA59" s="59">
        <v>831338.85314930137</v>
      </c>
      <c r="AB59" s="59">
        <v>831338.85314930137</v>
      </c>
      <c r="AC59" s="59">
        <v>831338.85314930137</v>
      </c>
      <c r="AD59" s="59">
        <v>831338.85314930137</v>
      </c>
      <c r="AE59" s="59">
        <v>831338.85314930137</v>
      </c>
      <c r="AF59" s="59">
        <v>831338.85314930137</v>
      </c>
    </row>
    <row r="60" spans="2:34">
      <c r="B60" s="122"/>
      <c r="C60" s="122"/>
      <c r="D60" s="122"/>
      <c r="E60" s="122"/>
      <c r="F60" s="122"/>
      <c r="G60" s="122"/>
      <c r="H60" s="122"/>
      <c r="S60" s="54">
        <v>790</v>
      </c>
      <c r="T60" s="54">
        <v>938508.22751260083</v>
      </c>
      <c r="V60" s="138"/>
      <c r="W60" s="59">
        <v>800</v>
      </c>
      <c r="X60" s="59">
        <v>831338.85314930137</v>
      </c>
      <c r="Y60" s="59">
        <v>831338.85314930137</v>
      </c>
      <c r="Z60" s="59">
        <v>831338.85314930137</v>
      </c>
      <c r="AA60" s="59">
        <v>831338.85314930137</v>
      </c>
      <c r="AB60" s="59">
        <v>831338.85314930137</v>
      </c>
      <c r="AC60" s="59">
        <v>831338.85314930137</v>
      </c>
      <c r="AD60" s="59">
        <v>831338.85314930137</v>
      </c>
      <c r="AE60" s="59">
        <v>831338.85314930137</v>
      </c>
      <c r="AF60" s="59">
        <v>831338.85314930137</v>
      </c>
    </row>
    <row r="61" spans="2:34">
      <c r="B61" s="122"/>
      <c r="C61" s="122"/>
      <c r="D61" s="122"/>
      <c r="E61" s="122"/>
      <c r="F61" s="122"/>
      <c r="G61" s="122"/>
      <c r="H61" s="122"/>
      <c r="S61" s="54">
        <v>800</v>
      </c>
      <c r="T61" s="54">
        <v>933219.50848926988</v>
      </c>
    </row>
    <row r="62" spans="2:34">
      <c r="B62" s="122"/>
      <c r="C62" s="122"/>
      <c r="D62" s="122"/>
      <c r="E62" s="122"/>
      <c r="F62" s="122"/>
      <c r="G62" s="122"/>
      <c r="H62" s="122"/>
      <c r="S62" s="54">
        <v>900</v>
      </c>
      <c r="T62" s="59">
        <v>880917.95766693447</v>
      </c>
    </row>
    <row r="63" spans="2:34">
      <c r="S63" s="54">
        <v>1000</v>
      </c>
      <c r="T63" s="59">
        <v>831338.85314930137</v>
      </c>
    </row>
    <row r="64" spans="2:34">
      <c r="S64" s="54">
        <v>1500</v>
      </c>
      <c r="T64" s="59">
        <v>639211.68487958203</v>
      </c>
    </row>
    <row r="65" spans="2:2">
      <c r="B65" t="s">
        <v>114</v>
      </c>
    </row>
  </sheetData>
  <mergeCells count="20">
    <mergeCell ref="B47:H62"/>
    <mergeCell ref="B45:H45"/>
    <mergeCell ref="A1:AR1"/>
    <mergeCell ref="V6:V60"/>
    <mergeCell ref="X4:AF4"/>
    <mergeCell ref="M3:Q3"/>
    <mergeCell ref="O4:Q4"/>
    <mergeCell ref="O5:Q5"/>
    <mergeCell ref="O6:Q6"/>
    <mergeCell ref="O7:Q7"/>
    <mergeCell ref="O8:Q8"/>
    <mergeCell ref="O9:Q9"/>
    <mergeCell ref="O10:Q10"/>
    <mergeCell ref="A26:E26"/>
    <mergeCell ref="F26:H26"/>
    <mergeCell ref="I41:J41"/>
    <mergeCell ref="A20:H20"/>
    <mergeCell ref="O11:Q11"/>
    <mergeCell ref="O12:Q12"/>
    <mergeCell ref="O13:Q13"/>
  </mergeCells>
  <conditionalFormatting sqref="T6:T61">
    <cfRule type="top10" dxfId="11" priority="12" rank="1"/>
  </conditionalFormatting>
  <conditionalFormatting sqref="X6:X60">
    <cfRule type="top10" dxfId="10" priority="11" rank="1"/>
  </conditionalFormatting>
  <conditionalFormatting sqref="Y6:Y60">
    <cfRule type="top10" dxfId="9" priority="10" rank="1"/>
  </conditionalFormatting>
  <conditionalFormatting sqref="Z6:Z60">
    <cfRule type="top10" dxfId="8" priority="9" rank="1"/>
  </conditionalFormatting>
  <conditionalFormatting sqref="AA6:AF60">
    <cfRule type="top10" dxfId="7" priority="8" rank="1"/>
  </conditionalFormatting>
  <conditionalFormatting sqref="AB6:AB60">
    <cfRule type="top10" dxfId="6" priority="7" rank="1"/>
  </conditionalFormatting>
  <conditionalFormatting sqref="AC6:AC60">
    <cfRule type="top10" dxfId="5" priority="6" rank="1"/>
  </conditionalFormatting>
  <conditionalFormatting sqref="AD6:AD60">
    <cfRule type="top10" dxfId="4" priority="5" rank="1"/>
  </conditionalFormatting>
  <conditionalFormatting sqref="AE6:AE60">
    <cfRule type="top10" dxfId="3" priority="4" rank="1"/>
  </conditionalFormatting>
  <conditionalFormatting sqref="AF60">
    <cfRule type="top10" dxfId="2" priority="3" rank="1"/>
  </conditionalFormatting>
  <conditionalFormatting sqref="AH52">
    <cfRule type="top10" dxfId="1" priority="1" rank="1"/>
    <cfRule type="top10" dxfId="0" priority="2" rank="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D7C40-C5FF-4574-8712-59878876B0AB}">
  <dimension ref="A1:F45"/>
  <sheetViews>
    <sheetView workbookViewId="0">
      <selection activeCell="F51" sqref="F51"/>
    </sheetView>
  </sheetViews>
  <sheetFormatPr defaultRowHeight="14.4"/>
  <cols>
    <col min="1" max="1" width="40.109375" customWidth="1"/>
    <col min="3" max="3" width="19.5546875" customWidth="1"/>
    <col min="4" max="4" width="15" customWidth="1"/>
    <col min="5" max="5" width="19.6640625" customWidth="1"/>
    <col min="6" max="6" width="42.109375" customWidth="1"/>
  </cols>
  <sheetData>
    <row r="1" spans="1:6" ht="20.399999999999999" thickBot="1">
      <c r="A1" s="116" t="s">
        <v>115</v>
      </c>
      <c r="B1" s="116"/>
      <c r="C1" s="116"/>
      <c r="D1" s="116"/>
      <c r="E1" s="116"/>
      <c r="F1" s="116"/>
    </row>
    <row r="2" spans="1:6" ht="15" thickTop="1"/>
    <row r="3" spans="1:6">
      <c r="A3" s="5" t="s">
        <v>58</v>
      </c>
    </row>
    <row r="4" spans="1:6" ht="33.6" customHeight="1">
      <c r="A4" s="60" t="s">
        <v>119</v>
      </c>
      <c r="B4" s="61">
        <v>9.3000000000000007</v>
      </c>
    </row>
    <row r="5" spans="1:6">
      <c r="A5" t="s">
        <v>125</v>
      </c>
      <c r="B5" s="12">
        <v>8</v>
      </c>
    </row>
    <row r="6" spans="1:6">
      <c r="A6" t="s">
        <v>116</v>
      </c>
      <c r="B6">
        <v>20</v>
      </c>
    </row>
    <row r="7" spans="1:6">
      <c r="A7" t="s">
        <v>124</v>
      </c>
      <c r="B7" s="61">
        <v>1.2</v>
      </c>
      <c r="D7" s="139" t="s">
        <v>121</v>
      </c>
      <c r="E7" s="139"/>
    </row>
    <row r="8" spans="1:6">
      <c r="A8" t="s">
        <v>117</v>
      </c>
      <c r="B8" s="13">
        <v>0.1</v>
      </c>
      <c r="D8" s="64" t="s">
        <v>122</v>
      </c>
      <c r="E8" s="64" t="s">
        <v>123</v>
      </c>
    </row>
    <row r="9" spans="1:6">
      <c r="A9" t="s">
        <v>118</v>
      </c>
      <c r="B9" s="13">
        <v>0.05</v>
      </c>
      <c r="D9" s="35">
        <v>1</v>
      </c>
      <c r="E9" s="36">
        <f>B7</f>
        <v>1.2</v>
      </c>
      <c r="F9" s="63" t="str">
        <f ca="1">_xlfn.FORMULATEXT(E9)</f>
        <v>=B7</v>
      </c>
    </row>
    <row r="10" spans="1:6">
      <c r="A10" t="s">
        <v>120</v>
      </c>
      <c r="B10" s="62">
        <v>0.12</v>
      </c>
      <c r="D10" s="35">
        <v>2</v>
      </c>
      <c r="E10" s="36">
        <f>IF(D10&lt;=$B$5,E9*(1+$B$8),E9-E9*$B$9)</f>
        <v>1.32</v>
      </c>
      <c r="F10" s="63" t="str">
        <f t="shared" ref="F10:F28" ca="1" si="0">_xlfn.FORMULATEXT(E10)</f>
        <v>=IF(D10&lt;=$B$5,E9*(1+$B$8),E9-E9*$B$9)</v>
      </c>
    </row>
    <row r="11" spans="1:6">
      <c r="D11" s="35">
        <v>3</v>
      </c>
      <c r="E11" s="36">
        <f t="shared" ref="E11:E28" si="1">IF(D11&lt;=$B$5,E10*(1+$B$8),E10-E10*$B$9)</f>
        <v>1.4520000000000002</v>
      </c>
      <c r="F11" s="63" t="str">
        <f t="shared" ca="1" si="0"/>
        <v>=IF(D11&lt;=$B$5,E10*(1+$B$8),E10-E10*$B$9)</v>
      </c>
    </row>
    <row r="12" spans="1:6">
      <c r="A12" s="5" t="s">
        <v>126</v>
      </c>
      <c r="B12" s="65">
        <f>NPV(B10,E9:E28)</f>
        <v>12.600290735832388</v>
      </c>
      <c r="C12" s="63" t="str">
        <f ca="1">_xlfn.FORMULATEXT(B12)</f>
        <v>=NPV(B10,E9:E28)</v>
      </c>
      <c r="D12" s="35">
        <v>4</v>
      </c>
      <c r="E12" s="36">
        <f t="shared" si="1"/>
        <v>1.5972000000000004</v>
      </c>
      <c r="F12" s="63" t="str">
        <f t="shared" ca="1" si="0"/>
        <v>=IF(D12&lt;=$B$5,E11*(1+$B$8),E11-E11*$B$9)</v>
      </c>
    </row>
    <row r="13" spans="1:6">
      <c r="A13" s="5" t="s">
        <v>127</v>
      </c>
      <c r="B13" s="65">
        <f>B12-B4</f>
        <v>3.3002907358323874</v>
      </c>
      <c r="C13" s="63" t="str">
        <f ca="1">_xlfn.FORMULATEXT(B13)</f>
        <v>=B12-B4</v>
      </c>
      <c r="D13" s="35">
        <v>5</v>
      </c>
      <c r="E13" s="36">
        <f t="shared" si="1"/>
        <v>1.7569200000000005</v>
      </c>
      <c r="F13" s="63" t="str">
        <f t="shared" ca="1" si="0"/>
        <v>=IF(D13&lt;=$B$5,E12*(1+$B$8),E12-E12*$B$9)</v>
      </c>
    </row>
    <row r="14" spans="1:6">
      <c r="D14" s="35">
        <v>6</v>
      </c>
      <c r="E14" s="36">
        <f t="shared" si="1"/>
        <v>1.9326120000000007</v>
      </c>
      <c r="F14" s="63" t="str">
        <f t="shared" ca="1" si="0"/>
        <v>=IF(D14&lt;=$B$5,E13*(1+$B$8),E13-E13*$B$9)</v>
      </c>
    </row>
    <row r="15" spans="1:6">
      <c r="D15" s="35">
        <v>7</v>
      </c>
      <c r="E15" s="36">
        <f t="shared" si="1"/>
        <v>2.1258732000000009</v>
      </c>
      <c r="F15" s="63" t="str">
        <f t="shared" ca="1" si="0"/>
        <v>=IF(D15&lt;=$B$5,E14*(1+$B$8),E14-E14*$B$9)</v>
      </c>
    </row>
    <row r="16" spans="1:6">
      <c r="A16" s="120" t="s">
        <v>112</v>
      </c>
      <c r="B16" s="120"/>
      <c r="D16" s="35">
        <v>8</v>
      </c>
      <c r="E16" s="36">
        <f t="shared" si="1"/>
        <v>2.3384605200000013</v>
      </c>
      <c r="F16" s="63" t="str">
        <f t="shared" ca="1" si="0"/>
        <v>=IF(D16&lt;=$B$5,E15*(1+$B$8),E15-E15*$B$9)</v>
      </c>
    </row>
    <row r="17" spans="1:6">
      <c r="D17" s="35">
        <v>9</v>
      </c>
      <c r="E17" s="36">
        <f t="shared" si="1"/>
        <v>2.221537494000001</v>
      </c>
      <c r="F17" s="63" t="str">
        <f t="shared" ca="1" si="0"/>
        <v>=IF(D17&lt;=$B$5,E16*(1+$B$8),E16-E16*$B$9)</v>
      </c>
    </row>
    <row r="18" spans="1:6" ht="14.4" customHeight="1">
      <c r="A18" s="142" t="s">
        <v>157</v>
      </c>
      <c r="B18" s="142"/>
      <c r="D18" s="35">
        <v>10</v>
      </c>
      <c r="E18" s="36">
        <f t="shared" si="1"/>
        <v>2.1104606193000008</v>
      </c>
      <c r="F18" s="63" t="str">
        <f t="shared" ca="1" si="0"/>
        <v>=IF(D18&lt;=$B$5,E17*(1+$B$8),E17-E17*$B$9)</v>
      </c>
    </row>
    <row r="19" spans="1:6">
      <c r="A19" s="142"/>
      <c r="B19" s="142"/>
      <c r="D19" s="35">
        <v>11</v>
      </c>
      <c r="E19" s="36">
        <f t="shared" si="1"/>
        <v>2.0049375883350007</v>
      </c>
      <c r="F19" s="63" t="str">
        <f t="shared" ca="1" si="0"/>
        <v>=IF(D19&lt;=$B$5,E18*(1+$B$8),E18-E18*$B$9)</v>
      </c>
    </row>
    <row r="20" spans="1:6">
      <c r="A20" s="142"/>
      <c r="B20" s="142"/>
      <c r="D20" s="35">
        <v>12</v>
      </c>
      <c r="E20" s="36">
        <f t="shared" si="1"/>
        <v>1.9046907089182508</v>
      </c>
      <c r="F20" s="63" t="str">
        <f t="shared" ca="1" si="0"/>
        <v>=IF(D20&lt;=$B$5,E19*(1+$B$8),E19-E19*$B$9)</v>
      </c>
    </row>
    <row r="21" spans="1:6">
      <c r="A21" s="142"/>
      <c r="B21" s="142"/>
      <c r="D21" s="35">
        <v>13</v>
      </c>
      <c r="E21" s="36">
        <f t="shared" si="1"/>
        <v>1.8094561734723382</v>
      </c>
      <c r="F21" s="63" t="str">
        <f t="shared" ca="1" si="0"/>
        <v>=IF(D21&lt;=$B$5,E20*(1+$B$8),E20-E20*$B$9)</v>
      </c>
    </row>
    <row r="22" spans="1:6">
      <c r="A22" s="142"/>
      <c r="B22" s="142"/>
      <c r="D22" s="35">
        <v>14</v>
      </c>
      <c r="E22" s="36">
        <f t="shared" si="1"/>
        <v>1.7189833647987214</v>
      </c>
      <c r="F22" s="63" t="str">
        <f t="shared" ca="1" si="0"/>
        <v>=IF(D22&lt;=$B$5,E21*(1+$B$8),E21-E21*$B$9)</v>
      </c>
    </row>
    <row r="23" spans="1:6">
      <c r="A23" s="142"/>
      <c r="B23" s="142"/>
      <c r="D23" s="35">
        <v>15</v>
      </c>
      <c r="E23" s="36">
        <f t="shared" si="1"/>
        <v>1.6330341965587853</v>
      </c>
      <c r="F23" s="63" t="str">
        <f t="shared" ca="1" si="0"/>
        <v>=IF(D23&lt;=$B$5,E22*(1+$B$8),E22-E22*$B$9)</v>
      </c>
    </row>
    <row r="24" spans="1:6">
      <c r="A24" s="142"/>
      <c r="B24" s="142"/>
      <c r="D24" s="35">
        <v>16</v>
      </c>
      <c r="E24" s="36">
        <f t="shared" si="1"/>
        <v>1.5513824867308461</v>
      </c>
      <c r="F24" s="63" t="str">
        <f t="shared" ca="1" si="0"/>
        <v>=IF(D24&lt;=$B$5,E23*(1+$B$8),E23-E23*$B$9)</v>
      </c>
    </row>
    <row r="25" spans="1:6">
      <c r="A25" s="142"/>
      <c r="B25" s="142"/>
      <c r="D25" s="35">
        <v>17</v>
      </c>
      <c r="E25" s="36">
        <f t="shared" si="1"/>
        <v>1.4738133623943037</v>
      </c>
      <c r="F25" s="63" t="str">
        <f t="shared" ca="1" si="0"/>
        <v>=IF(D25&lt;=$B$5,E24*(1+$B$8),E24-E24*$B$9)</v>
      </c>
    </row>
    <row r="26" spans="1:6">
      <c r="A26" s="142"/>
      <c r="B26" s="142"/>
      <c r="D26" s="35">
        <v>18</v>
      </c>
      <c r="E26" s="36">
        <f t="shared" si="1"/>
        <v>1.4001226942745886</v>
      </c>
      <c r="F26" s="63" t="str">
        <f t="shared" ca="1" si="0"/>
        <v>=IF(D26&lt;=$B$5,E25*(1+$B$8),E25-E25*$B$9)</v>
      </c>
    </row>
    <row r="27" spans="1:6">
      <c r="A27" s="142"/>
      <c r="B27" s="142"/>
      <c r="D27" s="35">
        <v>19</v>
      </c>
      <c r="E27" s="36">
        <f t="shared" si="1"/>
        <v>1.3301165595608591</v>
      </c>
      <c r="F27" s="63" t="str">
        <f t="shared" ca="1" si="0"/>
        <v>=IF(D27&lt;=$B$5,E26*(1+$B$8),E26-E26*$B$9)</v>
      </c>
    </row>
    <row r="28" spans="1:6">
      <c r="A28" s="142"/>
      <c r="B28" s="142"/>
      <c r="D28" s="35">
        <v>20</v>
      </c>
      <c r="E28" s="36">
        <f t="shared" si="1"/>
        <v>1.263610731582816</v>
      </c>
      <c r="F28" s="63" t="str">
        <f t="shared" ca="1" si="0"/>
        <v>=IF(D28&lt;=$B$5,E27*(1+$B$8),E27-E27*$B$9)</v>
      </c>
    </row>
    <row r="29" spans="1:6">
      <c r="A29" s="142"/>
      <c r="B29" s="142"/>
    </row>
    <row r="30" spans="1:6">
      <c r="A30" s="142"/>
      <c r="B30" s="142"/>
    </row>
    <row r="31" spans="1:6">
      <c r="A31" s="142"/>
      <c r="B31" s="142"/>
    </row>
    <row r="32" spans="1:6">
      <c r="A32" s="142"/>
      <c r="B32" s="142"/>
    </row>
    <row r="33" spans="1:2">
      <c r="A33" s="142"/>
      <c r="B33" s="142"/>
    </row>
    <row r="34" spans="1:2">
      <c r="A34" s="142"/>
      <c r="B34" s="142"/>
    </row>
    <row r="35" spans="1:2">
      <c r="A35" s="142"/>
      <c r="B35" s="142"/>
    </row>
    <row r="36" spans="1:2">
      <c r="A36" s="142"/>
      <c r="B36" s="142"/>
    </row>
    <row r="37" spans="1:2">
      <c r="A37" s="142"/>
      <c r="B37" s="142"/>
    </row>
    <row r="38" spans="1:2">
      <c r="A38" s="142"/>
      <c r="B38" s="142"/>
    </row>
    <row r="39" spans="1:2">
      <c r="A39" s="142"/>
      <c r="B39" s="142"/>
    </row>
    <row r="40" spans="1:2">
      <c r="A40" s="142"/>
      <c r="B40" s="142"/>
    </row>
    <row r="41" spans="1:2">
      <c r="A41" s="142"/>
      <c r="B41" s="142"/>
    </row>
    <row r="42" spans="1:2">
      <c r="A42" s="142"/>
      <c r="B42" s="142"/>
    </row>
    <row r="43" spans="1:2">
      <c r="A43" s="142"/>
      <c r="B43" s="142"/>
    </row>
    <row r="44" spans="1:2">
      <c r="A44" s="142"/>
      <c r="B44" s="142"/>
    </row>
    <row r="45" spans="1:2">
      <c r="A45" s="142"/>
      <c r="B45" s="142"/>
    </row>
  </sheetData>
  <mergeCells count="4">
    <mergeCell ref="D7:E7"/>
    <mergeCell ref="A1:F1"/>
    <mergeCell ref="A18:B45"/>
    <mergeCell ref="A16:B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532F-1AF8-4666-83A3-3E3CCCD26B62}">
  <dimension ref="A1:XFD1048575"/>
  <sheetViews>
    <sheetView workbookViewId="0">
      <selection activeCell="H19" sqref="H19"/>
    </sheetView>
  </sheetViews>
  <sheetFormatPr defaultRowHeight="14.4"/>
  <cols>
    <col min="1" max="1" width="22" customWidth="1"/>
    <col min="2" max="2" width="12.88671875" customWidth="1"/>
    <col min="3" max="3" width="13.109375" customWidth="1"/>
    <col min="4" max="4" width="12.21875" customWidth="1"/>
    <col min="6" max="6" width="10.109375" bestFit="1" customWidth="1"/>
    <col min="7" max="7" width="35.44140625" customWidth="1"/>
  </cols>
  <sheetData>
    <row r="1" spans="1:14" ht="20.399999999999999" thickBot="1">
      <c r="A1" s="116" t="s">
        <v>128</v>
      </c>
      <c r="B1" s="116"/>
      <c r="C1" s="116"/>
      <c r="D1" s="116"/>
      <c r="E1" s="116"/>
      <c r="F1" s="116"/>
      <c r="G1" s="116"/>
      <c r="I1" s="144" t="s">
        <v>112</v>
      </c>
      <c r="J1" s="145"/>
      <c r="K1" s="145"/>
      <c r="L1" s="145"/>
      <c r="M1" s="145"/>
      <c r="N1" s="146"/>
    </row>
    <row r="2" spans="1:14" ht="15" thickTop="1"/>
    <row r="3" spans="1:14">
      <c r="A3" s="5" t="s">
        <v>58</v>
      </c>
    </row>
    <row r="4" spans="1:14">
      <c r="A4" t="s">
        <v>129</v>
      </c>
      <c r="B4" s="26">
        <v>40000</v>
      </c>
      <c r="I4" s="142" t="s">
        <v>156</v>
      </c>
      <c r="J4" s="143"/>
      <c r="K4" s="143"/>
      <c r="L4" s="143"/>
      <c r="M4" s="143"/>
      <c r="N4" s="143"/>
    </row>
    <row r="5" spans="1:14">
      <c r="A5" t="s">
        <v>135</v>
      </c>
      <c r="I5" s="143"/>
      <c r="J5" s="143"/>
      <c r="K5" s="143"/>
      <c r="L5" s="143"/>
      <c r="M5" s="143"/>
      <c r="N5" s="143"/>
    </row>
    <row r="6" spans="1:14">
      <c r="A6" s="37"/>
      <c r="B6" s="50" t="s">
        <v>132</v>
      </c>
      <c r="C6" s="50" t="s">
        <v>133</v>
      </c>
      <c r="I6" s="143"/>
      <c r="J6" s="143"/>
      <c r="K6" s="143"/>
      <c r="L6" s="143"/>
      <c r="M6" s="143"/>
      <c r="N6" s="143"/>
    </row>
    <row r="7" spans="1:14">
      <c r="A7" s="37" t="s">
        <v>130</v>
      </c>
      <c r="B7" s="53">
        <v>200</v>
      </c>
      <c r="C7" s="53">
        <v>500</v>
      </c>
      <c r="I7" s="143"/>
      <c r="J7" s="143"/>
      <c r="K7" s="143"/>
      <c r="L7" s="143"/>
      <c r="M7" s="143"/>
      <c r="N7" s="143"/>
    </row>
    <row r="8" spans="1:14">
      <c r="A8" s="37" t="s">
        <v>131</v>
      </c>
      <c r="B8" s="37">
        <v>3000</v>
      </c>
      <c r="C8" s="37">
        <v>7000</v>
      </c>
      <c r="I8" s="143"/>
      <c r="J8" s="143"/>
      <c r="K8" s="143"/>
      <c r="L8" s="143"/>
      <c r="M8" s="143"/>
      <c r="N8" s="143"/>
    </row>
    <row r="9" spans="1:14">
      <c r="A9" s="37" t="s">
        <v>136</v>
      </c>
      <c r="B9" s="66">
        <v>175</v>
      </c>
      <c r="C9" s="66">
        <v>10</v>
      </c>
      <c r="D9" s="63" t="s">
        <v>134</v>
      </c>
      <c r="I9" s="143"/>
      <c r="J9" s="143"/>
      <c r="K9" s="143"/>
      <c r="L9" s="143"/>
      <c r="M9" s="143"/>
      <c r="N9" s="143"/>
    </row>
    <row r="10" spans="1:14">
      <c r="I10" s="143"/>
      <c r="J10" s="143"/>
      <c r="K10" s="143"/>
      <c r="L10" s="143"/>
      <c r="M10" s="143"/>
      <c r="N10" s="143"/>
    </row>
    <row r="11" spans="1:14">
      <c r="A11" s="5" t="s">
        <v>141</v>
      </c>
      <c r="B11" s="70">
        <f>SUMPRODUCT(B9:C9,B8:C8)</f>
        <v>595000</v>
      </c>
      <c r="I11" s="143"/>
      <c r="J11" s="143"/>
      <c r="K11" s="143"/>
      <c r="L11" s="143"/>
      <c r="M11" s="143"/>
      <c r="N11" s="143"/>
    </row>
    <row r="12" spans="1:14">
      <c r="I12" s="143"/>
      <c r="J12" s="143"/>
      <c r="K12" s="143"/>
      <c r="L12" s="143"/>
      <c r="M12" s="143"/>
      <c r="N12" s="143"/>
    </row>
    <row r="13" spans="1:14">
      <c r="A13" s="64" t="s">
        <v>137</v>
      </c>
      <c r="B13" s="64" t="s">
        <v>149</v>
      </c>
      <c r="C13" s="64" t="s">
        <v>150</v>
      </c>
      <c r="D13" s="64" t="s">
        <v>138</v>
      </c>
      <c r="E13" s="64" t="s">
        <v>139</v>
      </c>
      <c r="F13" s="64" t="s">
        <v>140</v>
      </c>
      <c r="G13" s="71" t="s">
        <v>147</v>
      </c>
      <c r="I13" s="143"/>
      <c r="J13" s="143"/>
      <c r="K13" s="143"/>
      <c r="L13" s="143"/>
      <c r="M13" s="143"/>
      <c r="N13" s="143"/>
    </row>
    <row r="14" spans="1:14">
      <c r="A14" s="35" t="s">
        <v>143</v>
      </c>
      <c r="B14" s="68">
        <v>200</v>
      </c>
      <c r="C14" s="68">
        <v>500</v>
      </c>
      <c r="D14" s="68">
        <f>SUMPRODUCT(B14:C14,$B$9:$C$9)</f>
        <v>40000</v>
      </c>
      <c r="E14" s="35" t="s">
        <v>142</v>
      </c>
      <c r="F14" s="69">
        <v>40000</v>
      </c>
      <c r="G14" s="67" t="str">
        <f ca="1">_xlfn.FORMULATEXT(D14)</f>
        <v>=SUMPRODUCT(B14:C14,$B$9:$C$9)</v>
      </c>
      <c r="I14" s="143"/>
      <c r="J14" s="143"/>
      <c r="K14" s="143"/>
      <c r="L14" s="143"/>
      <c r="M14" s="143"/>
      <c r="N14" s="143"/>
    </row>
    <row r="15" spans="1:14">
      <c r="A15" s="35" t="s">
        <v>145</v>
      </c>
      <c r="B15" s="35">
        <v>1</v>
      </c>
      <c r="C15" s="35"/>
      <c r="D15" s="35">
        <f t="shared" ref="D15:D17" si="0">SUMPRODUCT(B15:C15,$B$9:$C$9)</f>
        <v>175</v>
      </c>
      <c r="E15" s="35" t="s">
        <v>146</v>
      </c>
      <c r="F15" s="35">
        <v>10</v>
      </c>
      <c r="G15" s="67" t="str">
        <f t="shared" ref="G15:G17" ca="1" si="1">_xlfn.FORMULATEXT(D15)</f>
        <v>=SUMPRODUCT(B15:C15,$B$9:$C$9)</v>
      </c>
      <c r="I15" s="143"/>
      <c r="J15" s="143"/>
      <c r="K15" s="143"/>
      <c r="L15" s="143"/>
      <c r="M15" s="143"/>
      <c r="N15" s="143"/>
    </row>
    <row r="16" spans="1:14">
      <c r="A16" s="35" t="s">
        <v>144</v>
      </c>
      <c r="B16" s="35"/>
      <c r="C16" s="35">
        <v>1</v>
      </c>
      <c r="D16" s="35">
        <f t="shared" si="0"/>
        <v>10</v>
      </c>
      <c r="E16" s="35" t="s">
        <v>146</v>
      </c>
      <c r="F16" s="35">
        <v>10</v>
      </c>
      <c r="G16" s="67" t="str">
        <f t="shared" ca="1" si="1"/>
        <v>=SUMPRODUCT(B16:C16,$B$9:$C$9)</v>
      </c>
      <c r="I16" s="143"/>
      <c r="J16" s="143"/>
      <c r="K16" s="143"/>
      <c r="L16" s="143"/>
      <c r="M16" s="143"/>
      <c r="N16" s="143"/>
    </row>
    <row r="17" spans="1:14">
      <c r="A17" s="35" t="s">
        <v>148</v>
      </c>
      <c r="B17" s="35">
        <v>1</v>
      </c>
      <c r="C17" s="35">
        <v>-1</v>
      </c>
      <c r="D17" s="35">
        <f t="shared" si="0"/>
        <v>165</v>
      </c>
      <c r="E17" s="35" t="s">
        <v>146</v>
      </c>
      <c r="F17" s="35">
        <v>0</v>
      </c>
      <c r="G17" s="67" t="str">
        <f t="shared" ca="1" si="1"/>
        <v>=SUMPRODUCT(B17:C17,$B$9:$C$9)</v>
      </c>
      <c r="I17" s="143"/>
      <c r="J17" s="143"/>
      <c r="K17" s="143"/>
      <c r="L17" s="143"/>
      <c r="M17" s="143"/>
      <c r="N17" s="143"/>
    </row>
    <row r="18" spans="1:14">
      <c r="A18" s="78" t="s">
        <v>155</v>
      </c>
    </row>
    <row r="19" spans="1:14" ht="15" thickBot="1"/>
    <row r="20" spans="1:14">
      <c r="A20" s="72" t="s">
        <v>151</v>
      </c>
      <c r="B20" s="73"/>
    </row>
    <row r="21" spans="1:14">
      <c r="A21" s="74" t="s">
        <v>152</v>
      </c>
      <c r="B21" s="75">
        <v>175</v>
      </c>
    </row>
    <row r="22" spans="1:14">
      <c r="A22" s="74" t="s">
        <v>153</v>
      </c>
      <c r="B22" s="75">
        <v>10</v>
      </c>
    </row>
    <row r="23" spans="1:14" ht="15" thickBot="1">
      <c r="A23" s="76" t="s">
        <v>154</v>
      </c>
      <c r="B23" s="77">
        <v>595000</v>
      </c>
      <c r="E23" s="56"/>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3">
    <mergeCell ref="A1:G1"/>
    <mergeCell ref="I4:N17"/>
    <mergeCell ref="I1:N1"/>
  </mergeCells>
  <pageMargins left="0.7" right="0.7" top="0.75" bottom="0.75" header="0.3" footer="0.3"/>
  <extLst>
    <ext xmlns:x15="http://schemas.microsoft.com/office/spreadsheetml/2010/11/main" uri="{F7C9EE02-42E1-4005-9D12-6889AFFD525C}">
      <x15:webExtensions xmlns:xm="http://schemas.microsoft.com/office/excel/2006/main">
        <x15:webExtension appRef="{AF772F44-1228-4C63-B941-BCB70EA94D33}">
          <xm:f>'CAMPAIGN MARKETING'!1:1048576</xm:f>
        </x15:webExtension>
        <x15:webExtension appRef="{28A07E65-B600-4DE4-897E-7B1061D14AE2}">
          <xm:f>'CAMPAIGN MARKETING'!XFD1048550:XFD1048575</xm:f>
        </x15:webExtension>
        <x15:webExtension appRef="{B9544031-F5D3-4EFF-9E6B-A58CD3563404}">
          <xm:f>'CAMPAIGN MARKETING'!$B$9:$C$9</xm:f>
        </x15:webExtension>
      </x15:webExtens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B14E-831A-4D42-AA48-95DFF1FB035F}">
  <dimension ref="A1:XFD1048575"/>
  <sheetViews>
    <sheetView topLeftCell="A7" workbookViewId="0">
      <selection activeCell="I13" sqref="I13"/>
    </sheetView>
  </sheetViews>
  <sheetFormatPr defaultRowHeight="14.4"/>
  <cols>
    <col min="1" max="1" width="26.88671875" customWidth="1"/>
    <col min="7" max="7" width="14.44140625" customWidth="1"/>
    <col min="9" max="9" width="19" customWidth="1"/>
    <col min="10" max="10" width="11" bestFit="1" customWidth="1"/>
  </cols>
  <sheetData>
    <row r="1" spans="1:10" ht="20.399999999999999" thickBot="1">
      <c r="A1" s="116" t="s">
        <v>158</v>
      </c>
      <c r="B1" s="116"/>
      <c r="C1" s="116"/>
      <c r="D1" s="116"/>
      <c r="E1" s="116"/>
      <c r="F1" s="116"/>
      <c r="G1" s="116"/>
      <c r="H1" s="116"/>
      <c r="I1" s="116"/>
      <c r="J1" s="116"/>
    </row>
    <row r="2" spans="1:10" ht="15" thickTop="1"/>
    <row r="3" spans="1:10">
      <c r="A3" s="5" t="s">
        <v>159</v>
      </c>
    </row>
    <row r="5" spans="1:10">
      <c r="A5" s="37"/>
      <c r="B5" s="50" t="s">
        <v>180</v>
      </c>
      <c r="C5" s="50" t="s">
        <v>181</v>
      </c>
      <c r="G5" s="147" t="s">
        <v>182</v>
      </c>
      <c r="H5" s="147"/>
    </row>
    <row r="6" spans="1:10">
      <c r="A6" s="50" t="s">
        <v>162</v>
      </c>
      <c r="B6" s="66">
        <v>559.99999999999989</v>
      </c>
      <c r="C6" s="66">
        <v>1200</v>
      </c>
      <c r="D6" s="79" t="s">
        <v>134</v>
      </c>
      <c r="G6" s="50" t="s">
        <v>152</v>
      </c>
      <c r="H6" s="37">
        <v>560</v>
      </c>
    </row>
    <row r="7" spans="1:10">
      <c r="A7" s="37" t="s">
        <v>163</v>
      </c>
      <c r="B7" s="54">
        <v>300</v>
      </c>
      <c r="C7" s="54">
        <v>450</v>
      </c>
      <c r="G7" s="50" t="s">
        <v>153</v>
      </c>
      <c r="H7" s="37">
        <v>1200</v>
      </c>
    </row>
    <row r="8" spans="1:10">
      <c r="A8" s="37" t="s">
        <v>164</v>
      </c>
      <c r="B8" s="54">
        <v>150</v>
      </c>
      <c r="C8" s="54">
        <v>225</v>
      </c>
      <c r="G8" s="50" t="s">
        <v>183</v>
      </c>
      <c r="H8" s="54">
        <v>199600</v>
      </c>
    </row>
    <row r="9" spans="1:10">
      <c r="A9" s="37" t="s">
        <v>172</v>
      </c>
      <c r="B9" s="37">
        <v>5</v>
      </c>
      <c r="C9" s="37">
        <v>6</v>
      </c>
    </row>
    <row r="10" spans="1:10">
      <c r="A10" s="37" t="s">
        <v>173</v>
      </c>
      <c r="B10" s="37">
        <v>1</v>
      </c>
      <c r="C10" s="37">
        <v>2</v>
      </c>
    </row>
    <row r="12" spans="1:10">
      <c r="A12" s="37"/>
      <c r="B12" s="50" t="s">
        <v>160</v>
      </c>
      <c r="C12" s="50" t="s">
        <v>161</v>
      </c>
    </row>
    <row r="13" spans="1:10">
      <c r="A13" s="37" t="s">
        <v>165</v>
      </c>
      <c r="B13" s="54">
        <v>11</v>
      </c>
      <c r="C13" s="54">
        <v>15</v>
      </c>
    </row>
    <row r="15" spans="1:10">
      <c r="A15" s="5" t="s">
        <v>178</v>
      </c>
      <c r="B15" s="56">
        <f>SUMPRODUCT(B8:C8,B6:C6)</f>
        <v>354000</v>
      </c>
      <c r="D15" s="79" t="str">
        <f t="shared" ref="D15:D17" ca="1" si="0">_xlfn.FORMULATEXT(B15)</f>
        <v>=SUMPRODUCT(B8:C8,B6:C6)</v>
      </c>
    </row>
    <row r="16" spans="1:10">
      <c r="A16" s="5" t="s">
        <v>177</v>
      </c>
      <c r="B16" s="56">
        <f>SUMPRODUCT(B6:C6,B10:C10)*C13</f>
        <v>44400</v>
      </c>
      <c r="D16" s="79" t="str">
        <f t="shared" ca="1" si="0"/>
        <v>=SUMPRODUCT(B6:C6,B10:C10)*C13</v>
      </c>
    </row>
    <row r="17" spans="1:6">
      <c r="A17" s="5" t="s">
        <v>176</v>
      </c>
      <c r="B17" s="56">
        <f>SUMPRODUCT(B6:C6,B9:C9)*B13</f>
        <v>110000</v>
      </c>
      <c r="D17" s="79" t="str">
        <f t="shared" ca="1" si="0"/>
        <v>=SUMPRODUCT(B6:C6,B9:C9)*B13</v>
      </c>
    </row>
    <row r="18" spans="1:6">
      <c r="A18" s="5" t="s">
        <v>179</v>
      </c>
      <c r="B18" s="56">
        <f>B15+B16+B17</f>
        <v>508400</v>
      </c>
      <c r="D18" s="79"/>
    </row>
    <row r="19" spans="1:6">
      <c r="A19" s="5" t="s">
        <v>167</v>
      </c>
      <c r="B19" s="56">
        <f>SUMPRODUCT(B7:C7,B6:C6)</f>
        <v>708000</v>
      </c>
      <c r="D19" s="79" t="str">
        <f ca="1">_xlfn.FORMULATEXT(B19)</f>
        <v>=SUMPRODUCT(B7:C7,B6:C6)</v>
      </c>
    </row>
    <row r="21" spans="1:6">
      <c r="A21" s="5" t="s">
        <v>135</v>
      </c>
    </row>
    <row r="22" spans="1:6">
      <c r="A22" t="s">
        <v>166</v>
      </c>
      <c r="B22" s="80">
        <f>B19-B18</f>
        <v>199600</v>
      </c>
    </row>
    <row r="24" spans="1:6">
      <c r="A24" s="50" t="s">
        <v>168</v>
      </c>
      <c r="B24" s="50" t="s">
        <v>149</v>
      </c>
      <c r="C24" s="50" t="s">
        <v>150</v>
      </c>
      <c r="D24" s="50" t="s">
        <v>169</v>
      </c>
      <c r="E24" s="50" t="s">
        <v>170</v>
      </c>
      <c r="F24" s="50" t="s">
        <v>171</v>
      </c>
    </row>
    <row r="25" spans="1:6">
      <c r="A25" s="37" t="s">
        <v>174</v>
      </c>
      <c r="B25" s="37">
        <v>1</v>
      </c>
      <c r="C25" s="37"/>
      <c r="D25" s="37">
        <f>SUMPRODUCT(B25:C25,$B$6:$C$6)</f>
        <v>559.99999999999989</v>
      </c>
      <c r="E25" s="37" t="s">
        <v>142</v>
      </c>
      <c r="F25" s="37">
        <v>600</v>
      </c>
    </row>
    <row r="26" spans="1:6">
      <c r="A26" s="37" t="s">
        <v>175</v>
      </c>
      <c r="B26" s="37"/>
      <c r="C26" s="37">
        <v>1</v>
      </c>
      <c r="D26" s="37">
        <f>SUMPRODUCT(B26:C26,$B$6:$C$6)</f>
        <v>1200</v>
      </c>
      <c r="E26" s="37" t="s">
        <v>142</v>
      </c>
      <c r="F26" s="37">
        <v>1200</v>
      </c>
    </row>
    <row r="27" spans="1:6">
      <c r="A27" s="37" t="s">
        <v>172</v>
      </c>
      <c r="B27" s="37">
        <v>5</v>
      </c>
      <c r="C27" s="37">
        <v>6</v>
      </c>
      <c r="D27" s="37">
        <f>SUMPRODUCT(B27:C27,$B$6:$C$6)</f>
        <v>10000</v>
      </c>
      <c r="E27" s="37" t="s">
        <v>142</v>
      </c>
      <c r="F27" s="37">
        <v>10000</v>
      </c>
    </row>
    <row r="28" spans="1:6">
      <c r="A28" s="37" t="s">
        <v>173</v>
      </c>
      <c r="B28" s="37">
        <v>1</v>
      </c>
      <c r="C28" s="37">
        <v>2</v>
      </c>
      <c r="D28" s="37">
        <f>SUMPRODUCT(B28:C28,$B$6:$C$6)</f>
        <v>2960</v>
      </c>
      <c r="E28" s="37" t="s">
        <v>142</v>
      </c>
      <c r="F28" s="37">
        <v>3000</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2">
    <mergeCell ref="A1:J1"/>
    <mergeCell ref="G5:H5"/>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7DA5EB60-249E-4370-A165-A2EC7CAC9582}">
          <xm:f>'PC TECH CO.'!$B$6</xm:f>
        </x15:webExtension>
        <x15:webExtension appRef="{D3CB20B7-C140-4D75-98A7-69C4920D522D}">
          <xm:f>'PC TECH CO.'!$C$6</xm:f>
        </x15:webExtension>
      </x15:webExtens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AED4-C93B-405D-AF69-463CD2151A89}">
  <dimension ref="A1:XFD1048575"/>
  <sheetViews>
    <sheetView workbookViewId="0">
      <selection activeCell="I7" sqref="I7"/>
    </sheetView>
  </sheetViews>
  <sheetFormatPr defaultRowHeight="14.4"/>
  <cols>
    <col min="1" max="1" width="41.88671875" customWidth="1"/>
    <col min="2" max="2" width="12.109375" bestFit="1" customWidth="1"/>
    <col min="3" max="3" width="13.5546875" customWidth="1"/>
    <col min="5" max="5" width="11.21875" customWidth="1"/>
    <col min="6" max="6" width="10.88671875" customWidth="1"/>
  </cols>
  <sheetData>
    <row r="1" spans="1:10" ht="20.399999999999999" thickBot="1">
      <c r="A1" s="116" t="s">
        <v>184</v>
      </c>
      <c r="B1" s="116"/>
      <c r="C1" s="116"/>
      <c r="D1" s="116"/>
      <c r="E1" s="116"/>
      <c r="F1" s="116"/>
      <c r="G1" s="116"/>
      <c r="H1" s="116"/>
      <c r="I1" s="116"/>
    </row>
    <row r="2" spans="1:10" ht="15" thickTop="1"/>
    <row r="3" spans="1:10">
      <c r="A3" t="s">
        <v>58</v>
      </c>
    </row>
    <row r="5" spans="1:10">
      <c r="A5" t="s">
        <v>185</v>
      </c>
      <c r="B5" s="82">
        <v>250000</v>
      </c>
    </row>
    <row r="6" spans="1:10">
      <c r="A6" t="s">
        <v>188</v>
      </c>
      <c r="B6" s="13">
        <v>0.2</v>
      </c>
    </row>
    <row r="7" spans="1:10">
      <c r="A7" t="s">
        <v>186</v>
      </c>
      <c r="B7" s="13">
        <v>0.4</v>
      </c>
    </row>
    <row r="8" spans="1:10">
      <c r="A8" t="s">
        <v>187</v>
      </c>
      <c r="B8" s="13">
        <v>0.5</v>
      </c>
    </row>
    <row r="10" spans="1:10">
      <c r="A10" s="64" t="s">
        <v>185</v>
      </c>
      <c r="B10" s="64" t="s">
        <v>189</v>
      </c>
      <c r="C10" s="64" t="s">
        <v>196</v>
      </c>
      <c r="D10" s="64" t="s">
        <v>200</v>
      </c>
      <c r="E10" s="83"/>
      <c r="F10" s="83"/>
      <c r="G10" s="83"/>
      <c r="H10" s="148" t="s">
        <v>212</v>
      </c>
      <c r="I10" s="148"/>
      <c r="J10" s="148"/>
    </row>
    <row r="11" spans="1:10">
      <c r="A11" s="35" t="s">
        <v>190</v>
      </c>
      <c r="B11" s="84">
        <v>5.2999999999999999E-2</v>
      </c>
      <c r="C11" s="35" t="s">
        <v>197</v>
      </c>
      <c r="D11" s="35" t="s">
        <v>201</v>
      </c>
      <c r="E11" s="83"/>
      <c r="F11" s="83"/>
      <c r="G11" s="83"/>
      <c r="H11" s="83"/>
      <c r="I11" s="83"/>
      <c r="J11" s="83"/>
    </row>
    <row r="12" spans="1:10">
      <c r="A12" s="35" t="s">
        <v>191</v>
      </c>
      <c r="B12" s="84">
        <v>6.8000000000000005E-2</v>
      </c>
      <c r="C12" s="35" t="s">
        <v>198</v>
      </c>
      <c r="D12" s="35" t="s">
        <v>202</v>
      </c>
      <c r="E12" s="83"/>
      <c r="F12" s="83"/>
      <c r="G12" s="83"/>
      <c r="H12" s="83"/>
      <c r="I12" s="83"/>
      <c r="J12" s="83"/>
    </row>
    <row r="13" spans="1:10">
      <c r="A13" s="35" t="s">
        <v>192</v>
      </c>
      <c r="B13" s="84">
        <v>4.9000000000000002E-2</v>
      </c>
      <c r="C13" s="35" t="s">
        <v>198</v>
      </c>
      <c r="D13" s="35" t="s">
        <v>203</v>
      </c>
      <c r="E13" s="83"/>
      <c r="F13" s="83"/>
      <c r="G13" s="83"/>
      <c r="H13" s="83"/>
      <c r="I13" s="83"/>
      <c r="J13" s="83"/>
    </row>
    <row r="14" spans="1:10">
      <c r="A14" s="35" t="s">
        <v>193</v>
      </c>
      <c r="B14" s="84">
        <v>8.4000000000000005E-2</v>
      </c>
      <c r="C14" s="35" t="s">
        <v>198</v>
      </c>
      <c r="D14" s="35" t="s">
        <v>204</v>
      </c>
      <c r="E14" s="83"/>
      <c r="F14" s="83"/>
      <c r="G14" s="83"/>
      <c r="H14" s="83"/>
      <c r="I14" s="83"/>
      <c r="J14" s="83"/>
    </row>
    <row r="15" spans="1:10">
      <c r="A15" s="35" t="s">
        <v>194</v>
      </c>
      <c r="B15" s="84">
        <v>0.11799999999999999</v>
      </c>
      <c r="C15" s="35" t="s">
        <v>199</v>
      </c>
      <c r="D15" s="35" t="s">
        <v>205</v>
      </c>
      <c r="E15" s="83"/>
      <c r="F15" s="83"/>
      <c r="G15" s="83"/>
      <c r="H15" s="83"/>
      <c r="I15" s="83"/>
      <c r="J15" s="83"/>
    </row>
    <row r="16" spans="1:10">
      <c r="A16" s="83"/>
      <c r="B16" s="83"/>
      <c r="C16" s="83"/>
      <c r="D16" s="83"/>
      <c r="E16" s="83"/>
      <c r="F16" s="83"/>
      <c r="G16" s="83"/>
      <c r="H16" s="83"/>
      <c r="I16" s="83"/>
      <c r="J16" s="83"/>
    </row>
    <row r="17" spans="1:10">
      <c r="A17" s="83"/>
      <c r="B17" s="83"/>
      <c r="C17" s="83"/>
      <c r="D17" s="83"/>
      <c r="E17" s="83"/>
      <c r="F17" s="83"/>
      <c r="G17" s="83"/>
      <c r="H17" s="83"/>
      <c r="I17" s="83"/>
      <c r="J17" s="83"/>
    </row>
    <row r="18" spans="1:10">
      <c r="A18" s="64" t="s">
        <v>195</v>
      </c>
      <c r="B18" s="64" t="s">
        <v>201</v>
      </c>
      <c r="C18" s="64" t="s">
        <v>202</v>
      </c>
      <c r="D18" s="64" t="s">
        <v>203</v>
      </c>
      <c r="E18" s="64" t="s">
        <v>204</v>
      </c>
      <c r="F18" s="64" t="s">
        <v>205</v>
      </c>
      <c r="G18" s="83"/>
      <c r="H18" s="83"/>
      <c r="I18" s="83"/>
      <c r="J18" s="83"/>
    </row>
    <row r="19" spans="1:10">
      <c r="A19" s="64" t="s">
        <v>206</v>
      </c>
      <c r="B19" s="85">
        <v>50000</v>
      </c>
      <c r="C19" s="85">
        <v>0</v>
      </c>
      <c r="D19" s="85">
        <v>0</v>
      </c>
      <c r="E19" s="85">
        <v>175000</v>
      </c>
      <c r="F19" s="85">
        <v>25000</v>
      </c>
      <c r="G19" s="83"/>
      <c r="H19" s="83"/>
      <c r="I19" s="83"/>
      <c r="J19" s="83"/>
    </row>
    <row r="20" spans="1:10">
      <c r="A20" s="64" t="s">
        <v>189</v>
      </c>
      <c r="B20" s="86">
        <v>5.2999999999999999E-2</v>
      </c>
      <c r="C20" s="86">
        <v>6.8000000000000005E-2</v>
      </c>
      <c r="D20" s="86">
        <v>4.9000000000000002E-2</v>
      </c>
      <c r="E20" s="86">
        <v>8.4000000000000005E-2</v>
      </c>
      <c r="F20" s="86">
        <v>0.11799999999999999</v>
      </c>
      <c r="G20" s="83"/>
      <c r="H20" s="83"/>
      <c r="I20" s="83"/>
      <c r="J20" s="83"/>
    </row>
    <row r="21" spans="1:10">
      <c r="A21" s="83"/>
      <c r="B21" s="83"/>
      <c r="C21" s="83"/>
      <c r="D21" s="83"/>
      <c r="E21" s="83"/>
      <c r="F21" s="83"/>
      <c r="G21" s="83"/>
      <c r="H21" s="83"/>
      <c r="I21" s="83"/>
      <c r="J21" s="83"/>
    </row>
    <row r="22" spans="1:10">
      <c r="A22" s="83"/>
      <c r="B22" s="83"/>
      <c r="C22" s="83"/>
      <c r="D22" s="83"/>
      <c r="E22" s="83"/>
      <c r="F22" s="83"/>
      <c r="G22" s="83"/>
      <c r="H22" s="83"/>
      <c r="I22" s="83"/>
      <c r="J22" s="83"/>
    </row>
    <row r="23" spans="1:10">
      <c r="A23" s="64" t="s">
        <v>207</v>
      </c>
      <c r="B23" s="64" t="s">
        <v>201</v>
      </c>
      <c r="C23" s="64" t="s">
        <v>202</v>
      </c>
      <c r="D23" s="64" t="s">
        <v>203</v>
      </c>
      <c r="E23" s="64" t="s">
        <v>204</v>
      </c>
      <c r="F23" s="64" t="s">
        <v>205</v>
      </c>
      <c r="G23" s="64" t="s">
        <v>138</v>
      </c>
      <c r="H23" s="64" t="s">
        <v>139</v>
      </c>
      <c r="I23" s="64" t="s">
        <v>140</v>
      </c>
      <c r="J23" s="83"/>
    </row>
    <row r="24" spans="1:10">
      <c r="A24" s="64" t="s">
        <v>208</v>
      </c>
      <c r="B24" s="35">
        <v>1</v>
      </c>
      <c r="C24" s="35">
        <v>1</v>
      </c>
      <c r="D24" s="35">
        <v>1</v>
      </c>
      <c r="E24" s="35">
        <v>1</v>
      </c>
      <c r="F24" s="35">
        <v>1</v>
      </c>
      <c r="G24" s="35">
        <f>SUMPRODUCT($B$19:$F$19,B24:F24)</f>
        <v>250000</v>
      </c>
      <c r="H24" s="35" t="s">
        <v>142</v>
      </c>
      <c r="I24" s="87">
        <f>B5</f>
        <v>250000</v>
      </c>
      <c r="J24" s="83"/>
    </row>
    <row r="25" spans="1:10">
      <c r="A25" s="64" t="s">
        <v>209</v>
      </c>
      <c r="B25" s="35">
        <v>1</v>
      </c>
      <c r="C25" s="35"/>
      <c r="D25" s="35"/>
      <c r="E25" s="35"/>
      <c r="F25" s="35"/>
      <c r="G25" s="35">
        <f t="shared" ref="G25:G27" si="0">SUMPRODUCT($B$19:$F$19,B25:F25)</f>
        <v>50000</v>
      </c>
      <c r="H25" s="35" t="s">
        <v>146</v>
      </c>
      <c r="I25" s="87">
        <f>20%*I24</f>
        <v>50000</v>
      </c>
      <c r="J25" s="83"/>
    </row>
    <row r="26" spans="1:10">
      <c r="A26" s="64" t="s">
        <v>210</v>
      </c>
      <c r="B26" s="35"/>
      <c r="C26" s="35">
        <v>1</v>
      </c>
      <c r="D26" s="35">
        <v>1</v>
      </c>
      <c r="E26" s="35">
        <v>1</v>
      </c>
      <c r="F26" s="35"/>
      <c r="G26" s="35">
        <f t="shared" si="0"/>
        <v>175000</v>
      </c>
      <c r="H26" s="35" t="s">
        <v>146</v>
      </c>
      <c r="I26" s="87">
        <f>40%*I24</f>
        <v>100000</v>
      </c>
      <c r="J26" s="83"/>
    </row>
    <row r="27" spans="1:10">
      <c r="A27" s="64" t="s">
        <v>211</v>
      </c>
      <c r="B27" s="88">
        <v>-0.5</v>
      </c>
      <c r="C27" s="35"/>
      <c r="D27" s="35"/>
      <c r="E27" s="35"/>
      <c r="F27" s="35">
        <v>1</v>
      </c>
      <c r="G27" s="35">
        <f t="shared" si="0"/>
        <v>0</v>
      </c>
      <c r="H27" s="35" t="s">
        <v>142</v>
      </c>
      <c r="I27" s="35">
        <v>0</v>
      </c>
      <c r="J27" s="83"/>
    </row>
    <row r="29" spans="1:10">
      <c r="A29" s="89" t="s">
        <v>213</v>
      </c>
      <c r="B29" s="90">
        <f>SUMPRODUCT(B19:F19,B20:F20)</f>
        <v>20300</v>
      </c>
    </row>
    <row r="32" spans="1:10">
      <c r="A32" s="64" t="s">
        <v>214</v>
      </c>
      <c r="B32" s="35"/>
    </row>
    <row r="33" spans="1:2">
      <c r="A33" s="64" t="s">
        <v>201</v>
      </c>
      <c r="B33" s="87">
        <v>50000</v>
      </c>
    </row>
    <row r="34" spans="1:2">
      <c r="A34" s="64" t="s">
        <v>202</v>
      </c>
      <c r="B34" s="87">
        <v>0</v>
      </c>
    </row>
    <row r="35" spans="1:2">
      <c r="A35" s="64" t="s">
        <v>203</v>
      </c>
      <c r="B35" s="87">
        <v>0</v>
      </c>
    </row>
    <row r="36" spans="1:2">
      <c r="A36" s="64" t="s">
        <v>204</v>
      </c>
      <c r="B36" s="87">
        <v>175000</v>
      </c>
    </row>
    <row r="37" spans="1:2">
      <c r="A37" s="64" t="s">
        <v>205</v>
      </c>
      <c r="B37" s="87">
        <v>25000</v>
      </c>
    </row>
    <row r="38" spans="1:2">
      <c r="A38" s="64" t="s">
        <v>215</v>
      </c>
      <c r="B38" s="87">
        <v>20300</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2">
    <mergeCell ref="H10:J10"/>
    <mergeCell ref="A1:I1"/>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3DAF589D-320E-494D-9C7D-E4554E759335}">
          <xm:f>'PC TECH CO. STOCKS'!$B$19</xm:f>
        </x15:webExtension>
        <x15:webExtension appRef="{1E231089-4539-40D7-BE46-D5EB9BC62D6B}">
          <xm:f>'PC TECH CO. STOCKS'!$C$19</xm:f>
        </x15:webExtension>
        <x15:webExtension appRef="{D97E8C22-C1FE-4676-8F91-CFEE82275B0D}">
          <xm:f>'PC TECH CO. STOCKS'!$D$19</xm:f>
        </x15:webExtension>
        <x15:webExtension appRef="{CA75B6A3-D579-4FEE-9104-5DA0B85B8273}">
          <xm:f>'PC TECH CO. STOCKS'!$E$19</xm:f>
        </x15:webExtension>
        <x15:webExtension appRef="{F4E71977-3C48-4FE3-8521-270802C04BE4}">
          <xm:f>'PC TECH CO. STOCKS'!$F$19</xm:f>
        </x15:webExtension>
      </x15:webExtens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A3F0-484B-45C6-B029-7964CE0A6629}">
  <dimension ref="A1:XFD1048575"/>
  <sheetViews>
    <sheetView topLeftCell="AK1" workbookViewId="0">
      <selection activeCell="F8" sqref="F8"/>
    </sheetView>
  </sheetViews>
  <sheetFormatPr defaultRowHeight="14.4"/>
  <cols>
    <col min="1" max="1" width="24.109375" customWidth="1"/>
    <col min="2" max="2" width="15.21875" customWidth="1"/>
    <col min="3" max="3" width="14.77734375" customWidth="1"/>
    <col min="4" max="4" width="15.88671875" customWidth="1"/>
    <col min="5" max="5" width="13.77734375" customWidth="1"/>
    <col min="7" max="7" width="17.21875" customWidth="1"/>
    <col min="8" max="8" width="8.88671875" customWidth="1"/>
    <col min="9" max="9" width="11.109375" customWidth="1"/>
  </cols>
  <sheetData>
    <row r="1" spans="1:25" ht="20.399999999999999" thickBot="1">
      <c r="A1" s="116" t="s">
        <v>184</v>
      </c>
      <c r="B1" s="116"/>
      <c r="C1" s="116"/>
      <c r="D1" s="116"/>
      <c r="E1" s="116"/>
      <c r="F1" s="116"/>
      <c r="G1" s="116"/>
      <c r="H1" s="116"/>
      <c r="I1" s="116"/>
      <c r="J1" s="116"/>
      <c r="K1" s="116"/>
      <c r="L1" s="116"/>
      <c r="M1" s="116"/>
      <c r="N1" s="116"/>
      <c r="O1" s="116"/>
      <c r="P1" s="116"/>
      <c r="Q1" s="116"/>
      <c r="R1" s="116"/>
      <c r="S1" s="116"/>
      <c r="T1" s="116"/>
      <c r="U1" s="116"/>
      <c r="V1" s="116"/>
      <c r="W1" s="116"/>
      <c r="X1" s="116"/>
      <c r="Y1" s="116"/>
    </row>
    <row r="2" spans="1:25" ht="15" thickTop="1"/>
    <row r="3" spans="1:25">
      <c r="A3" t="s">
        <v>58</v>
      </c>
      <c r="G3" s="64" t="s">
        <v>245</v>
      </c>
      <c r="H3" s="64" t="s">
        <v>236</v>
      </c>
      <c r="I3" s="64" t="s">
        <v>237</v>
      </c>
      <c r="J3" s="64" t="s">
        <v>238</v>
      </c>
      <c r="K3" s="64" t="s">
        <v>239</v>
      </c>
      <c r="L3" s="64" t="s">
        <v>240</v>
      </c>
      <c r="M3" s="64" t="s">
        <v>241</v>
      </c>
      <c r="N3" s="64" t="s">
        <v>243</v>
      </c>
      <c r="O3" s="64" t="s">
        <v>242</v>
      </c>
      <c r="P3" s="64" t="s">
        <v>244</v>
      </c>
      <c r="Q3" s="64" t="s">
        <v>246</v>
      </c>
      <c r="R3" s="64" t="s">
        <v>247</v>
      </c>
      <c r="S3" s="64" t="s">
        <v>248</v>
      </c>
      <c r="T3" s="64" t="s">
        <v>250</v>
      </c>
      <c r="U3" s="64" t="s">
        <v>251</v>
      </c>
      <c r="V3" s="64" t="s">
        <v>249</v>
      </c>
      <c r="W3" s="64"/>
      <c r="X3" s="64"/>
      <c r="Y3" s="64"/>
    </row>
    <row r="4" spans="1:25">
      <c r="G4" s="64" t="s">
        <v>252</v>
      </c>
      <c r="H4" s="93">
        <v>400</v>
      </c>
      <c r="I4" s="93">
        <v>0</v>
      </c>
      <c r="J4" s="93">
        <v>300</v>
      </c>
      <c r="K4" s="93">
        <v>500</v>
      </c>
      <c r="L4" s="93">
        <v>0</v>
      </c>
      <c r="M4" s="93">
        <v>0</v>
      </c>
      <c r="N4" s="93">
        <v>0</v>
      </c>
      <c r="O4" s="93">
        <v>100</v>
      </c>
      <c r="P4" s="93">
        <v>0</v>
      </c>
      <c r="Q4" s="93">
        <v>0</v>
      </c>
      <c r="R4" s="93">
        <v>800</v>
      </c>
      <c r="S4" s="93">
        <v>0</v>
      </c>
      <c r="T4" s="93">
        <v>0</v>
      </c>
      <c r="U4" s="93">
        <v>0</v>
      </c>
      <c r="V4" s="93">
        <v>400</v>
      </c>
    </row>
    <row r="5" spans="1:25">
      <c r="A5" s="35"/>
      <c r="B5" s="64" t="s">
        <v>216</v>
      </c>
      <c r="C5" s="64" t="s">
        <v>217</v>
      </c>
      <c r="D5" s="64" t="s">
        <v>218</v>
      </c>
      <c r="E5" s="83"/>
      <c r="G5" s="64" t="s">
        <v>253</v>
      </c>
      <c r="H5" s="35">
        <v>5</v>
      </c>
      <c r="I5" s="35">
        <v>8</v>
      </c>
      <c r="J5" s="35">
        <v>6</v>
      </c>
      <c r="K5" s="35">
        <v>0</v>
      </c>
      <c r="L5" s="35">
        <v>4</v>
      </c>
      <c r="M5" s="35">
        <v>12</v>
      </c>
      <c r="N5" s="35">
        <v>4</v>
      </c>
      <c r="O5" s="35">
        <v>0</v>
      </c>
      <c r="P5" s="35">
        <v>7</v>
      </c>
      <c r="Q5" s="35">
        <v>7</v>
      </c>
      <c r="R5" s="35">
        <v>2</v>
      </c>
      <c r="S5" s="35">
        <v>5</v>
      </c>
      <c r="T5" s="35">
        <v>12</v>
      </c>
      <c r="U5" s="35">
        <v>7</v>
      </c>
      <c r="V5" s="35">
        <v>0</v>
      </c>
    </row>
    <row r="6" spans="1:25">
      <c r="A6" s="64" t="s">
        <v>219</v>
      </c>
      <c r="B6" s="35">
        <v>900</v>
      </c>
      <c r="C6" s="35">
        <v>900</v>
      </c>
      <c r="D6" s="35">
        <v>900</v>
      </c>
      <c r="E6" s="83"/>
    </row>
    <row r="7" spans="1:25">
      <c r="A7" s="64" t="s">
        <v>220</v>
      </c>
      <c r="B7" s="35" t="s">
        <v>221</v>
      </c>
      <c r="C7" s="35" t="s">
        <v>222</v>
      </c>
      <c r="D7" s="35" t="s">
        <v>223</v>
      </c>
      <c r="E7" s="83"/>
    </row>
    <row r="8" spans="1:25">
      <c r="A8" s="83"/>
      <c r="B8" s="83"/>
      <c r="C8" s="83"/>
      <c r="D8" s="83"/>
      <c r="E8" s="83"/>
    </row>
    <row r="9" spans="1:25">
      <c r="A9" s="83" t="s">
        <v>224</v>
      </c>
      <c r="B9" s="83">
        <v>1.5</v>
      </c>
      <c r="C9" s="83"/>
      <c r="D9" s="83"/>
      <c r="E9" s="83"/>
      <c r="G9" s="64" t="s">
        <v>207</v>
      </c>
      <c r="H9" s="64" t="s">
        <v>236</v>
      </c>
      <c r="I9" s="64" t="s">
        <v>237</v>
      </c>
      <c r="J9" s="64" t="s">
        <v>238</v>
      </c>
      <c r="K9" s="64" t="s">
        <v>239</v>
      </c>
      <c r="L9" s="64" t="s">
        <v>240</v>
      </c>
      <c r="M9" s="64" t="s">
        <v>241</v>
      </c>
      <c r="N9" s="64" t="s">
        <v>243</v>
      </c>
      <c r="O9" s="64" t="s">
        <v>242</v>
      </c>
      <c r="P9" s="64" t="s">
        <v>244</v>
      </c>
      <c r="Q9" s="64" t="s">
        <v>246</v>
      </c>
      <c r="R9" s="64" t="s">
        <v>247</v>
      </c>
      <c r="S9" s="64" t="s">
        <v>248</v>
      </c>
      <c r="T9" s="64" t="s">
        <v>250</v>
      </c>
      <c r="U9" s="64" t="s">
        <v>251</v>
      </c>
      <c r="V9" s="64" t="s">
        <v>249</v>
      </c>
      <c r="W9" s="64" t="s">
        <v>138</v>
      </c>
      <c r="X9" s="64" t="s">
        <v>139</v>
      </c>
      <c r="Y9" s="64" t="s">
        <v>140</v>
      </c>
    </row>
    <row r="10" spans="1:25">
      <c r="A10" s="83"/>
      <c r="B10" s="83"/>
      <c r="C10" s="83"/>
      <c r="D10" s="83"/>
      <c r="E10" s="83"/>
      <c r="G10" s="64" t="s">
        <v>255</v>
      </c>
      <c r="H10" s="35">
        <v>1</v>
      </c>
      <c r="I10" s="35"/>
      <c r="J10" s="35"/>
      <c r="K10" s="35">
        <v>1</v>
      </c>
      <c r="L10" s="35"/>
      <c r="M10" s="35"/>
      <c r="N10" s="35">
        <v>1</v>
      </c>
      <c r="O10" s="35"/>
      <c r="P10" s="35"/>
      <c r="Q10" s="35">
        <v>1</v>
      </c>
      <c r="R10" s="35"/>
      <c r="S10" s="35"/>
      <c r="T10" s="35">
        <v>1</v>
      </c>
      <c r="U10" s="35"/>
      <c r="V10" s="35"/>
      <c r="W10" s="35">
        <f>SUMPRODUCT(H10:V10,$H$4:$V$4)</f>
        <v>900</v>
      </c>
      <c r="X10" s="35" t="s">
        <v>142</v>
      </c>
      <c r="Y10" s="35">
        <v>900</v>
      </c>
    </row>
    <row r="11" spans="1:25">
      <c r="A11" s="64" t="s">
        <v>225</v>
      </c>
      <c r="B11" s="64" t="s">
        <v>226</v>
      </c>
      <c r="C11" s="64" t="s">
        <v>228</v>
      </c>
      <c r="D11" s="64" t="s">
        <v>229</v>
      </c>
      <c r="E11" s="64" t="s">
        <v>227</v>
      </c>
      <c r="G11" s="64" t="s">
        <v>254</v>
      </c>
      <c r="H11" s="35"/>
      <c r="I11" s="35">
        <v>1</v>
      </c>
      <c r="J11" s="35"/>
      <c r="K11" s="35"/>
      <c r="L11" s="35">
        <v>1</v>
      </c>
      <c r="M11" s="35"/>
      <c r="N11" s="35"/>
      <c r="O11" s="35">
        <v>1</v>
      </c>
      <c r="P11" s="35"/>
      <c r="Q11" s="35"/>
      <c r="R11" s="35">
        <v>1</v>
      </c>
      <c r="S11" s="35"/>
      <c r="T11" s="35"/>
      <c r="U11" s="35">
        <v>1</v>
      </c>
      <c r="V11" s="35"/>
      <c r="W11" s="35">
        <f t="shared" ref="W11:W17" si="0">SUMPRODUCT(H11:V11,$H$4:$V$4)</f>
        <v>900</v>
      </c>
      <c r="X11" s="35" t="s">
        <v>142</v>
      </c>
      <c r="Y11" s="35">
        <v>900</v>
      </c>
    </row>
    <row r="12" spans="1:25">
      <c r="A12" s="64" t="s">
        <v>230</v>
      </c>
      <c r="B12" s="35">
        <v>5</v>
      </c>
      <c r="C12" s="35">
        <v>8</v>
      </c>
      <c r="D12" s="35">
        <v>6</v>
      </c>
      <c r="E12" s="35">
        <v>700</v>
      </c>
      <c r="G12" s="64" t="s">
        <v>256</v>
      </c>
      <c r="H12" s="35"/>
      <c r="I12" s="35"/>
      <c r="J12" s="35">
        <v>1</v>
      </c>
      <c r="K12" s="35"/>
      <c r="L12" s="35"/>
      <c r="M12" s="35">
        <v>1</v>
      </c>
      <c r="N12" s="35"/>
      <c r="O12" s="35"/>
      <c r="P12" s="35">
        <v>1</v>
      </c>
      <c r="Q12" s="35"/>
      <c r="R12" s="35"/>
      <c r="S12" s="35">
        <v>1</v>
      </c>
      <c r="T12" s="35"/>
      <c r="U12" s="35"/>
      <c r="V12" s="35">
        <v>1</v>
      </c>
      <c r="W12" s="35">
        <f t="shared" si="0"/>
        <v>700</v>
      </c>
      <c r="X12" s="35" t="s">
        <v>142</v>
      </c>
      <c r="Y12" s="35">
        <v>900</v>
      </c>
    </row>
    <row r="13" spans="1:25">
      <c r="A13" s="64" t="s">
        <v>221</v>
      </c>
      <c r="B13" s="35">
        <v>0</v>
      </c>
      <c r="C13" s="35">
        <v>4</v>
      </c>
      <c r="D13" s="35">
        <v>12</v>
      </c>
      <c r="E13" s="35">
        <v>500</v>
      </c>
      <c r="G13" s="64" t="s">
        <v>257</v>
      </c>
      <c r="H13" s="35">
        <v>1</v>
      </c>
      <c r="I13" s="35">
        <v>1</v>
      </c>
      <c r="J13" s="35">
        <v>1</v>
      </c>
      <c r="K13" s="35"/>
      <c r="L13" s="35"/>
      <c r="M13" s="35"/>
      <c r="N13" s="35"/>
      <c r="O13" s="35"/>
      <c r="P13" s="35"/>
      <c r="Q13" s="35"/>
      <c r="R13" s="35"/>
      <c r="S13" s="35"/>
      <c r="T13" s="35"/>
      <c r="U13" s="35"/>
      <c r="V13" s="35"/>
      <c r="W13" s="35">
        <f t="shared" si="0"/>
        <v>700</v>
      </c>
      <c r="X13" s="35" t="s">
        <v>262</v>
      </c>
      <c r="Y13" s="35">
        <v>700</v>
      </c>
    </row>
    <row r="14" spans="1:25">
      <c r="A14" s="64" t="s">
        <v>222</v>
      </c>
      <c r="B14" s="35">
        <v>4</v>
      </c>
      <c r="C14" s="35">
        <v>0</v>
      </c>
      <c r="D14" s="35">
        <v>7</v>
      </c>
      <c r="E14" s="35">
        <v>100</v>
      </c>
      <c r="G14" s="64" t="s">
        <v>258</v>
      </c>
      <c r="H14" s="35"/>
      <c r="I14" s="35"/>
      <c r="J14" s="35"/>
      <c r="K14" s="35">
        <v>1</v>
      </c>
      <c r="L14" s="35">
        <v>1</v>
      </c>
      <c r="M14" s="35">
        <v>1</v>
      </c>
      <c r="N14" s="35"/>
      <c r="O14" s="35"/>
      <c r="P14" s="35"/>
      <c r="Q14" s="35"/>
      <c r="R14" s="35"/>
      <c r="S14" s="35"/>
      <c r="T14" s="35"/>
      <c r="U14" s="35"/>
      <c r="V14" s="35"/>
      <c r="W14" s="35">
        <f t="shared" si="0"/>
        <v>500</v>
      </c>
      <c r="X14" s="35" t="s">
        <v>262</v>
      </c>
      <c r="Y14" s="35">
        <v>500</v>
      </c>
    </row>
    <row r="15" spans="1:25">
      <c r="A15" s="64" t="s">
        <v>231</v>
      </c>
      <c r="B15" s="35">
        <v>7</v>
      </c>
      <c r="C15" s="35">
        <v>2</v>
      </c>
      <c r="D15" s="35">
        <v>5</v>
      </c>
      <c r="E15" s="35">
        <v>800</v>
      </c>
      <c r="G15" s="64" t="s">
        <v>259</v>
      </c>
      <c r="H15" s="35"/>
      <c r="I15" s="35"/>
      <c r="J15" s="35"/>
      <c r="K15" s="35"/>
      <c r="L15" s="35"/>
      <c r="M15" s="35"/>
      <c r="N15" s="35">
        <v>1</v>
      </c>
      <c r="O15" s="35">
        <v>1</v>
      </c>
      <c r="P15" s="35">
        <v>1</v>
      </c>
      <c r="Q15" s="35"/>
      <c r="R15" s="35"/>
      <c r="S15" s="35"/>
      <c r="T15" s="35"/>
      <c r="U15" s="35"/>
      <c r="V15" s="35"/>
      <c r="W15" s="35">
        <f t="shared" si="0"/>
        <v>100</v>
      </c>
      <c r="X15" s="35" t="s">
        <v>262</v>
      </c>
      <c r="Y15" s="35">
        <v>100</v>
      </c>
    </row>
    <row r="16" spans="1:25">
      <c r="A16" s="64" t="s">
        <v>223</v>
      </c>
      <c r="B16" s="35">
        <v>12</v>
      </c>
      <c r="C16" s="35">
        <v>7</v>
      </c>
      <c r="D16" s="35">
        <v>0</v>
      </c>
      <c r="E16" s="35">
        <v>400</v>
      </c>
      <c r="G16" s="64" t="s">
        <v>260</v>
      </c>
      <c r="H16" s="35"/>
      <c r="I16" s="35"/>
      <c r="J16" s="35"/>
      <c r="K16" s="35"/>
      <c r="L16" s="35"/>
      <c r="M16" s="35"/>
      <c r="N16" s="35"/>
      <c r="O16" s="35"/>
      <c r="P16" s="35"/>
      <c r="Q16" s="35">
        <v>1</v>
      </c>
      <c r="R16" s="35">
        <v>1</v>
      </c>
      <c r="S16" s="35">
        <v>1</v>
      </c>
      <c r="T16" s="35"/>
      <c r="U16" s="35"/>
      <c r="V16" s="35"/>
      <c r="W16" s="35">
        <f t="shared" si="0"/>
        <v>800</v>
      </c>
      <c r="X16" s="35" t="s">
        <v>262</v>
      </c>
      <c r="Y16" s="35">
        <v>800</v>
      </c>
    </row>
    <row r="17" spans="1:25">
      <c r="D17" s="92" t="s">
        <v>235</v>
      </c>
      <c r="E17" s="4">
        <f>SUM(E12:E16)</f>
        <v>2500</v>
      </c>
      <c r="G17" s="64" t="s">
        <v>261</v>
      </c>
      <c r="H17" s="35"/>
      <c r="I17" s="35"/>
      <c r="J17" s="35"/>
      <c r="K17" s="35"/>
      <c r="L17" s="35"/>
      <c r="M17" s="35"/>
      <c r="N17" s="35"/>
      <c r="O17" s="35"/>
      <c r="P17" s="35"/>
      <c r="Q17" s="35"/>
      <c r="R17" s="35"/>
      <c r="S17" s="35"/>
      <c r="T17" s="35">
        <v>1</v>
      </c>
      <c r="U17" s="35">
        <v>1</v>
      </c>
      <c r="V17" s="35">
        <v>1</v>
      </c>
      <c r="W17" s="35">
        <f t="shared" si="0"/>
        <v>400</v>
      </c>
      <c r="X17" s="35" t="s">
        <v>262</v>
      </c>
      <c r="Y17" s="35">
        <v>400</v>
      </c>
    </row>
    <row r="18" spans="1:25">
      <c r="A18" s="89" t="s">
        <v>232</v>
      </c>
      <c r="B18" s="141" t="s">
        <v>233</v>
      </c>
      <c r="C18" s="141"/>
      <c r="D18" s="141"/>
      <c r="E18" s="141"/>
    </row>
    <row r="19" spans="1:25">
      <c r="A19" s="89" t="s">
        <v>234</v>
      </c>
      <c r="B19" s="91">
        <f>SUMPRODUCT(H4:V4,H5:V5)</f>
        <v>5400</v>
      </c>
    </row>
    <row r="20" spans="1:25" ht="60.6" customHeight="1">
      <c r="I20" s="94" t="s">
        <v>214</v>
      </c>
      <c r="J20" s="64" t="s">
        <v>236</v>
      </c>
      <c r="K20" s="64" t="s">
        <v>237</v>
      </c>
      <c r="L20" s="64" t="s">
        <v>238</v>
      </c>
      <c r="M20" s="64" t="s">
        <v>239</v>
      </c>
      <c r="N20" s="64" t="s">
        <v>240</v>
      </c>
      <c r="O20" s="64" t="s">
        <v>241</v>
      </c>
      <c r="P20" s="64" t="s">
        <v>243</v>
      </c>
      <c r="Q20" s="64" t="s">
        <v>242</v>
      </c>
      <c r="R20" s="64" t="s">
        <v>244</v>
      </c>
      <c r="S20" s="64" t="s">
        <v>246</v>
      </c>
      <c r="T20" s="64" t="s">
        <v>247</v>
      </c>
      <c r="U20" s="64" t="s">
        <v>248</v>
      </c>
      <c r="V20" s="64" t="s">
        <v>250</v>
      </c>
      <c r="W20" s="64" t="s">
        <v>251</v>
      </c>
      <c r="X20" s="64" t="s">
        <v>249</v>
      </c>
    </row>
    <row r="21" spans="1:25" ht="30.6" customHeight="1">
      <c r="I21" s="94" t="s">
        <v>263</v>
      </c>
      <c r="J21" s="37">
        <v>400</v>
      </c>
      <c r="K21" s="37">
        <v>0</v>
      </c>
      <c r="L21" s="37">
        <v>300</v>
      </c>
      <c r="M21" s="37">
        <v>500</v>
      </c>
      <c r="N21" s="37">
        <v>0</v>
      </c>
      <c r="O21" s="37">
        <v>0</v>
      </c>
      <c r="P21" s="37">
        <v>0</v>
      </c>
      <c r="Q21" s="37">
        <v>100</v>
      </c>
      <c r="R21" s="37">
        <v>0</v>
      </c>
      <c r="S21" s="37">
        <v>0</v>
      </c>
      <c r="T21" s="37">
        <v>800</v>
      </c>
      <c r="U21" s="37">
        <v>0</v>
      </c>
      <c r="V21" s="37">
        <v>0</v>
      </c>
      <c r="W21" s="37">
        <v>0</v>
      </c>
      <c r="X21" s="37">
        <v>400</v>
      </c>
    </row>
    <row r="23" spans="1:25">
      <c r="I23" s="5" t="s">
        <v>264</v>
      </c>
      <c r="J23">
        <v>5400</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2">
    <mergeCell ref="B18:E18"/>
    <mergeCell ref="A1:Y1"/>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E81649EF-F2D6-4085-BCDF-31FA497262C3}">
          <xm:f>'PC TECH  CO. TRANSPORTATION'!$H$3:$V$3</xm:f>
        </x15:webExtension>
        <x15:webExtension appRef="{71DD516B-AEA2-4ECE-82C3-DFC28729AE1C}">
          <xm:f>'PC TECH  CO. TRANSPORTATION'!$H$4</xm:f>
        </x15:webExtension>
        <x15:webExtension appRef="{DBFC3C37-97A9-482A-94AC-67695EA84FD2}">
          <xm:f>'PC TECH  CO. TRANSPORTATION'!$I$4</xm:f>
        </x15:webExtension>
        <x15:webExtension appRef="{0CCC5190-D707-45AB-8CD4-3DFB050AF45F}">
          <xm:f>'PC TECH  CO. TRANSPORTATION'!$J$4</xm:f>
        </x15:webExtension>
        <x15:webExtension appRef="{B32D626C-0935-4558-880D-C2F7ACCD7A8A}">
          <xm:f>'PC TECH  CO. TRANSPORTATION'!$K$4</xm:f>
        </x15:webExtension>
        <x15:webExtension appRef="{B4D10FE1-9323-43AA-8640-64EDA041E8CE}">
          <xm:f>'PC TECH  CO. TRANSPORTATION'!$L$4</xm:f>
        </x15:webExtension>
        <x15:webExtension appRef="{2561320E-BE09-41E3-8B48-CB46DEB455BC}">
          <xm:f>'PC TECH  CO. TRANSPORTATION'!$M$4</xm:f>
        </x15:webExtension>
        <x15:webExtension appRef="{257DD41C-C7E1-4F5E-8232-65F713E60F81}">
          <xm:f>'PC TECH  CO. TRANSPORTATION'!$N$4</xm:f>
        </x15:webExtension>
        <x15:webExtension appRef="{7D56FBE0-8036-4D99-9B7F-32FBFB417427}">
          <xm:f>'PC TECH  CO. TRANSPORTATION'!$O$4</xm:f>
        </x15:webExtension>
        <x15:webExtension appRef="{3DE4401E-5C21-4882-B246-2A41DD727D3E}">
          <xm:f>'PC TECH  CO. TRANSPORTATION'!$P$4</xm:f>
        </x15:webExtension>
        <x15:webExtension appRef="{FE09AB68-5D10-4667-9A9E-8F229C1FAC42}">
          <xm:f>'PC TECH  CO. TRANSPORTATION'!$Q$4</xm:f>
        </x15:webExtension>
        <x15:webExtension appRef="{F712847C-D3B3-45F3-B135-A718551C45C3}">
          <xm:f>'PC TECH  CO. TRANSPORTATION'!$R$4</xm:f>
        </x15:webExtension>
        <x15:webExtension appRef="{F31D209F-2B07-456B-83EF-4DF84721FFBB}">
          <xm:f>'PC TECH  CO. TRANSPORTATION'!$S$4</xm:f>
        </x15:webExtension>
        <x15:webExtension appRef="{71112CDA-294B-436B-B8E4-CE7657237D7A}">
          <xm:f>'PC TECH  CO. TRANSPORTATION'!$T$4</xm:f>
        </x15:webExtension>
        <x15:webExtension appRef="{0C27F4A0-15B5-48C6-948C-02BDA6D200E2}">
          <xm:f>'PC TECH  CO. TRANSPORTATION'!$U$4</xm:f>
        </x15:webExtension>
        <x15:webExtension appRef="{69083435-2C4A-49DF-8B9E-D907FB3A8AC7}">
          <xm:f>'PC TECH  CO. TRANSPORTATION'!$V$4</xm:f>
        </x15:webExtension>
      </x15:webExtens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4D78C-A077-4C62-8E43-160180CBE8C2}">
  <dimension ref="A4:XFD1048575"/>
  <sheetViews>
    <sheetView workbookViewId="0">
      <selection activeCell="D25" sqref="D25"/>
    </sheetView>
  </sheetViews>
  <sheetFormatPr defaultRowHeight="14.4"/>
  <cols>
    <col min="1" max="1" width="19.6640625" customWidth="1"/>
  </cols>
  <sheetData>
    <row r="4" spans="1:9">
      <c r="A4" t="s">
        <v>265</v>
      </c>
      <c r="C4" s="141" t="s">
        <v>274</v>
      </c>
      <c r="D4" s="141"/>
      <c r="E4" s="141"/>
      <c r="F4" s="141"/>
    </row>
    <row r="5" spans="1:9">
      <c r="C5" t="s">
        <v>269</v>
      </c>
      <c r="D5" t="s">
        <v>270</v>
      </c>
      <c r="E5" t="s">
        <v>271</v>
      </c>
      <c r="F5" t="s">
        <v>272</v>
      </c>
    </row>
    <row r="6" spans="1:9">
      <c r="A6" s="149" t="s">
        <v>273</v>
      </c>
      <c r="B6" t="s">
        <v>266</v>
      </c>
      <c r="C6" s="56">
        <v>800</v>
      </c>
      <c r="D6" s="56">
        <v>1100</v>
      </c>
      <c r="E6" s="56">
        <v>1200</v>
      </c>
      <c r="F6" s="56">
        <v>1000</v>
      </c>
      <c r="G6" s="56"/>
    </row>
    <row r="7" spans="1:9">
      <c r="A7" s="149"/>
      <c r="B7" t="s">
        <v>267</v>
      </c>
      <c r="C7" s="56">
        <v>500</v>
      </c>
      <c r="D7" s="56">
        <v>1600</v>
      </c>
      <c r="E7" s="56">
        <v>1300</v>
      </c>
      <c r="F7" s="56">
        <v>800</v>
      </c>
      <c r="G7" s="56"/>
    </row>
    <row r="8" spans="1:9">
      <c r="A8" s="149"/>
      <c r="B8" t="s">
        <v>268</v>
      </c>
      <c r="C8" s="56">
        <v>500</v>
      </c>
      <c r="D8" s="56">
        <v>1000</v>
      </c>
      <c r="E8" s="56">
        <v>2300</v>
      </c>
      <c r="F8" s="56">
        <v>1500</v>
      </c>
      <c r="G8" s="56"/>
    </row>
    <row r="9" spans="1:9">
      <c r="C9" s="56"/>
      <c r="D9" s="56"/>
      <c r="E9" s="56"/>
      <c r="F9" s="56"/>
      <c r="G9" s="56"/>
    </row>
    <row r="12" spans="1:9">
      <c r="A12" t="s">
        <v>277</v>
      </c>
      <c r="C12" s="141" t="s">
        <v>274</v>
      </c>
      <c r="D12" s="141"/>
      <c r="E12" s="141"/>
      <c r="F12" s="141"/>
    </row>
    <row r="13" spans="1:9">
      <c r="C13" t="s">
        <v>269</v>
      </c>
      <c r="D13" t="s">
        <v>270</v>
      </c>
      <c r="E13" t="s">
        <v>271</v>
      </c>
      <c r="F13" t="s">
        <v>272</v>
      </c>
      <c r="G13" t="s">
        <v>275</v>
      </c>
      <c r="H13" t="s">
        <v>139</v>
      </c>
      <c r="I13" t="s">
        <v>276</v>
      </c>
    </row>
    <row r="14" spans="1:9">
      <c r="A14" s="149" t="s">
        <v>273</v>
      </c>
      <c r="B14" t="s">
        <v>266</v>
      </c>
      <c r="C14" s="95">
        <v>0</v>
      </c>
      <c r="D14" s="95">
        <v>1</v>
      </c>
      <c r="E14" s="95">
        <v>0</v>
      </c>
      <c r="F14" s="95">
        <v>0</v>
      </c>
      <c r="G14">
        <f>SUM(C14:F14)</f>
        <v>1</v>
      </c>
      <c r="H14" t="s">
        <v>262</v>
      </c>
      <c r="I14">
        <v>1</v>
      </c>
    </row>
    <row r="15" spans="1:9">
      <c r="A15" s="149"/>
      <c r="B15" t="s">
        <v>267</v>
      </c>
      <c r="C15" s="95">
        <v>0</v>
      </c>
      <c r="D15" s="95">
        <v>0</v>
      </c>
      <c r="E15" s="95">
        <v>0</v>
      </c>
      <c r="F15" s="95">
        <v>1</v>
      </c>
      <c r="G15">
        <f t="shared" ref="G15:G16" si="0">SUM(C15:F15)</f>
        <v>1</v>
      </c>
      <c r="H15" t="s">
        <v>262</v>
      </c>
      <c r="I15">
        <v>1</v>
      </c>
    </row>
    <row r="16" spans="1:9">
      <c r="A16" s="149"/>
      <c r="B16" t="s">
        <v>268</v>
      </c>
      <c r="C16" s="95">
        <v>1</v>
      </c>
      <c r="D16" s="95">
        <v>0</v>
      </c>
      <c r="E16" s="95">
        <v>0</v>
      </c>
      <c r="F16" s="95">
        <v>0</v>
      </c>
      <c r="G16">
        <f t="shared" si="0"/>
        <v>1</v>
      </c>
      <c r="H16" t="s">
        <v>262</v>
      </c>
      <c r="I16">
        <v>1</v>
      </c>
    </row>
    <row r="17" spans="1:7">
      <c r="B17" t="s">
        <v>275</v>
      </c>
      <c r="C17">
        <f>SUM(C14:C16)</f>
        <v>1</v>
      </c>
      <c r="D17">
        <f t="shared" ref="D17:F17" si="1">SUM(D14:D16)</f>
        <v>1</v>
      </c>
      <c r="E17">
        <f t="shared" si="1"/>
        <v>0</v>
      </c>
      <c r="F17">
        <f t="shared" si="1"/>
        <v>1</v>
      </c>
    </row>
    <row r="18" spans="1:7">
      <c r="C18" t="s">
        <v>142</v>
      </c>
      <c r="D18" t="s">
        <v>142</v>
      </c>
      <c r="E18" t="s">
        <v>142</v>
      </c>
      <c r="F18" t="s">
        <v>142</v>
      </c>
    </row>
    <row r="19" spans="1:7">
      <c r="C19">
        <v>1</v>
      </c>
      <c r="D19">
        <v>1</v>
      </c>
      <c r="E19">
        <v>1</v>
      </c>
      <c r="F19">
        <v>1</v>
      </c>
    </row>
    <row r="22" spans="1:7">
      <c r="A22" t="s">
        <v>278</v>
      </c>
    </row>
    <row r="23" spans="1:7">
      <c r="A23" t="s">
        <v>279</v>
      </c>
      <c r="B23">
        <f>SUMPRODUCT(C6:F8,C14:F16)</f>
        <v>2400</v>
      </c>
    </row>
    <row r="25" spans="1:7">
      <c r="A25" t="s">
        <v>280</v>
      </c>
    </row>
    <row r="26" spans="1:7">
      <c r="A26" t="s">
        <v>279</v>
      </c>
      <c r="B26">
        <v>2400</v>
      </c>
    </row>
    <row r="27" spans="1:7">
      <c r="A27" t="s">
        <v>281</v>
      </c>
      <c r="B27" t="s">
        <v>277</v>
      </c>
      <c r="D27" s="141" t="s">
        <v>274</v>
      </c>
      <c r="E27" s="141"/>
      <c r="F27" s="141"/>
      <c r="G27" s="141"/>
    </row>
    <row r="28" spans="1:7">
      <c r="D28" t="s">
        <v>269</v>
      </c>
      <c r="E28" t="s">
        <v>270</v>
      </c>
      <c r="F28" t="s">
        <v>271</v>
      </c>
      <c r="G28" t="s">
        <v>272</v>
      </c>
    </row>
    <row r="29" spans="1:7">
      <c r="B29" s="149" t="s">
        <v>273</v>
      </c>
      <c r="C29" t="s">
        <v>266</v>
      </c>
      <c r="D29" s="95">
        <v>0</v>
      </c>
      <c r="E29" s="95">
        <v>1</v>
      </c>
      <c r="F29" s="95">
        <v>0</v>
      </c>
      <c r="G29" s="95">
        <v>0</v>
      </c>
    </row>
    <row r="30" spans="1:7">
      <c r="B30" s="149"/>
      <c r="C30" t="s">
        <v>267</v>
      </c>
      <c r="D30" s="95">
        <v>0</v>
      </c>
      <c r="E30" s="95">
        <v>0</v>
      </c>
      <c r="F30" s="95">
        <v>0</v>
      </c>
      <c r="G30" s="95">
        <v>1</v>
      </c>
    </row>
    <row r="31" spans="1:7">
      <c r="B31" s="149"/>
      <c r="C31" t="s">
        <v>268</v>
      </c>
      <c r="D31" s="95">
        <v>1</v>
      </c>
      <c r="E31" s="95">
        <v>0</v>
      </c>
      <c r="F31" s="95">
        <v>0</v>
      </c>
      <c r="G31" s="95">
        <v>0</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6">
    <mergeCell ref="B29:B31"/>
    <mergeCell ref="C4:F4"/>
    <mergeCell ref="A6:A8"/>
    <mergeCell ref="C12:F12"/>
    <mergeCell ref="A14:A16"/>
    <mergeCell ref="D27:G27"/>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F92347B2-E2F9-456E-9604-1AA94BDC3EEF}">
          <xm:f>'ASSIGNMENT PROBLEM'!$C$14</xm:f>
        </x15:webExtension>
        <x15:webExtension appRef="{92F733F9-4240-403A-99F5-45DD5D9CAEA5}">
          <xm:f>'ASSIGNMENT PROBLEM'!$D$14</xm:f>
        </x15:webExtension>
        <x15:webExtension appRef="{0EFBB60D-4EA7-4A9D-9216-745EEF050D0C}">
          <xm:f>'ASSIGNMENT PROBLEM'!$E$14</xm:f>
        </x15:webExtension>
        <x15:webExtension appRef="{C3899040-D2AA-456B-B820-354D2FFAD87D}">
          <xm:f>'ASSIGNMENT PROBLEM'!$F$14</xm:f>
        </x15:webExtension>
        <x15:webExtension appRef="{5DBCAB9B-006F-4B7C-88B3-832156011B03}">
          <xm:f>'ASSIGNMENT PROBLEM'!$C$15</xm:f>
        </x15:webExtension>
        <x15:webExtension appRef="{D5D0A69F-9CE5-488C-86A0-4AD05176CB18}">
          <xm:f>'ASSIGNMENT PROBLEM'!$D$15</xm:f>
        </x15:webExtension>
        <x15:webExtension appRef="{56E388E5-FCA9-4579-9BF2-6F9FA1ACACB6}">
          <xm:f>'ASSIGNMENT PROBLEM'!$E$15</xm:f>
        </x15:webExtension>
        <x15:webExtension appRef="{AB2A5218-92C1-4AB0-A61A-4391922329E7}">
          <xm:f>'ASSIGNMENT PROBLEM'!$F$15</xm:f>
        </x15:webExtension>
        <x15:webExtension appRef="{90814951-4776-4859-A4B4-937B3D0C1AC0}">
          <xm:f>'ASSIGNMENT PROBLEM'!$C$16</xm:f>
        </x15:webExtension>
        <x15:webExtension appRef="{4DFD1A47-5099-440E-866D-4ACEB3E4D8DA}">
          <xm:f>'ASSIGNMENT PROBLEM'!$D$16</xm:f>
        </x15:webExtension>
        <x15:webExtension appRef="{DBB30430-BEFA-49CB-90C3-A22F3F7FE154}">
          <xm:f>'ASSIGNMENT PROBLEM'!$E$16</xm:f>
        </x15:webExtension>
        <x15:webExtension appRef="{B0A86ADA-F0D7-42E3-ABF2-1D55839E9635}">
          <xm:f>'ASSIGNMENT PROBLEM'!$F$16</xm:f>
        </x15:webExtension>
      </x15:webExtens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7A97-608B-40CF-97EA-D0801C38D224}">
  <dimension ref="A1:XFD1048575"/>
  <sheetViews>
    <sheetView topLeftCell="A16" workbookViewId="0">
      <selection activeCell="K28" sqref="K28"/>
    </sheetView>
  </sheetViews>
  <sheetFormatPr defaultRowHeight="14.4"/>
  <cols>
    <col min="1" max="1" width="21.21875" customWidth="1"/>
    <col min="2" max="2" width="16.5546875" customWidth="1"/>
    <col min="3" max="3" width="15.109375" customWidth="1"/>
  </cols>
  <sheetData>
    <row r="1" spans="1:10" ht="20.399999999999999" thickBot="1">
      <c r="A1" s="116" t="s">
        <v>282</v>
      </c>
      <c r="B1" s="116"/>
      <c r="C1" s="116"/>
      <c r="D1" s="116"/>
      <c r="E1" s="116"/>
      <c r="F1" s="116"/>
      <c r="G1" s="116"/>
      <c r="H1" s="116"/>
      <c r="I1" s="116"/>
    </row>
    <row r="2" spans="1:10" ht="15" thickTop="1"/>
    <row r="4" spans="1:10">
      <c r="A4" s="37" t="s">
        <v>297</v>
      </c>
      <c r="B4" s="37"/>
      <c r="C4" s="37"/>
      <c r="D4" s="151" t="s">
        <v>292</v>
      </c>
      <c r="E4" s="151"/>
      <c r="F4" s="151"/>
      <c r="G4" s="151"/>
    </row>
    <row r="5" spans="1:10">
      <c r="A5" s="37"/>
      <c r="B5" s="37"/>
      <c r="C5" s="37"/>
      <c r="D5" s="37" t="s">
        <v>287</v>
      </c>
      <c r="E5" s="37" t="s">
        <v>288</v>
      </c>
      <c r="F5" s="37" t="s">
        <v>289</v>
      </c>
      <c r="G5" s="37" t="s">
        <v>290</v>
      </c>
    </row>
    <row r="6" spans="1:10">
      <c r="A6" s="37"/>
      <c r="B6" s="150" t="s">
        <v>293</v>
      </c>
      <c r="C6" s="37" t="s">
        <v>283</v>
      </c>
      <c r="D6" s="37">
        <v>1500</v>
      </c>
      <c r="E6" s="37">
        <v>1730</v>
      </c>
      <c r="F6" s="37">
        <v>1940</v>
      </c>
      <c r="G6" s="37">
        <v>2070</v>
      </c>
    </row>
    <row r="7" spans="1:10">
      <c r="A7" s="37"/>
      <c r="B7" s="150"/>
      <c r="C7" s="37" t="s">
        <v>284</v>
      </c>
      <c r="D7" s="37">
        <v>460</v>
      </c>
      <c r="E7" s="37">
        <v>810</v>
      </c>
      <c r="F7" s="37">
        <v>1020</v>
      </c>
      <c r="G7" s="37">
        <v>1270</v>
      </c>
    </row>
    <row r="8" spans="1:10">
      <c r="A8" s="37"/>
      <c r="B8" s="150"/>
      <c r="C8" s="37" t="s">
        <v>285</v>
      </c>
      <c r="D8" s="37">
        <v>1500</v>
      </c>
      <c r="E8" s="37">
        <v>1850</v>
      </c>
      <c r="F8" s="37">
        <v>2080</v>
      </c>
      <c r="G8" s="37" t="s">
        <v>291</v>
      </c>
    </row>
    <row r="9" spans="1:10">
      <c r="A9" s="37"/>
      <c r="B9" s="150"/>
      <c r="C9" s="37" t="s">
        <v>286</v>
      </c>
      <c r="D9" s="37">
        <v>960</v>
      </c>
      <c r="E9" s="37">
        <v>610</v>
      </c>
      <c r="F9" s="37">
        <v>400</v>
      </c>
      <c r="G9" s="37">
        <v>330</v>
      </c>
    </row>
    <row r="13" spans="1:10">
      <c r="A13" s="37" t="s">
        <v>298</v>
      </c>
      <c r="B13" s="37"/>
      <c r="C13" s="37"/>
      <c r="D13" s="151" t="s">
        <v>292</v>
      </c>
      <c r="E13" s="151"/>
      <c r="F13" s="151"/>
      <c r="G13" s="151"/>
      <c r="H13" s="37"/>
      <c r="I13" s="37"/>
      <c r="J13" s="37"/>
    </row>
    <row r="14" spans="1:10">
      <c r="A14" s="37"/>
      <c r="B14" s="37"/>
      <c r="C14" s="37"/>
      <c r="D14" s="37" t="s">
        <v>287</v>
      </c>
      <c r="E14" s="37" t="s">
        <v>288</v>
      </c>
      <c r="F14" s="37" t="s">
        <v>289</v>
      </c>
      <c r="G14" s="37" t="s">
        <v>290</v>
      </c>
      <c r="H14" s="37" t="s">
        <v>275</v>
      </c>
      <c r="I14" s="37" t="s">
        <v>139</v>
      </c>
      <c r="J14" s="37"/>
    </row>
    <row r="15" spans="1:10">
      <c r="A15" s="37"/>
      <c r="B15" s="150" t="s">
        <v>293</v>
      </c>
      <c r="C15" s="37" t="s">
        <v>283</v>
      </c>
      <c r="D15" s="98">
        <v>0</v>
      </c>
      <c r="E15" s="98">
        <v>1</v>
      </c>
      <c r="F15" s="98">
        <v>0</v>
      </c>
      <c r="G15" s="98">
        <v>0</v>
      </c>
      <c r="H15" s="37">
        <f>SUM(D15:G15)</f>
        <v>1</v>
      </c>
      <c r="I15" s="37" t="s">
        <v>262</v>
      </c>
      <c r="J15" s="37">
        <v>1</v>
      </c>
    </row>
    <row r="16" spans="1:10" ht="14.4" customHeight="1">
      <c r="A16" s="37"/>
      <c r="B16" s="150"/>
      <c r="C16" s="37" t="s">
        <v>284</v>
      </c>
      <c r="D16" s="98">
        <v>1</v>
      </c>
      <c r="E16" s="98">
        <v>0</v>
      </c>
      <c r="F16" s="98">
        <v>0</v>
      </c>
      <c r="G16" s="98">
        <v>0</v>
      </c>
      <c r="H16" s="37">
        <f t="shared" ref="H16:H18" si="0">SUM(D16:G16)</f>
        <v>1</v>
      </c>
      <c r="I16" s="37" t="s">
        <v>262</v>
      </c>
      <c r="J16" s="37">
        <v>1</v>
      </c>
    </row>
    <row r="17" spans="1:10">
      <c r="A17" s="37"/>
      <c r="B17" s="150"/>
      <c r="C17" s="37" t="s">
        <v>285</v>
      </c>
      <c r="D17" s="98">
        <v>0</v>
      </c>
      <c r="E17" s="98">
        <v>0</v>
      </c>
      <c r="F17" s="98">
        <v>0</v>
      </c>
      <c r="G17" s="98">
        <v>1</v>
      </c>
      <c r="H17" s="37">
        <f t="shared" si="0"/>
        <v>1</v>
      </c>
      <c r="I17" s="37" t="s">
        <v>262</v>
      </c>
      <c r="J17" s="37">
        <v>1</v>
      </c>
    </row>
    <row r="18" spans="1:10">
      <c r="A18" s="37"/>
      <c r="B18" s="150"/>
      <c r="C18" s="37" t="s">
        <v>286</v>
      </c>
      <c r="D18" s="98">
        <v>0</v>
      </c>
      <c r="E18" s="98">
        <v>0</v>
      </c>
      <c r="F18" s="98">
        <v>1</v>
      </c>
      <c r="G18" s="98">
        <v>0</v>
      </c>
      <c r="H18" s="37">
        <f t="shared" si="0"/>
        <v>1</v>
      </c>
      <c r="I18" s="37" t="s">
        <v>262</v>
      </c>
      <c r="J18" s="37">
        <v>1</v>
      </c>
    </row>
    <row r="19" spans="1:10">
      <c r="A19" s="37"/>
      <c r="B19" s="37"/>
      <c r="C19" s="37" t="s">
        <v>275</v>
      </c>
      <c r="D19" s="37">
        <f>SUM(D15:D18)</f>
        <v>1</v>
      </c>
      <c r="E19" s="37">
        <f t="shared" ref="E19:G19" si="1">SUM(E15:E18)</f>
        <v>1</v>
      </c>
      <c r="F19" s="37">
        <f t="shared" si="1"/>
        <v>1</v>
      </c>
      <c r="G19" s="37">
        <f t="shared" si="1"/>
        <v>1</v>
      </c>
      <c r="H19" s="37"/>
      <c r="I19" s="37"/>
      <c r="J19" s="37"/>
    </row>
    <row r="20" spans="1:10">
      <c r="A20" s="37"/>
      <c r="B20" s="37"/>
      <c r="C20" s="37" t="s">
        <v>139</v>
      </c>
      <c r="D20" s="37" t="s">
        <v>142</v>
      </c>
      <c r="E20" s="37" t="s">
        <v>142</v>
      </c>
      <c r="F20" s="37" t="s">
        <v>142</v>
      </c>
      <c r="G20" s="37" t="s">
        <v>142</v>
      </c>
      <c r="H20" s="37"/>
      <c r="I20" s="37"/>
      <c r="J20" s="37"/>
    </row>
    <row r="21" spans="1:10">
      <c r="A21" s="37"/>
      <c r="B21" s="37"/>
      <c r="C21" s="37" t="s">
        <v>294</v>
      </c>
      <c r="D21" s="37">
        <v>1</v>
      </c>
      <c r="E21" s="37">
        <v>1</v>
      </c>
      <c r="F21" s="37">
        <v>1</v>
      </c>
      <c r="G21" s="37">
        <v>1</v>
      </c>
      <c r="H21" s="37"/>
      <c r="I21" s="37"/>
      <c r="J21" s="37"/>
    </row>
    <row r="25" spans="1:10">
      <c r="A25" s="5" t="s">
        <v>295</v>
      </c>
      <c r="B25" s="5" t="s">
        <v>296</v>
      </c>
      <c r="C25" s="96">
        <f>SUMPRODUCT(D6:G9,D15:G18)</f>
        <v>2590</v>
      </c>
    </row>
    <row r="28" spans="1:10">
      <c r="A28" s="140" t="s">
        <v>299</v>
      </c>
      <c r="B28" s="140"/>
    </row>
    <row r="29" spans="1:10">
      <c r="A29" s="5" t="s">
        <v>300</v>
      </c>
      <c r="B29">
        <v>2590</v>
      </c>
    </row>
    <row r="30" spans="1:10">
      <c r="A30" s="5" t="s">
        <v>277</v>
      </c>
      <c r="D30" s="141" t="s">
        <v>292</v>
      </c>
      <c r="E30" s="141"/>
      <c r="F30" s="141"/>
      <c r="G30" s="141"/>
    </row>
    <row r="31" spans="1:10">
      <c r="D31" t="s">
        <v>287</v>
      </c>
      <c r="E31" t="s">
        <v>288</v>
      </c>
      <c r="F31" t="s">
        <v>289</v>
      </c>
      <c r="G31" t="s">
        <v>290</v>
      </c>
    </row>
    <row r="32" spans="1:10">
      <c r="B32" s="149" t="s">
        <v>293</v>
      </c>
      <c r="C32" t="s">
        <v>283</v>
      </c>
      <c r="D32" s="95">
        <v>0</v>
      </c>
      <c r="E32" s="95">
        <v>1</v>
      </c>
      <c r="F32" s="95">
        <v>0</v>
      </c>
      <c r="G32" s="95">
        <v>0</v>
      </c>
    </row>
    <row r="33" spans="2:7">
      <c r="B33" s="149"/>
      <c r="C33" t="s">
        <v>284</v>
      </c>
      <c r="D33" s="95">
        <v>1</v>
      </c>
      <c r="E33" s="95">
        <v>0</v>
      </c>
      <c r="F33" s="95">
        <v>0</v>
      </c>
      <c r="G33" s="95">
        <v>0</v>
      </c>
    </row>
    <row r="34" spans="2:7">
      <c r="B34" s="149"/>
      <c r="C34" t="s">
        <v>285</v>
      </c>
      <c r="D34" s="95">
        <v>0</v>
      </c>
      <c r="E34" s="95">
        <v>0</v>
      </c>
      <c r="F34" s="95">
        <v>0</v>
      </c>
      <c r="G34" s="95">
        <v>1</v>
      </c>
    </row>
    <row r="35" spans="2:7">
      <c r="B35" s="149"/>
      <c r="C35" t="s">
        <v>286</v>
      </c>
      <c r="D35" s="95">
        <v>0</v>
      </c>
      <c r="E35" s="95">
        <v>0</v>
      </c>
      <c r="F35" s="95">
        <v>1</v>
      </c>
      <c r="G35" s="95">
        <v>0</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8">
    <mergeCell ref="A1:I1"/>
    <mergeCell ref="D30:G30"/>
    <mergeCell ref="B32:B35"/>
    <mergeCell ref="A28:B28"/>
    <mergeCell ref="B6:B9"/>
    <mergeCell ref="D4:G4"/>
    <mergeCell ref="D13:G13"/>
    <mergeCell ref="B15:B18"/>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B5C3E58C-B41A-4299-A1EE-1368EF7E938E}">
          <xm:f>'MLB UMPIRE ASSGN'!$D$15:$G$18</xm:f>
        </x15:webExtension>
      </x15:webExtens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C478-3058-4A16-BEC5-E4A9C48CA418}">
  <dimension ref="A1:O23"/>
  <sheetViews>
    <sheetView workbookViewId="0">
      <selection activeCell="C25" sqref="C25"/>
    </sheetView>
  </sheetViews>
  <sheetFormatPr defaultRowHeight="14.4"/>
  <cols>
    <col min="1" max="1" width="21.6640625" customWidth="1"/>
    <col min="2" max="2" width="14.109375" customWidth="1"/>
    <col min="3" max="3" width="15.109375" customWidth="1"/>
    <col min="10" max="10" width="12.77734375" customWidth="1"/>
    <col min="12" max="12" width="12.77734375" customWidth="1"/>
  </cols>
  <sheetData>
    <row r="1" spans="1:15" ht="20.399999999999999" thickBot="1">
      <c r="A1" s="116" t="s">
        <v>301</v>
      </c>
      <c r="B1" s="116"/>
      <c r="C1" s="116"/>
      <c r="D1" s="116"/>
      <c r="E1" s="116"/>
      <c r="F1" s="116"/>
      <c r="G1" s="116"/>
      <c r="H1" s="116"/>
      <c r="I1" s="116"/>
      <c r="J1" s="116"/>
      <c r="K1" s="116"/>
      <c r="L1" s="116"/>
      <c r="M1" s="116"/>
      <c r="N1" s="116"/>
      <c r="O1" s="116"/>
    </row>
    <row r="2" spans="1:15" ht="15" thickTop="1"/>
    <row r="5" spans="1:15">
      <c r="A5" s="81"/>
      <c r="B5" s="81" t="s">
        <v>302</v>
      </c>
      <c r="C5" s="81" t="s">
        <v>303</v>
      </c>
      <c r="G5" s="4"/>
      <c r="H5" s="4"/>
    </row>
    <row r="6" spans="1:15">
      <c r="A6" s="81" t="s">
        <v>304</v>
      </c>
      <c r="B6" s="100">
        <v>390</v>
      </c>
      <c r="C6" s="100">
        <v>240</v>
      </c>
      <c r="D6" s="4"/>
      <c r="E6" s="4"/>
      <c r="F6" s="4"/>
    </row>
    <row r="7" spans="1:15">
      <c r="A7" s="81" t="s">
        <v>131</v>
      </c>
      <c r="B7" s="97">
        <v>8200</v>
      </c>
      <c r="C7" s="97">
        <v>5100</v>
      </c>
      <c r="D7" s="4"/>
      <c r="E7" s="4"/>
      <c r="F7" s="4"/>
    </row>
    <row r="8" spans="1:15">
      <c r="A8" s="81" t="s">
        <v>310</v>
      </c>
      <c r="B8" s="101">
        <v>4</v>
      </c>
      <c r="C8" s="101">
        <v>1</v>
      </c>
      <c r="D8" s="4" t="s">
        <v>312</v>
      </c>
      <c r="E8" s="4"/>
      <c r="F8" s="4"/>
    </row>
    <row r="9" spans="1:15">
      <c r="A9" s="6"/>
      <c r="B9" s="4"/>
      <c r="C9" s="4"/>
      <c r="D9" s="4"/>
      <c r="E9" s="4"/>
      <c r="F9" s="4"/>
    </row>
    <row r="10" spans="1:15">
      <c r="A10" s="4" t="s">
        <v>305</v>
      </c>
      <c r="B10" s="99">
        <v>1800</v>
      </c>
      <c r="C10" s="4"/>
      <c r="D10" s="4"/>
      <c r="E10" s="4"/>
      <c r="F10" s="4"/>
    </row>
    <row r="11" spans="1:15">
      <c r="A11" s="4" t="s">
        <v>311</v>
      </c>
      <c r="B11" s="99">
        <f>SUMPRODUCT(B8:C8,B6:C6)</f>
        <v>1800</v>
      </c>
      <c r="C11" s="4"/>
      <c r="D11" s="4"/>
      <c r="E11" s="4"/>
      <c r="F11" s="4"/>
    </row>
    <row r="12" spans="1:15">
      <c r="A12" s="4"/>
      <c r="B12" s="4"/>
      <c r="C12" s="4"/>
      <c r="D12" s="4"/>
      <c r="E12" s="4"/>
      <c r="F12" s="4"/>
    </row>
    <row r="13" spans="1:15">
      <c r="A13" s="97" t="s">
        <v>306</v>
      </c>
      <c r="B13" s="97" t="s">
        <v>291</v>
      </c>
      <c r="C13" s="97" t="s">
        <v>309</v>
      </c>
      <c r="D13" s="97" t="s">
        <v>138</v>
      </c>
      <c r="E13" s="97" t="s">
        <v>139</v>
      </c>
      <c r="F13" s="97" t="s">
        <v>140</v>
      </c>
    </row>
    <row r="14" spans="1:15">
      <c r="A14" s="97" t="s">
        <v>307</v>
      </c>
      <c r="B14" s="97">
        <v>390</v>
      </c>
      <c r="C14" s="97">
        <v>240</v>
      </c>
      <c r="D14" s="100">
        <f>SUMPRODUCT(B14:C14,$B$8:$C$8)</f>
        <v>1800</v>
      </c>
      <c r="E14" s="97" t="s">
        <v>142</v>
      </c>
      <c r="F14" s="100">
        <v>1800</v>
      </c>
      <c r="J14" s="5"/>
      <c r="K14" s="6" t="s">
        <v>214</v>
      </c>
      <c r="L14" s="6"/>
    </row>
    <row r="15" spans="1:15">
      <c r="A15" s="97" t="s">
        <v>302</v>
      </c>
      <c r="B15" s="97">
        <v>1</v>
      </c>
      <c r="C15" s="97"/>
      <c r="D15" s="97">
        <f t="shared" ref="D15:D16" si="0">SUMPRODUCT(B15:C15,$B$8:$C$8)</f>
        <v>4</v>
      </c>
      <c r="E15" s="97" t="s">
        <v>146</v>
      </c>
      <c r="F15" s="97">
        <v>2</v>
      </c>
      <c r="I15" s="4"/>
      <c r="J15" s="5" t="s">
        <v>314</v>
      </c>
      <c r="K15" s="5">
        <v>2</v>
      </c>
      <c r="L15" s="5"/>
    </row>
    <row r="16" spans="1:15">
      <c r="A16" s="97" t="s">
        <v>308</v>
      </c>
      <c r="B16" s="97"/>
      <c r="C16" s="97">
        <v>1</v>
      </c>
      <c r="D16" s="97">
        <f t="shared" si="0"/>
        <v>1</v>
      </c>
      <c r="E16" s="97" t="s">
        <v>142</v>
      </c>
      <c r="F16" s="97">
        <v>6</v>
      </c>
      <c r="J16" s="5" t="s">
        <v>315</v>
      </c>
      <c r="K16" s="5">
        <v>4.25</v>
      </c>
      <c r="L16" s="102" t="s">
        <v>317</v>
      </c>
    </row>
    <row r="17" spans="1:13">
      <c r="A17" s="97" t="s">
        <v>333</v>
      </c>
      <c r="B17" s="37" t="s">
        <v>291</v>
      </c>
      <c r="C17" s="37"/>
      <c r="D17" s="37"/>
      <c r="E17" s="97" t="s">
        <v>334</v>
      </c>
      <c r="F17" s="37"/>
      <c r="J17" s="5" t="s">
        <v>316</v>
      </c>
      <c r="K17" s="5">
        <v>38075</v>
      </c>
      <c r="L17" s="5"/>
    </row>
    <row r="18" spans="1:13">
      <c r="A18" s="97" t="s">
        <v>335</v>
      </c>
      <c r="B18" s="37"/>
      <c r="C18" s="37" t="s">
        <v>309</v>
      </c>
      <c r="D18" s="37"/>
      <c r="E18" s="97" t="s">
        <v>334</v>
      </c>
      <c r="F18" s="37"/>
    </row>
    <row r="19" spans="1:13">
      <c r="A19" s="4"/>
      <c r="E19" s="4"/>
    </row>
    <row r="20" spans="1:13">
      <c r="A20" s="6" t="s">
        <v>313</v>
      </c>
      <c r="B20" s="96">
        <f>SUMPRODUCT(B8:C8,B7:C7)</f>
        <v>37900</v>
      </c>
      <c r="J20" s="140" t="s">
        <v>318</v>
      </c>
      <c r="K20" s="140"/>
      <c r="L20" s="140"/>
      <c r="M20" s="140"/>
    </row>
    <row r="21" spans="1:13">
      <c r="B21" s="56"/>
      <c r="J21" s="5" t="s">
        <v>314</v>
      </c>
      <c r="K21" s="5">
        <v>4</v>
      </c>
    </row>
    <row r="22" spans="1:13">
      <c r="J22" s="5" t="s">
        <v>315</v>
      </c>
      <c r="K22" s="5">
        <v>1</v>
      </c>
    </row>
    <row r="23" spans="1:13">
      <c r="J23" s="5" t="s">
        <v>319</v>
      </c>
      <c r="K23" s="5">
        <v>37900</v>
      </c>
    </row>
  </sheetData>
  <mergeCells count="2">
    <mergeCell ref="A1:O1"/>
    <mergeCell ref="J20:M20"/>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41C8B748-1FC3-4A24-9B24-AFAC5DC4F7C1}">
          <xm:f>'INTEGER LP PROBLEM'!$C$20</xm:f>
        </x15:webExtension>
        <x15:webExtension appRef="{A5FEC0C5-E500-4500-8B19-D2E7F84F5288}">
          <xm:f>'INTEGER LP PROBLEM'!$D$20</xm:f>
        </x15:webExtension>
        <x15:webExtension appRef="{F8A8ED61-38E7-4517-8225-E1BEEA039CC9}">
          <xm:f>'INTEGER LP PROBLEM'!$E$20</xm:f>
        </x15:webExtension>
        <x15:webExtension appRef="{EE1F216E-FFE4-435C-BEC4-F4D51CF8822D}">
          <xm:f>'INTEGER LP PROBLEM'!$F$20</xm:f>
        </x15:webExtension>
        <x15:webExtension appRef="{69FFF029-6445-4936-92A8-2BD7AAA26654}">
          <xm:f>'INTEGER LP PROBLEM'!$B$8:$C$8</xm:f>
        </x15:webExtension>
        <x15:webExtension appRef="{7C436F77-7DED-45D7-91B0-F5D24005BBEE}">
          <xm:f>'INTEGER LP PROBLEM'!$B$8:$C$8</xm:f>
        </x15:webExtension>
      </x15:webExtens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BB4DD-10A0-471D-9594-967F5DB44916}">
  <dimension ref="A1:XFD1048575"/>
  <sheetViews>
    <sheetView zoomScale="71" workbookViewId="0">
      <selection activeCell="G23" sqref="G23"/>
    </sheetView>
  </sheetViews>
  <sheetFormatPr defaultRowHeight="14.4"/>
  <cols>
    <col min="1" max="1" width="29.44140625" customWidth="1"/>
    <col min="2" max="2" width="20.21875" customWidth="1"/>
    <col min="3" max="3" width="17.77734375" customWidth="1"/>
    <col min="4" max="4" width="16.21875" customWidth="1"/>
    <col min="5" max="5" width="19.77734375" customWidth="1"/>
    <col min="6" max="8" width="17.6640625" customWidth="1"/>
    <col min="9" max="9" width="17.88671875" customWidth="1"/>
    <col min="11" max="11" width="16.21875" customWidth="1"/>
  </cols>
  <sheetData>
    <row r="1" spans="1:20" ht="20.399999999999999" thickBot="1">
      <c r="A1" s="116" t="s">
        <v>320</v>
      </c>
      <c r="B1" s="116"/>
      <c r="C1" s="116"/>
      <c r="D1" s="116"/>
      <c r="E1" s="116"/>
      <c r="F1" s="116"/>
      <c r="G1" s="116"/>
      <c r="H1" s="116"/>
      <c r="I1" s="116"/>
      <c r="J1" s="116"/>
      <c r="K1" s="116"/>
      <c r="L1" s="116"/>
      <c r="M1" s="116"/>
      <c r="N1" s="116"/>
      <c r="O1" s="116"/>
      <c r="P1" s="116"/>
      <c r="Q1" s="116"/>
      <c r="R1" s="116"/>
      <c r="S1" s="116"/>
      <c r="T1" s="116"/>
    </row>
    <row r="2" spans="1:20" ht="15" thickTop="1"/>
    <row r="4" spans="1:20" ht="30" customHeight="1">
      <c r="A4" s="103" t="s">
        <v>321</v>
      </c>
      <c r="B4" s="103" t="s">
        <v>324</v>
      </c>
      <c r="C4" s="103" t="s">
        <v>325</v>
      </c>
      <c r="D4" s="103" t="s">
        <v>326</v>
      </c>
      <c r="E4" s="103" t="s">
        <v>327</v>
      </c>
      <c r="F4" s="103" t="s">
        <v>328</v>
      </c>
      <c r="G4" s="103" t="s">
        <v>329</v>
      </c>
      <c r="H4" s="103" t="s">
        <v>337</v>
      </c>
      <c r="N4" s="35" t="s">
        <v>330</v>
      </c>
    </row>
    <row r="5" spans="1:20" ht="28.8">
      <c r="A5" s="103" t="s">
        <v>322</v>
      </c>
      <c r="B5" s="35">
        <v>50</v>
      </c>
      <c r="C5" s="35">
        <v>80</v>
      </c>
      <c r="D5" s="35">
        <v>90</v>
      </c>
      <c r="E5" s="35">
        <v>120</v>
      </c>
      <c r="F5" s="35">
        <v>110</v>
      </c>
      <c r="G5" s="35">
        <v>40</v>
      </c>
      <c r="H5" s="35">
        <v>75</v>
      </c>
      <c r="N5" s="35">
        <v>75</v>
      </c>
    </row>
    <row r="6" spans="1:20" ht="28.8">
      <c r="A6" s="103" t="s">
        <v>323</v>
      </c>
      <c r="B6" s="35">
        <v>480</v>
      </c>
      <c r="C6" s="35">
        <v>540</v>
      </c>
      <c r="D6" s="35">
        <v>680</v>
      </c>
      <c r="E6" s="35">
        <v>1000</v>
      </c>
      <c r="F6" s="35">
        <v>700</v>
      </c>
      <c r="G6" s="35">
        <v>510</v>
      </c>
      <c r="H6" s="35">
        <v>900</v>
      </c>
      <c r="N6" s="35">
        <v>900</v>
      </c>
    </row>
    <row r="7" spans="1:20">
      <c r="A7" s="97" t="s">
        <v>200</v>
      </c>
      <c r="B7" s="97" t="s">
        <v>201</v>
      </c>
      <c r="C7" s="97" t="s">
        <v>202</v>
      </c>
      <c r="D7" s="97" t="s">
        <v>203</v>
      </c>
      <c r="E7" s="97" t="s">
        <v>204</v>
      </c>
      <c r="F7" s="97" t="s">
        <v>205</v>
      </c>
      <c r="G7" s="97" t="s">
        <v>331</v>
      </c>
      <c r="H7" s="97" t="s">
        <v>332</v>
      </c>
      <c r="N7" s="97" t="s">
        <v>332</v>
      </c>
    </row>
    <row r="8" spans="1:20">
      <c r="A8" s="104" t="s">
        <v>336</v>
      </c>
      <c r="B8" s="101">
        <v>0</v>
      </c>
      <c r="C8" s="101">
        <v>0</v>
      </c>
      <c r="D8" s="101">
        <v>1</v>
      </c>
      <c r="E8" s="101">
        <v>1</v>
      </c>
      <c r="F8" s="101">
        <v>1</v>
      </c>
      <c r="G8" s="101">
        <v>1</v>
      </c>
      <c r="H8" s="101">
        <v>0</v>
      </c>
    </row>
    <row r="9" spans="1:20" ht="37.200000000000003" customHeight="1">
      <c r="A9" s="103" t="s">
        <v>322</v>
      </c>
      <c r="B9" s="87">
        <f>SUMPRODUCT(B8,B5)*1000</f>
        <v>0</v>
      </c>
      <c r="C9" s="87">
        <f t="shared" ref="C9:H9" si="0">SUMPRODUCT(C8,C5)*1000</f>
        <v>0</v>
      </c>
      <c r="D9" s="87">
        <f t="shared" si="0"/>
        <v>90000</v>
      </c>
      <c r="E9" s="87">
        <f t="shared" si="0"/>
        <v>120000</v>
      </c>
      <c r="F9" s="87">
        <f t="shared" si="0"/>
        <v>110000</v>
      </c>
      <c r="G9" s="87">
        <f t="shared" si="0"/>
        <v>40000</v>
      </c>
      <c r="H9" s="87">
        <f t="shared" si="0"/>
        <v>0</v>
      </c>
      <c r="I9" s="106">
        <f>SUM(B9:H9)</f>
        <v>360000</v>
      </c>
    </row>
    <row r="10" spans="1:20" ht="34.200000000000003" customHeight="1">
      <c r="A10" s="103" t="s">
        <v>323</v>
      </c>
      <c r="B10" s="87">
        <f>SUMPRODUCT(B8,B6)*1000</f>
        <v>0</v>
      </c>
      <c r="C10" s="87">
        <f t="shared" ref="C10:H10" si="1">SUMPRODUCT(C8,C6)*1000</f>
        <v>0</v>
      </c>
      <c r="D10" s="87">
        <f t="shared" si="1"/>
        <v>680000</v>
      </c>
      <c r="E10" s="87">
        <f t="shared" si="1"/>
        <v>1000000</v>
      </c>
      <c r="F10" s="87">
        <f t="shared" si="1"/>
        <v>700000</v>
      </c>
      <c r="G10" s="87">
        <f t="shared" si="1"/>
        <v>510000</v>
      </c>
      <c r="H10" s="87">
        <f t="shared" si="1"/>
        <v>0</v>
      </c>
      <c r="I10" s="105">
        <f>SUM(B10:H10)</f>
        <v>2890000</v>
      </c>
    </row>
    <row r="11" spans="1:20">
      <c r="A11" s="83"/>
      <c r="B11" s="83"/>
      <c r="C11" s="83"/>
      <c r="D11" s="4"/>
    </row>
    <row r="14" spans="1:20">
      <c r="A14" s="35" t="s">
        <v>207</v>
      </c>
      <c r="B14" s="35" t="s">
        <v>201</v>
      </c>
      <c r="C14" s="35" t="s">
        <v>202</v>
      </c>
      <c r="D14" s="35" t="s">
        <v>203</v>
      </c>
      <c r="E14" s="35" t="s">
        <v>204</v>
      </c>
      <c r="F14" s="35" t="s">
        <v>205</v>
      </c>
      <c r="G14" s="35" t="s">
        <v>331</v>
      </c>
      <c r="H14" s="35" t="s">
        <v>332</v>
      </c>
      <c r="I14" s="35" t="s">
        <v>138</v>
      </c>
      <c r="J14" s="35" t="s">
        <v>139</v>
      </c>
      <c r="K14" s="35" t="s">
        <v>140</v>
      </c>
    </row>
    <row r="15" spans="1:20">
      <c r="A15" s="35" t="s">
        <v>338</v>
      </c>
      <c r="B15" s="35">
        <v>1</v>
      </c>
      <c r="C15" s="35"/>
      <c r="D15" s="35"/>
      <c r="E15" s="35">
        <v>1</v>
      </c>
      <c r="F15" s="35">
        <v>1</v>
      </c>
      <c r="G15" s="35"/>
      <c r="H15" s="35"/>
      <c r="I15" s="35">
        <f>SUMPRODUCT(B15:H15,$B$8:$H$8)</f>
        <v>2</v>
      </c>
      <c r="J15" s="35" t="s">
        <v>146</v>
      </c>
      <c r="K15" s="35">
        <v>2</v>
      </c>
    </row>
    <row r="16" spans="1:20">
      <c r="A16" s="35" t="s">
        <v>339</v>
      </c>
      <c r="B16" s="35"/>
      <c r="C16" s="35">
        <v>1</v>
      </c>
      <c r="D16" s="35">
        <v>1</v>
      </c>
      <c r="E16" s="35"/>
      <c r="F16" s="35"/>
      <c r="G16" s="35"/>
      <c r="H16" s="35"/>
      <c r="I16" s="35">
        <f>SUMPRODUCT(B16:H16,$B$8:$H$8)</f>
        <v>1</v>
      </c>
      <c r="J16" s="35" t="s">
        <v>142</v>
      </c>
      <c r="K16" s="35">
        <v>1</v>
      </c>
    </row>
    <row r="17" spans="1:11">
      <c r="A17" s="35" t="s">
        <v>340</v>
      </c>
      <c r="B17" s="35"/>
      <c r="C17" s="35"/>
      <c r="D17" s="35"/>
      <c r="E17" s="35"/>
      <c r="F17" s="35"/>
      <c r="G17" s="35">
        <v>1</v>
      </c>
      <c r="H17" s="35">
        <v>1</v>
      </c>
      <c r="I17" s="35">
        <f>SUMPRODUCT(B17:H17,$B$8:$H$8)</f>
        <v>1</v>
      </c>
      <c r="J17" s="35" t="s">
        <v>262</v>
      </c>
      <c r="K17" s="35">
        <v>1</v>
      </c>
    </row>
    <row r="18" spans="1:11">
      <c r="A18" s="35" t="s">
        <v>208</v>
      </c>
      <c r="B18" s="35">
        <v>480000</v>
      </c>
      <c r="C18" s="35">
        <v>540000</v>
      </c>
      <c r="D18" s="35">
        <v>680000</v>
      </c>
      <c r="E18" s="35">
        <v>1000000</v>
      </c>
      <c r="F18" s="35">
        <v>700000</v>
      </c>
      <c r="G18" s="35">
        <v>510000</v>
      </c>
      <c r="H18" s="35">
        <v>900000</v>
      </c>
      <c r="I18" s="35">
        <f>SUMPRODUCT(B18:H18,$B$8:$H$8)</f>
        <v>2890000</v>
      </c>
      <c r="J18" s="35" t="s">
        <v>142</v>
      </c>
      <c r="K18" s="35">
        <v>3000000</v>
      </c>
    </row>
    <row r="19" spans="1:11">
      <c r="A19" s="83"/>
      <c r="B19" s="83"/>
      <c r="C19" s="83"/>
      <c r="D19" s="83"/>
      <c r="E19" s="83"/>
      <c r="F19" s="83"/>
      <c r="G19" s="83"/>
      <c r="H19" s="83"/>
      <c r="I19" s="83"/>
      <c r="J19" s="83"/>
      <c r="K19" s="83"/>
    </row>
    <row r="20" spans="1:11">
      <c r="A20" s="83"/>
      <c r="B20" s="83"/>
      <c r="C20" s="83"/>
      <c r="D20" s="83"/>
      <c r="E20" s="83"/>
      <c r="F20" s="83"/>
      <c r="G20" s="83"/>
      <c r="H20" s="83"/>
      <c r="I20" s="83"/>
      <c r="J20" s="83"/>
      <c r="K20" s="83"/>
    </row>
    <row r="22" spans="1:11">
      <c r="A22" s="128" t="s">
        <v>341</v>
      </c>
      <c r="B22" s="130"/>
    </row>
    <row r="23" spans="1:11">
      <c r="A23" s="50" t="s">
        <v>201</v>
      </c>
      <c r="B23" s="50">
        <v>0</v>
      </c>
    </row>
    <row r="24" spans="1:11">
      <c r="A24" s="50" t="s">
        <v>202</v>
      </c>
      <c r="B24" s="50">
        <v>0</v>
      </c>
    </row>
    <row r="25" spans="1:11">
      <c r="A25" s="50" t="s">
        <v>203</v>
      </c>
      <c r="B25" s="50">
        <v>1</v>
      </c>
    </row>
    <row r="26" spans="1:11">
      <c r="A26" s="50" t="s">
        <v>204</v>
      </c>
      <c r="B26" s="50">
        <v>1</v>
      </c>
    </row>
    <row r="27" spans="1:11">
      <c r="A27" s="50" t="s">
        <v>205</v>
      </c>
      <c r="B27" s="50">
        <v>1</v>
      </c>
    </row>
    <row r="28" spans="1:11">
      <c r="A28" s="50" t="s">
        <v>331</v>
      </c>
      <c r="B28" s="50">
        <v>1</v>
      </c>
    </row>
    <row r="29" spans="1:11">
      <c r="A29" s="50" t="s">
        <v>332</v>
      </c>
      <c r="B29" s="50">
        <v>0</v>
      </c>
    </row>
    <row r="30" spans="1:11">
      <c r="A30" s="50" t="s">
        <v>342</v>
      </c>
      <c r="B30" s="107">
        <v>360000</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2">
    <mergeCell ref="A22:B22"/>
    <mergeCell ref="A1:T1"/>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4EFABD6B-B160-48F7-863D-57D566A65731}">
          <xm:f>'BINARY INVESTMENT DECISION'!$B$8:$H$8</xm:f>
        </x15:webExtension>
      </x15:webExtens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F618-31CC-4C1E-BD4D-A5178C18800A}">
  <dimension ref="A1:XFD1048575"/>
  <sheetViews>
    <sheetView workbookViewId="0">
      <selection activeCell="E18" sqref="E18"/>
    </sheetView>
  </sheetViews>
  <sheetFormatPr defaultRowHeight="14.4"/>
  <cols>
    <col min="1" max="1" width="16.21875" bestFit="1" customWidth="1"/>
  </cols>
  <sheetData>
    <row r="1" spans="1:8" ht="20.399999999999999" thickBot="1">
      <c r="A1" s="116" t="s">
        <v>353</v>
      </c>
      <c r="B1" s="116"/>
      <c r="C1" s="116"/>
      <c r="D1" s="116"/>
      <c r="E1" s="116"/>
      <c r="F1" s="116"/>
      <c r="G1" s="116"/>
      <c r="H1" s="116"/>
    </row>
    <row r="2" spans="1:8" ht="15" thickTop="1"/>
    <row r="4" spans="1:8">
      <c r="A4" s="37" t="s">
        <v>343</v>
      </c>
      <c r="B4" s="37" t="s">
        <v>291</v>
      </c>
      <c r="C4" s="37" t="s">
        <v>309</v>
      </c>
    </row>
    <row r="5" spans="1:8">
      <c r="A5" s="37"/>
      <c r="B5" s="108">
        <v>0.93023255813953487</v>
      </c>
      <c r="C5" s="108">
        <v>6.9767441860465185E-2</v>
      </c>
    </row>
    <row r="7" spans="1:8">
      <c r="A7" s="37" t="s">
        <v>344</v>
      </c>
      <c r="B7" s="37" t="s">
        <v>202</v>
      </c>
      <c r="C7" s="37" t="s">
        <v>345</v>
      </c>
      <c r="D7" s="37" t="s">
        <v>346</v>
      </c>
    </row>
    <row r="8" spans="1:8">
      <c r="A8" s="37" t="s">
        <v>347</v>
      </c>
      <c r="B8" s="37">
        <v>0.16</v>
      </c>
      <c r="C8" s="37">
        <v>0.2</v>
      </c>
      <c r="D8" s="37">
        <v>0.9</v>
      </c>
    </row>
    <row r="9" spans="1:8">
      <c r="A9" s="37" t="s">
        <v>111</v>
      </c>
      <c r="B9" s="37">
        <f>B5^2</f>
        <v>0.86533261222282309</v>
      </c>
      <c r="C9" s="37">
        <f>B5*C5</f>
        <v>6.4899945916711804E-2</v>
      </c>
      <c r="D9" s="37">
        <f>C5^2</f>
        <v>4.86749594375339E-3</v>
      </c>
    </row>
    <row r="10" spans="1:8">
      <c r="A10" s="37" t="s">
        <v>348</v>
      </c>
      <c r="B10" s="37">
        <f>B8*B9</f>
        <v>0.13845321795565169</v>
      </c>
      <c r="C10" s="37">
        <f t="shared" ref="C10:D10" si="0">C8*C9</f>
        <v>1.2979989183342361E-2</v>
      </c>
      <c r="D10" s="37">
        <f t="shared" si="0"/>
        <v>4.3807463493780513E-3</v>
      </c>
      <c r="E10" s="96">
        <f>SUM(B10:D10)</f>
        <v>0.1558139534883721</v>
      </c>
      <c r="F10" s="141" t="s">
        <v>350</v>
      </c>
      <c r="G10" s="141"/>
      <c r="H10" s="141"/>
    </row>
    <row r="12" spans="1:8">
      <c r="A12" s="37" t="s">
        <v>207</v>
      </c>
      <c r="B12" s="37" t="s">
        <v>291</v>
      </c>
      <c r="C12" s="37" t="s">
        <v>309</v>
      </c>
      <c r="D12" s="37" t="s">
        <v>138</v>
      </c>
      <c r="E12" s="37" t="s">
        <v>139</v>
      </c>
      <c r="F12" s="37" t="s">
        <v>140</v>
      </c>
    </row>
    <row r="13" spans="1:8">
      <c r="A13" s="37" t="s">
        <v>208</v>
      </c>
      <c r="B13" s="37">
        <v>1</v>
      </c>
      <c r="C13" s="37">
        <v>1</v>
      </c>
      <c r="D13" s="109">
        <f>SUMPRODUCT(B13:C13,$B$5:$C$5)</f>
        <v>1</v>
      </c>
      <c r="E13" s="37" t="s">
        <v>262</v>
      </c>
      <c r="F13" s="110">
        <v>1</v>
      </c>
    </row>
    <row r="14" spans="1:8">
      <c r="A14" s="37" t="s">
        <v>349</v>
      </c>
      <c r="B14" s="110">
        <v>0.11</v>
      </c>
      <c r="C14" s="110">
        <v>0.08</v>
      </c>
      <c r="D14" s="109">
        <f>SUMPRODUCT(B14:C14,$B$5:$C$5)</f>
        <v>0.10790697674418605</v>
      </c>
      <c r="E14" s="37" t="s">
        <v>146</v>
      </c>
      <c r="F14" s="110">
        <v>0.09</v>
      </c>
    </row>
    <row r="16" spans="1:8">
      <c r="A16" s="139" t="s">
        <v>351</v>
      </c>
      <c r="B16" s="139"/>
      <c r="C16" s="139"/>
    </row>
    <row r="17" spans="1:3">
      <c r="A17" s="50" t="s">
        <v>291</v>
      </c>
      <c r="B17" s="153">
        <v>0.93</v>
      </c>
      <c r="C17" s="152"/>
    </row>
    <row r="18" spans="1:3">
      <c r="A18" s="50" t="s">
        <v>309</v>
      </c>
      <c r="B18" s="153">
        <v>7.0000000000000007E-2</v>
      </c>
      <c r="C18" s="152"/>
    </row>
    <row r="19" spans="1:3">
      <c r="A19" s="50" t="s">
        <v>352</v>
      </c>
      <c r="B19" s="152">
        <v>0.15581400000000001</v>
      </c>
      <c r="C19" s="152"/>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6">
    <mergeCell ref="B19:C19"/>
    <mergeCell ref="A1:H1"/>
    <mergeCell ref="F10:H10"/>
    <mergeCell ref="A16:C16"/>
    <mergeCell ref="B17:C17"/>
    <mergeCell ref="B18:C1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7602A-8764-434C-8873-2B2999589F8F}">
  <dimension ref="A1:XFD1048575"/>
  <sheetViews>
    <sheetView tabSelected="1" workbookViewId="0">
      <selection activeCell="E19" sqref="E19"/>
    </sheetView>
  </sheetViews>
  <sheetFormatPr defaultRowHeight="14.4"/>
  <cols>
    <col min="1" max="1" width="19.33203125" customWidth="1"/>
  </cols>
  <sheetData>
    <row r="1" spans="1:14" ht="20.399999999999999" thickBot="1">
      <c r="A1" s="111" t="s">
        <v>354</v>
      </c>
      <c r="B1" s="111"/>
      <c r="C1" s="111"/>
      <c r="D1" s="111"/>
      <c r="E1" s="111"/>
      <c r="F1" s="111"/>
      <c r="G1" s="111"/>
      <c r="H1" s="111"/>
      <c r="I1" s="111"/>
      <c r="J1" s="111"/>
      <c r="K1" s="111"/>
      <c r="L1" s="111"/>
      <c r="M1" s="111"/>
      <c r="N1" s="111"/>
    </row>
    <row r="2" spans="1:14" ht="15" thickTop="1"/>
    <row r="4" spans="1:14">
      <c r="A4" s="83" t="s">
        <v>245</v>
      </c>
      <c r="B4" s="83" t="s">
        <v>355</v>
      </c>
      <c r="C4" s="83" t="s">
        <v>356</v>
      </c>
      <c r="D4" s="83" t="s">
        <v>357</v>
      </c>
      <c r="E4" s="83" t="s">
        <v>358</v>
      </c>
      <c r="F4" s="83"/>
    </row>
    <row r="5" spans="1:14">
      <c r="A5" s="83" t="s">
        <v>367</v>
      </c>
      <c r="B5" s="112">
        <v>10</v>
      </c>
      <c r="C5" s="112">
        <v>15</v>
      </c>
      <c r="D5" s="83">
        <f>4-0.1*B5</f>
        <v>3</v>
      </c>
      <c r="E5" s="83">
        <f>5-0.02*C5</f>
        <v>4.7</v>
      </c>
      <c r="F5" s="83"/>
    </row>
    <row r="6" spans="1:14">
      <c r="A6" s="83"/>
      <c r="B6" s="83"/>
      <c r="C6" s="83"/>
      <c r="D6" s="83"/>
      <c r="E6" s="83"/>
      <c r="F6" s="83"/>
    </row>
    <row r="7" spans="1:14">
      <c r="A7" s="83" t="s">
        <v>359</v>
      </c>
      <c r="B7" s="113">
        <f>B5*D5+C5*E5</f>
        <v>100.5</v>
      </c>
      <c r="C7" s="114">
        <v>0</v>
      </c>
      <c r="D7" s="83"/>
      <c r="E7" s="83"/>
      <c r="F7" s="83"/>
    </row>
    <row r="8" spans="1:14">
      <c r="A8" s="83"/>
      <c r="B8" s="83"/>
      <c r="C8" s="83"/>
      <c r="D8" s="83"/>
      <c r="E8" s="83"/>
      <c r="F8" s="83"/>
    </row>
    <row r="9" spans="1:14">
      <c r="A9" s="83"/>
      <c r="B9" s="83"/>
      <c r="C9" s="83"/>
      <c r="D9" s="83"/>
      <c r="E9" s="83"/>
      <c r="F9" s="83"/>
    </row>
    <row r="10" spans="1:14">
      <c r="A10" s="35" t="s">
        <v>360</v>
      </c>
      <c r="B10" s="35" t="s">
        <v>291</v>
      </c>
      <c r="C10" s="35" t="s">
        <v>309</v>
      </c>
      <c r="D10" s="35" t="s">
        <v>138</v>
      </c>
      <c r="E10" s="35" t="s">
        <v>139</v>
      </c>
      <c r="F10" s="35" t="s">
        <v>140</v>
      </c>
    </row>
    <row r="11" spans="1:14">
      <c r="A11" s="35" t="s">
        <v>361</v>
      </c>
      <c r="B11" s="35">
        <v>1</v>
      </c>
      <c r="C11" s="35">
        <v>2</v>
      </c>
      <c r="D11" s="35">
        <f>SUMPRODUCT(B11:C11,B5:C5)</f>
        <v>40</v>
      </c>
      <c r="E11" s="35" t="s">
        <v>142</v>
      </c>
      <c r="F11" s="35">
        <v>40</v>
      </c>
    </row>
    <row r="12" spans="1:14">
      <c r="A12" s="83" t="s">
        <v>366</v>
      </c>
      <c r="B12" s="83" t="s">
        <v>291</v>
      </c>
      <c r="C12" s="83" t="s">
        <v>309</v>
      </c>
      <c r="D12" s="83"/>
      <c r="E12" s="83" t="s">
        <v>334</v>
      </c>
      <c r="F12" s="83"/>
    </row>
    <row r="14" spans="1:14">
      <c r="A14" s="139" t="s">
        <v>362</v>
      </c>
      <c r="B14" s="139"/>
    </row>
    <row r="15" spans="1:14">
      <c r="A15" s="64" t="s">
        <v>363</v>
      </c>
      <c r="B15" s="50">
        <v>10</v>
      </c>
    </row>
    <row r="16" spans="1:14">
      <c r="A16" s="64" t="s">
        <v>364</v>
      </c>
      <c r="B16" s="50">
        <v>15</v>
      </c>
    </row>
    <row r="17" spans="1:2">
      <c r="A17" s="64" t="s">
        <v>365</v>
      </c>
      <c r="B17" s="50">
        <v>100.5</v>
      </c>
    </row>
    <row r="1048550" spans="16384:16384">
      <c r="XFD1048550" t="e" cm="1">
        <f t="array" ref="XFD1048550">solver_pre</f>
        <v>#NAME?</v>
      </c>
    </row>
    <row r="1048551" spans="16384:16384">
      <c r="XFD1048551" t="e" cm="1">
        <f t="array" ref="XFD1048551">solver_scl</f>
        <v>#NAME?</v>
      </c>
    </row>
    <row r="1048552" spans="16384:16384">
      <c r="XFD1048552" t="e" cm="1">
        <f t="array" ref="XFD1048552">solver_rlx</f>
        <v>#NAME?</v>
      </c>
    </row>
    <row r="1048553" spans="16384:16384">
      <c r="XFD1048553" t="e" cm="1">
        <f t="array" ref="XFD1048553">solver_tol</f>
        <v>#NAME?</v>
      </c>
    </row>
    <row r="1048554" spans="16384:16384">
      <c r="XFD1048554" t="e" cm="1">
        <f t="array" ref="XFD1048554">solver_cvg</f>
        <v>#NAME?</v>
      </c>
    </row>
    <row r="1048555" spans="16384:16384">
      <c r="XFD1048555" t="e" cm="1">
        <f t="array" ref="XFD1048555">AREAS(solver_adj1)</f>
        <v>#NAME?</v>
      </c>
    </row>
    <row r="1048556" spans="16384:16384">
      <c r="XFD1048556" t="e" cm="1">
        <f t="array" ref="XFD1048556">solver_ssz</f>
        <v>#NAME?</v>
      </c>
    </row>
    <row r="1048557" spans="16384:16384">
      <c r="XFD1048557" t="e" cm="1">
        <f t="array" ref="XFD1048557">solver_rsd</f>
        <v>#NAME?</v>
      </c>
    </row>
    <row r="1048558" spans="16384:16384">
      <c r="XFD1048558" t="e" cm="1">
        <f t="array" ref="XFD1048558">solver_mrt</f>
        <v>#NAME?</v>
      </c>
    </row>
    <row r="1048559" spans="16384:16384">
      <c r="XFD1048559" t="e" cm="1">
        <f t="array" ref="XFD1048559">solver_mni</f>
        <v>#NAME?</v>
      </c>
    </row>
    <row r="1048560" spans="16384:16384">
      <c r="XFD1048560" t="e" cm="1">
        <f t="array" ref="XFD1048560">solver_rbv</f>
        <v>#NAME?</v>
      </c>
    </row>
    <row r="1048561" spans="16384:16384">
      <c r="XFD1048561" t="e" cm="1">
        <f t="array" ref="XFD1048561">solver_neg</f>
        <v>#NAME?</v>
      </c>
    </row>
    <row r="1048562" spans="16384:16384">
      <c r="XFD1048562" t="e" cm="1">
        <f t="array" ref="XFD1048562">solver_ntr</f>
        <v>#NAME?</v>
      </c>
    </row>
    <row r="1048563" spans="16384:16384">
      <c r="XFD1048563" t="e" cm="1">
        <f t="array" ref="XFD1048563">solver_acc</f>
        <v>#NAME?</v>
      </c>
    </row>
    <row r="1048564" spans="16384:16384">
      <c r="XFD1048564" t="e" cm="1">
        <f t="array" ref="XFD1048564">solver_res</f>
        <v>#NAME?</v>
      </c>
    </row>
    <row r="1048565" spans="16384:16384">
      <c r="XFD1048565" t="e" cm="1">
        <f t="array" ref="XFD1048565">solver_ars</f>
        <v>#NAME?</v>
      </c>
    </row>
    <row r="1048566" spans="16384:16384">
      <c r="XFD1048566" t="e" cm="1">
        <f t="array" ref="XFD1048566">solver_sta</f>
        <v>#NAME?</v>
      </c>
    </row>
    <row r="1048567" spans="16384:16384">
      <c r="XFD1048567" t="e" cm="1">
        <f t="array" ref="XFD1048567">solver_met</f>
        <v>#NAME?</v>
      </c>
    </row>
    <row r="1048568" spans="16384:16384">
      <c r="XFD1048568" t="e" cm="1">
        <f t="array" ref="XFD1048568">solver_soc</f>
        <v>#NAME?</v>
      </c>
    </row>
    <row r="1048569" spans="16384:16384">
      <c r="XFD1048569" t="e" cm="1">
        <f t="array" ref="XFD1048569">solver_lpt</f>
        <v>#NAME?</v>
      </c>
    </row>
    <row r="1048570" spans="16384:16384">
      <c r="XFD1048570" t="e" cm="1">
        <f t="array" ref="XFD1048570">solver_lpp</f>
        <v>#NAME?</v>
      </c>
    </row>
    <row r="1048571" spans="16384:16384">
      <c r="XFD1048571" t="e" cm="1">
        <f t="array" ref="XFD1048571">solver_gap</f>
        <v>#NAME?</v>
      </c>
    </row>
    <row r="1048572" spans="16384:16384">
      <c r="XFD1048572" t="e" cm="1">
        <f t="array" ref="XFD1048572">solver_ips</f>
        <v>#NAME?</v>
      </c>
    </row>
    <row r="1048573" spans="16384:16384">
      <c r="XFD1048573" t="e" cm="1">
        <f t="array" ref="XFD1048573">solver_fea</f>
        <v>#NAME?</v>
      </c>
    </row>
    <row r="1048574" spans="16384:16384">
      <c r="XFD1048574" t="e" cm="1">
        <f t="array" ref="XFD1048574">solver_ipi</f>
        <v>#NAME?</v>
      </c>
    </row>
    <row r="1048575" spans="16384:16384">
      <c r="XFD1048575" t="e" cm="1">
        <f t="array" ref="XFD1048575">solver_ipd</f>
        <v>#NAME?</v>
      </c>
    </row>
  </sheetData>
  <mergeCells count="1">
    <mergeCell ref="A14:B14"/>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3E10DDE4-B0CC-4709-B273-589EBBD15B81}">
          <xm:f>'MOTORCROSS REVENUE PROBLEM'!1:1048576</xm:f>
        </x15:webExtension>
        <x15:webExtension appRef="{9B856636-CB7E-4A33-BF73-C28989685CEF}">
          <xm:f>'MOTORCROSS REVENUE PROBLEM'!XFD1048550:XFD1048575</xm:f>
        </x15:webExtension>
        <x15:webExtension appRef="{6FA1FE10-6748-4C3A-B704-2652EC602039}">
          <xm:f>'MOTORCROSS REVENUE PROBLEM'!$B$7</xm:f>
        </x15:webExtension>
        <x15:webExtension appRef="{251598FC-DEA8-4E31-A5B5-074A4D3D88EF}">
          <xm:f>'MOTORCROSS REVENUE PROBLEM'!$B$5:$C$5</xm:f>
        </x15:webExtension>
      </x15:webExtens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A13454-4DFC-4F81-8B01-C76257551E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NCAA T-SHIRT VENDOR</vt:lpstr>
      <vt:lpstr>WOODWORKS BOOKSHELF CO.</vt:lpstr>
      <vt:lpstr>QUALITY SWEATER CO.</vt:lpstr>
      <vt:lpstr>B&amp;N BOOKSTORE</vt:lpstr>
      <vt:lpstr>19TH HOLE GOLF CLUB</vt:lpstr>
      <vt:lpstr>GOPHER DRUGS CO,</vt:lpstr>
      <vt:lpstr>CAMPAIGN MARKETING</vt:lpstr>
      <vt:lpstr>PC TECH CO.</vt:lpstr>
      <vt:lpstr>PC TECH CO. STOCKS</vt:lpstr>
      <vt:lpstr>PC TECH  CO. TRANSPORTATION</vt:lpstr>
      <vt:lpstr>ASSIGNMENT PROBLEM</vt:lpstr>
      <vt:lpstr>MLB UMPIRE ASSGN</vt:lpstr>
      <vt:lpstr>INTEGER LP PROBLEM</vt:lpstr>
      <vt:lpstr>BINARY INVESTMENT DECISION</vt:lpstr>
      <vt:lpstr>NLP-MIN VARIANCE</vt:lpstr>
      <vt:lpstr>MOTORCROSS REVENUE 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2024-06-15T09:51:24Z</dcterms:created>
  <dcterms:modified xsi:type="dcterms:W3CDTF">2024-08-02T13:08:04Z</dcterms:modified>
</cp:coreProperties>
</file>