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harts/colors1.xml" ContentType="application/vnd.ms-office.chartcolorstyle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harts/style1.xml" ContentType="application/vnd.ms-office.chartstyle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3.xml" ContentType="application/vnd.openxmlformats-officedocument.drawingml.char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730"/>
  <workbookPr date1904="1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d9c\AC\Temp\"/>
    </mc:Choice>
  </mc:AlternateContent>
  <xr:revisionPtr revIDLastSave="51" documentId="8_{D5DE3BDA-9489-44BE-AAA6-412EED9F498C}" xr6:coauthVersionLast="25" xr6:coauthVersionMax="25" xr10:uidLastSave="{D70830C1-2BE8-4C49-9BD2-43655BDE5E82}"/>
  <bookViews>
    <workbookView xWindow="0" yWindow="0" windowWidth="23040" windowHeight="9075" activeTab="1" xr2:uid="{00000000-000D-0000-FFFF-FFFF00000000}"/>
  </bookViews>
  <sheets>
    <sheet name="Sheet1" sheetId="1" r:id="rId1"/>
    <sheet name="Sheet2" sheetId="2" r:id="rId2"/>
  </sheets>
  <calcPr calcId="171026"/>
</workbook>
</file>

<file path=xl/calcChain.xml><?xml version="1.0" encoding="utf-8"?>
<calcChain xmlns="http://schemas.openxmlformats.org/spreadsheetml/2006/main">
  <c r="B22" i="1" l="1"/>
  <c r="B15" i="1"/>
  <c r="F8" i="1"/>
  <c r="F9" i="1"/>
  <c r="E8" i="1"/>
  <c r="E9" i="1"/>
  <c r="B6" i="1"/>
  <c r="C30" i="1"/>
  <c r="B30" i="1"/>
  <c r="A59" i="1"/>
  <c r="H108" i="1"/>
  <c r="H58" i="1"/>
  <c r="B9" i="1"/>
  <c r="B7" i="1"/>
  <c r="B8" i="1"/>
  <c r="B135" i="1"/>
  <c r="A130" i="1"/>
  <c r="B134" i="1"/>
  <c r="A60" i="1"/>
  <c r="B59" i="1"/>
  <c r="H59" i="1"/>
  <c r="A131" i="1"/>
  <c r="B131" i="1"/>
  <c r="A132" i="1"/>
  <c r="B130" i="1"/>
  <c r="A61" i="1"/>
  <c r="B60" i="1"/>
  <c r="H60" i="1"/>
  <c r="C59" i="1"/>
  <c r="C58" i="1"/>
  <c r="C108" i="1"/>
  <c r="K58" i="1"/>
  <c r="D58" i="1"/>
  <c r="C60" i="1"/>
  <c r="D59" i="1"/>
  <c r="K59" i="1"/>
  <c r="B132" i="1"/>
  <c r="A133" i="1"/>
  <c r="B133" i="1"/>
  <c r="D108" i="1"/>
  <c r="K108" i="1"/>
  <c r="B61" i="1"/>
  <c r="A62" i="1"/>
  <c r="I108" i="1"/>
  <c r="J108" i="1"/>
  <c r="E108" i="1"/>
  <c r="B62" i="1"/>
  <c r="A63" i="1"/>
  <c r="I59" i="1"/>
  <c r="J59" i="1"/>
  <c r="E59" i="1"/>
  <c r="H61" i="1"/>
  <c r="C61" i="1"/>
  <c r="D60" i="1"/>
  <c r="K60" i="1"/>
  <c r="I58" i="1"/>
  <c r="J58" i="1"/>
  <c r="E58" i="1"/>
  <c r="B25" i="1"/>
  <c r="D61" i="1"/>
  <c r="K61" i="1"/>
  <c r="B63" i="1"/>
  <c r="A64" i="1"/>
  <c r="I34" i="1"/>
  <c r="B28" i="1"/>
  <c r="C28" i="1"/>
  <c r="H62" i="1"/>
  <c r="C62" i="1"/>
  <c r="I60" i="1"/>
  <c r="J60" i="1"/>
  <c r="E60" i="1"/>
  <c r="D62" i="1"/>
  <c r="K62" i="1"/>
  <c r="I61" i="1"/>
  <c r="J61" i="1"/>
  <c r="E61" i="1"/>
  <c r="B64" i="1"/>
  <c r="A65" i="1"/>
  <c r="H63" i="1"/>
  <c r="C63" i="1"/>
  <c r="F61" i="1"/>
  <c r="G61" i="1"/>
  <c r="F60" i="1"/>
  <c r="G60" i="1"/>
  <c r="F58" i="1"/>
  <c r="G58" i="1"/>
  <c r="F108" i="1"/>
  <c r="G108" i="1"/>
  <c r="F59" i="1"/>
  <c r="G59" i="1"/>
  <c r="C135" i="1"/>
  <c r="D135" i="1"/>
  <c r="E135" i="1"/>
  <c r="C134" i="1"/>
  <c r="D134" i="1"/>
  <c r="E134" i="1"/>
  <c r="F134" i="1"/>
  <c r="C130" i="1"/>
  <c r="D130" i="1"/>
  <c r="E130" i="1"/>
  <c r="F130" i="1"/>
  <c r="C131" i="1"/>
  <c r="D131" i="1"/>
  <c r="E131" i="1"/>
  <c r="C133" i="1"/>
  <c r="D133" i="1"/>
  <c r="E133" i="1"/>
  <c r="C132" i="1"/>
  <c r="D132" i="1"/>
  <c r="E132" i="1"/>
  <c r="F132" i="1"/>
  <c r="I131" i="1"/>
  <c r="F131" i="1"/>
  <c r="G131" i="1"/>
  <c r="H64" i="1"/>
  <c r="C64" i="1"/>
  <c r="E62" i="1"/>
  <c r="F62" i="1"/>
  <c r="G62" i="1"/>
  <c r="I62" i="1"/>
  <c r="J62" i="1"/>
  <c r="I133" i="1"/>
  <c r="F133" i="1"/>
  <c r="G133" i="1"/>
  <c r="I135" i="1"/>
  <c r="F135" i="1"/>
  <c r="G135" i="1"/>
  <c r="K63" i="1"/>
  <c r="D63" i="1"/>
  <c r="B65" i="1"/>
  <c r="A66" i="1"/>
  <c r="B66" i="1"/>
  <c r="A67" i="1"/>
  <c r="H65" i="1"/>
  <c r="C65" i="1"/>
  <c r="I63" i="1"/>
  <c r="J63" i="1"/>
  <c r="E63" i="1"/>
  <c r="F63" i="1"/>
  <c r="G63" i="1"/>
  <c r="K64" i="1"/>
  <c r="D64" i="1"/>
  <c r="A68" i="1"/>
  <c r="B67" i="1"/>
  <c r="H66" i="1"/>
  <c r="C66" i="1"/>
  <c r="I64" i="1"/>
  <c r="J64" i="1"/>
  <c r="E64" i="1"/>
  <c r="F64" i="1"/>
  <c r="G64" i="1"/>
  <c r="K65" i="1"/>
  <c r="D65" i="1"/>
  <c r="H67" i="1"/>
  <c r="C67" i="1"/>
  <c r="A69" i="1"/>
  <c r="B68" i="1"/>
  <c r="I65" i="1"/>
  <c r="J65" i="1"/>
  <c r="E65" i="1"/>
  <c r="F65" i="1"/>
  <c r="G65" i="1"/>
  <c r="K66" i="1"/>
  <c r="D66" i="1"/>
  <c r="I66" i="1"/>
  <c r="J66" i="1"/>
  <c r="E66" i="1"/>
  <c r="F66" i="1"/>
  <c r="G66" i="1"/>
  <c r="H68" i="1"/>
  <c r="A126" i="1"/>
  <c r="C68" i="1"/>
  <c r="A70" i="1"/>
  <c r="B69" i="1"/>
  <c r="K67" i="1"/>
  <c r="D67" i="1"/>
  <c r="E67" i="1"/>
  <c r="F67" i="1"/>
  <c r="G67" i="1"/>
  <c r="I67" i="1"/>
  <c r="J67" i="1"/>
  <c r="D68" i="1"/>
  <c r="K68" i="1"/>
  <c r="D126" i="1"/>
  <c r="H69" i="1"/>
  <c r="C69" i="1"/>
  <c r="B70" i="1"/>
  <c r="A71" i="1"/>
  <c r="B71" i="1"/>
  <c r="A72" i="1"/>
  <c r="H70" i="1"/>
  <c r="C70" i="1"/>
  <c r="E68" i="1"/>
  <c r="F68" i="1"/>
  <c r="G68" i="1"/>
  <c r="A119" i="1"/>
  <c r="I68" i="1"/>
  <c r="J68" i="1"/>
  <c r="K69" i="1"/>
  <c r="D69" i="1"/>
  <c r="D70" i="1"/>
  <c r="K70" i="1"/>
  <c r="I69" i="1"/>
  <c r="J69" i="1"/>
  <c r="E69" i="1"/>
  <c r="F69" i="1"/>
  <c r="G69" i="1"/>
  <c r="H71" i="1"/>
  <c r="C71" i="1"/>
  <c r="B72" i="1"/>
  <c r="A73" i="1"/>
  <c r="B73" i="1"/>
  <c r="A74" i="1"/>
  <c r="D71" i="1"/>
  <c r="K71" i="1"/>
  <c r="H72" i="1"/>
  <c r="C72" i="1"/>
  <c r="I70" i="1"/>
  <c r="J70" i="1"/>
  <c r="E70" i="1"/>
  <c r="F70" i="1"/>
  <c r="G70" i="1"/>
  <c r="I71" i="1"/>
  <c r="J71" i="1"/>
  <c r="E71" i="1"/>
  <c r="F71" i="1"/>
  <c r="G71" i="1"/>
  <c r="K72" i="1"/>
  <c r="D72" i="1"/>
  <c r="B74" i="1"/>
  <c r="A75" i="1"/>
  <c r="H73" i="1"/>
  <c r="C73" i="1"/>
  <c r="K73" i="1"/>
  <c r="D73" i="1"/>
  <c r="I72" i="1"/>
  <c r="J72" i="1"/>
  <c r="E72" i="1"/>
  <c r="F72" i="1"/>
  <c r="G72" i="1"/>
  <c r="B75" i="1"/>
  <c r="A76" i="1"/>
  <c r="H74" i="1"/>
  <c r="C74" i="1"/>
  <c r="B76" i="1"/>
  <c r="A77" i="1"/>
  <c r="I73" i="1"/>
  <c r="J73" i="1"/>
  <c r="E73" i="1"/>
  <c r="F73" i="1"/>
  <c r="G73" i="1"/>
  <c r="K74" i="1"/>
  <c r="D74" i="1"/>
  <c r="H75" i="1"/>
  <c r="C75" i="1"/>
  <c r="K75" i="1"/>
  <c r="D75" i="1"/>
  <c r="E74" i="1"/>
  <c r="F74" i="1"/>
  <c r="G74" i="1"/>
  <c r="I74" i="1"/>
  <c r="J74" i="1"/>
  <c r="B77" i="1"/>
  <c r="A78" i="1"/>
  <c r="H76" i="1"/>
  <c r="C76" i="1"/>
  <c r="K76" i="1"/>
  <c r="D76" i="1"/>
  <c r="I75" i="1"/>
  <c r="J75" i="1"/>
  <c r="E75" i="1"/>
  <c r="F75" i="1"/>
  <c r="G75" i="1"/>
  <c r="B78" i="1"/>
  <c r="A79" i="1"/>
  <c r="H77" i="1"/>
  <c r="C77" i="1"/>
  <c r="K77" i="1"/>
  <c r="D77" i="1"/>
  <c r="A80" i="1"/>
  <c r="B79" i="1"/>
  <c r="E76" i="1"/>
  <c r="F76" i="1"/>
  <c r="G76" i="1"/>
  <c r="I76" i="1"/>
  <c r="J76" i="1"/>
  <c r="H78" i="1"/>
  <c r="A125" i="1"/>
  <c r="C78" i="1"/>
  <c r="H79" i="1"/>
  <c r="C79" i="1"/>
  <c r="A81" i="1"/>
  <c r="B80" i="1"/>
  <c r="D78" i="1"/>
  <c r="K78" i="1"/>
  <c r="D125" i="1"/>
  <c r="I77" i="1"/>
  <c r="J77" i="1"/>
  <c r="E77" i="1"/>
  <c r="F77" i="1"/>
  <c r="G77" i="1"/>
  <c r="H80" i="1"/>
  <c r="C80" i="1"/>
  <c r="A82" i="1"/>
  <c r="B81" i="1"/>
  <c r="K79" i="1"/>
  <c r="D79" i="1"/>
  <c r="I78" i="1"/>
  <c r="J78" i="1"/>
  <c r="E78" i="1"/>
  <c r="F78" i="1"/>
  <c r="G78" i="1"/>
  <c r="A118" i="1"/>
  <c r="H81" i="1"/>
  <c r="C81" i="1"/>
  <c r="B82" i="1"/>
  <c r="A83" i="1"/>
  <c r="I79" i="1"/>
  <c r="J79" i="1"/>
  <c r="E79" i="1"/>
  <c r="F79" i="1"/>
  <c r="G79" i="1"/>
  <c r="K80" i="1"/>
  <c r="D80" i="1"/>
  <c r="I80" i="1"/>
  <c r="J80" i="1"/>
  <c r="E80" i="1"/>
  <c r="F80" i="1"/>
  <c r="G80" i="1"/>
  <c r="B83" i="1"/>
  <c r="A84" i="1"/>
  <c r="D81" i="1"/>
  <c r="K81" i="1"/>
  <c r="H82" i="1"/>
  <c r="C82" i="1"/>
  <c r="D82" i="1"/>
  <c r="K82" i="1"/>
  <c r="B84" i="1"/>
  <c r="A85" i="1"/>
  <c r="H83" i="1"/>
  <c r="C83" i="1"/>
  <c r="I81" i="1"/>
  <c r="J81" i="1"/>
  <c r="E81" i="1"/>
  <c r="F81" i="1"/>
  <c r="G81" i="1"/>
  <c r="A86" i="1"/>
  <c r="B85" i="1"/>
  <c r="H84" i="1"/>
  <c r="C84" i="1"/>
  <c r="K83" i="1"/>
  <c r="D83" i="1"/>
  <c r="I82" i="1"/>
  <c r="J82" i="1"/>
  <c r="E82" i="1"/>
  <c r="F82" i="1"/>
  <c r="G82" i="1"/>
  <c r="D84" i="1"/>
  <c r="K84" i="1"/>
  <c r="E83" i="1"/>
  <c r="F83" i="1"/>
  <c r="G83" i="1"/>
  <c r="I83" i="1"/>
  <c r="J83" i="1"/>
  <c r="H85" i="1"/>
  <c r="C85" i="1"/>
  <c r="A87" i="1"/>
  <c r="B86" i="1"/>
  <c r="H86" i="1"/>
  <c r="C86" i="1"/>
  <c r="A88" i="1"/>
  <c r="B87" i="1"/>
  <c r="D85" i="1"/>
  <c r="K85" i="1"/>
  <c r="I84" i="1"/>
  <c r="J84" i="1"/>
  <c r="E84" i="1"/>
  <c r="F84" i="1"/>
  <c r="G84" i="1"/>
  <c r="I85" i="1"/>
  <c r="J85" i="1"/>
  <c r="E85" i="1"/>
  <c r="F85" i="1"/>
  <c r="G85" i="1"/>
  <c r="H87" i="1"/>
  <c r="C87" i="1"/>
  <c r="B88" i="1"/>
  <c r="A89" i="1"/>
  <c r="D86" i="1"/>
  <c r="K86" i="1"/>
  <c r="D87" i="1"/>
  <c r="K87" i="1"/>
  <c r="I86" i="1"/>
  <c r="J86" i="1"/>
  <c r="E86" i="1"/>
  <c r="F86" i="1"/>
  <c r="G86" i="1"/>
  <c r="H88" i="1"/>
  <c r="A124" i="1"/>
  <c r="C88" i="1"/>
  <c r="B89" i="1"/>
  <c r="A90" i="1"/>
  <c r="B90" i="1"/>
  <c r="A91" i="1"/>
  <c r="H89" i="1"/>
  <c r="C89" i="1"/>
  <c r="D88" i="1"/>
  <c r="K88" i="1"/>
  <c r="D124" i="1"/>
  <c r="I87" i="1"/>
  <c r="J87" i="1"/>
  <c r="E87" i="1"/>
  <c r="F87" i="1"/>
  <c r="G87" i="1"/>
  <c r="I88" i="1"/>
  <c r="J88" i="1"/>
  <c r="E88" i="1"/>
  <c r="F88" i="1"/>
  <c r="G88" i="1"/>
  <c r="A117" i="1"/>
  <c r="D89" i="1"/>
  <c r="K89" i="1"/>
  <c r="B91" i="1"/>
  <c r="A92" i="1"/>
  <c r="H90" i="1"/>
  <c r="C90" i="1"/>
  <c r="B92" i="1"/>
  <c r="A93" i="1"/>
  <c r="K90" i="1"/>
  <c r="D90" i="1"/>
  <c r="I89" i="1"/>
  <c r="J89" i="1"/>
  <c r="E89" i="1"/>
  <c r="F89" i="1"/>
  <c r="G89" i="1"/>
  <c r="H91" i="1"/>
  <c r="C91" i="1"/>
  <c r="I90" i="1"/>
  <c r="J90" i="1"/>
  <c r="E90" i="1"/>
  <c r="F90" i="1"/>
  <c r="G90" i="1"/>
  <c r="D91" i="1"/>
  <c r="K91" i="1"/>
  <c r="B93" i="1"/>
  <c r="A94" i="1"/>
  <c r="H92" i="1"/>
  <c r="C92" i="1"/>
  <c r="D92" i="1"/>
  <c r="K92" i="1"/>
  <c r="E91" i="1"/>
  <c r="F91" i="1"/>
  <c r="G91" i="1"/>
  <c r="I91" i="1"/>
  <c r="J91" i="1"/>
  <c r="H93" i="1"/>
  <c r="C93" i="1"/>
  <c r="A95" i="1"/>
  <c r="B94" i="1"/>
  <c r="H94" i="1"/>
  <c r="C94" i="1"/>
  <c r="A96" i="1"/>
  <c r="B95" i="1"/>
  <c r="D93" i="1"/>
  <c r="K93" i="1"/>
  <c r="E92" i="1"/>
  <c r="F92" i="1"/>
  <c r="G92" i="1"/>
  <c r="I92" i="1"/>
  <c r="J92" i="1"/>
  <c r="H95" i="1"/>
  <c r="C95" i="1"/>
  <c r="A97" i="1"/>
  <c r="B96" i="1"/>
  <c r="D94" i="1"/>
  <c r="K94" i="1"/>
  <c r="E93" i="1"/>
  <c r="F93" i="1"/>
  <c r="G93" i="1"/>
  <c r="I93" i="1"/>
  <c r="J93" i="1"/>
  <c r="H96" i="1"/>
  <c r="C96" i="1"/>
  <c r="B97" i="1"/>
  <c r="A98" i="1"/>
  <c r="I94" i="1"/>
  <c r="J94" i="1"/>
  <c r="E94" i="1"/>
  <c r="F94" i="1"/>
  <c r="G94" i="1"/>
  <c r="K95" i="1"/>
  <c r="D95" i="1"/>
  <c r="B98" i="1"/>
  <c r="A99" i="1"/>
  <c r="E95" i="1"/>
  <c r="F95" i="1"/>
  <c r="G95" i="1"/>
  <c r="I95" i="1"/>
  <c r="J95" i="1"/>
  <c r="H97" i="1"/>
  <c r="C97" i="1"/>
  <c r="K96" i="1"/>
  <c r="D96" i="1"/>
  <c r="E96" i="1"/>
  <c r="F96" i="1"/>
  <c r="G96" i="1"/>
  <c r="I96" i="1"/>
  <c r="J96" i="1"/>
  <c r="D97" i="1"/>
  <c r="K97" i="1"/>
  <c r="B99" i="1"/>
  <c r="A100" i="1"/>
  <c r="H98" i="1"/>
  <c r="A123" i="1"/>
  <c r="C98" i="1"/>
  <c r="D98" i="1"/>
  <c r="K98" i="1"/>
  <c r="D123" i="1"/>
  <c r="H99" i="1"/>
  <c r="C99" i="1"/>
  <c r="I97" i="1"/>
  <c r="J97" i="1"/>
  <c r="E97" i="1"/>
  <c r="F97" i="1"/>
  <c r="G97" i="1"/>
  <c r="A101" i="1"/>
  <c r="B100" i="1"/>
  <c r="H100" i="1"/>
  <c r="C100" i="1"/>
  <c r="K99" i="1"/>
  <c r="D99" i="1"/>
  <c r="A102" i="1"/>
  <c r="B101" i="1"/>
  <c r="E98" i="1"/>
  <c r="F98" i="1"/>
  <c r="G98" i="1"/>
  <c r="A116" i="1"/>
  <c r="I98" i="1"/>
  <c r="J98" i="1"/>
  <c r="E99" i="1"/>
  <c r="F99" i="1"/>
  <c r="G99" i="1"/>
  <c r="I99" i="1"/>
  <c r="J99" i="1"/>
  <c r="H101" i="1"/>
  <c r="C101" i="1"/>
  <c r="D100" i="1"/>
  <c r="K100" i="1"/>
  <c r="A103" i="1"/>
  <c r="B102" i="1"/>
  <c r="K101" i="1"/>
  <c r="D101" i="1"/>
  <c r="H102" i="1"/>
  <c r="C102" i="1"/>
  <c r="B103" i="1"/>
  <c r="A104" i="1"/>
  <c r="I100" i="1"/>
  <c r="J100" i="1"/>
  <c r="E100" i="1"/>
  <c r="F100" i="1"/>
  <c r="G100" i="1"/>
  <c r="D102" i="1"/>
  <c r="K102" i="1"/>
  <c r="H103" i="1"/>
  <c r="C103" i="1"/>
  <c r="A105" i="1"/>
  <c r="B104" i="1"/>
  <c r="E101" i="1"/>
  <c r="F101" i="1"/>
  <c r="G101" i="1"/>
  <c r="I101" i="1"/>
  <c r="J101" i="1"/>
  <c r="D103" i="1"/>
  <c r="K103" i="1"/>
  <c r="H104" i="1"/>
  <c r="C104" i="1"/>
  <c r="A106" i="1"/>
  <c r="B105" i="1"/>
  <c r="I102" i="1"/>
  <c r="J102" i="1"/>
  <c r="E102" i="1"/>
  <c r="F102" i="1"/>
  <c r="G102" i="1"/>
  <c r="H105" i="1"/>
  <c r="C105" i="1"/>
  <c r="A107" i="1"/>
  <c r="B106" i="1"/>
  <c r="I103" i="1"/>
  <c r="J103" i="1"/>
  <c r="E103" i="1"/>
  <c r="F103" i="1"/>
  <c r="G103" i="1"/>
  <c r="D104" i="1"/>
  <c r="K104" i="1"/>
  <c r="I104" i="1"/>
  <c r="J104" i="1"/>
  <c r="E104" i="1"/>
  <c r="F104" i="1"/>
  <c r="G104" i="1"/>
  <c r="A108" i="1"/>
  <c r="B107" i="1"/>
  <c r="K105" i="1"/>
  <c r="D105" i="1"/>
  <c r="H106" i="1"/>
  <c r="C106" i="1"/>
  <c r="I105" i="1"/>
  <c r="J105" i="1"/>
  <c r="E105" i="1"/>
  <c r="F105" i="1"/>
  <c r="G105" i="1"/>
  <c r="D106" i="1"/>
  <c r="K106" i="1"/>
  <c r="H107" i="1"/>
  <c r="A122" i="1"/>
  <c r="C107" i="1"/>
  <c r="E106" i="1"/>
  <c r="F106" i="1"/>
  <c r="G106" i="1"/>
  <c r="I106" i="1"/>
  <c r="J106" i="1"/>
  <c r="D107" i="1"/>
  <c r="K107" i="1"/>
  <c r="D122" i="1"/>
  <c r="I107" i="1"/>
  <c r="J107" i="1"/>
  <c r="E107" i="1"/>
  <c r="F107" i="1"/>
  <c r="G107" i="1"/>
  <c r="A115" i="1"/>
</calcChain>
</file>

<file path=xl/sharedStrings.xml><?xml version="1.0" encoding="utf-8"?>
<sst xmlns="http://schemas.openxmlformats.org/spreadsheetml/2006/main" count="98" uniqueCount="87">
  <si>
    <t>T (°C)</t>
  </si>
  <si>
    <t>RT (kΩ)</t>
  </si>
  <si>
    <t>V1 (V)</t>
  </si>
  <si>
    <t>ADC</t>
  </si>
  <si>
    <t>∆T (˚C)</t>
  </si>
  <si>
    <t>H1=</t>
  </si>
  <si>
    <t>H0=</t>
  </si>
  <si>
    <t>T=1/(H0+H1ln(R))-273.15</t>
  </si>
  <si>
    <t>1) Enter two point calibration</t>
  </si>
  <si>
    <t>First Point=</t>
  </si>
  <si>
    <t>Second Point=</t>
  </si>
  <si>
    <t>x=ln(R)</t>
  </si>
  <si>
    <t>y=1/(T+273.15)</t>
  </si>
  <si>
    <t>R(kΩ)</t>
  </si>
  <si>
    <t>T(˚C)</t>
  </si>
  <si>
    <t>1/(T+273.15)=H0+H1ln(R)</t>
  </si>
  <si>
    <r>
      <t>b</t>
    </r>
    <r>
      <rPr>
        <sz val="9"/>
        <rFont val="Geneva"/>
      </rPr>
      <t>=1/H1=</t>
    </r>
  </si>
  <si>
    <t>R0 = exp(-H0/H1)=</t>
  </si>
  <si>
    <t>∆T=P/D</t>
  </si>
  <si>
    <t>Power (mW)</t>
  </si>
  <si>
    <t>Desired Gain=</t>
  </si>
  <si>
    <t>bits</t>
  </si>
  <si>
    <t>V</t>
  </si>
  <si>
    <t>kΩ</t>
  </si>
  <si>
    <t>desired Rg</t>
  </si>
  <si>
    <t>Actual Rg</t>
  </si>
  <si>
    <t>AD627</t>
  </si>
  <si>
    <t>fixed-point</t>
  </si>
  <si>
    <t>C</t>
  </si>
  <si>
    <t>T (fixed)</t>
  </si>
  <si>
    <t>AD623</t>
  </si>
  <si>
    <t>alternatives</t>
  </si>
  <si>
    <t>ADCmax</t>
  </si>
  <si>
    <r>
      <t xml:space="preserve">1) Enter two-point calibration data in cells </t>
    </r>
    <r>
      <rPr>
        <b/>
        <sz val="9"/>
        <rFont val="Geneva"/>
      </rPr>
      <t>B3,C3 B4,C4</t>
    </r>
  </si>
  <si>
    <t>5+200k/Rg</t>
  </si>
  <si>
    <t>1+100k/Rg</t>
  </si>
  <si>
    <t>Gain w/actual</t>
  </si>
  <si>
    <t>To determine resolution we work backwards, starting with the ADC</t>
  </si>
  <si>
    <t>Thermistor interface design process by Jonathan Valvano</t>
  </si>
  <si>
    <t>R=R0exp(b/(T+273.15))</t>
  </si>
  <si>
    <t>ln(R)=ln(R0)+(b/(T+273.15))</t>
  </si>
  <si>
    <t>ln(R)/b-ln(R0)/b=1/(T+273.15)</t>
  </si>
  <si>
    <t>H0=-ln(R)/b</t>
  </si>
  <si>
    <t>H1=1/b</t>
  </si>
  <si>
    <t>2) Define ADC precision, ADC max, fixed-point format</t>
  </si>
  <si>
    <t>3) Decide the values of Vref, R1, R2, Tmin, and Tmax</t>
  </si>
  <si>
    <t>choose gain</t>
  </si>
  <si>
    <t>Desired gain</t>
  </si>
  <si>
    <r>
      <t>2) Set ADC bits (</t>
    </r>
    <r>
      <rPr>
        <sz val="9"/>
        <rFont val="Geneva"/>
      </rPr>
      <t>B13</t>
    </r>
    <r>
      <rPr>
        <sz val="9"/>
        <rFont val="Geneva"/>
      </rPr>
      <t>), Max ADC voltage (</t>
    </r>
    <r>
      <rPr>
        <b/>
        <sz val="9"/>
        <rFont val="Geneva"/>
      </rPr>
      <t>B15</t>
    </r>
    <r>
      <rPr>
        <sz val="9"/>
        <rFont val="Geneva"/>
      </rPr>
      <t>), fixed-point format (</t>
    </r>
    <r>
      <rPr>
        <b/>
        <sz val="9"/>
        <rFont val="Geneva"/>
      </rPr>
      <t>B16</t>
    </r>
    <r>
      <rPr>
        <sz val="9"/>
        <rFont val="Geneva"/>
      </rPr>
      <t>)</t>
    </r>
  </si>
  <si>
    <r>
      <t xml:space="preserve">3) Choose temperature range in cells </t>
    </r>
    <r>
      <rPr>
        <b/>
        <sz val="9"/>
        <rFont val="Geneva"/>
      </rPr>
      <t>B58, B108</t>
    </r>
  </si>
  <si>
    <r>
      <t xml:space="preserve">    Choose Vref to drive the bridge, </t>
    </r>
    <r>
      <rPr>
        <b/>
        <sz val="9"/>
        <rFont val="Geneva"/>
      </rPr>
      <t>B19</t>
    </r>
  </si>
  <si>
    <r>
      <t xml:space="preserve">    Choose as small an R1 as possible to limit self-heating error, </t>
    </r>
    <r>
      <rPr>
        <b/>
        <sz val="9"/>
        <rFont val="Geneva"/>
      </rPr>
      <t>B20</t>
    </r>
  </si>
  <si>
    <r>
      <t xml:space="preserve">    Select R2 just less than the thermistor resistance at maximum temperature,</t>
    </r>
    <r>
      <rPr>
        <b/>
        <sz val="9"/>
        <rFont val="Geneva"/>
      </rPr>
      <t xml:space="preserve"> B21</t>
    </r>
  </si>
  <si>
    <r>
      <t>4) Build an instrumentation amp (</t>
    </r>
    <r>
      <rPr>
        <sz val="9"/>
        <rFont val="Geneva"/>
      </rPr>
      <t xml:space="preserve">w/AD627 or </t>
    </r>
    <r>
      <rPr>
        <sz val="9"/>
        <rFont val="Geneva"/>
      </rPr>
      <t xml:space="preserve">w/AD623) with a gain close to, but less than needed (cell </t>
    </r>
    <r>
      <rPr>
        <b/>
        <sz val="9"/>
        <rFont val="Geneva"/>
      </rPr>
      <t>B25)</t>
    </r>
  </si>
  <si>
    <r>
      <t xml:space="preserve">     Enter the actual gain of instrumentation amp, set 0 or 1 in cells </t>
    </r>
    <r>
      <rPr>
        <b/>
        <sz val="9"/>
        <rFont val="Geneva"/>
      </rPr>
      <t>A34,B34,C34,D34</t>
    </r>
  </si>
  <si>
    <t>other</t>
  </si>
  <si>
    <t>&lt;=    set 1 to select,             this gain is used=&gt;</t>
  </si>
  <si>
    <t>resolution</t>
  </si>
  <si>
    <r>
      <t>∆R (</t>
    </r>
    <r>
      <rPr>
        <sz val="9"/>
        <rFont val="Symbol"/>
        <family val="1"/>
        <charset val="2"/>
      </rPr>
      <t>W</t>
    </r>
    <r>
      <rPr>
        <sz val="9"/>
        <rFont val="Geneva"/>
      </rPr>
      <t>)</t>
    </r>
  </si>
  <si>
    <t>Vs (V)</t>
  </si>
  <si>
    <r>
      <t xml:space="preserve">5) Copy </t>
    </r>
    <r>
      <rPr>
        <b/>
        <sz val="9"/>
        <color indexed="10"/>
        <rFont val="Geneva"/>
      </rPr>
      <t>red</t>
    </r>
    <r>
      <rPr>
        <sz val="9"/>
        <rFont val="Geneva"/>
      </rPr>
      <t xml:space="preserve"> and </t>
    </r>
    <r>
      <rPr>
        <b/>
        <sz val="9"/>
        <color indexed="12"/>
        <rFont val="Geneva"/>
      </rPr>
      <t>blue</t>
    </r>
    <r>
      <rPr>
        <sz val="9"/>
        <rFont val="Geneva"/>
      </rPr>
      <t xml:space="preserve"> data (cells</t>
    </r>
    <r>
      <rPr>
        <b/>
        <sz val="9"/>
        <rFont val="Geneva"/>
      </rPr>
      <t xml:space="preserve"> A115:A126</t>
    </r>
    <r>
      <rPr>
        <sz val="9"/>
        <rFont val="Geneva"/>
      </rPr>
      <t>) into software</t>
    </r>
  </si>
  <si>
    <t>Dissipation Constant</t>
  </si>
  <si>
    <t>D(mW/˚C)=</t>
  </si>
  <si>
    <t>Self-heat error is ∆T=P/D</t>
  </si>
  <si>
    <t>RT (Ω)</t>
  </si>
  <si>
    <r>
      <t xml:space="preserve">5) Copy </t>
    </r>
    <r>
      <rPr>
        <b/>
        <sz val="9"/>
        <color indexed="10"/>
        <rFont val="Geneva"/>
      </rPr>
      <t>red</t>
    </r>
    <r>
      <rPr>
        <sz val="9"/>
        <rFont val="Geneva"/>
      </rPr>
      <t xml:space="preserve"> and </t>
    </r>
    <r>
      <rPr>
        <b/>
        <sz val="9"/>
        <color indexed="48"/>
        <rFont val="Geneva"/>
      </rPr>
      <t>blue</t>
    </r>
    <r>
      <rPr>
        <sz val="9"/>
        <rFont val="Geneva"/>
      </rPr>
      <t xml:space="preserve"> data into software</t>
    </r>
  </si>
  <si>
    <t>R1(kΩ)=</t>
  </si>
  <si>
    <t>R2 (kΩ)=</t>
  </si>
  <si>
    <t>R3 (kΩ)=</t>
  </si>
  <si>
    <t>V2 (V)</t>
  </si>
  <si>
    <t>V2-V3 (V)</t>
  </si>
  <si>
    <t>V3(V)=</t>
  </si>
  <si>
    <t>INA122</t>
  </si>
  <si>
    <t>Embedded Systems. Real-Time Interfacing to ARM Cortex M Microcontrollers</t>
  </si>
  <si>
    <t>See Sections 10.2.7 and 10.6</t>
  </si>
  <si>
    <t>4) Build instrumentation amp using INA122 or equivalent (e.g., AD627)</t>
  </si>
  <si>
    <t>T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</si>
  <si>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</si>
  <si>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</si>
  <si>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</si>
  <si>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</si>
  <si>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</si>
  <si>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</si>
  <si>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</si>
  <si>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</si>
  <si>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Freq</t>
  </si>
  <si>
    <t>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</si>
</sst>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0"/>
    <numFmt numFmtId="166" formatCode="0.000"/>
    <numFmt numFmtId="167" formatCode="0.0"/>
  </numFmts>
  <fonts count="15" x14ac:knownFonts="1">
    <font>
      <sz val="9"/>
      <name val="Geneva"/>
    </font>
    <font>
      <b/>
      <sz val="9"/>
      <name val="Geneva"/>
    </font>
    <font>
      <i/>
      <sz val="9"/>
      <name val="Geneva"/>
    </font>
    <font>
      <sz val="9"/>
      <name val="Geneva"/>
    </font>
    <font>
      <b/>
      <sz val="9"/>
      <color indexed="18"/>
      <name val="Geneva"/>
    </font>
    <font>
      <sz val="9"/>
      <color indexed="8"/>
      <name val="Geneva"/>
    </font>
    <font>
      <sz val="12"/>
      <name val="Symbol"/>
      <family val="1"/>
      <charset val="2"/>
    </font>
    <font>
      <b/>
      <sz val="9"/>
      <color indexed="10"/>
      <name val="Geneva"/>
    </font>
    <font>
      <b/>
      <sz val="9"/>
      <color indexed="10"/>
      <name val="Courier New"/>
      <family val="3"/>
    </font>
    <font>
      <sz val="12"/>
      <name val="Times New Roman"/>
      <family val="1"/>
    </font>
    <font>
      <b/>
      <sz val="9"/>
      <color indexed="12"/>
      <name val="Geneva"/>
    </font>
    <font>
      <i/>
      <sz val="9"/>
      <color indexed="10"/>
      <name val="Geneva"/>
    </font>
    <font>
      <b/>
      <sz val="9"/>
      <color indexed="48"/>
      <name val="Courier New"/>
      <family val="3"/>
    </font>
    <font>
      <sz val="9"/>
      <name val="Symbol"/>
      <family val="1"/>
      <charset val="2"/>
    </font>
    <font>
      <b/>
      <sz val="9"/>
      <color indexed="48"/>
      <name val="Genev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166" fontId="0" fillId="0" borderId="0" xfId="0" applyNumberFormat="1"/>
    <xf numFmtId="167" fontId="0" fillId="0" borderId="0" xfId="0" applyNumberFormat="1"/>
    <xf numFmtId="0" fontId="4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5" fillId="0" borderId="0" xfId="0" applyFont="1"/>
    <xf numFmtId="0" fontId="6" fillId="0" borderId="0" xfId="0" applyFont="1" applyAlignment="1">
      <alignment horizontal="right"/>
    </xf>
    <xf numFmtId="0" fontId="0" fillId="0" borderId="0" xfId="0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167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7" fillId="0" borderId="0" xfId="0" applyFont="1" applyAlignment="1">
      <alignment horizontal="center"/>
    </xf>
    <xf numFmtId="166" fontId="4" fillId="0" borderId="0" xfId="0" applyNumberFormat="1" applyFont="1"/>
    <xf numFmtId="0" fontId="8" fillId="0" borderId="0" xfId="0" applyFont="1"/>
    <xf numFmtId="2" fontId="0" fillId="0" borderId="0" xfId="0" applyNumberFormat="1" applyAlignment="1">
      <alignment horizontal="center"/>
    </xf>
    <xf numFmtId="0" fontId="1" fillId="0" borderId="0" xfId="0" applyFont="1"/>
    <xf numFmtId="0" fontId="3" fillId="0" borderId="0" xfId="0" applyFont="1"/>
    <xf numFmtId="0" fontId="5" fillId="0" borderId="0" xfId="0" applyFont="1" applyAlignment="1">
      <alignment horizontal="right"/>
    </xf>
    <xf numFmtId="166" fontId="5" fillId="0" borderId="0" xfId="0" applyNumberFormat="1" applyFont="1"/>
    <xf numFmtId="0" fontId="5" fillId="0" borderId="0" xfId="0" applyFont="1" applyAlignment="1">
      <alignment horizontal="center"/>
    </xf>
    <xf numFmtId="166" fontId="5" fillId="0" borderId="0" xfId="0" applyNumberFormat="1" applyFont="1" applyAlignment="1">
      <alignment horizontal="center"/>
    </xf>
    <xf numFmtId="2" fontId="5" fillId="0" borderId="0" xfId="0" applyNumberFormat="1" applyFont="1"/>
    <xf numFmtId="1" fontId="4" fillId="0" borderId="0" xfId="0" applyNumberFormat="1" applyFont="1" applyAlignment="1">
      <alignment horizontal="center"/>
    </xf>
    <xf numFmtId="2" fontId="0" fillId="0" borderId="0" xfId="0" applyNumberFormat="1" applyAlignment="1">
      <alignment horizontal="left"/>
    </xf>
    <xf numFmtId="0" fontId="9" fillId="0" borderId="0" xfId="0" applyFont="1"/>
    <xf numFmtId="0" fontId="10" fillId="0" borderId="0" xfId="0" applyFont="1"/>
    <xf numFmtId="0" fontId="1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2" fillId="0" borderId="0" xfId="0" applyFont="1"/>
    <xf numFmtId="1" fontId="7" fillId="0" borderId="0" xfId="0" applyNumberFormat="1" applyFont="1" applyAlignment="1">
      <alignment horizontal="center"/>
    </xf>
    <xf numFmtId="11" fontId="4" fillId="0" borderId="0" xfId="0" applyNumberFormat="1" applyFont="1" applyAlignment="1">
      <alignment horizontal="center"/>
    </xf>
    <xf numFmtId="0" fontId="5" fillId="0" borderId="1" xfId="0" applyFont="1" applyBorder="1"/>
    <xf numFmtId="0" fontId="0" fillId="0" borderId="2" xfId="0" applyBorder="1"/>
    <xf numFmtId="2" fontId="3" fillId="0" borderId="0" xfId="0" applyNumberFormat="1" applyFont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indexed="12"/>
        <name val="Geneva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indexed="18"/>
        <name val="Geneva"/>
        <scheme val="none"/>
      </font>
    </dxf>
    <dxf>
      <alignment horizontal="right" vertical="bottom" textRotation="0" wrapText="0" indent="0" justifyLastLine="0" shrinkToFit="0" readingOrder="0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4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Temperature versus ADC</a:t>
            </a:r>
          </a:p>
        </c:rich>
      </c:tx>
      <c:layout>
        <c:manualLayout>
          <c:xMode val="edge"/>
          <c:yMode val="edge"/>
          <c:x val="0.34103012240292396"/>
          <c:y val="5.521460552725026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7169923031379514"/>
          <c:y val="7.0552147239263799E-2"/>
          <c:w val="0.77679100059206629"/>
          <c:h val="0.74846625766871167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Sheet1!$H$57</c:f>
              <c:strCache>
                <c:ptCount val="1"/>
                <c:pt idx="0">
                  <c:v>T (fixed)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000090"/>
              </a:solidFill>
              <a:ln>
                <a:solidFill>
                  <a:srgbClr val="000090"/>
                </a:solidFill>
                <a:prstDash val="solid"/>
              </a:ln>
            </c:spPr>
          </c:marker>
          <c:xVal>
            <c:numRef>
              <c:f>Sheet1!$G$58:$G$108</c:f>
              <c:numCache>
                <c:formatCode>General</c:formatCode>
                <c:ptCount val="51"/>
                <c:pt idx="0">
                  <c:v>4095</c:v>
                </c:pt>
                <c:pt idx="1">
                  <c:v>4095</c:v>
                </c:pt>
                <c:pt idx="2">
                  <c:v>4095</c:v>
                </c:pt>
                <c:pt idx="3">
                  <c:v>4095</c:v>
                </c:pt>
                <c:pt idx="4">
                  <c:v>4095</c:v>
                </c:pt>
                <c:pt idx="5">
                  <c:v>4095</c:v>
                </c:pt>
                <c:pt idx="6">
                  <c:v>4095</c:v>
                </c:pt>
                <c:pt idx="7">
                  <c:v>4095</c:v>
                </c:pt>
                <c:pt idx="8">
                  <c:v>4095</c:v>
                </c:pt>
                <c:pt idx="9">
                  <c:v>4095</c:v>
                </c:pt>
                <c:pt idx="10">
                  <c:v>4095</c:v>
                </c:pt>
                <c:pt idx="11">
                  <c:v>4095</c:v>
                </c:pt>
                <c:pt idx="12">
                  <c:v>4095</c:v>
                </c:pt>
                <c:pt idx="13">
                  <c:v>4095</c:v>
                </c:pt>
                <c:pt idx="14">
                  <c:v>4095</c:v>
                </c:pt>
                <c:pt idx="15">
                  <c:v>4095</c:v>
                </c:pt>
                <c:pt idx="16">
                  <c:v>4095</c:v>
                </c:pt>
                <c:pt idx="17">
                  <c:v>4095</c:v>
                </c:pt>
                <c:pt idx="18">
                  <c:v>4095</c:v>
                </c:pt>
                <c:pt idx="19">
                  <c:v>4095</c:v>
                </c:pt>
                <c:pt idx="20">
                  <c:v>4062</c:v>
                </c:pt>
                <c:pt idx="21">
                  <c:v>3908</c:v>
                </c:pt>
                <c:pt idx="22">
                  <c:v>3754</c:v>
                </c:pt>
                <c:pt idx="23">
                  <c:v>3600</c:v>
                </c:pt>
                <c:pt idx="24">
                  <c:v>3448</c:v>
                </c:pt>
                <c:pt idx="25">
                  <c:v>3296</c:v>
                </c:pt>
                <c:pt idx="26">
                  <c:v>3145</c:v>
                </c:pt>
                <c:pt idx="27">
                  <c:v>2994</c:v>
                </c:pt>
                <c:pt idx="28">
                  <c:v>2845</c:v>
                </c:pt>
                <c:pt idx="29">
                  <c:v>2696</c:v>
                </c:pt>
                <c:pt idx="30">
                  <c:v>2548</c:v>
                </c:pt>
                <c:pt idx="31">
                  <c:v>2400</c:v>
                </c:pt>
                <c:pt idx="32">
                  <c:v>2254</c:v>
                </c:pt>
                <c:pt idx="33">
                  <c:v>2108</c:v>
                </c:pt>
                <c:pt idx="34">
                  <c:v>1963</c:v>
                </c:pt>
                <c:pt idx="35">
                  <c:v>1819</c:v>
                </c:pt>
                <c:pt idx="36">
                  <c:v>1676</c:v>
                </c:pt>
                <c:pt idx="37">
                  <c:v>1534</c:v>
                </c:pt>
                <c:pt idx="38">
                  <c:v>1392</c:v>
                </c:pt>
                <c:pt idx="39">
                  <c:v>1252</c:v>
                </c:pt>
                <c:pt idx="40">
                  <c:v>1112</c:v>
                </c:pt>
                <c:pt idx="41">
                  <c:v>973</c:v>
                </c:pt>
                <c:pt idx="42">
                  <c:v>835</c:v>
                </c:pt>
                <c:pt idx="43">
                  <c:v>698</c:v>
                </c:pt>
                <c:pt idx="44">
                  <c:v>562</c:v>
                </c:pt>
                <c:pt idx="45">
                  <c:v>427</c:v>
                </c:pt>
                <c:pt idx="46">
                  <c:v>292</c:v>
                </c:pt>
                <c:pt idx="47">
                  <c:v>159</c:v>
                </c:pt>
                <c:pt idx="48">
                  <c:v>26</c:v>
                </c:pt>
                <c:pt idx="49">
                  <c:v>-104</c:v>
                </c:pt>
                <c:pt idx="50">
                  <c:v>-235</c:v>
                </c:pt>
              </c:numCache>
            </c:numRef>
          </c:xVal>
          <c:yVal>
            <c:numRef>
              <c:f>Sheet1!$H$58:$H$108</c:f>
              <c:numCache>
                <c:formatCode>General</c:formatCode>
                <c:ptCount val="51"/>
                <c:pt idx="0">
                  <c:v>1000</c:v>
                </c:pt>
                <c:pt idx="1">
                  <c:v>1060</c:v>
                </c:pt>
                <c:pt idx="2">
                  <c:v>1120</c:v>
                </c:pt>
                <c:pt idx="3">
                  <c:v>1180</c:v>
                </c:pt>
                <c:pt idx="4">
                  <c:v>1240</c:v>
                </c:pt>
                <c:pt idx="5">
                  <c:v>1300</c:v>
                </c:pt>
                <c:pt idx="6">
                  <c:v>1360</c:v>
                </c:pt>
                <c:pt idx="7">
                  <c:v>1420</c:v>
                </c:pt>
                <c:pt idx="8">
                  <c:v>1480</c:v>
                </c:pt>
                <c:pt idx="9">
                  <c:v>1540</c:v>
                </c:pt>
                <c:pt idx="10">
                  <c:v>1600</c:v>
                </c:pt>
                <c:pt idx="11">
                  <c:v>1660</c:v>
                </c:pt>
                <c:pt idx="12">
                  <c:v>1720</c:v>
                </c:pt>
                <c:pt idx="13">
                  <c:v>1780</c:v>
                </c:pt>
                <c:pt idx="14">
                  <c:v>1840</c:v>
                </c:pt>
                <c:pt idx="15">
                  <c:v>1900</c:v>
                </c:pt>
                <c:pt idx="16">
                  <c:v>1960</c:v>
                </c:pt>
                <c:pt idx="17">
                  <c:v>2020</c:v>
                </c:pt>
                <c:pt idx="18">
                  <c:v>2080</c:v>
                </c:pt>
                <c:pt idx="19">
                  <c:v>2140</c:v>
                </c:pt>
                <c:pt idx="20">
                  <c:v>2200</c:v>
                </c:pt>
                <c:pt idx="21">
                  <c:v>2260</c:v>
                </c:pt>
                <c:pt idx="22">
                  <c:v>2320</c:v>
                </c:pt>
                <c:pt idx="23">
                  <c:v>2380</c:v>
                </c:pt>
                <c:pt idx="24">
                  <c:v>2440</c:v>
                </c:pt>
                <c:pt idx="25">
                  <c:v>2500</c:v>
                </c:pt>
                <c:pt idx="26">
                  <c:v>2560</c:v>
                </c:pt>
                <c:pt idx="27">
                  <c:v>2620</c:v>
                </c:pt>
                <c:pt idx="28">
                  <c:v>2680</c:v>
                </c:pt>
                <c:pt idx="29">
                  <c:v>2740</c:v>
                </c:pt>
                <c:pt idx="30">
                  <c:v>2800</c:v>
                </c:pt>
                <c:pt idx="31">
                  <c:v>2860</c:v>
                </c:pt>
                <c:pt idx="32">
                  <c:v>2920</c:v>
                </c:pt>
                <c:pt idx="33">
                  <c:v>2980</c:v>
                </c:pt>
                <c:pt idx="34">
                  <c:v>3040</c:v>
                </c:pt>
                <c:pt idx="35">
                  <c:v>3100</c:v>
                </c:pt>
                <c:pt idx="36">
                  <c:v>3160</c:v>
                </c:pt>
                <c:pt idx="37">
                  <c:v>3220</c:v>
                </c:pt>
                <c:pt idx="38">
                  <c:v>3280</c:v>
                </c:pt>
                <c:pt idx="39">
                  <c:v>3340</c:v>
                </c:pt>
                <c:pt idx="40">
                  <c:v>3400</c:v>
                </c:pt>
                <c:pt idx="41">
                  <c:v>3460</c:v>
                </c:pt>
                <c:pt idx="42">
                  <c:v>3520</c:v>
                </c:pt>
                <c:pt idx="43">
                  <c:v>3580</c:v>
                </c:pt>
                <c:pt idx="44">
                  <c:v>3640</c:v>
                </c:pt>
                <c:pt idx="45">
                  <c:v>3700</c:v>
                </c:pt>
                <c:pt idx="46">
                  <c:v>3760</c:v>
                </c:pt>
                <c:pt idx="47">
                  <c:v>3820</c:v>
                </c:pt>
                <c:pt idx="48">
                  <c:v>3880</c:v>
                </c:pt>
                <c:pt idx="49">
                  <c:v>3940</c:v>
                </c:pt>
                <c:pt idx="50">
                  <c:v>4000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A3-4AF6-8CDF-C767968065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1967455"/>
        <c:axId val="1"/>
      </c:scatterChart>
      <c:valAx>
        <c:axId val="68196745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Times New Roman"/>
                    <a:ea typeface="Times New Roman"/>
                    <a:cs typeface="Times New Roman"/>
                  </a:defRPr>
                </a:pPr>
                <a:r>
                  <a:rPr lang="en-US"/>
                  <a:t>12-bit ADC</a:t>
                </a:r>
              </a:p>
            </c:rich>
          </c:tx>
          <c:layout>
            <c:manualLayout>
              <c:xMode val="edge"/>
              <c:yMode val="edge"/>
              <c:x val="0.50976913516651545"/>
              <c:y val="0.9018404868509082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At val="0"/>
        <c:crossBetween val="midCat"/>
      </c:valAx>
      <c:valAx>
        <c:axId val="1"/>
        <c:scaling>
          <c:orientation val="minMax"/>
          <c:max val="5000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Times New Roman"/>
                    <a:ea typeface="Times New Roman"/>
                    <a:cs typeface="Times New Roman"/>
                  </a:defRPr>
                </a:pPr>
                <a:r>
                  <a:rPr lang="en-US"/>
                  <a:t>T (0.01 C)</a:t>
                </a:r>
              </a:p>
            </c:rich>
          </c:tx>
          <c:layout>
            <c:manualLayout>
              <c:xMode val="edge"/>
              <c:yMode val="edge"/>
              <c:x val="1.4209613985167742E-2"/>
              <c:y val="0.3374234470691163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681967455"/>
        <c:crossesAt val="0"/>
        <c:crossBetween val="midCat"/>
        <c:majorUnit val="5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Thermistor</a:t>
            </a:r>
          </a:p>
        </c:rich>
      </c:tx>
      <c:layout>
        <c:manualLayout>
          <c:xMode val="edge"/>
          <c:yMode val="edge"/>
          <c:x val="0.44725010335246551"/>
          <c:y val="0.125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7919685039370079"/>
          <c:y val="7.1539442986293375E-2"/>
          <c:w val="0.77616426071741029"/>
          <c:h val="0.69627697579469239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Sheet1!$C$57</c:f>
              <c:strCache>
                <c:ptCount val="1"/>
                <c:pt idx="0">
                  <c:v>RT (kΩ)</c:v>
                </c:pt>
              </c:strCache>
            </c:strRef>
          </c:tx>
          <c:spPr>
            <a:ln>
              <a:solidFill>
                <a:sysClr val="windowText" lastClr="000000"/>
              </a:solidFill>
            </a:ln>
          </c:spPr>
          <c:marker>
            <c:symbol val="none"/>
          </c:marker>
          <c:xVal>
            <c:numRef>
              <c:f>Sheet1!$B$58:$B$108</c:f>
              <c:numCache>
                <c:formatCode>0.0</c:formatCode>
                <c:ptCount val="51"/>
                <c:pt idx="0" formatCode="General">
                  <c:v>10</c:v>
                </c:pt>
                <c:pt idx="1">
                  <c:v>10.6</c:v>
                </c:pt>
                <c:pt idx="2">
                  <c:v>11.2</c:v>
                </c:pt>
                <c:pt idx="3">
                  <c:v>11.8</c:v>
                </c:pt>
                <c:pt idx="4">
                  <c:v>12.4</c:v>
                </c:pt>
                <c:pt idx="5">
                  <c:v>13</c:v>
                </c:pt>
                <c:pt idx="6">
                  <c:v>13.6</c:v>
                </c:pt>
                <c:pt idx="7">
                  <c:v>14.2</c:v>
                </c:pt>
                <c:pt idx="8">
                  <c:v>14.8</c:v>
                </c:pt>
                <c:pt idx="9">
                  <c:v>15.4</c:v>
                </c:pt>
                <c:pt idx="10">
                  <c:v>16</c:v>
                </c:pt>
                <c:pt idx="11">
                  <c:v>16.600000000000001</c:v>
                </c:pt>
                <c:pt idx="12">
                  <c:v>17.2</c:v>
                </c:pt>
                <c:pt idx="13">
                  <c:v>17.8</c:v>
                </c:pt>
                <c:pt idx="14">
                  <c:v>18.399999999999999</c:v>
                </c:pt>
                <c:pt idx="15">
                  <c:v>19</c:v>
                </c:pt>
                <c:pt idx="16">
                  <c:v>19.600000000000001</c:v>
                </c:pt>
                <c:pt idx="17">
                  <c:v>20.2</c:v>
                </c:pt>
                <c:pt idx="18">
                  <c:v>20.8</c:v>
                </c:pt>
                <c:pt idx="19">
                  <c:v>21.4</c:v>
                </c:pt>
                <c:pt idx="20">
                  <c:v>22</c:v>
                </c:pt>
                <c:pt idx="21">
                  <c:v>22.6</c:v>
                </c:pt>
                <c:pt idx="22">
                  <c:v>23.2</c:v>
                </c:pt>
                <c:pt idx="23">
                  <c:v>23.8</c:v>
                </c:pt>
                <c:pt idx="24">
                  <c:v>24.4</c:v>
                </c:pt>
                <c:pt idx="25">
                  <c:v>25</c:v>
                </c:pt>
                <c:pt idx="26">
                  <c:v>25.6</c:v>
                </c:pt>
                <c:pt idx="27">
                  <c:v>26.2</c:v>
                </c:pt>
                <c:pt idx="28">
                  <c:v>26.8</c:v>
                </c:pt>
                <c:pt idx="29">
                  <c:v>27.4</c:v>
                </c:pt>
                <c:pt idx="30">
                  <c:v>28</c:v>
                </c:pt>
                <c:pt idx="31">
                  <c:v>28.6</c:v>
                </c:pt>
                <c:pt idx="32">
                  <c:v>29.2</c:v>
                </c:pt>
                <c:pt idx="33">
                  <c:v>29.8</c:v>
                </c:pt>
                <c:pt idx="34">
                  <c:v>30.4</c:v>
                </c:pt>
                <c:pt idx="35">
                  <c:v>31</c:v>
                </c:pt>
                <c:pt idx="36">
                  <c:v>31.6</c:v>
                </c:pt>
                <c:pt idx="37">
                  <c:v>32.200000000000003</c:v>
                </c:pt>
                <c:pt idx="38">
                  <c:v>32.799999999999997</c:v>
                </c:pt>
                <c:pt idx="39">
                  <c:v>33.4</c:v>
                </c:pt>
                <c:pt idx="40">
                  <c:v>34</c:v>
                </c:pt>
                <c:pt idx="41">
                  <c:v>34.6</c:v>
                </c:pt>
                <c:pt idx="42">
                  <c:v>35.200000000000003</c:v>
                </c:pt>
                <c:pt idx="43">
                  <c:v>35.799999999999997</c:v>
                </c:pt>
                <c:pt idx="44">
                  <c:v>36.4</c:v>
                </c:pt>
                <c:pt idx="45">
                  <c:v>37</c:v>
                </c:pt>
                <c:pt idx="46">
                  <c:v>37.6</c:v>
                </c:pt>
                <c:pt idx="47">
                  <c:v>38.200000000000003</c:v>
                </c:pt>
                <c:pt idx="48">
                  <c:v>38.799999999999997</c:v>
                </c:pt>
                <c:pt idx="49">
                  <c:v>39.4</c:v>
                </c:pt>
                <c:pt idx="50" formatCode="General">
                  <c:v>40</c:v>
                </c:pt>
              </c:numCache>
            </c:numRef>
          </c:xVal>
          <c:yVal>
            <c:numRef>
              <c:f>Sheet1!$C$58:$C$108</c:f>
              <c:numCache>
                <c:formatCode>0.000</c:formatCode>
                <c:ptCount val="51"/>
                <c:pt idx="0">
                  <c:v>161.39859251418727</c:v>
                </c:pt>
                <c:pt idx="1">
                  <c:v>158.69619904770443</c:v>
                </c:pt>
                <c:pt idx="2">
                  <c:v>156.05017292304453</c:v>
                </c:pt>
                <c:pt idx="3">
                  <c:v>153.45913124569452</c:v>
                </c:pt>
                <c:pt idx="4">
                  <c:v>150.92172979239754</c:v>
                </c:pt>
                <c:pt idx="5">
                  <c:v>148.43666180359077</c:v>
                </c:pt>
                <c:pt idx="6">
                  <c:v>146.00265681734101</c:v>
                </c:pt>
                <c:pt idx="7">
                  <c:v>143.61847954322101</c:v>
                </c:pt>
                <c:pt idx="8">
                  <c:v>141.28292877463883</c:v>
                </c:pt>
                <c:pt idx="9">
                  <c:v>138.9948363381931</c:v>
                </c:pt>
                <c:pt idx="10">
                  <c:v>136.75306607867793</c:v>
                </c:pt>
                <c:pt idx="11">
                  <c:v>134.55651287842548</c:v>
                </c:pt>
                <c:pt idx="12">
                  <c:v>132.40410170971705</c:v>
                </c:pt>
                <c:pt idx="13">
                  <c:v>130.29478671905113</c:v>
                </c:pt>
                <c:pt idx="14">
                  <c:v>128.22755034210226</c:v>
                </c:pt>
                <c:pt idx="15">
                  <c:v>126.20140244824825</c:v>
                </c:pt>
                <c:pt idx="16">
                  <c:v>124.2153795135935</c:v>
                </c:pt>
                <c:pt idx="17">
                  <c:v>122.26854382145125</c:v>
                </c:pt>
                <c:pt idx="18">
                  <c:v>120.35998268929256</c:v>
                </c:pt>
                <c:pt idx="19">
                  <c:v>118.48880772121008</c:v>
                </c:pt>
                <c:pt idx="20">
                  <c:v>116.65415408497483</c:v>
                </c:pt>
                <c:pt idx="21">
                  <c:v>114.85517981280923</c:v>
                </c:pt>
                <c:pt idx="22">
                  <c:v>113.09106512502429</c:v>
                </c:pt>
                <c:pt idx="23">
                  <c:v>111.36101177570919</c:v>
                </c:pt>
                <c:pt idx="24">
                  <c:v>109.6642424196899</c:v>
                </c:pt>
                <c:pt idx="25">
                  <c:v>107.99999999999989</c:v>
                </c:pt>
                <c:pt idx="26">
                  <c:v>106.36754715514436</c:v>
                </c:pt>
                <c:pt idx="27">
                  <c:v>104.76616564545471</c:v>
                </c:pt>
                <c:pt idx="28">
                  <c:v>103.19515579786669</c:v>
                </c:pt>
                <c:pt idx="29">
                  <c:v>101.65383596847765</c:v>
                </c:pt>
                <c:pt idx="30">
                  <c:v>100.14154202225873</c:v>
                </c:pt>
                <c:pt idx="31">
                  <c:v>98.657626829329502</c:v>
                </c:pt>
                <c:pt idx="32">
                  <c:v>97.20145977721613</c:v>
                </c:pt>
                <c:pt idx="33">
                  <c:v>95.772426298541859</c:v>
                </c:pt>
                <c:pt idx="34">
                  <c:v>94.369927413619124</c:v>
                </c:pt>
                <c:pt idx="35">
                  <c:v>92.993379287425967</c:v>
                </c:pt>
                <c:pt idx="36">
                  <c:v>91.642212800478347</c:v>
                </c:pt>
                <c:pt idx="37">
                  <c:v>90.315873133119482</c:v>
                </c:pt>
                <c:pt idx="38">
                  <c:v>89.013819362769695</c:v>
                </c:pt>
                <c:pt idx="39">
                  <c:v>87.735524073697349</c:v>
                </c:pt>
                <c:pt idx="40">
                  <c:v>86.480472978883114</c:v>
                </c:pt>
                <c:pt idx="41">
                  <c:v>85.248164553572423</c:v>
                </c:pt>
                <c:pt idx="42">
                  <c:v>84.038109680118438</c:v>
                </c:pt>
                <c:pt idx="43">
                  <c:v>82.849831303737744</c:v>
                </c:pt>
                <c:pt idx="44">
                  <c:v>81.682864098813738</c:v>
                </c:pt>
                <c:pt idx="45">
                  <c:v>80.536754145391811</c:v>
                </c:pt>
                <c:pt idx="46">
                  <c:v>79.411058615530692</c:v>
                </c:pt>
                <c:pt idx="47">
                  <c:v>78.305345469178405</c:v>
                </c:pt>
                <c:pt idx="48">
                  <c:v>77.219193159259504</c:v>
                </c:pt>
                <c:pt idx="49">
                  <c:v>76.15219034566887</c:v>
                </c:pt>
                <c:pt idx="50">
                  <c:v>75.103935617876346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6DE-4E55-9385-59E3993065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179759"/>
        <c:axId val="1"/>
      </c:scatterChart>
      <c:valAx>
        <c:axId val="68217975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Times New Roman"/>
                    <a:ea typeface="Times New Roman"/>
                    <a:cs typeface="Times New Roman"/>
                  </a:defRPr>
                </a:pPr>
                <a:r>
                  <a:rPr lang="en-US"/>
                  <a:t>Temperature (C)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Times New Roman"/>
                    <a:ea typeface="Times New Roman"/>
                    <a:cs typeface="Times New Roman"/>
                  </a:defRPr>
                </a:pPr>
                <a:r>
                  <a:rPr lang="en-US"/>
                  <a:t>Resistance (Kohms)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682179759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Gain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Sheet2!$A$2:$A$22</c:f>
              <c:numCache>
                <c:formatCode>General</c:formatCode>
                <c:ptCount val="21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</c:numCache>
            </c:numRef>
          </c:xVal>
          <c:yVal>
            <c:numRef>
              <c:f>Sheet2!$B$2:$B$22</c:f>
              <c:numCache>
                <c:formatCode>General</c:formatCode>
                <c:ptCount val="21"/>
                <c:pt idx="0">
                  <c:v>3.89</c:v>
                </c:pt>
                <c:pt idx="1">
                  <c:v>1.32</c:v>
                </c:pt>
                <c:pt idx="2">
                  <c:v>0.45</c:v>
                </c:pt>
                <c:pt idx="3">
                  <c:v>-0.71</c:v>
                </c:pt>
                <c:pt idx="4">
                  <c:v>-1.59</c:v>
                </c:pt>
                <c:pt idx="5">
                  <c:v>-3.44</c:v>
                </c:pt>
                <c:pt idx="6">
                  <c:v>-5.12</c:v>
                </c:pt>
                <c:pt idx="7">
                  <c:v>-7.83</c:v>
                </c:pt>
                <c:pt idx="8">
                  <c:v>-9.02</c:v>
                </c:pt>
                <c:pt idx="9">
                  <c:v>-11.1</c:v>
                </c:pt>
                <c:pt idx="10">
                  <c:v>-12.4</c:v>
                </c:pt>
                <c:pt idx="11">
                  <c:v>-13.81</c:v>
                </c:pt>
                <c:pt idx="12">
                  <c:v>-14.06</c:v>
                </c:pt>
                <c:pt idx="13">
                  <c:v>-14.92</c:v>
                </c:pt>
                <c:pt idx="14">
                  <c:v>-15.64</c:v>
                </c:pt>
                <c:pt idx="15">
                  <c:v>-16.28</c:v>
                </c:pt>
                <c:pt idx="16">
                  <c:v>-17.920000000000002</c:v>
                </c:pt>
                <c:pt idx="17">
                  <c:v>-19.399999999999999</c:v>
                </c:pt>
                <c:pt idx="18">
                  <c:v>-21.72</c:v>
                </c:pt>
                <c:pt idx="19">
                  <c:v>-22.34</c:v>
                </c:pt>
                <c:pt idx="20">
                  <c:v>-23.9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32-43F6-B50E-09947998BA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0854544"/>
        <c:axId val="1660854960"/>
      </c:scatterChart>
      <c:valAx>
        <c:axId val="1660854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0854960"/>
        <c:crosses val="autoZero"/>
        <c:crossBetween val="midCat"/>
      </c:valAx>
      <c:valAx>
        <c:axId val="1660854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0854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35</xdr:row>
      <xdr:rowOff>38100</xdr:rowOff>
    </xdr:from>
    <xdr:to>
      <xdr:col>8</xdr:col>
      <xdr:colOff>180975</xdr:colOff>
      <xdr:row>55</xdr:row>
      <xdr:rowOff>95250</xdr:rowOff>
    </xdr:to>
    <xdr:graphicFrame macro="">
      <xdr:nvGraphicFramePr>
        <xdr:cNvPr id="1821" name="Chart 2">
          <a:extLst>
            <a:ext uri="{FF2B5EF4-FFF2-40B4-BE49-F238E27FC236}">
              <a16:creationId xmlns:a16="http://schemas.microsoft.com/office/drawing/2014/main" id="{3B8BA7CF-7639-4A92-A824-897257BB5B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666750</xdr:colOff>
      <xdr:row>129</xdr:row>
      <xdr:rowOff>66675</xdr:rowOff>
    </xdr:from>
    <xdr:to>
      <xdr:col>6</xdr:col>
      <xdr:colOff>171450</xdr:colOff>
      <xdr:row>130</xdr:row>
      <xdr:rowOff>66675</xdr:rowOff>
    </xdr:to>
    <xdr:sp macro="" textlink="">
      <xdr:nvSpPr>
        <xdr:cNvPr id="1822" name="Line 20">
          <a:extLst>
            <a:ext uri="{FF2B5EF4-FFF2-40B4-BE49-F238E27FC236}">
              <a16:creationId xmlns:a16="http://schemas.microsoft.com/office/drawing/2014/main" id="{1D5B136B-13C2-4C8F-8A1F-17548FC86CB8}"/>
            </a:ext>
          </a:extLst>
        </xdr:cNvPr>
        <xdr:cNvSpPr>
          <a:spLocks noChangeShapeType="1"/>
        </xdr:cNvSpPr>
      </xdr:nvSpPr>
      <xdr:spPr bwMode="auto">
        <a:xfrm>
          <a:off x="4143375" y="20516850"/>
          <a:ext cx="171450" cy="152400"/>
        </a:xfrm>
        <a:prstGeom prst="line">
          <a:avLst/>
        </a:prstGeom>
        <a:noFill/>
        <a:ln w="9525">
          <a:solidFill>
            <a:srgbClr val="0000D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590550</xdr:colOff>
      <xdr:row>130</xdr:row>
      <xdr:rowOff>95250</xdr:rowOff>
    </xdr:from>
    <xdr:to>
      <xdr:col>6</xdr:col>
      <xdr:colOff>85725</xdr:colOff>
      <xdr:row>130</xdr:row>
      <xdr:rowOff>95250</xdr:rowOff>
    </xdr:to>
    <xdr:sp macro="" textlink="">
      <xdr:nvSpPr>
        <xdr:cNvPr id="1823" name="Line 21">
          <a:extLst>
            <a:ext uri="{FF2B5EF4-FFF2-40B4-BE49-F238E27FC236}">
              <a16:creationId xmlns:a16="http://schemas.microsoft.com/office/drawing/2014/main" id="{93C984FE-DBFF-4559-94EE-FB52EDB8D2F0}"/>
            </a:ext>
          </a:extLst>
        </xdr:cNvPr>
        <xdr:cNvSpPr>
          <a:spLocks noChangeShapeType="1"/>
        </xdr:cNvSpPr>
      </xdr:nvSpPr>
      <xdr:spPr bwMode="auto">
        <a:xfrm>
          <a:off x="4105275" y="20697825"/>
          <a:ext cx="123825" cy="0"/>
        </a:xfrm>
        <a:prstGeom prst="line">
          <a:avLst/>
        </a:prstGeom>
        <a:noFill/>
        <a:ln w="9525">
          <a:solidFill>
            <a:srgbClr val="0000D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628650</xdr:colOff>
      <xdr:row>131</xdr:row>
      <xdr:rowOff>66675</xdr:rowOff>
    </xdr:from>
    <xdr:to>
      <xdr:col>6</xdr:col>
      <xdr:colOff>152400</xdr:colOff>
      <xdr:row>132</xdr:row>
      <xdr:rowOff>66675</xdr:rowOff>
    </xdr:to>
    <xdr:sp macro="" textlink="">
      <xdr:nvSpPr>
        <xdr:cNvPr id="1824" name="Line 22">
          <a:extLst>
            <a:ext uri="{FF2B5EF4-FFF2-40B4-BE49-F238E27FC236}">
              <a16:creationId xmlns:a16="http://schemas.microsoft.com/office/drawing/2014/main" id="{DBF12284-03E7-4A3F-9C7F-4E2A59964981}"/>
            </a:ext>
          </a:extLst>
        </xdr:cNvPr>
        <xdr:cNvSpPr>
          <a:spLocks noChangeShapeType="1"/>
        </xdr:cNvSpPr>
      </xdr:nvSpPr>
      <xdr:spPr bwMode="auto">
        <a:xfrm>
          <a:off x="4143375" y="20821650"/>
          <a:ext cx="152400" cy="152400"/>
        </a:xfrm>
        <a:prstGeom prst="line">
          <a:avLst/>
        </a:prstGeom>
        <a:noFill/>
        <a:ln w="9525">
          <a:solidFill>
            <a:srgbClr val="0000D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571500</xdr:colOff>
      <xdr:row>132</xdr:row>
      <xdr:rowOff>95250</xdr:rowOff>
    </xdr:from>
    <xdr:to>
      <xdr:col>6</xdr:col>
      <xdr:colOff>66675</xdr:colOff>
      <xdr:row>132</xdr:row>
      <xdr:rowOff>95250</xdr:rowOff>
    </xdr:to>
    <xdr:sp macro="" textlink="">
      <xdr:nvSpPr>
        <xdr:cNvPr id="1825" name="Line 23">
          <a:extLst>
            <a:ext uri="{FF2B5EF4-FFF2-40B4-BE49-F238E27FC236}">
              <a16:creationId xmlns:a16="http://schemas.microsoft.com/office/drawing/2014/main" id="{8784C373-E7F1-4CBC-9B61-19C92237BBE2}"/>
            </a:ext>
          </a:extLst>
        </xdr:cNvPr>
        <xdr:cNvSpPr>
          <a:spLocks noChangeShapeType="1"/>
        </xdr:cNvSpPr>
      </xdr:nvSpPr>
      <xdr:spPr bwMode="auto">
        <a:xfrm>
          <a:off x="4086225" y="21002625"/>
          <a:ext cx="123825" cy="0"/>
        </a:xfrm>
        <a:prstGeom prst="line">
          <a:avLst/>
        </a:prstGeom>
        <a:noFill/>
        <a:ln w="9525">
          <a:solidFill>
            <a:srgbClr val="0000D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676275</xdr:colOff>
      <xdr:row>133</xdr:row>
      <xdr:rowOff>57150</xdr:rowOff>
    </xdr:from>
    <xdr:to>
      <xdr:col>6</xdr:col>
      <xdr:colOff>171450</xdr:colOff>
      <xdr:row>134</xdr:row>
      <xdr:rowOff>57150</xdr:rowOff>
    </xdr:to>
    <xdr:sp macro="" textlink="">
      <xdr:nvSpPr>
        <xdr:cNvPr id="1826" name="Line 24">
          <a:extLst>
            <a:ext uri="{FF2B5EF4-FFF2-40B4-BE49-F238E27FC236}">
              <a16:creationId xmlns:a16="http://schemas.microsoft.com/office/drawing/2014/main" id="{B72D9031-5E42-4D73-BB87-C231BB364027}"/>
            </a:ext>
          </a:extLst>
        </xdr:cNvPr>
        <xdr:cNvSpPr>
          <a:spLocks noChangeShapeType="1"/>
        </xdr:cNvSpPr>
      </xdr:nvSpPr>
      <xdr:spPr bwMode="auto">
        <a:xfrm>
          <a:off x="4143375" y="21116925"/>
          <a:ext cx="171450" cy="152400"/>
        </a:xfrm>
        <a:prstGeom prst="line">
          <a:avLst/>
        </a:prstGeom>
        <a:noFill/>
        <a:ln w="9525">
          <a:solidFill>
            <a:srgbClr val="0000D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590550</xdr:colOff>
      <xdr:row>134</xdr:row>
      <xdr:rowOff>95250</xdr:rowOff>
    </xdr:from>
    <xdr:to>
      <xdr:col>6</xdr:col>
      <xdr:colOff>66675</xdr:colOff>
      <xdr:row>134</xdr:row>
      <xdr:rowOff>95250</xdr:rowOff>
    </xdr:to>
    <xdr:sp macro="" textlink="">
      <xdr:nvSpPr>
        <xdr:cNvPr id="1827" name="Line 25">
          <a:extLst>
            <a:ext uri="{FF2B5EF4-FFF2-40B4-BE49-F238E27FC236}">
              <a16:creationId xmlns:a16="http://schemas.microsoft.com/office/drawing/2014/main" id="{0678FC3E-9E13-4566-9295-D41474A032FE}"/>
            </a:ext>
          </a:extLst>
        </xdr:cNvPr>
        <xdr:cNvSpPr>
          <a:spLocks noChangeShapeType="1"/>
        </xdr:cNvSpPr>
      </xdr:nvSpPr>
      <xdr:spPr bwMode="auto">
        <a:xfrm>
          <a:off x="4105275" y="21307425"/>
          <a:ext cx="104775" cy="0"/>
        </a:xfrm>
        <a:prstGeom prst="line">
          <a:avLst/>
        </a:prstGeom>
        <a:noFill/>
        <a:ln w="9525">
          <a:solidFill>
            <a:srgbClr val="0000D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666750</xdr:colOff>
      <xdr:row>129</xdr:row>
      <xdr:rowOff>66675</xdr:rowOff>
    </xdr:from>
    <xdr:to>
      <xdr:col>8</xdr:col>
      <xdr:colOff>171450</xdr:colOff>
      <xdr:row>130</xdr:row>
      <xdr:rowOff>66675</xdr:rowOff>
    </xdr:to>
    <xdr:sp macro="" textlink="">
      <xdr:nvSpPr>
        <xdr:cNvPr id="1828" name="Line 32">
          <a:extLst>
            <a:ext uri="{FF2B5EF4-FFF2-40B4-BE49-F238E27FC236}">
              <a16:creationId xmlns:a16="http://schemas.microsoft.com/office/drawing/2014/main" id="{37D081A6-59B9-412C-AA94-82B697DAC8FD}"/>
            </a:ext>
          </a:extLst>
        </xdr:cNvPr>
        <xdr:cNvSpPr>
          <a:spLocks noChangeShapeType="1"/>
        </xdr:cNvSpPr>
      </xdr:nvSpPr>
      <xdr:spPr bwMode="auto">
        <a:xfrm>
          <a:off x="5286375" y="20516850"/>
          <a:ext cx="171450" cy="152400"/>
        </a:xfrm>
        <a:prstGeom prst="line">
          <a:avLst/>
        </a:prstGeom>
        <a:noFill/>
        <a:ln w="9525">
          <a:solidFill>
            <a:srgbClr val="0000D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590550</xdr:colOff>
      <xdr:row>130</xdr:row>
      <xdr:rowOff>95250</xdr:rowOff>
    </xdr:from>
    <xdr:to>
      <xdr:col>8</xdr:col>
      <xdr:colOff>85725</xdr:colOff>
      <xdr:row>130</xdr:row>
      <xdr:rowOff>95250</xdr:rowOff>
    </xdr:to>
    <xdr:sp macro="" textlink="">
      <xdr:nvSpPr>
        <xdr:cNvPr id="1829" name="Line 33">
          <a:extLst>
            <a:ext uri="{FF2B5EF4-FFF2-40B4-BE49-F238E27FC236}">
              <a16:creationId xmlns:a16="http://schemas.microsoft.com/office/drawing/2014/main" id="{6604EC55-A5BB-4076-B35C-200A36B0FEBA}"/>
            </a:ext>
          </a:extLst>
        </xdr:cNvPr>
        <xdr:cNvSpPr>
          <a:spLocks noChangeShapeType="1"/>
        </xdr:cNvSpPr>
      </xdr:nvSpPr>
      <xdr:spPr bwMode="auto">
        <a:xfrm>
          <a:off x="5229225" y="20697825"/>
          <a:ext cx="142875" cy="0"/>
        </a:xfrm>
        <a:prstGeom prst="line">
          <a:avLst/>
        </a:prstGeom>
        <a:noFill/>
        <a:ln w="9525">
          <a:solidFill>
            <a:srgbClr val="0000D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628650</xdr:colOff>
      <xdr:row>131</xdr:row>
      <xdr:rowOff>66675</xdr:rowOff>
    </xdr:from>
    <xdr:to>
      <xdr:col>8</xdr:col>
      <xdr:colOff>152400</xdr:colOff>
      <xdr:row>132</xdr:row>
      <xdr:rowOff>66675</xdr:rowOff>
    </xdr:to>
    <xdr:sp macro="" textlink="">
      <xdr:nvSpPr>
        <xdr:cNvPr id="1830" name="Line 34">
          <a:extLst>
            <a:ext uri="{FF2B5EF4-FFF2-40B4-BE49-F238E27FC236}">
              <a16:creationId xmlns:a16="http://schemas.microsoft.com/office/drawing/2014/main" id="{389115D5-6C3F-435F-B42F-EFFA45697576}"/>
            </a:ext>
          </a:extLst>
        </xdr:cNvPr>
        <xdr:cNvSpPr>
          <a:spLocks noChangeShapeType="1"/>
        </xdr:cNvSpPr>
      </xdr:nvSpPr>
      <xdr:spPr bwMode="auto">
        <a:xfrm>
          <a:off x="5267325" y="20821650"/>
          <a:ext cx="171450" cy="152400"/>
        </a:xfrm>
        <a:prstGeom prst="line">
          <a:avLst/>
        </a:prstGeom>
        <a:noFill/>
        <a:ln w="9525">
          <a:solidFill>
            <a:srgbClr val="0000D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571500</xdr:colOff>
      <xdr:row>132</xdr:row>
      <xdr:rowOff>95250</xdr:rowOff>
    </xdr:from>
    <xdr:to>
      <xdr:col>8</xdr:col>
      <xdr:colOff>66675</xdr:colOff>
      <xdr:row>132</xdr:row>
      <xdr:rowOff>95250</xdr:rowOff>
    </xdr:to>
    <xdr:sp macro="" textlink="">
      <xdr:nvSpPr>
        <xdr:cNvPr id="1831" name="Line 35">
          <a:extLst>
            <a:ext uri="{FF2B5EF4-FFF2-40B4-BE49-F238E27FC236}">
              <a16:creationId xmlns:a16="http://schemas.microsoft.com/office/drawing/2014/main" id="{7862D4D4-76BC-43A4-BA28-87DD1082B463}"/>
            </a:ext>
          </a:extLst>
        </xdr:cNvPr>
        <xdr:cNvSpPr>
          <a:spLocks noChangeShapeType="1"/>
        </xdr:cNvSpPr>
      </xdr:nvSpPr>
      <xdr:spPr bwMode="auto">
        <a:xfrm>
          <a:off x="5210175" y="21002625"/>
          <a:ext cx="142875" cy="0"/>
        </a:xfrm>
        <a:prstGeom prst="line">
          <a:avLst/>
        </a:prstGeom>
        <a:noFill/>
        <a:ln w="9525">
          <a:solidFill>
            <a:srgbClr val="0000D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676275</xdr:colOff>
      <xdr:row>133</xdr:row>
      <xdr:rowOff>57150</xdr:rowOff>
    </xdr:from>
    <xdr:to>
      <xdr:col>8</xdr:col>
      <xdr:colOff>171450</xdr:colOff>
      <xdr:row>134</xdr:row>
      <xdr:rowOff>57150</xdr:rowOff>
    </xdr:to>
    <xdr:sp macro="" textlink="">
      <xdr:nvSpPr>
        <xdr:cNvPr id="1832" name="Line 36">
          <a:extLst>
            <a:ext uri="{FF2B5EF4-FFF2-40B4-BE49-F238E27FC236}">
              <a16:creationId xmlns:a16="http://schemas.microsoft.com/office/drawing/2014/main" id="{8ED3AA47-1652-42BF-9A31-C288E1EA74CC}"/>
            </a:ext>
          </a:extLst>
        </xdr:cNvPr>
        <xdr:cNvSpPr>
          <a:spLocks noChangeShapeType="1"/>
        </xdr:cNvSpPr>
      </xdr:nvSpPr>
      <xdr:spPr bwMode="auto">
        <a:xfrm>
          <a:off x="5286375" y="21116925"/>
          <a:ext cx="171450" cy="152400"/>
        </a:xfrm>
        <a:prstGeom prst="line">
          <a:avLst/>
        </a:prstGeom>
        <a:noFill/>
        <a:ln w="9525">
          <a:solidFill>
            <a:srgbClr val="0000D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590550</xdr:colOff>
      <xdr:row>134</xdr:row>
      <xdr:rowOff>95250</xdr:rowOff>
    </xdr:from>
    <xdr:to>
      <xdr:col>8</xdr:col>
      <xdr:colOff>66675</xdr:colOff>
      <xdr:row>134</xdr:row>
      <xdr:rowOff>95250</xdr:rowOff>
    </xdr:to>
    <xdr:sp macro="" textlink="">
      <xdr:nvSpPr>
        <xdr:cNvPr id="1833" name="Line 37">
          <a:extLst>
            <a:ext uri="{FF2B5EF4-FFF2-40B4-BE49-F238E27FC236}">
              <a16:creationId xmlns:a16="http://schemas.microsoft.com/office/drawing/2014/main" id="{38B834FC-7DD7-43A2-80E0-B4D4B0393136}"/>
            </a:ext>
          </a:extLst>
        </xdr:cNvPr>
        <xdr:cNvSpPr>
          <a:spLocks noChangeShapeType="1"/>
        </xdr:cNvSpPr>
      </xdr:nvSpPr>
      <xdr:spPr bwMode="auto">
        <a:xfrm>
          <a:off x="5229225" y="21307425"/>
          <a:ext cx="123825" cy="0"/>
        </a:xfrm>
        <a:prstGeom prst="line">
          <a:avLst/>
        </a:prstGeom>
        <a:noFill/>
        <a:ln w="9525">
          <a:solidFill>
            <a:srgbClr val="0000D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666750</xdr:colOff>
      <xdr:row>131</xdr:row>
      <xdr:rowOff>66675</xdr:rowOff>
    </xdr:from>
    <xdr:to>
      <xdr:col>8</xdr:col>
      <xdr:colOff>171450</xdr:colOff>
      <xdr:row>132</xdr:row>
      <xdr:rowOff>66675</xdr:rowOff>
    </xdr:to>
    <xdr:sp macro="" textlink="">
      <xdr:nvSpPr>
        <xdr:cNvPr id="1834" name="Line 38">
          <a:extLst>
            <a:ext uri="{FF2B5EF4-FFF2-40B4-BE49-F238E27FC236}">
              <a16:creationId xmlns:a16="http://schemas.microsoft.com/office/drawing/2014/main" id="{A7C2D59F-1C20-4E30-992C-2BDF5FD8661E}"/>
            </a:ext>
          </a:extLst>
        </xdr:cNvPr>
        <xdr:cNvSpPr>
          <a:spLocks noChangeShapeType="1"/>
        </xdr:cNvSpPr>
      </xdr:nvSpPr>
      <xdr:spPr bwMode="auto">
        <a:xfrm>
          <a:off x="5286375" y="20821650"/>
          <a:ext cx="171450" cy="152400"/>
        </a:xfrm>
        <a:prstGeom prst="line">
          <a:avLst/>
        </a:prstGeom>
        <a:noFill/>
        <a:ln w="9525">
          <a:solidFill>
            <a:srgbClr val="0000D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590550</xdr:colOff>
      <xdr:row>132</xdr:row>
      <xdr:rowOff>95250</xdr:rowOff>
    </xdr:from>
    <xdr:to>
      <xdr:col>8</xdr:col>
      <xdr:colOff>85725</xdr:colOff>
      <xdr:row>132</xdr:row>
      <xdr:rowOff>95250</xdr:rowOff>
    </xdr:to>
    <xdr:sp macro="" textlink="">
      <xdr:nvSpPr>
        <xdr:cNvPr id="1835" name="Line 39">
          <a:extLst>
            <a:ext uri="{FF2B5EF4-FFF2-40B4-BE49-F238E27FC236}">
              <a16:creationId xmlns:a16="http://schemas.microsoft.com/office/drawing/2014/main" id="{DE0BA7A7-D364-4DF2-A88A-3C03ADD3C268}"/>
            </a:ext>
          </a:extLst>
        </xdr:cNvPr>
        <xdr:cNvSpPr>
          <a:spLocks noChangeShapeType="1"/>
        </xdr:cNvSpPr>
      </xdr:nvSpPr>
      <xdr:spPr bwMode="auto">
        <a:xfrm>
          <a:off x="5229225" y="21002625"/>
          <a:ext cx="142875" cy="0"/>
        </a:xfrm>
        <a:prstGeom prst="line">
          <a:avLst/>
        </a:prstGeom>
        <a:noFill/>
        <a:ln w="9525">
          <a:solidFill>
            <a:srgbClr val="0000D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666750</xdr:colOff>
      <xdr:row>133</xdr:row>
      <xdr:rowOff>66675</xdr:rowOff>
    </xdr:from>
    <xdr:to>
      <xdr:col>8</xdr:col>
      <xdr:colOff>171450</xdr:colOff>
      <xdr:row>134</xdr:row>
      <xdr:rowOff>66675</xdr:rowOff>
    </xdr:to>
    <xdr:sp macro="" textlink="">
      <xdr:nvSpPr>
        <xdr:cNvPr id="1836" name="Line 40">
          <a:extLst>
            <a:ext uri="{FF2B5EF4-FFF2-40B4-BE49-F238E27FC236}">
              <a16:creationId xmlns:a16="http://schemas.microsoft.com/office/drawing/2014/main" id="{6A7CB3EE-8900-4CB6-BA0E-653CC36A7B93}"/>
            </a:ext>
          </a:extLst>
        </xdr:cNvPr>
        <xdr:cNvSpPr>
          <a:spLocks noChangeShapeType="1"/>
        </xdr:cNvSpPr>
      </xdr:nvSpPr>
      <xdr:spPr bwMode="auto">
        <a:xfrm>
          <a:off x="5286375" y="21126450"/>
          <a:ext cx="171450" cy="152400"/>
        </a:xfrm>
        <a:prstGeom prst="line">
          <a:avLst/>
        </a:prstGeom>
        <a:noFill/>
        <a:ln w="9525">
          <a:solidFill>
            <a:srgbClr val="0000D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590550</xdr:colOff>
      <xdr:row>134</xdr:row>
      <xdr:rowOff>95250</xdr:rowOff>
    </xdr:from>
    <xdr:to>
      <xdr:col>8</xdr:col>
      <xdr:colOff>85725</xdr:colOff>
      <xdr:row>134</xdr:row>
      <xdr:rowOff>95250</xdr:rowOff>
    </xdr:to>
    <xdr:sp macro="" textlink="">
      <xdr:nvSpPr>
        <xdr:cNvPr id="1837" name="Line 41">
          <a:extLst>
            <a:ext uri="{FF2B5EF4-FFF2-40B4-BE49-F238E27FC236}">
              <a16:creationId xmlns:a16="http://schemas.microsoft.com/office/drawing/2014/main" id="{5F536875-934F-48BC-A2F4-B322D093E265}"/>
            </a:ext>
          </a:extLst>
        </xdr:cNvPr>
        <xdr:cNvSpPr>
          <a:spLocks noChangeShapeType="1"/>
        </xdr:cNvSpPr>
      </xdr:nvSpPr>
      <xdr:spPr bwMode="auto">
        <a:xfrm>
          <a:off x="5229225" y="21307425"/>
          <a:ext cx="142875" cy="0"/>
        </a:xfrm>
        <a:prstGeom prst="line">
          <a:avLst/>
        </a:prstGeom>
        <a:noFill/>
        <a:ln w="9525">
          <a:solidFill>
            <a:srgbClr val="0000D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304800</xdr:colOff>
      <xdr:row>34</xdr:row>
      <xdr:rowOff>57150</xdr:rowOff>
    </xdr:from>
    <xdr:to>
      <xdr:col>15</xdr:col>
      <xdr:colOff>476250</xdr:colOff>
      <xdr:row>52</xdr:row>
      <xdr:rowOff>57150</xdr:rowOff>
    </xdr:to>
    <xdr:graphicFrame macro="">
      <xdr:nvGraphicFramePr>
        <xdr:cNvPr id="1838" name="Chart 1">
          <a:extLst>
            <a:ext uri="{FF2B5EF4-FFF2-40B4-BE49-F238E27FC236}">
              <a16:creationId xmlns:a16="http://schemas.microsoft.com/office/drawing/2014/main" id="{A83A18A3-2B09-4488-A1C8-9EBC2C2A2A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5</xdr:col>
      <xdr:colOff>447675</xdr:colOff>
      <xdr:row>16</xdr:row>
      <xdr:rowOff>104775</xdr:rowOff>
    </xdr:from>
    <xdr:to>
      <xdr:col>12</xdr:col>
      <xdr:colOff>70485</xdr:colOff>
      <xdr:row>24</xdr:row>
      <xdr:rowOff>76200</xdr:rowOff>
    </xdr:to>
    <xdr:pic>
      <xdr:nvPicPr>
        <xdr:cNvPr id="1839" name="Picture 22">
          <a:extLst>
            <a:ext uri="{FF2B5EF4-FFF2-40B4-BE49-F238E27FC236}">
              <a16:creationId xmlns:a16="http://schemas.microsoft.com/office/drawing/2014/main" id="{1C64A552-F5E2-4539-BC48-6A2266CE28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" y="3038475"/>
          <a:ext cx="4581525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590550</xdr:colOff>
      <xdr:row>4</xdr:row>
      <xdr:rowOff>20955</xdr:rowOff>
    </xdr:from>
    <xdr:to>
      <xdr:col>11</xdr:col>
      <xdr:colOff>285750</xdr:colOff>
      <xdr:row>20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69A35A6-A28B-42B9-95D3-1F1BCFF1F0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7484C1-3B15-45CA-9977-F616AF399AA3}" name="Table1" displayName="Table1" ref="A1:H17" totalsRowShown="0">
  <autoFilter ref="A1:H17" xr:uid="{785F5603-4361-4D0A-92C5-495F4A410791}"/>
  <tableColumns count="8">
    <tableColumn id="1" xr3:uid="{740EE5D3-7700-4320-A3F7-B45A518EE04B}" name="Column1" dataDxfId="2"/>
    <tableColumn id="2" xr3:uid="{9CFA3B44-B644-437B-B810-78CE98F7D2DF}" name="Column2" dataDxfId="1"/>
    <tableColumn id="3" xr3:uid="{F8DA5286-E97C-4E0C-BF48-29FAF03AFA8E}" name="Column3"/>
    <tableColumn id="4" xr3:uid="{05366DA1-414E-4A9D-84EF-35AE1F6855C6}" name="Column4"/>
    <tableColumn id="5" xr3:uid="{BE71ADC4-8F6C-454A-A976-FBAB8BF4BB38}" name="Column5"/>
    <tableColumn id="6" xr3:uid="{6F573D1B-581A-4F77-AC4C-715ADDB7439D}" name="Column6"/>
    <tableColumn id="7" xr3:uid="{5D53EE94-0CB6-4B83-8C2E-1832C5BF0B02}" name="Column7" dataDxfId="0"/>
    <tableColumn id="8" xr3:uid="{4647BC59-6CBD-4437-88DE-D502729019FB}" name="Column8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5"/>
  <sheetViews>
    <sheetView workbookViewId="0" xr3:uid="{AEA406A1-0E4B-5B11-9CD5-51D6E497D94C}">
      <selection sqref="A1:H17"/>
    </sheetView>
  </sheetViews>
  <sheetFormatPr defaultColWidth="11.38671875" defaultRowHeight="12.75" x14ac:dyDescent="0.15"/>
  <cols>
    <col min="1" max="1" width="15.73046875" customWidth="1"/>
    <col min="2" max="8" width="11.0859375" customWidth="1"/>
    <col min="9" max="9" width="9.88671875" customWidth="1"/>
    <col min="10" max="10" width="8.83984375" customWidth="1"/>
  </cols>
  <sheetData>
    <row r="1" spans="1:13" x14ac:dyDescent="0.15">
      <c r="A1" t="s">
        <v>77</v>
      </c>
      <c r="B1" t="s">
        <v>78</v>
      </c>
      <c r="C1" t="s">
        <v>79</v>
      </c>
      <c r="D1" s="20" t="s">
        <v>80</v>
      </c>
      <c r="E1" t="s">
        <v>81</v>
      </c>
      <c r="F1" t="s">
        <v>82</v>
      </c>
      <c r="G1" t="s">
        <v>83</v>
      </c>
      <c r="H1" t="s">
        <v>84</v>
      </c>
    </row>
    <row r="2" spans="1:13" x14ac:dyDescent="0.15">
      <c r="A2" t="s">
        <v>8</v>
      </c>
      <c r="D2" s="20" t="s">
        <v>38</v>
      </c>
    </row>
    <row r="3" spans="1:13" x14ac:dyDescent="0.15">
      <c r="B3" s="4" t="s">
        <v>13</v>
      </c>
      <c r="C3" s="4" t="s">
        <v>14</v>
      </c>
    </row>
    <row r="4" spans="1:13" x14ac:dyDescent="0.15">
      <c r="A4" s="6" t="s">
        <v>9</v>
      </c>
      <c r="B4" s="5">
        <v>108</v>
      </c>
      <c r="C4" s="5">
        <v>25</v>
      </c>
      <c r="L4" t="s">
        <v>76</v>
      </c>
      <c r="M4">
        <v>0</v>
      </c>
    </row>
    <row r="5" spans="1:13" x14ac:dyDescent="0.15">
      <c r="A5" s="6" t="s">
        <v>10</v>
      </c>
      <c r="B5" s="5">
        <v>82.4</v>
      </c>
      <c r="C5" s="5">
        <v>36.03</v>
      </c>
      <c r="E5" s="21" t="s">
        <v>7</v>
      </c>
      <c r="F5" s="21"/>
      <c r="G5" s="21"/>
      <c r="H5" s="21" t="s">
        <v>15</v>
      </c>
      <c r="L5" s="21"/>
      <c r="M5" s="38"/>
    </row>
    <row r="6" spans="1:13" x14ac:dyDescent="0.15">
      <c r="A6" s="6" t="s">
        <v>5</v>
      </c>
      <c r="B6" s="7">
        <f>(F8-F9)/(E8-E9)</f>
        <v>4.4227106318396023E-4</v>
      </c>
      <c r="C6" s="3"/>
      <c r="E6" s="21" t="s">
        <v>39</v>
      </c>
      <c r="F6" s="21"/>
      <c r="G6" s="21"/>
      <c r="H6" s="21" t="s">
        <v>40</v>
      </c>
    </row>
    <row r="7" spans="1:13" ht="15" thickBot="1" x14ac:dyDescent="0.2">
      <c r="A7" s="6" t="s">
        <v>6</v>
      </c>
      <c r="B7" s="7">
        <f>F8-B6*E8</f>
        <v>1.2832452788934814E-3</v>
      </c>
      <c r="C7" s="3"/>
      <c r="E7" s="21" t="s">
        <v>11</v>
      </c>
      <c r="F7" s="21" t="s">
        <v>12</v>
      </c>
      <c r="G7" s="21"/>
      <c r="H7" s="21" t="s">
        <v>41</v>
      </c>
      <c r="L7" s="29"/>
    </row>
    <row r="8" spans="1:13" ht="14.25" x14ac:dyDescent="0.15">
      <c r="A8" s="6" t="s">
        <v>17</v>
      </c>
      <c r="B8" s="36">
        <f>EXP(-B7/B6)</f>
        <v>5.4941270198792073E-2</v>
      </c>
      <c r="C8" s="3"/>
      <c r="E8" s="21">
        <f>LN(B4)</f>
        <v>4.6821312271242199</v>
      </c>
      <c r="F8" s="21">
        <f>1/(C4+273.15)</f>
        <v>3.3540164346805303E-3</v>
      </c>
      <c r="G8" s="21"/>
      <c r="H8" s="21" t="s">
        <v>42</v>
      </c>
      <c r="L8" s="29"/>
    </row>
    <row r="9" spans="1:13" ht="16.5" thickBot="1" x14ac:dyDescent="0.25">
      <c r="A9" s="8" t="s">
        <v>16</v>
      </c>
      <c r="B9" s="37">
        <f>1/B6</f>
        <v>2261.0568116324071</v>
      </c>
      <c r="E9" s="21">
        <f>LN(B5)</f>
        <v>4.4115854369154262</v>
      </c>
      <c r="F9" s="21">
        <f>1/(C5+273.15)</f>
        <v>3.2343618604049424E-3</v>
      </c>
      <c r="G9" s="21"/>
      <c r="H9" s="21" t="s">
        <v>43</v>
      </c>
      <c r="L9" s="29"/>
    </row>
    <row r="10" spans="1:13" ht="14.25" x14ac:dyDescent="0.15">
      <c r="A10" s="29" t="s">
        <v>73</v>
      </c>
      <c r="L10" s="29"/>
    </row>
    <row r="11" spans="1:13" ht="14.25" x14ac:dyDescent="0.15">
      <c r="A11" s="29" t="s">
        <v>74</v>
      </c>
      <c r="B11" s="31"/>
      <c r="C11" s="32"/>
      <c r="L11" s="29"/>
    </row>
    <row r="12" spans="1:13" ht="14.25" x14ac:dyDescent="0.15">
      <c r="F12" s="11" t="s">
        <v>61</v>
      </c>
      <c r="L12" s="29"/>
      <c r="M12" s="1"/>
    </row>
    <row r="13" spans="1:13" ht="14.25" x14ac:dyDescent="0.15">
      <c r="A13" t="s">
        <v>44</v>
      </c>
      <c r="F13" s="10" t="s">
        <v>62</v>
      </c>
      <c r="G13" s="30">
        <v>2.5</v>
      </c>
      <c r="L13" s="29"/>
      <c r="M13" s="1"/>
    </row>
    <row r="14" spans="1:13" ht="14.25" x14ac:dyDescent="0.15">
      <c r="A14" s="6" t="s">
        <v>3</v>
      </c>
      <c r="B14" s="3">
        <v>12</v>
      </c>
      <c r="C14" t="s">
        <v>21</v>
      </c>
      <c r="F14" s="11" t="s">
        <v>63</v>
      </c>
      <c r="G14" s="30"/>
      <c r="L14" s="29"/>
      <c r="M14" s="1"/>
    </row>
    <row r="15" spans="1:13" ht="14.25" x14ac:dyDescent="0.15">
      <c r="A15" s="6" t="s">
        <v>32</v>
      </c>
      <c r="B15">
        <f>POWER(2,B14)-1</f>
        <v>4095</v>
      </c>
      <c r="C15" t="s">
        <v>31</v>
      </c>
      <c r="G15" s="30"/>
      <c r="L15" s="29"/>
      <c r="M15" s="1"/>
    </row>
    <row r="16" spans="1:13" ht="14.25" x14ac:dyDescent="0.15">
      <c r="A16" s="6" t="s">
        <v>32</v>
      </c>
      <c r="B16" s="3">
        <v>3.3</v>
      </c>
      <c r="C16" t="s">
        <v>22</v>
      </c>
      <c r="F16" s="11"/>
      <c r="L16" s="29"/>
      <c r="M16" s="1"/>
    </row>
    <row r="17" spans="1:12" ht="14.25" x14ac:dyDescent="0.15">
      <c r="A17" t="s">
        <v>27</v>
      </c>
      <c r="B17" s="3">
        <v>0.01</v>
      </c>
      <c r="C17" t="s">
        <v>28</v>
      </c>
      <c r="L17" s="29"/>
    </row>
    <row r="18" spans="1:12" ht="14.25" x14ac:dyDescent="0.15">
      <c r="A18" t="s">
        <v>45</v>
      </c>
      <c r="L18" s="29"/>
    </row>
    <row r="19" spans="1:12" ht="14.25" x14ac:dyDescent="0.15">
      <c r="A19" s="6" t="s">
        <v>2</v>
      </c>
      <c r="B19" s="3">
        <v>2.4700000000000002</v>
      </c>
      <c r="L19" s="29"/>
    </row>
    <row r="20" spans="1:12" ht="14.25" x14ac:dyDescent="0.15">
      <c r="A20" s="6" t="s">
        <v>66</v>
      </c>
      <c r="B20" s="3">
        <v>121</v>
      </c>
      <c r="D20" s="6" t="s">
        <v>67</v>
      </c>
      <c r="E20" s="30">
        <v>121</v>
      </c>
      <c r="L20" s="29"/>
    </row>
    <row r="21" spans="1:12" x14ac:dyDescent="0.15">
      <c r="A21" s="6"/>
      <c r="B21" s="3"/>
      <c r="D21" s="6" t="s">
        <v>68</v>
      </c>
      <c r="E21" s="30">
        <v>77</v>
      </c>
    </row>
    <row r="22" spans="1:12" x14ac:dyDescent="0.15">
      <c r="A22" s="6" t="s">
        <v>71</v>
      </c>
      <c r="B22" s="1">
        <f>B19*E21/(E20+E21)</f>
        <v>0.96055555555555572</v>
      </c>
    </row>
    <row r="23" spans="1:12" x14ac:dyDescent="0.15">
      <c r="B23" s="1"/>
      <c r="G23" s="3"/>
    </row>
    <row r="24" spans="1:12" x14ac:dyDescent="0.15">
      <c r="A24" t="s">
        <v>75</v>
      </c>
      <c r="B24" s="1"/>
      <c r="G24" s="3"/>
    </row>
    <row r="25" spans="1:12" x14ac:dyDescent="0.15">
      <c r="A25" t="s">
        <v>20</v>
      </c>
      <c r="B25" s="26">
        <f>B16/E58</f>
        <v>7.3151650645398609</v>
      </c>
      <c r="G25" s="3"/>
    </row>
    <row r="26" spans="1:12" x14ac:dyDescent="0.15">
      <c r="B26" s="4" t="s">
        <v>72</v>
      </c>
    </row>
    <row r="27" spans="1:12" x14ac:dyDescent="0.15">
      <c r="B27" s="4"/>
      <c r="C27" s="4" t="s">
        <v>30</v>
      </c>
    </row>
    <row r="28" spans="1:12" x14ac:dyDescent="0.15">
      <c r="A28" s="10" t="s">
        <v>24</v>
      </c>
      <c r="B28" s="19">
        <f>200/($B$25-5)</f>
        <v>86.386928976811419</v>
      </c>
      <c r="C28" s="19">
        <f>100/($B$25-1)</f>
        <v>15.834898847143002</v>
      </c>
      <c r="D28" s="9" t="s">
        <v>23</v>
      </c>
    </row>
    <row r="29" spans="1:12" x14ac:dyDescent="0.15">
      <c r="A29" s="10" t="s">
        <v>25</v>
      </c>
      <c r="B29" s="35">
        <v>25</v>
      </c>
      <c r="C29" s="5">
        <v>15</v>
      </c>
      <c r="D29" s="9" t="s">
        <v>23</v>
      </c>
    </row>
    <row r="30" spans="1:12" x14ac:dyDescent="0.15">
      <c r="A30" s="10" t="s">
        <v>36</v>
      </c>
      <c r="B30" s="19">
        <f>5+200/(B29)</f>
        <v>13</v>
      </c>
      <c r="C30" s="19">
        <f>1+100/(C29)</f>
        <v>7.666666666666667</v>
      </c>
    </row>
    <row r="31" spans="1:12" x14ac:dyDescent="0.15">
      <c r="A31" s="10"/>
      <c r="B31" s="4" t="s">
        <v>34</v>
      </c>
      <c r="C31" s="9" t="s">
        <v>35</v>
      </c>
    </row>
    <row r="32" spans="1:12" x14ac:dyDescent="0.15">
      <c r="A32" s="22" t="s">
        <v>46</v>
      </c>
      <c r="B32" s="23"/>
      <c r="C32" s="7"/>
      <c r="D32" s="4" t="s">
        <v>55</v>
      </c>
    </row>
    <row r="33" spans="1:9" x14ac:dyDescent="0.15">
      <c r="A33" s="24" t="s">
        <v>47</v>
      </c>
      <c r="B33" s="25" t="s">
        <v>26</v>
      </c>
      <c r="C33" s="24" t="s">
        <v>30</v>
      </c>
      <c r="D33" s="5">
        <v>20</v>
      </c>
    </row>
    <row r="34" spans="1:9" x14ac:dyDescent="0.15">
      <c r="A34" s="27">
        <v>0</v>
      </c>
      <c r="B34" s="27">
        <v>1</v>
      </c>
      <c r="C34" s="27">
        <v>0</v>
      </c>
      <c r="D34" s="5">
        <v>0</v>
      </c>
      <c r="E34" t="s">
        <v>56</v>
      </c>
      <c r="I34" s="28">
        <f>A34*B25+B34*B30+C34*C30+D34*D33</f>
        <v>13</v>
      </c>
    </row>
    <row r="35" spans="1:9" x14ac:dyDescent="0.15">
      <c r="B35" s="17"/>
    </row>
    <row r="36" spans="1:9" x14ac:dyDescent="0.15">
      <c r="B36" s="17"/>
    </row>
    <row r="37" spans="1:9" x14ac:dyDescent="0.15">
      <c r="B37" s="17"/>
    </row>
    <row r="38" spans="1:9" x14ac:dyDescent="0.15">
      <c r="B38" s="17"/>
    </row>
    <row r="39" spans="1:9" x14ac:dyDescent="0.15">
      <c r="B39" s="17"/>
    </row>
    <row r="40" spans="1:9" x14ac:dyDescent="0.15">
      <c r="B40" s="17"/>
    </row>
    <row r="41" spans="1:9" x14ac:dyDescent="0.15">
      <c r="B41" s="17"/>
    </row>
    <row r="42" spans="1:9" x14ac:dyDescent="0.15">
      <c r="B42" s="17"/>
    </row>
    <row r="43" spans="1:9" x14ac:dyDescent="0.15">
      <c r="B43" s="17"/>
    </row>
    <row r="44" spans="1:9" x14ac:dyDescent="0.15">
      <c r="B44" s="17"/>
    </row>
    <row r="45" spans="1:9" x14ac:dyDescent="0.15">
      <c r="B45" s="17"/>
    </row>
    <row r="46" spans="1:9" x14ac:dyDescent="0.15">
      <c r="B46" s="17"/>
    </row>
    <row r="47" spans="1:9" x14ac:dyDescent="0.15">
      <c r="B47" s="17"/>
    </row>
    <row r="48" spans="1:9" x14ac:dyDescent="0.15">
      <c r="B48" s="17"/>
    </row>
    <row r="49" spans="1:11" x14ac:dyDescent="0.15">
      <c r="B49" s="17"/>
    </row>
    <row r="50" spans="1:11" x14ac:dyDescent="0.15">
      <c r="B50" s="17"/>
    </row>
    <row r="51" spans="1:11" x14ac:dyDescent="0.15">
      <c r="B51" s="17"/>
    </row>
    <row r="52" spans="1:11" x14ac:dyDescent="0.15">
      <c r="B52" s="17"/>
    </row>
    <row r="53" spans="1:11" x14ac:dyDescent="0.15">
      <c r="B53" s="17"/>
    </row>
    <row r="54" spans="1:11" x14ac:dyDescent="0.15">
      <c r="B54" s="17"/>
    </row>
    <row r="55" spans="1:11" x14ac:dyDescent="0.15">
      <c r="B55" s="17"/>
    </row>
    <row r="56" spans="1:11" x14ac:dyDescent="0.15">
      <c r="B56" s="17"/>
    </row>
    <row r="57" spans="1:11" x14ac:dyDescent="0.15">
      <c r="B57" s="4" t="s">
        <v>0</v>
      </c>
      <c r="C57" s="4" t="s">
        <v>1</v>
      </c>
      <c r="D57" s="4" t="s">
        <v>69</v>
      </c>
      <c r="E57" s="4" t="s">
        <v>70</v>
      </c>
      <c r="F57" s="4" t="s">
        <v>59</v>
      </c>
      <c r="G57" s="16" t="s">
        <v>3</v>
      </c>
      <c r="H57" s="16" t="s">
        <v>29</v>
      </c>
      <c r="I57" s="4" t="s">
        <v>19</v>
      </c>
      <c r="J57" s="4" t="s">
        <v>18</v>
      </c>
      <c r="K57" s="16" t="s">
        <v>64</v>
      </c>
    </row>
    <row r="58" spans="1:11" x14ac:dyDescent="0.15">
      <c r="A58">
        <v>0</v>
      </c>
      <c r="B58" s="5">
        <v>10</v>
      </c>
      <c r="C58" s="14">
        <f>$B$8*EXP($B$9/(B58+273.15))</f>
        <v>161.39859251418727</v>
      </c>
      <c r="D58" s="13">
        <f>$B$19*(C58)/(C58+$B$20)</f>
        <v>1.4116731955383763</v>
      </c>
      <c r="E58" s="13">
        <f>D58-$B$22</f>
        <v>0.45111763998282062</v>
      </c>
      <c r="F58" s="14">
        <f>$I$34*E58</f>
        <v>5.8645293197766684</v>
      </c>
      <c r="G58" s="16">
        <f>MIN(B$15,ROUNDDOWN(B$15*F58/B$16,0))</f>
        <v>4095</v>
      </c>
      <c r="H58" s="16">
        <f>ROUND(B58/B$17,0)</f>
        <v>1000</v>
      </c>
      <c r="I58" s="15">
        <f>D58*D58/C58</f>
        <v>1.2347203156845111E-2</v>
      </c>
      <c r="J58" s="15">
        <f>I58/$G$13</f>
        <v>4.938881262738044E-3</v>
      </c>
      <c r="K58" s="34">
        <f>ROUND(C58*100,0)</f>
        <v>16140</v>
      </c>
    </row>
    <row r="59" spans="1:11" x14ac:dyDescent="0.15">
      <c r="A59">
        <f>A58+1</f>
        <v>1</v>
      </c>
      <c r="B59" s="12">
        <f>B$58+A59*(B$108-B$58)/50</f>
        <v>10.6</v>
      </c>
      <c r="C59" s="14">
        <f>$B$8*EXP($B$9/(B59+273.15))</f>
        <v>158.69619904770443</v>
      </c>
      <c r="D59" s="13">
        <f t="shared" ref="D59:D108" si="0">$B$19*(C59)/(C59+$B$20)</f>
        <v>1.4014477600425834</v>
      </c>
      <c r="E59" s="13">
        <f t="shared" ref="E59:E108" si="1">D59-$B$22</f>
        <v>0.44089220448702771</v>
      </c>
      <c r="F59" s="14">
        <f t="shared" ref="F59:F108" si="2">$I$34*E59</f>
        <v>5.7315986583313601</v>
      </c>
      <c r="G59" s="16">
        <f>MIN(B$15,ROUNDDOWN(B$15*F59/B$16,0))</f>
        <v>4095</v>
      </c>
      <c r="H59" s="16">
        <f>ROUND(B59/B$17,0)</f>
        <v>1060</v>
      </c>
      <c r="I59" s="15">
        <f>D59*D59/C59</f>
        <v>1.2376199530386831E-2</v>
      </c>
      <c r="J59" s="15">
        <f>I59/$G$13</f>
        <v>4.9504798121547322E-3</v>
      </c>
      <c r="K59" s="34">
        <f t="shared" ref="K59:K108" si="3">ROUND(C59*100,0)</f>
        <v>15870</v>
      </c>
    </row>
    <row r="60" spans="1:11" x14ac:dyDescent="0.15">
      <c r="A60">
        <f>A59+1</f>
        <v>2</v>
      </c>
      <c r="B60" s="12">
        <f t="shared" ref="B60:B107" si="4">B$58+A60*(B$108-B$58)/50</f>
        <v>11.2</v>
      </c>
      <c r="C60" s="14">
        <f>$B$8*EXP($B$9/(B60+273.15))</f>
        <v>156.05017292304453</v>
      </c>
      <c r="D60" s="13">
        <f t="shared" si="0"/>
        <v>1.3912423264467109</v>
      </c>
      <c r="E60" s="13">
        <f t="shared" si="1"/>
        <v>0.43068677089115515</v>
      </c>
      <c r="F60" s="14">
        <f t="shared" si="2"/>
        <v>5.5989280215850172</v>
      </c>
      <c r="G60" s="16">
        <f>MIN(B$15,ROUNDDOWN(B$15*F60/B$16,0))</f>
        <v>4095</v>
      </c>
      <c r="H60" s="16">
        <f>ROUND(B60/B$17,0)</f>
        <v>1120</v>
      </c>
      <c r="I60" s="15">
        <f t="shared" ref="I60:I107" si="5">D60*D60/C60</f>
        <v>1.2403415995260493E-2</v>
      </c>
      <c r="J60" s="15">
        <f>I60/$G$13</f>
        <v>4.9613663981041972E-3</v>
      </c>
      <c r="K60" s="34">
        <f t="shared" si="3"/>
        <v>15605</v>
      </c>
    </row>
    <row r="61" spans="1:11" x14ac:dyDescent="0.15">
      <c r="A61">
        <f t="shared" ref="A61:A108" si="6">A60+1</f>
        <v>3</v>
      </c>
      <c r="B61" s="12">
        <f t="shared" si="4"/>
        <v>11.8</v>
      </c>
      <c r="C61" s="14">
        <f>$B$8*EXP($B$9/(B61+273.15))</f>
        <v>153.45913124569452</v>
      </c>
      <c r="D61" s="13">
        <f t="shared" si="0"/>
        <v>1.3810582743466715</v>
      </c>
      <c r="E61" s="13">
        <f t="shared" si="1"/>
        <v>0.42050271879111578</v>
      </c>
      <c r="F61" s="14">
        <f t="shared" si="2"/>
        <v>5.4665353442845053</v>
      </c>
      <c r="G61" s="16">
        <f>MIN(B$15,ROUNDDOWN(B$15*F61/B$16,0))</f>
        <v>4095</v>
      </c>
      <c r="H61" s="16">
        <f>ROUND(B61/B$17,0)</f>
        <v>1180</v>
      </c>
      <c r="I61" s="15">
        <f t="shared" si="5"/>
        <v>1.2428859342932834E-2</v>
      </c>
      <c r="J61" s="15">
        <f>I61/$G$13</f>
        <v>4.9715437371731334E-3</v>
      </c>
      <c r="K61" s="34">
        <f t="shared" si="3"/>
        <v>15346</v>
      </c>
    </row>
    <row r="62" spans="1:11" x14ac:dyDescent="0.15">
      <c r="A62">
        <f t="shared" si="6"/>
        <v>4</v>
      </c>
      <c r="B62" s="12">
        <f t="shared" si="4"/>
        <v>12.4</v>
      </c>
      <c r="C62" s="14">
        <f>$B$8*EXP($B$9/(B62+273.15))</f>
        <v>150.92172979239754</v>
      </c>
      <c r="D62" s="13">
        <f t="shared" si="0"/>
        <v>1.3708969594736824</v>
      </c>
      <c r="E62" s="13">
        <f t="shared" si="1"/>
        <v>0.41034140391812668</v>
      </c>
      <c r="F62" s="14">
        <f t="shared" si="2"/>
        <v>5.3344382509356469</v>
      </c>
      <c r="G62" s="16">
        <f>MIN(B$15,ROUNDDOWN(B$15*F62/B$16,0))</f>
        <v>4095</v>
      </c>
      <c r="H62" s="16">
        <f>ROUND(B62/B$17,0)</f>
        <v>1240</v>
      </c>
      <c r="I62" s="15">
        <f t="shared" si="5"/>
        <v>1.2452537325667845E-2</v>
      </c>
      <c r="J62" s="15">
        <f>I62/$G$13</f>
        <v>4.9810149302671382E-3</v>
      </c>
      <c r="K62" s="34">
        <f t="shared" si="3"/>
        <v>15092</v>
      </c>
    </row>
    <row r="63" spans="1:11" x14ac:dyDescent="0.15">
      <c r="A63">
        <f t="shared" si="6"/>
        <v>5</v>
      </c>
      <c r="B63" s="12">
        <f t="shared" si="4"/>
        <v>13</v>
      </c>
      <c r="C63" s="14">
        <f>$B$8*EXP($B$9/(B63+273.15))</f>
        <v>148.43666180359077</v>
      </c>
      <c r="D63" s="13">
        <f t="shared" si="0"/>
        <v>1.3607597132499176</v>
      </c>
      <c r="E63" s="13">
        <f t="shared" si="1"/>
        <v>0.40020415769436191</v>
      </c>
      <c r="F63" s="14">
        <f t="shared" si="2"/>
        <v>5.2026540500267044</v>
      </c>
      <c r="G63" s="16">
        <f>MIN(B$15,ROUNDDOWN(B$15*F63/B$16,0))</f>
        <v>4095</v>
      </c>
      <c r="H63" s="16">
        <f>ROUND(B63/B$17,0)</f>
        <v>1300</v>
      </c>
      <c r="I63" s="15">
        <f t="shared" si="5"/>
        <v>1.2474458632423956E-2</v>
      </c>
      <c r="J63" s="15">
        <f>I63/$G$13</f>
        <v>4.9897834529695822E-3</v>
      </c>
      <c r="K63" s="34">
        <f t="shared" si="3"/>
        <v>14844</v>
      </c>
    </row>
    <row r="64" spans="1:11" x14ac:dyDescent="0.15">
      <c r="A64">
        <f t="shared" si="6"/>
        <v>6</v>
      </c>
      <c r="B64" s="12">
        <f t="shared" si="4"/>
        <v>13.6</v>
      </c>
      <c r="C64" s="14">
        <f>$B$8*EXP($B$9/(B64+273.15))</f>
        <v>146.00265681734101</v>
      </c>
      <c r="D64" s="13">
        <f t="shared" si="0"/>
        <v>1.3506478423753674</v>
      </c>
      <c r="E64" s="13">
        <f t="shared" si="1"/>
        <v>0.39009228681981167</v>
      </c>
      <c r="F64" s="14">
        <f t="shared" si="2"/>
        <v>5.0711997286575521</v>
      </c>
      <c r="G64" s="16">
        <f>MIN(B$15,ROUNDDOWN(B$15*F64/B$16,0))</f>
        <v>4095</v>
      </c>
      <c r="H64" s="16">
        <f>ROUND(B64/B$17,0)</f>
        <v>1360</v>
      </c>
      <c r="I64" s="15">
        <f t="shared" si="5"/>
        <v>1.2494632864082004E-2</v>
      </c>
      <c r="J64" s="15">
        <f>I64/$G$13</f>
        <v>4.9978531456328018E-3</v>
      </c>
      <c r="K64" s="34">
        <f t="shared" si="3"/>
        <v>14600</v>
      </c>
    </row>
    <row r="65" spans="1:11" x14ac:dyDescent="0.15">
      <c r="A65">
        <f t="shared" si="6"/>
        <v>7</v>
      </c>
      <c r="B65" s="12">
        <f t="shared" si="4"/>
        <v>14.2</v>
      </c>
      <c r="C65" s="14">
        <f>$B$8*EXP($B$9/(B65+273.15))</f>
        <v>143.61847954322101</v>
      </c>
      <c r="D65" s="13">
        <f t="shared" si="0"/>
        <v>1.3405626284456653</v>
      </c>
      <c r="E65" s="13">
        <f t="shared" si="1"/>
        <v>0.3800070728901096</v>
      </c>
      <c r="F65" s="14">
        <f t="shared" si="2"/>
        <v>4.9400919475714247</v>
      </c>
      <c r="G65" s="16">
        <f>MIN(B$15,ROUNDDOWN(B$15*F65/B$16,0))</f>
        <v>4095</v>
      </c>
      <c r="H65" s="16">
        <f>ROUND(B65/B$17,0)</f>
        <v>1420</v>
      </c>
      <c r="I65" s="15">
        <f t="shared" si="5"/>
        <v>1.2513070508063159E-2</v>
      </c>
      <c r="J65" s="15">
        <f>I65/$G$13</f>
        <v>5.0052282032252635E-3</v>
      </c>
      <c r="K65" s="34">
        <f t="shared" si="3"/>
        <v>14362</v>
      </c>
    </row>
    <row r="66" spans="1:11" x14ac:dyDescent="0.15">
      <c r="A66">
        <f t="shared" si="6"/>
        <v>8</v>
      </c>
      <c r="B66" s="12">
        <f t="shared" si="4"/>
        <v>14.8</v>
      </c>
      <c r="C66" s="14">
        <f>$B$8*EXP($B$9/(B66+273.15))</f>
        <v>141.28292877463883</v>
      </c>
      <c r="D66" s="13">
        <f t="shared" si="0"/>
        <v>1.3305053276006467</v>
      </c>
      <c r="E66" s="13">
        <f t="shared" si="1"/>
        <v>0.36994977204509094</v>
      </c>
      <c r="F66" s="14">
        <f t="shared" si="2"/>
        <v>4.8093470365861819</v>
      </c>
      <c r="G66" s="16">
        <f>MIN(B$15,ROUNDDOWN(B$15*F66/B$16,0))</f>
        <v>4095</v>
      </c>
      <c r="H66" s="16">
        <f>ROUND(B66/B$17,0)</f>
        <v>1480</v>
      </c>
      <c r="I66" s="15">
        <f t="shared" si="5"/>
        <v>1.2529782912395811E-2</v>
      </c>
      <c r="J66" s="15">
        <f>I66/$G$13</f>
        <v>5.0119131649583246E-3</v>
      </c>
      <c r="K66" s="34">
        <f t="shared" si="3"/>
        <v>14128</v>
      </c>
    </row>
    <row r="67" spans="1:11" x14ac:dyDescent="0.15">
      <c r="A67">
        <f t="shared" si="6"/>
        <v>9</v>
      </c>
      <c r="B67" s="12">
        <f t="shared" si="4"/>
        <v>15.4</v>
      </c>
      <c r="C67" s="14">
        <f>$B$8*EXP($B$9/(B67+273.15))</f>
        <v>138.9948363381931</v>
      </c>
      <c r="D67" s="13">
        <f t="shared" si="0"/>
        <v>1.3204771702033371</v>
      </c>
      <c r="E67" s="13">
        <f t="shared" si="1"/>
        <v>0.35992161464778138</v>
      </c>
      <c r="F67" s="14">
        <f t="shared" si="2"/>
        <v>4.6789809904211577</v>
      </c>
      <c r="G67" s="16">
        <f>MIN(B$15,ROUNDDOWN(B$15*F67/B$16,0))</f>
        <v>4095</v>
      </c>
      <c r="H67" s="16">
        <f>ROUND(B67/B$17,0)</f>
        <v>1540</v>
      </c>
      <c r="I67" s="15">
        <f t="shared" si="5"/>
        <v>1.2544782259289506E-2</v>
      </c>
      <c r="J67" s="15">
        <f>I67/$G$13</f>
        <v>5.0179129037158021E-3</v>
      </c>
      <c r="K67" s="34">
        <f t="shared" si="3"/>
        <v>13899</v>
      </c>
    </row>
    <row r="68" spans="1:11" x14ac:dyDescent="0.15">
      <c r="A68">
        <f t="shared" si="6"/>
        <v>10</v>
      </c>
      <c r="B68" s="12">
        <f t="shared" si="4"/>
        <v>16</v>
      </c>
      <c r="C68" s="14">
        <f>$B$8*EXP($B$9/(B68+273.15))</f>
        <v>136.75306607867793</v>
      </c>
      <c r="D68" s="13">
        <f t="shared" si="0"/>
        <v>1.3104793605490175</v>
      </c>
      <c r="E68" s="13">
        <f t="shared" si="1"/>
        <v>0.34992380499346176</v>
      </c>
      <c r="F68" s="14">
        <f t="shared" si="2"/>
        <v>4.5490094649150032</v>
      </c>
      <c r="G68" s="16">
        <f>MIN(B$15,ROUNDDOWN(B$15*F68/B$16,0))</f>
        <v>4095</v>
      </c>
      <c r="H68" s="16">
        <f>ROUND(B68/B$17,0)</f>
        <v>1600</v>
      </c>
      <c r="I68" s="15">
        <f t="shared" si="5"/>
        <v>1.255808153827365E-2</v>
      </c>
      <c r="J68" s="15">
        <f>I68/$G$13</f>
        <v>5.0232326153094604E-3</v>
      </c>
      <c r="K68" s="34">
        <f t="shared" si="3"/>
        <v>13675</v>
      </c>
    </row>
    <row r="69" spans="1:11" x14ac:dyDescent="0.15">
      <c r="A69">
        <f t="shared" si="6"/>
        <v>11</v>
      </c>
      <c r="B69" s="12">
        <f t="shared" si="4"/>
        <v>16.600000000000001</v>
      </c>
      <c r="C69" s="14">
        <f>$B$8*EXP($B$9/(B69+273.15))</f>
        <v>134.55651287842548</v>
      </c>
      <c r="D69" s="13">
        <f t="shared" si="0"/>
        <v>1.3005130766040003</v>
      </c>
      <c r="E69" s="13">
        <f t="shared" si="1"/>
        <v>0.33995752104844457</v>
      </c>
      <c r="F69" s="14">
        <f t="shared" si="2"/>
        <v>4.4194477736297797</v>
      </c>
      <c r="G69" s="16">
        <f>MIN(B$15,ROUNDDOWN(B$15*F69/B$16,0))</f>
        <v>4095</v>
      </c>
      <c r="H69" s="16">
        <f>ROUND(B69/B$17,0)</f>
        <v>1660</v>
      </c>
      <c r="I69" s="15">
        <f t="shared" si="5"/>
        <v>1.2569694518957673E-2</v>
      </c>
      <c r="J69" s="15">
        <f>I69/$G$13</f>
        <v>5.027877807583069E-3</v>
      </c>
      <c r="K69" s="34">
        <f t="shared" si="3"/>
        <v>13456</v>
      </c>
    </row>
    <row r="70" spans="1:11" x14ac:dyDescent="0.15">
      <c r="A70">
        <f t="shared" si="6"/>
        <v>12</v>
      </c>
      <c r="B70" s="12">
        <f t="shared" si="4"/>
        <v>17.2</v>
      </c>
      <c r="C70" s="14">
        <f>$B$8*EXP($B$9/(B70+273.15))</f>
        <v>132.40410170971705</v>
      </c>
      <c r="D70" s="13">
        <f t="shared" si="0"/>
        <v>1.2905794697736754</v>
      </c>
      <c r="E70" s="13">
        <f t="shared" si="1"/>
        <v>0.33002391421811972</v>
      </c>
      <c r="F70" s="14">
        <f t="shared" si="2"/>
        <v>4.2903108848355567</v>
      </c>
      <c r="G70" s="16">
        <f>MIN(B$15,ROUNDDOWN(B$15*F70/B$16,0))</f>
        <v>4095</v>
      </c>
      <c r="H70" s="16">
        <f>ROUND(B70/B$17,0)</f>
        <v>1720</v>
      </c>
      <c r="I70" s="15">
        <f t="shared" si="5"/>
        <v>1.2579635723468407E-2</v>
      </c>
      <c r="J70" s="15">
        <f>I70/$G$13</f>
        <v>5.0318542893873627E-3</v>
      </c>
      <c r="K70" s="34">
        <f t="shared" si="3"/>
        <v>13240</v>
      </c>
    </row>
    <row r="71" spans="1:11" x14ac:dyDescent="0.15">
      <c r="A71">
        <f t="shared" si="6"/>
        <v>13</v>
      </c>
      <c r="B71" s="12">
        <f t="shared" si="4"/>
        <v>17.8</v>
      </c>
      <c r="C71" s="14">
        <f>$B$8*EXP($B$9/(B71+273.15))</f>
        <v>130.29478671905113</v>
      </c>
      <c r="D71" s="13">
        <f t="shared" si="0"/>
        <v>1.2806796646993788</v>
      </c>
      <c r="E71" s="13">
        <f t="shared" si="1"/>
        <v>0.32012410914382305</v>
      </c>
      <c r="F71" s="14">
        <f t="shared" si="2"/>
        <v>4.1616134188696998</v>
      </c>
      <c r="G71" s="16">
        <f>MIN(B$15,ROUNDDOWN(B$15*F71/B$16,0))</f>
        <v>4095</v>
      </c>
      <c r="H71" s="16">
        <f>ROUND(B71/B$17,0)</f>
        <v>1780</v>
      </c>
      <c r="I71" s="15">
        <f t="shared" si="5"/>
        <v>1.2587920398619442E-2</v>
      </c>
      <c r="J71" s="15">
        <f>I71/$G$13</f>
        <v>5.0351681594477766E-3</v>
      </c>
      <c r="K71" s="34">
        <f t="shared" si="3"/>
        <v>13029</v>
      </c>
    </row>
    <row r="72" spans="1:11" x14ac:dyDescent="0.15">
      <c r="A72">
        <f t="shared" si="6"/>
        <v>14</v>
      </c>
      <c r="B72" s="12">
        <f t="shared" si="4"/>
        <v>18.399999999999999</v>
      </c>
      <c r="C72" s="14">
        <f>$B$8*EXP($B$9/(B72+273.15))</f>
        <v>128.22755034210226</v>
      </c>
      <c r="D72" s="13">
        <f t="shared" si="0"/>
        <v>1.2708147590835925</v>
      </c>
      <c r="E72" s="13">
        <f t="shared" si="1"/>
        <v>0.31025920352803682</v>
      </c>
      <c r="F72" s="14">
        <f t="shared" si="2"/>
        <v>4.0333696458644788</v>
      </c>
      <c r="G72" s="16">
        <f>MIN(B$15,ROUNDDOWN(B$15*F72/B$16,0))</f>
        <v>4095</v>
      </c>
      <c r="H72" s="16">
        <f>ROUND(B72/B$17,0)</f>
        <v>1840</v>
      </c>
      <c r="I72" s="15">
        <f t="shared" si="5"/>
        <v>1.2594564487865988E-2</v>
      </c>
      <c r="J72" s="15">
        <f>I72/$G$13</f>
        <v>5.037825795146395E-3</v>
      </c>
      <c r="K72" s="34">
        <f t="shared" si="3"/>
        <v>12823</v>
      </c>
    </row>
    <row r="73" spans="1:11" x14ac:dyDescent="0.15">
      <c r="A73">
        <f t="shared" si="6"/>
        <v>15</v>
      </c>
      <c r="B73" s="12">
        <f t="shared" si="4"/>
        <v>19</v>
      </c>
      <c r="C73" s="14">
        <f>$B$8*EXP($B$9/(B73+273.15))</f>
        <v>126.20140244824825</v>
      </c>
      <c r="D73" s="13">
        <f t="shared" si="0"/>
        <v>1.2609858235429363</v>
      </c>
      <c r="E73" s="13">
        <f t="shared" si="1"/>
        <v>0.30043026798738059</v>
      </c>
      <c r="F73" s="14">
        <f t="shared" si="2"/>
        <v>3.9055934838359478</v>
      </c>
      <c r="G73" s="16">
        <f>MIN(B$15,ROUNDDOWN(B$15*F73/B$16,0))</f>
        <v>4095</v>
      </c>
      <c r="H73" s="16">
        <f>ROUND(B73/B$17,0)</f>
        <v>1900</v>
      </c>
      <c r="I73" s="15">
        <f t="shared" si="5"/>
        <v>1.259958460309748E-2</v>
      </c>
      <c r="J73" s="15">
        <f>I73/$G$13</f>
        <v>5.0398338412389922E-3</v>
      </c>
      <c r="K73" s="34">
        <f t="shared" si="3"/>
        <v>12620</v>
      </c>
    </row>
    <row r="74" spans="1:11" x14ac:dyDescent="0.15">
      <c r="A74">
        <f t="shared" si="6"/>
        <v>16</v>
      </c>
      <c r="B74" s="12">
        <f t="shared" si="4"/>
        <v>19.600000000000001</v>
      </c>
      <c r="C74" s="14">
        <f>$B$8*EXP($B$9/(B74+273.15))</f>
        <v>124.2153795135935</v>
      </c>
      <c r="D74" s="13">
        <f t="shared" si="0"/>
        <v>1.2511939014884172</v>
      </c>
      <c r="E74" s="13">
        <f t="shared" si="1"/>
        <v>0.29063834593286153</v>
      </c>
      <c r="F74" s="14">
        <f t="shared" si="2"/>
        <v>3.7782984971271998</v>
      </c>
      <c r="G74" s="16">
        <f>MIN(B$15,ROUNDDOWN(B$15*F74/B$16,0))</f>
        <v>4095</v>
      </c>
      <c r="H74" s="16">
        <f>ROUND(B74/B$17,0)</f>
        <v>1960</v>
      </c>
      <c r="I74" s="15">
        <f t="shared" si="5"/>
        <v>1.2602997996318871E-2</v>
      </c>
      <c r="J74" s="15">
        <f>I74/$G$13</f>
        <v>5.0411991985275482E-3</v>
      </c>
      <c r="K74" s="34">
        <f t="shared" si="3"/>
        <v>12422</v>
      </c>
    </row>
    <row r="75" spans="1:11" x14ac:dyDescent="0.15">
      <c r="A75">
        <f t="shared" si="6"/>
        <v>17</v>
      </c>
      <c r="B75" s="12">
        <f t="shared" si="4"/>
        <v>20.2</v>
      </c>
      <c r="C75" s="14">
        <f>$B$8*EXP($B$9/(B75+273.15))</f>
        <v>122.26854382145125</v>
      </c>
      <c r="D75" s="13">
        <f t="shared" si="0"/>
        <v>1.2414400090323314</v>
      </c>
      <c r="E75" s="13">
        <f t="shared" si="1"/>
        <v>0.28088445347677571</v>
      </c>
      <c r="F75" s="14">
        <f t="shared" si="2"/>
        <v>3.6514978951980841</v>
      </c>
      <c r="G75" s="16">
        <f>MIN(B$15,ROUNDDOWN(B$15*F75/B$16,0))</f>
        <v>4095</v>
      </c>
      <c r="H75" s="16">
        <f>ROUND(B75/B$17,0)</f>
        <v>2020</v>
      </c>
      <c r="I75" s="15">
        <f t="shared" si="5"/>
        <v>1.2604822531269945E-2</v>
      </c>
      <c r="J75" s="15">
        <f>I75/$G$13</f>
        <v>5.0419290125079778E-3</v>
      </c>
      <c r="K75" s="34">
        <f t="shared" si="3"/>
        <v>12227</v>
      </c>
    </row>
    <row r="76" spans="1:11" x14ac:dyDescent="0.15">
      <c r="A76">
        <f t="shared" si="6"/>
        <v>18</v>
      </c>
      <c r="B76" s="12">
        <f t="shared" si="4"/>
        <v>20.8</v>
      </c>
      <c r="C76" s="14">
        <f>$B$8*EXP($B$9/(B76+273.15))</f>
        <v>120.35998268929256</v>
      </c>
      <c r="D76" s="13">
        <f t="shared" si="0"/>
        <v>1.2317251349212219</v>
      </c>
      <c r="E76" s="13">
        <f t="shared" si="1"/>
        <v>0.27116957936566621</v>
      </c>
      <c r="F76" s="14">
        <f t="shared" si="2"/>
        <v>3.5252045317536607</v>
      </c>
      <c r="G76" s="16">
        <f>MIN(B$15,ROUNDDOWN(B$15*F76/B$16,0))</f>
        <v>4095</v>
      </c>
      <c r="H76" s="16">
        <f>ROUND(B76/B$17,0)</f>
        <v>2080</v>
      </c>
      <c r="I76" s="15">
        <f t="shared" si="5"/>
        <v>1.2605076655030712E-2</v>
      </c>
      <c r="J76" s="15">
        <f>I76/$G$13</f>
        <v>5.0420306620122847E-3</v>
      </c>
      <c r="K76" s="34">
        <f t="shared" si="3"/>
        <v>12036</v>
      </c>
    </row>
    <row r="77" spans="1:11" x14ac:dyDescent="0.15">
      <c r="A77">
        <f t="shared" si="6"/>
        <v>19</v>
      </c>
      <c r="B77" s="12">
        <f t="shared" si="4"/>
        <v>21.4</v>
      </c>
      <c r="C77" s="14">
        <f>$B$8*EXP($B$9/(B77+273.15))</f>
        <v>118.48880772121008</v>
      </c>
      <c r="D77" s="13">
        <f t="shared" si="0"/>
        <v>1.2220502404942621</v>
      </c>
      <c r="E77" s="13">
        <f t="shared" si="1"/>
        <v>0.26149468493870642</v>
      </c>
      <c r="F77" s="14">
        <f t="shared" si="2"/>
        <v>3.3994309042031836</v>
      </c>
      <c r="G77" s="16">
        <f>MIN(B$15,ROUNDDOWN(B$15*F77/B$16,0))</f>
        <v>4095</v>
      </c>
      <c r="H77" s="16">
        <f>ROUND(B77/B$17,0)</f>
        <v>2140</v>
      </c>
      <c r="I77" s="15">
        <f t="shared" si="5"/>
        <v>1.2603779369659037E-2</v>
      </c>
      <c r="J77" s="15">
        <f>I77/$G$13</f>
        <v>5.041511747863615E-3</v>
      </c>
      <c r="K77" s="34">
        <f t="shared" si="3"/>
        <v>11849</v>
      </c>
    </row>
    <row r="78" spans="1:11" x14ac:dyDescent="0.15">
      <c r="A78">
        <f t="shared" si="6"/>
        <v>20</v>
      </c>
      <c r="B78" s="12">
        <f t="shared" si="4"/>
        <v>22</v>
      </c>
      <c r="C78" s="14">
        <f>$B$8*EXP($B$9/(B78+273.15))</f>
        <v>116.65415408497483</v>
      </c>
      <c r="D78" s="13">
        <f t="shared" si="0"/>
        <v>1.2124162596664017</v>
      </c>
      <c r="E78" s="13">
        <f t="shared" si="1"/>
        <v>0.25186070411084593</v>
      </c>
      <c r="F78" s="14">
        <f t="shared" si="2"/>
        <v>3.274189153440997</v>
      </c>
      <c r="G78" s="16">
        <f>MIN(B$15,ROUNDDOWN(B$15*F78/B$16,0))</f>
        <v>4062</v>
      </c>
      <c r="H78" s="16">
        <f>ROUND(B78/B$17,0)</f>
        <v>2200</v>
      </c>
      <c r="I78" s="15">
        <f t="shared" si="5"/>
        <v>1.260095020390533E-2</v>
      </c>
      <c r="J78" s="15">
        <f>I78/$G$13</f>
        <v>5.0403800815621317E-3</v>
      </c>
      <c r="K78" s="34">
        <f t="shared" si="3"/>
        <v>11665</v>
      </c>
    </row>
    <row r="79" spans="1:11" x14ac:dyDescent="0.15">
      <c r="A79">
        <f t="shared" si="6"/>
        <v>21</v>
      </c>
      <c r="B79" s="12">
        <f t="shared" si="4"/>
        <v>22.6</v>
      </c>
      <c r="C79" s="14">
        <f>$B$8*EXP($B$9/(B79+273.15))</f>
        <v>114.85517981280923</v>
      </c>
      <c r="D79" s="13">
        <f t="shared" si="0"/>
        <v>1.2028240989356109</v>
      </c>
      <c r="E79" s="13">
        <f t="shared" si="1"/>
        <v>0.24226854338005521</v>
      </c>
      <c r="F79" s="14">
        <f t="shared" si="2"/>
        <v>3.1494910639407179</v>
      </c>
      <c r="G79" s="16">
        <f>MIN(B$15,ROUNDDOWN(B$15*F79/B$16,0))</f>
        <v>3908</v>
      </c>
      <c r="H79" s="16">
        <f>ROUND(B79/B$17,0)</f>
        <v>2260</v>
      </c>
      <c r="I79" s="15">
        <f t="shared" si="5"/>
        <v>1.2596609185047061E-2</v>
      </c>
      <c r="J79" s="15">
        <f>I79/$G$13</f>
        <v>5.038643674018824E-3</v>
      </c>
      <c r="K79" s="34">
        <f t="shared" si="3"/>
        <v>11486</v>
      </c>
    </row>
    <row r="80" spans="1:11" x14ac:dyDescent="0.15">
      <c r="A80">
        <f t="shared" si="6"/>
        <v>22</v>
      </c>
      <c r="B80" s="12">
        <f t="shared" si="4"/>
        <v>23.2</v>
      </c>
      <c r="C80" s="14">
        <f>$B$8*EXP($B$9/(B80+273.15))</f>
        <v>113.09106512502429</v>
      </c>
      <c r="D80" s="13">
        <f t="shared" si="0"/>
        <v>1.1932746374135286</v>
      </c>
      <c r="E80" s="13">
        <f t="shared" si="1"/>
        <v>0.23271908185797285</v>
      </c>
      <c r="F80" s="14">
        <f t="shared" si="2"/>
        <v>3.025348064153647</v>
      </c>
      <c r="G80" s="16">
        <f>MIN(B$15,ROUNDDOWN(B$15*F80/B$16,0))</f>
        <v>3754</v>
      </c>
      <c r="H80" s="16">
        <f>ROUND(B80/B$17,0)</f>
        <v>2320</v>
      </c>
      <c r="I80" s="15">
        <f t="shared" si="5"/>
        <v>1.2590776810884531E-2</v>
      </c>
      <c r="J80" s="15">
        <f>I80/$G$13</f>
        <v>5.0363107243538126E-3</v>
      </c>
      <c r="K80" s="34">
        <f t="shared" si="3"/>
        <v>11309</v>
      </c>
    </row>
    <row r="81" spans="1:11" x14ac:dyDescent="0.15">
      <c r="A81">
        <f t="shared" si="6"/>
        <v>23</v>
      </c>
      <c r="B81" s="12">
        <f t="shared" si="4"/>
        <v>23.8</v>
      </c>
      <c r="C81" s="14">
        <f>$B$8*EXP($B$9/(B81+273.15))</f>
        <v>111.36101177570919</v>
      </c>
      <c r="D81" s="13">
        <f t="shared" si="0"/>
        <v>1.1837687268788026</v>
      </c>
      <c r="E81" s="13">
        <f t="shared" si="1"/>
        <v>0.22321317132324692</v>
      </c>
      <c r="F81" s="14">
        <f t="shared" si="2"/>
        <v>2.90177122720221</v>
      </c>
      <c r="G81" s="16">
        <f>MIN(B$15,ROUNDDOWN(B$15*F81/B$16,0))</f>
        <v>3600</v>
      </c>
      <c r="H81" s="16">
        <f>ROUND(B81/B$17,0)</f>
        <v>2380</v>
      </c>
      <c r="I81" s="15">
        <f t="shared" si="5"/>
        <v>1.2583474021937038E-2</v>
      </c>
      <c r="J81" s="15">
        <f>I81/$G$13</f>
        <v>5.0333896087748154E-3</v>
      </c>
      <c r="K81" s="34">
        <f t="shared" si="3"/>
        <v>11136</v>
      </c>
    </row>
    <row r="82" spans="1:11" x14ac:dyDescent="0.15">
      <c r="A82">
        <f t="shared" si="6"/>
        <v>24</v>
      </c>
      <c r="B82" s="12">
        <f t="shared" si="4"/>
        <v>24.4</v>
      </c>
      <c r="C82" s="14">
        <f>$B$8*EXP($B$9/(B82+273.15))</f>
        <v>109.6642424196899</v>
      </c>
      <c r="D82" s="13">
        <f t="shared" si="0"/>
        <v>1.1743071918524293</v>
      </c>
      <c r="E82" s="13">
        <f t="shared" si="1"/>
        <v>0.21375163629687355</v>
      </c>
      <c r="F82" s="14">
        <f t="shared" si="2"/>
        <v>2.7787712718593562</v>
      </c>
      <c r="G82" s="16">
        <f>MIN(B$15,ROUNDDOWN(B$15*F82/B$16,0))</f>
        <v>3448</v>
      </c>
      <c r="H82" s="16">
        <f>ROUND(B82/B$17,0)</f>
        <v>2440</v>
      </c>
      <c r="I82" s="15">
        <f t="shared" si="5"/>
        <v>1.2574722173877373E-2</v>
      </c>
      <c r="J82" s="15">
        <f>I82/$G$13</f>
        <v>5.0298888695509492E-3</v>
      </c>
      <c r="K82" s="34">
        <f t="shared" si="3"/>
        <v>10966</v>
      </c>
    </row>
    <row r="83" spans="1:11" x14ac:dyDescent="0.15">
      <c r="A83">
        <f t="shared" si="6"/>
        <v>25</v>
      </c>
      <c r="B83" s="12">
        <f t="shared" si="4"/>
        <v>25</v>
      </c>
      <c r="C83" s="14">
        <f>$B$8*EXP($B$9/(B83+273.15))</f>
        <v>107.99999999999989</v>
      </c>
      <c r="D83" s="13">
        <f t="shared" si="0"/>
        <v>1.1648908296943228</v>
      </c>
      <c r="E83" s="13">
        <f t="shared" si="1"/>
        <v>0.20433527413876706</v>
      </c>
      <c r="F83" s="14">
        <f t="shared" si="2"/>
        <v>2.656358563803972</v>
      </c>
      <c r="G83" s="16">
        <f>MIN(B$15,ROUNDDOWN(B$15*F83/B$16,0))</f>
        <v>3296</v>
      </c>
      <c r="H83" s="16">
        <f>ROUND(B83/B$17,0)</f>
        <v>2500</v>
      </c>
      <c r="I83" s="15">
        <f t="shared" si="5"/>
        <v>1.2564543010240086E-2</v>
      </c>
      <c r="J83" s="15">
        <f>I83/$G$13</f>
        <v>5.0258172040960345E-3</v>
      </c>
      <c r="K83" s="34">
        <f t="shared" si="3"/>
        <v>10800</v>
      </c>
    </row>
    <row r="84" spans="1:11" x14ac:dyDescent="0.15">
      <c r="A84">
        <f t="shared" si="6"/>
        <v>26</v>
      </c>
      <c r="B84" s="12">
        <f t="shared" si="4"/>
        <v>25.6</v>
      </c>
      <c r="C84" s="14">
        <f>$B$8*EXP($B$9/(B84+273.15))</f>
        <v>106.36754715514436</v>
      </c>
      <c r="D84" s="13">
        <f t="shared" si="0"/>
        <v>1.1555204107204187</v>
      </c>
      <c r="E84" s="13">
        <f t="shared" si="1"/>
        <v>0.19496485516486295</v>
      </c>
      <c r="F84" s="14">
        <f t="shared" si="2"/>
        <v>2.5345431171432184</v>
      </c>
      <c r="G84" s="16">
        <f>MIN(B$15,ROUNDDOWN(B$15*F84/B$16,0))</f>
        <v>3145</v>
      </c>
      <c r="H84" s="16">
        <f>ROUND(B84/B$17,0)</f>
        <v>2560</v>
      </c>
      <c r="I84" s="15">
        <f t="shared" si="5"/>
        <v>1.2552958635437594E-2</v>
      </c>
      <c r="J84" s="15">
        <f>I84/$G$13</f>
        <v>5.0211834541750381E-3</v>
      </c>
      <c r="K84" s="34">
        <f t="shared" si="3"/>
        <v>10637</v>
      </c>
    </row>
    <row r="85" spans="1:11" x14ac:dyDescent="0.15">
      <c r="A85">
        <f t="shared" si="6"/>
        <v>27</v>
      </c>
      <c r="B85" s="12">
        <f t="shared" si="4"/>
        <v>26.2</v>
      </c>
      <c r="C85" s="14">
        <f>$B$8*EXP($B$9/(B85+273.15))</f>
        <v>104.76616564545471</v>
      </c>
      <c r="D85" s="13">
        <f t="shared" si="0"/>
        <v>1.1461966783395339</v>
      </c>
      <c r="E85" s="13">
        <f t="shared" si="1"/>
        <v>0.18564112278397815</v>
      </c>
      <c r="F85" s="14">
        <f t="shared" si="2"/>
        <v>2.4133345961917159</v>
      </c>
      <c r="G85" s="16">
        <f>MIN(B$15,ROUNDDOWN(B$15*F85/B$16,0))</f>
        <v>2994</v>
      </c>
      <c r="H85" s="16">
        <f>ROUND(B85/B$17,0)</f>
        <v>2620</v>
      </c>
      <c r="I85" s="15">
        <f t="shared" si="5"/>
        <v>1.2539991488116266E-2</v>
      </c>
      <c r="J85" s="15">
        <f>I85/$G$13</f>
        <v>5.0159965952465066E-3</v>
      </c>
      <c r="K85" s="34">
        <f t="shared" si="3"/>
        <v>10477</v>
      </c>
    </row>
    <row r="86" spans="1:11" x14ac:dyDescent="0.15">
      <c r="A86">
        <f t="shared" si="6"/>
        <v>28</v>
      </c>
      <c r="B86" s="12">
        <f t="shared" si="4"/>
        <v>26.8</v>
      </c>
      <c r="C86" s="14">
        <f>$B$8*EXP($B$9/(B86+273.15))</f>
        <v>103.19515579786669</v>
      </c>
      <c r="D86" s="13">
        <f t="shared" si="0"/>
        <v>1.1369203492092408</v>
      </c>
      <c r="E86" s="13">
        <f t="shared" si="1"/>
        <v>0.17636479365368507</v>
      </c>
      <c r="F86" s="14">
        <f t="shared" si="2"/>
        <v>2.2927423174979058</v>
      </c>
      <c r="G86" s="16">
        <f>MIN(B$15,ROUNDDOWN(B$15*F86/B$16,0))</f>
        <v>2845</v>
      </c>
      <c r="H86" s="16">
        <f>ROUND(B86/B$17,0)</f>
        <v>2680</v>
      </c>
      <c r="I86" s="15">
        <f t="shared" si="5"/>
        <v>1.2525664314882338E-2</v>
      </c>
      <c r="J86" s="15">
        <f>I86/$G$13</f>
        <v>5.0102657259529348E-3</v>
      </c>
      <c r="K86" s="34">
        <f t="shared" si="3"/>
        <v>10320</v>
      </c>
    </row>
    <row r="87" spans="1:11" x14ac:dyDescent="0.15">
      <c r="A87">
        <f t="shared" si="6"/>
        <v>29</v>
      </c>
      <c r="B87" s="12">
        <f t="shared" si="4"/>
        <v>27.4</v>
      </c>
      <c r="C87" s="14">
        <f>$B$8*EXP($B$9/(B87+273.15))</f>
        <v>101.65383596847765</v>
      </c>
      <c r="D87" s="13">
        <f t="shared" si="0"/>
        <v>1.1276921134100168</v>
      </c>
      <c r="E87" s="13">
        <f t="shared" si="1"/>
        <v>0.16713655785446113</v>
      </c>
      <c r="F87" s="14">
        <f t="shared" si="2"/>
        <v>2.1727752521079946</v>
      </c>
      <c r="G87" s="16">
        <f>MIN(B$15,ROUNDDOWN(B$15*F87/B$16,0))</f>
        <v>2696</v>
      </c>
      <c r="H87" s="16">
        <f>ROUND(B87/B$17,0)</f>
        <v>2740</v>
      </c>
      <c r="I87" s="15">
        <f t="shared" si="5"/>
        <v>1.2510000144426372E-2</v>
      </c>
      <c r="J87" s="15">
        <f>I87/$G$13</f>
        <v>5.0040000577705485E-3</v>
      </c>
      <c r="K87" s="34">
        <f t="shared" si="3"/>
        <v>10165</v>
      </c>
    </row>
    <row r="88" spans="1:11" x14ac:dyDescent="0.15">
      <c r="A88">
        <f t="shared" si="6"/>
        <v>30</v>
      </c>
      <c r="B88" s="12">
        <f t="shared" si="4"/>
        <v>28</v>
      </c>
      <c r="C88" s="14">
        <f>$B$8*EXP($B$9/(B88+273.15))</f>
        <v>100.14154202225873</v>
      </c>
      <c r="D88" s="13">
        <f t="shared" si="0"/>
        <v>1.1185126346368808</v>
      </c>
      <c r="E88" s="13">
        <f t="shared" si="1"/>
        <v>0.15795707908132506</v>
      </c>
      <c r="F88" s="14">
        <f t="shared" si="2"/>
        <v>2.0534420280572259</v>
      </c>
      <c r="G88" s="16">
        <f>MIN(B$15,ROUNDDOWN(B$15*F88/B$16,0))</f>
        <v>2548</v>
      </c>
      <c r="H88" s="16">
        <f>ROUND(B88/B$17,0)</f>
        <v>2800</v>
      </c>
      <c r="I88" s="15">
        <f t="shared" si="5"/>
        <v>1.2493022262072393E-2</v>
      </c>
      <c r="J88" s="15">
        <f>I88/$G$13</f>
        <v>4.9972089048289569E-3</v>
      </c>
      <c r="K88" s="34">
        <f t="shared" si="3"/>
        <v>10014</v>
      </c>
    </row>
    <row r="89" spans="1:11" x14ac:dyDescent="0.15">
      <c r="A89">
        <f t="shared" si="6"/>
        <v>31</v>
      </c>
      <c r="B89" s="12">
        <f t="shared" si="4"/>
        <v>28.6</v>
      </c>
      <c r="C89" s="14">
        <f>$B$8*EXP($B$9/(B89+273.15))</f>
        <v>98.657626829329502</v>
      </c>
      <c r="D89" s="13">
        <f t="shared" si="0"/>
        <v>1.1093825504077888</v>
      </c>
      <c r="E89" s="13">
        <f t="shared" si="1"/>
        <v>0.14882699485223305</v>
      </c>
      <c r="F89" s="14">
        <f t="shared" si="2"/>
        <v>1.9347509330790298</v>
      </c>
      <c r="G89" s="16">
        <f>MIN(B$15,ROUNDDOWN(B$15*F89/B$16,0))</f>
        <v>2400</v>
      </c>
      <c r="H89" s="16">
        <f>ROUND(B89/B$17,0)</f>
        <v>2860</v>
      </c>
      <c r="I89" s="15">
        <f t="shared" si="5"/>
        <v>1.2474754184776435E-2</v>
      </c>
      <c r="J89" s="15">
        <f>I89/$G$13</f>
        <v>4.9899016739105738E-3</v>
      </c>
      <c r="K89" s="34">
        <f t="shared" si="3"/>
        <v>9866</v>
      </c>
    </row>
    <row r="90" spans="1:11" x14ac:dyDescent="0.15">
      <c r="A90">
        <f t="shared" si="6"/>
        <v>32</v>
      </c>
      <c r="B90" s="12">
        <f t="shared" si="4"/>
        <v>29.2</v>
      </c>
      <c r="C90" s="14">
        <f>$B$8*EXP($B$9/(B90+273.15))</f>
        <v>97.20145977721613</v>
      </c>
      <c r="D90" s="13">
        <f t="shared" si="0"/>
        <v>1.1003024722880108</v>
      </c>
      <c r="E90" s="13">
        <f t="shared" si="1"/>
        <v>0.1397469167324551</v>
      </c>
      <c r="F90" s="14">
        <f t="shared" si="2"/>
        <v>1.8167099175219161</v>
      </c>
      <c r="G90" s="16">
        <f>MIN(B$15,ROUNDDOWN(B$15*F90/B$16,0))</f>
        <v>2254</v>
      </c>
      <c r="H90" s="16">
        <f>ROUND(B90/B$17,0)</f>
        <v>2920</v>
      </c>
      <c r="I90" s="15">
        <f t="shared" si="5"/>
        <v>1.2455219636597341E-2</v>
      </c>
      <c r="J90" s="15">
        <f>I90/$G$13</f>
        <v>4.9820878546389365E-3</v>
      </c>
      <c r="K90" s="34">
        <f t="shared" si="3"/>
        <v>9720</v>
      </c>
    </row>
    <row r="91" spans="1:11" x14ac:dyDescent="0.15">
      <c r="A91">
        <f t="shared" si="6"/>
        <v>33</v>
      </c>
      <c r="B91" s="12">
        <f t="shared" si="4"/>
        <v>29.8</v>
      </c>
      <c r="C91" s="14">
        <f>$B$8*EXP($B$9/(B91+273.15))</f>
        <v>95.772426298541859</v>
      </c>
      <c r="D91" s="13">
        <f t="shared" si="0"/>
        <v>1.0912729861297386</v>
      </c>
      <c r="E91" s="13">
        <f t="shared" si="1"/>
        <v>0.13071743057418284</v>
      </c>
      <c r="F91" s="14">
        <f t="shared" si="2"/>
        <v>1.6993265974643768</v>
      </c>
      <c r="G91" s="16">
        <f>MIN(B$15,ROUNDDOWN(B$15*F91/B$16,0))</f>
        <v>2108</v>
      </c>
      <c r="H91" s="16">
        <f>ROUND(B91/B$17,0)</f>
        <v>2980</v>
      </c>
      <c r="I91" s="15">
        <f t="shared" si="5"/>
        <v>1.2434442524660647E-2</v>
      </c>
      <c r="J91" s="15">
        <f>I91/$G$13</f>
        <v>4.9737770098642591E-3</v>
      </c>
      <c r="K91" s="34">
        <f t="shared" si="3"/>
        <v>9577</v>
      </c>
    </row>
    <row r="92" spans="1:11" x14ac:dyDescent="0.15">
      <c r="A92">
        <f t="shared" si="6"/>
        <v>34</v>
      </c>
      <c r="B92" s="12">
        <f t="shared" si="4"/>
        <v>30.4</v>
      </c>
      <c r="C92" s="14">
        <f>$B$8*EXP($B$9/(B92+273.15))</f>
        <v>94.369927413619124</v>
      </c>
      <c r="D92" s="13">
        <f t="shared" si="0"/>
        <v>1.082294652326188</v>
      </c>
      <c r="E92" s="13">
        <f t="shared" si="1"/>
        <v>0.12173909677063233</v>
      </c>
      <c r="F92" s="14">
        <f t="shared" si="2"/>
        <v>1.5826082580182201</v>
      </c>
      <c r="G92" s="16">
        <f>MIN(B$15,ROUNDDOWN(B$15*F92/B$16,0))</f>
        <v>1963</v>
      </c>
      <c r="H92" s="16">
        <f>ROUND(B92/B$17,0)</f>
        <v>3040</v>
      </c>
      <c r="I92" s="15">
        <f t="shared" si="5"/>
        <v>1.2412446915634879E-2</v>
      </c>
      <c r="J92" s="15">
        <f>I92/$G$13</f>
        <v>4.9649787662539519E-3</v>
      </c>
      <c r="K92" s="34">
        <f t="shared" si="3"/>
        <v>9437</v>
      </c>
    </row>
    <row r="93" spans="1:11" x14ac:dyDescent="0.15">
      <c r="A93">
        <f t="shared" si="6"/>
        <v>35</v>
      </c>
      <c r="B93" s="12">
        <f t="shared" si="4"/>
        <v>31</v>
      </c>
      <c r="C93" s="14">
        <f>$B$8*EXP($B$9/(B93+273.15))</f>
        <v>92.993379287425967</v>
      </c>
      <c r="D93" s="13">
        <f t="shared" si="0"/>
        <v>1.0733680060794233</v>
      </c>
      <c r="E93" s="13">
        <f t="shared" si="1"/>
        <v>0.11281245052386757</v>
      </c>
      <c r="F93" s="14">
        <f t="shared" si="2"/>
        <v>1.4665618568102783</v>
      </c>
      <c r="G93" s="16">
        <f>MIN(B$15,ROUNDDOWN(B$15*F93/B$16,0))</f>
        <v>1819</v>
      </c>
      <c r="H93" s="16">
        <f>ROUND(B93/B$17,0)</f>
        <v>3100</v>
      </c>
      <c r="I93" s="15">
        <f t="shared" si="5"/>
        <v>1.2389257012737678E-2</v>
      </c>
      <c r="J93" s="15">
        <f>I93/$G$13</f>
        <v>4.9557028050950715E-3</v>
      </c>
      <c r="K93" s="34">
        <f t="shared" si="3"/>
        <v>9299</v>
      </c>
    </row>
    <row r="94" spans="1:11" x14ac:dyDescent="0.15">
      <c r="A94">
        <f t="shared" si="6"/>
        <v>36</v>
      </c>
      <c r="B94" s="12">
        <f t="shared" si="4"/>
        <v>31.6</v>
      </c>
      <c r="C94" s="14">
        <f>$B$8*EXP($B$9/(B94+273.15))</f>
        <v>91.642212800478347</v>
      </c>
      <c r="D94" s="13">
        <f t="shared" si="0"/>
        <v>1.0644935576811885</v>
      </c>
      <c r="E94" s="13">
        <f t="shared" si="1"/>
        <v>0.10393800212563276</v>
      </c>
      <c r="F94" s="14">
        <f t="shared" si="2"/>
        <v>1.3511940276332259</v>
      </c>
      <c r="G94" s="16">
        <f>MIN(B$15,ROUNDDOWN(B$15*F94/B$16,0))</f>
        <v>1676</v>
      </c>
      <c r="H94" s="16">
        <f>ROUND(B94/B$17,0)</f>
        <v>3160</v>
      </c>
      <c r="I94" s="15">
        <f t="shared" si="5"/>
        <v>1.2364897133287457E-2</v>
      </c>
      <c r="J94" s="15">
        <f>I94/$G$13</f>
        <v>4.9459588533149832E-3</v>
      </c>
      <c r="K94" s="34">
        <f t="shared" si="3"/>
        <v>9164</v>
      </c>
    </row>
    <row r="95" spans="1:11" x14ac:dyDescent="0.15">
      <c r="A95">
        <f t="shared" si="6"/>
        <v>37</v>
      </c>
      <c r="B95" s="12">
        <f t="shared" si="4"/>
        <v>32.200000000000003</v>
      </c>
      <c r="C95" s="14">
        <f>$B$8*EXP($B$9/(B95+273.15))</f>
        <v>90.315873133119482</v>
      </c>
      <c r="D95" s="13">
        <f t="shared" si="0"/>
        <v>1.0556717928059982</v>
      </c>
      <c r="E95" s="13">
        <f t="shared" si="1"/>
        <v>9.5116237250442492E-2</v>
      </c>
      <c r="F95" s="14">
        <f t="shared" si="2"/>
        <v>1.2365110842557523</v>
      </c>
      <c r="G95" s="16">
        <f>MIN(B$15,ROUNDDOWN(B$15*F95/B$16,0))</f>
        <v>1534</v>
      </c>
      <c r="H95" s="16">
        <f>ROUND(B95/B$17,0)</f>
        <v>3220</v>
      </c>
      <c r="I95" s="15">
        <f t="shared" si="5"/>
        <v>1.2339391686814754E-2</v>
      </c>
      <c r="J95" s="15">
        <f>I95/$G$13</f>
        <v>4.9357566747259014E-3</v>
      </c>
      <c r="K95" s="34">
        <f t="shared" si="3"/>
        <v>9032</v>
      </c>
    </row>
    <row r="96" spans="1:11" x14ac:dyDescent="0.15">
      <c r="A96">
        <f t="shared" si="6"/>
        <v>38</v>
      </c>
      <c r="B96" s="12">
        <f t="shared" si="4"/>
        <v>32.799999999999997</v>
      </c>
      <c r="C96" s="14">
        <f>$B$8*EXP($B$9/(B96+273.15))</f>
        <v>89.013819362769695</v>
      </c>
      <c r="D96" s="13">
        <f t="shared" si="0"/>
        <v>1.0469031728157678</v>
      </c>
      <c r="E96" s="13">
        <f t="shared" si="1"/>
        <v>8.6347617260212117E-2</v>
      </c>
      <c r="F96" s="14">
        <f t="shared" si="2"/>
        <v>1.1225190243827576</v>
      </c>
      <c r="G96" s="16">
        <f>MIN(B$15,ROUNDDOWN(B$15*F96/B$16,0))</f>
        <v>1392</v>
      </c>
      <c r="H96" s="16">
        <f>ROUND(B96/B$17,0)</f>
        <v>3280</v>
      </c>
      <c r="I96" s="15">
        <f t="shared" si="5"/>
        <v>1.231276515374566E-2</v>
      </c>
      <c r="J96" s="15">
        <f>I96/$G$13</f>
        <v>4.9251060614982642E-3</v>
      </c>
      <c r="K96" s="34">
        <f t="shared" si="3"/>
        <v>8901</v>
      </c>
    </row>
    <row r="97" spans="1:11" x14ac:dyDescent="0.15">
      <c r="A97">
        <f t="shared" si="6"/>
        <v>39</v>
      </c>
      <c r="B97" s="12">
        <f t="shared" si="4"/>
        <v>33.4</v>
      </c>
      <c r="C97" s="14">
        <f>$B$8*EXP($B$9/(B97+273.15))</f>
        <v>87.735524073697349</v>
      </c>
      <c r="D97" s="13">
        <f t="shared" si="0"/>
        <v>1.0381881350752771</v>
      </c>
      <c r="E97" s="13">
        <f t="shared" si="1"/>
        <v>7.7632579519721356E-2</v>
      </c>
      <c r="F97" s="14">
        <f t="shared" si="2"/>
        <v>1.0092235337563777</v>
      </c>
      <c r="G97" s="16">
        <f>MIN(B$15,ROUNDDOWN(B$15*F97/B$16,0))</f>
        <v>1252</v>
      </c>
      <c r="H97" s="16">
        <f>ROUND(B97/B$17,0)</f>
        <v>3340</v>
      </c>
      <c r="I97" s="15">
        <f t="shared" si="5"/>
        <v>1.2285042064668204E-2</v>
      </c>
      <c r="J97" s="15">
        <f>I97/$G$13</f>
        <v>4.9140168258672819E-3</v>
      </c>
      <c r="K97" s="34">
        <f t="shared" si="3"/>
        <v>8774</v>
      </c>
    </row>
    <row r="98" spans="1:11" x14ac:dyDescent="0.15">
      <c r="A98">
        <f t="shared" si="6"/>
        <v>40</v>
      </c>
      <c r="B98" s="12">
        <f t="shared" si="4"/>
        <v>34</v>
      </c>
      <c r="C98" s="14">
        <f>$B$8*EXP($B$9/(B98+273.15))</f>
        <v>86.480472978883114</v>
      </c>
      <c r="D98" s="13">
        <f t="shared" si="0"/>
        <v>1.0295270932777454</v>
      </c>
      <c r="E98" s="13">
        <f t="shared" si="1"/>
        <v>6.8971537722189669E-2</v>
      </c>
      <c r="F98" s="14">
        <f t="shared" si="2"/>
        <v>0.89662999038846569</v>
      </c>
      <c r="G98" s="16">
        <f>MIN(B$15,ROUNDDOWN(B$15*F98/B$16,0))</f>
        <v>1112</v>
      </c>
      <c r="H98" s="16">
        <f>ROUND(B98/B$17,0)</f>
        <v>3400</v>
      </c>
      <c r="I98" s="15">
        <f t="shared" si="5"/>
        <v>1.2256246980190975E-2</v>
      </c>
      <c r="J98" s="15">
        <f>I98/$G$13</f>
        <v>4.9024987920763905E-3</v>
      </c>
      <c r="K98" s="34">
        <f t="shared" si="3"/>
        <v>8648</v>
      </c>
    </row>
    <row r="99" spans="1:11" x14ac:dyDescent="0.15">
      <c r="A99">
        <f t="shared" si="6"/>
        <v>41</v>
      </c>
      <c r="B99" s="12">
        <f t="shared" si="4"/>
        <v>34.6</v>
      </c>
      <c r="C99" s="14">
        <f>$B$8*EXP($B$9/(B99+273.15))</f>
        <v>85.248164553572423</v>
      </c>
      <c r="D99" s="13">
        <f t="shared" si="0"/>
        <v>1.0209204377798511</v>
      </c>
      <c r="E99" s="13">
        <f t="shared" si="1"/>
        <v>6.0364882224295369E-2</v>
      </c>
      <c r="F99" s="14">
        <f t="shared" si="2"/>
        <v>0.78474346891583979</v>
      </c>
      <c r="G99" s="16">
        <f>MIN(B$15,ROUNDDOWN(B$15*F99/B$16,0))</f>
        <v>973</v>
      </c>
      <c r="H99" s="16">
        <f>ROUND(B99/B$17,0)</f>
        <v>3460</v>
      </c>
      <c r="I99" s="15">
        <f t="shared" si="5"/>
        <v>1.22264044714019E-2</v>
      </c>
      <c r="J99" s="15">
        <f>I99/$G$13</f>
        <v>4.89056178856076E-3</v>
      </c>
      <c r="K99" s="34">
        <f t="shared" si="3"/>
        <v>8525</v>
      </c>
    </row>
    <row r="100" spans="1:11" x14ac:dyDescent="0.15">
      <c r="A100">
        <f t="shared" si="6"/>
        <v>42</v>
      </c>
      <c r="B100" s="12">
        <f t="shared" si="4"/>
        <v>35.200000000000003</v>
      </c>
      <c r="C100" s="14">
        <f>$B$8*EXP($B$9/(B100+273.15))</f>
        <v>84.038109680118438</v>
      </c>
      <c r="D100" s="13">
        <f t="shared" si="0"/>
        <v>1.012368535945491</v>
      </c>
      <c r="E100" s="13">
        <f t="shared" si="1"/>
        <v>5.1812980389935315E-2</v>
      </c>
      <c r="F100" s="14">
        <f t="shared" si="2"/>
        <v>0.67356874506915909</v>
      </c>
      <c r="G100" s="16">
        <f>MIN(B$15,ROUNDDOWN(B$15*F100/B$16,0))</f>
        <v>835</v>
      </c>
      <c r="H100" s="16">
        <f>ROUND(B100/B$17,0)</f>
        <v>3520</v>
      </c>
      <c r="I100" s="15">
        <f t="shared" si="5"/>
        <v>1.2195539100933434E-2</v>
      </c>
      <c r="J100" s="15">
        <f>I100/$G$13</f>
        <v>4.8782156403733732E-3</v>
      </c>
      <c r="K100" s="34">
        <f t="shared" si="3"/>
        <v>8404</v>
      </c>
    </row>
    <row r="101" spans="1:11" x14ac:dyDescent="0.15">
      <c r="A101">
        <f t="shared" si="6"/>
        <v>43</v>
      </c>
      <c r="B101" s="12">
        <f t="shared" si="4"/>
        <v>35.799999999999997</v>
      </c>
      <c r="C101" s="14">
        <f>$B$8*EXP($B$9/(B101+273.15))</f>
        <v>82.849831303737744</v>
      </c>
      <c r="D101" s="13">
        <f t="shared" si="0"/>
        <v>1.0038717324976272</v>
      </c>
      <c r="E101" s="13">
        <f t="shared" si="1"/>
        <v>4.331617694207146E-2</v>
      </c>
      <c r="F101" s="14">
        <f t="shared" si="2"/>
        <v>0.56311030024692899</v>
      </c>
      <c r="G101" s="16">
        <f>MIN(B$15,ROUNDDOWN(B$15*F101/B$16,0))</f>
        <v>698</v>
      </c>
      <c r="H101" s="16">
        <f>ROUND(B101/B$17,0)</f>
        <v>3580</v>
      </c>
      <c r="I101" s="15">
        <f t="shared" si="5"/>
        <v>1.2163675404639272E-2</v>
      </c>
      <c r="J101" s="15">
        <f>I101/$G$13</f>
        <v>4.8654701618557087E-3</v>
      </c>
      <c r="K101" s="34">
        <f t="shared" si="3"/>
        <v>8285</v>
      </c>
    </row>
    <row r="102" spans="1:11" x14ac:dyDescent="0.15">
      <c r="A102">
        <f t="shared" si="6"/>
        <v>44</v>
      </c>
      <c r="B102" s="12">
        <f t="shared" si="4"/>
        <v>36.4</v>
      </c>
      <c r="C102" s="14">
        <f>$B$8*EXP($B$9/(B102+273.15))</f>
        <v>81.682864098813738</v>
      </c>
      <c r="D102" s="13">
        <f t="shared" si="0"/>
        <v>0.99543034987756907</v>
      </c>
      <c r="E102" s="13">
        <f t="shared" si="1"/>
        <v>3.4874794322013347E-2</v>
      </c>
      <c r="F102" s="14">
        <f t="shared" si="2"/>
        <v>0.45337232618617351</v>
      </c>
      <c r="G102" s="16">
        <f>MIN(B$15,ROUNDDOWN(B$15*F102/B$16,0))</f>
        <v>562</v>
      </c>
      <c r="H102" s="16">
        <f>ROUND(B102/B$17,0)</f>
        <v>3640</v>
      </c>
      <c r="I102" s="15">
        <f t="shared" si="5"/>
        <v>1.2130837873886084E-2</v>
      </c>
      <c r="J102" s="15">
        <f>I102/$G$13</f>
        <v>4.8523351495544332E-3</v>
      </c>
      <c r="K102" s="34">
        <f t="shared" si="3"/>
        <v>8168</v>
      </c>
    </row>
    <row r="103" spans="1:11" x14ac:dyDescent="0.15">
      <c r="A103">
        <f t="shared" si="6"/>
        <v>45</v>
      </c>
      <c r="B103" s="12">
        <f t="shared" si="4"/>
        <v>37</v>
      </c>
      <c r="C103" s="14">
        <f>$B$8*EXP($B$9/(B103+273.15))</f>
        <v>80.536754145391811</v>
      </c>
      <c r="D103" s="13">
        <f t="shared" si="0"/>
        <v>0.987044688611039</v>
      </c>
      <c r="E103" s="13">
        <f t="shared" si="1"/>
        <v>2.6489133055483283E-2</v>
      </c>
      <c r="F103" s="14">
        <f t="shared" si="2"/>
        <v>0.34435872972128267</v>
      </c>
      <c r="G103" s="16">
        <f>MIN(B$15,ROUNDDOWN(B$15*F103/B$16,0))</f>
        <v>427</v>
      </c>
      <c r="H103" s="16">
        <f>ROUND(B103/B$17,0)</f>
        <v>3700</v>
      </c>
      <c r="I103" s="15">
        <f t="shared" si="5"/>
        <v>1.2097050938462839E-2</v>
      </c>
      <c r="J103" s="15">
        <f>I103/$G$13</f>
        <v>4.8388203753851351E-3</v>
      </c>
      <c r="K103" s="34">
        <f t="shared" si="3"/>
        <v>8054</v>
      </c>
    </row>
    <row r="104" spans="1:11" x14ac:dyDescent="0.15">
      <c r="A104">
        <f t="shared" si="6"/>
        <v>46</v>
      </c>
      <c r="B104" s="12">
        <f t="shared" si="4"/>
        <v>37.6</v>
      </c>
      <c r="C104" s="14">
        <f>$B$8*EXP($B$9/(B104+273.15))</f>
        <v>79.411058615530692</v>
      </c>
      <c r="D104" s="13">
        <f t="shared" si="0"/>
        <v>0.97871502768041707</v>
      </c>
      <c r="E104" s="13">
        <f t="shared" si="1"/>
        <v>1.8159472124861353E-2</v>
      </c>
      <c r="F104" s="14">
        <f t="shared" si="2"/>
        <v>0.23607313762319759</v>
      </c>
      <c r="G104" s="16">
        <f>MIN(B$15,ROUNDDOWN(B$15*F104/B$16,0))</f>
        <v>292</v>
      </c>
      <c r="H104" s="16">
        <f>ROUND(B104/B$17,0)</f>
        <v>3760</v>
      </c>
      <c r="I104" s="15">
        <f t="shared" si="5"/>
        <v>1.2062338950108683E-2</v>
      </c>
      <c r="J104" s="15">
        <f>I104/$G$13</f>
        <v>4.8249355800434731E-3</v>
      </c>
      <c r="K104" s="34">
        <f t="shared" si="3"/>
        <v>7941</v>
      </c>
    </row>
    <row r="105" spans="1:11" x14ac:dyDescent="0.15">
      <c r="A105">
        <f t="shared" si="6"/>
        <v>47</v>
      </c>
      <c r="B105" s="12">
        <f t="shared" si="4"/>
        <v>38.200000000000003</v>
      </c>
      <c r="C105" s="14">
        <f>$B$8*EXP($B$9/(B105+273.15))</f>
        <v>78.305345469178405</v>
      </c>
      <c r="D105" s="13">
        <f t="shared" si="0"/>
        <v>0.97044162490253538</v>
      </c>
      <c r="E105" s="13">
        <f t="shared" si="1"/>
        <v>9.8860693469796646E-3</v>
      </c>
      <c r="F105" s="14">
        <f t="shared" si="2"/>
        <v>0.12851890151073564</v>
      </c>
      <c r="G105" s="16">
        <f>MIN(B$15,ROUNDDOWN(B$15*F105/B$16,0))</f>
        <v>159</v>
      </c>
      <c r="H105" s="16">
        <f>ROUND(B105/B$17,0)</f>
        <v>3820</v>
      </c>
      <c r="I105" s="15">
        <f t="shared" si="5"/>
        <v>1.2026726166659415E-2</v>
      </c>
      <c r="J105" s="15">
        <f>I105/$G$13</f>
        <v>4.8106904666637661E-3</v>
      </c>
      <c r="K105" s="34">
        <f t="shared" si="3"/>
        <v>7831</v>
      </c>
    </row>
    <row r="106" spans="1:11" x14ac:dyDescent="0.15">
      <c r="A106">
        <f t="shared" si="6"/>
        <v>48</v>
      </c>
      <c r="B106" s="12">
        <f t="shared" si="4"/>
        <v>38.799999999999997</v>
      </c>
      <c r="C106" s="14">
        <f>$B$8*EXP($B$9/(B106+273.15))</f>
        <v>77.219193159259504</v>
      </c>
      <c r="D106" s="13">
        <f t="shared" si="0"/>
        <v>0.96222471731144399</v>
      </c>
      <c r="E106" s="13">
        <f t="shared" si="1"/>
        <v>1.669161755888271E-3</v>
      </c>
      <c r="F106" s="14">
        <f t="shared" si="2"/>
        <v>2.1699102826547523E-2</v>
      </c>
      <c r="G106" s="16">
        <f>MIN(B$15,ROUNDDOWN(B$15*F106/B$16,0))</f>
        <v>26</v>
      </c>
      <c r="H106" s="16">
        <f>ROUND(B106/B$17,0)</f>
        <v>3880</v>
      </c>
      <c r="I106" s="15">
        <f t="shared" si="5"/>
        <v>1.1990236736811393E-2</v>
      </c>
      <c r="J106" s="15">
        <f>I106/$G$13</f>
        <v>4.7960946947245573E-3</v>
      </c>
      <c r="K106" s="34">
        <f t="shared" si="3"/>
        <v>7722</v>
      </c>
    </row>
    <row r="107" spans="1:11" x14ac:dyDescent="0.15">
      <c r="A107">
        <f t="shared" si="6"/>
        <v>49</v>
      </c>
      <c r="B107" s="12">
        <f t="shared" si="4"/>
        <v>39.4</v>
      </c>
      <c r="C107" s="14">
        <f>$B$8*EXP($B$9/(B107+273.15))</f>
        <v>76.15219034566887</v>
      </c>
      <c r="D107" s="13">
        <f t="shared" si="0"/>
        <v>0.95406452154557198</v>
      </c>
      <c r="E107" s="13">
        <f t="shared" si="1"/>
        <v>-6.4910340099837427E-3</v>
      </c>
      <c r="F107" s="14">
        <f t="shared" si="2"/>
        <v>-8.4383442129788655E-2</v>
      </c>
      <c r="G107" s="16">
        <f>MIN(B$15,ROUNDDOWN(B$15*F107/B$16,0))</f>
        <v>-104</v>
      </c>
      <c r="H107" s="16">
        <f>ROUND(B107/B$17,0)</f>
        <v>3940</v>
      </c>
      <c r="I107" s="15">
        <f t="shared" si="5"/>
        <v>1.1952894685500674E-2</v>
      </c>
      <c r="J107" s="15">
        <f>I107/$G$13</f>
        <v>4.7811578742002698E-3</v>
      </c>
      <c r="K107" s="34">
        <f t="shared" si="3"/>
        <v>7615</v>
      </c>
    </row>
    <row r="108" spans="1:11" x14ac:dyDescent="0.15">
      <c r="A108">
        <f t="shared" si="6"/>
        <v>50</v>
      </c>
      <c r="B108" s="5">
        <v>40</v>
      </c>
      <c r="C108" s="14">
        <f>$B$8*EXP($B$9/(B108+273.15))</f>
        <v>75.103935617876346</v>
      </c>
      <c r="D108" s="13">
        <f t="shared" si="0"/>
        <v>0.9459612342387087</v>
      </c>
      <c r="E108" s="13">
        <f t="shared" si="1"/>
        <v>-1.4594321316847014E-2</v>
      </c>
      <c r="F108" s="14">
        <f t="shared" si="2"/>
        <v>-0.18972617711901119</v>
      </c>
      <c r="G108" s="16">
        <f>MIN(B$15,ROUNDDOWN(B$15*F108/B$16,0))</f>
        <v>-235</v>
      </c>
      <c r="H108" s="16">
        <f>ROUND(B108/B$17,0)</f>
        <v>4000</v>
      </c>
      <c r="I108" s="15">
        <f>D108*D108/C108</f>
        <v>1.1914723899894128E-2</v>
      </c>
      <c r="J108" s="15">
        <f>I108/$G$13</f>
        <v>4.7658895599576511E-3</v>
      </c>
      <c r="K108" s="34">
        <f t="shared" si="3"/>
        <v>7510</v>
      </c>
    </row>
    <row r="109" spans="1:11" x14ac:dyDescent="0.15">
      <c r="A109" s="6"/>
    </row>
    <row r="110" spans="1:11" x14ac:dyDescent="0.15">
      <c r="A110" s="6"/>
    </row>
    <row r="111" spans="1:11" x14ac:dyDescent="0.15">
      <c r="A111" s="6"/>
    </row>
    <row r="112" spans="1:11" x14ac:dyDescent="0.15">
      <c r="A112" s="6"/>
    </row>
    <row r="113" spans="1:9" x14ac:dyDescent="0.15">
      <c r="A113" s="6"/>
    </row>
    <row r="114" spans="1:9" x14ac:dyDescent="0.15">
      <c r="A114" t="s">
        <v>65</v>
      </c>
    </row>
    <row r="115" spans="1:9" ht="13.5" x14ac:dyDescent="0.2">
      <c r="A115" s="18" t="str">
        <f>CONCATENATE("uint16_t const ADCdata[53]={0,",G108,",",G107,",",G106,",",G105,",",G104,",",G103,",",G102,",",G101,",",G100,",",G99,",")</f>
        <v>uint16_t const ADCdata[53]={0,-235,-104,26,159,292,427,562,698,835,973,</v>
      </c>
    </row>
    <row r="116" spans="1:9" ht="13.5" x14ac:dyDescent="0.2">
      <c r="A116" s="18" t="str">
        <f>CONCATENATE("     ",G98,",",G97,",",G96,",",G95,",",G94,",",G93,",",G92,",",G91,",",G90,",",G89,",")</f>
        <v xml:space="preserve">     1112,1252,1392,1534,1676,1819,1963,2108,2254,2400,</v>
      </c>
    </row>
    <row r="117" spans="1:9" ht="13.5" x14ac:dyDescent="0.2">
      <c r="A117" s="18" t="str">
        <f>CONCATENATE("     ",G88,",",G87,",",G86,",",G85,",",G84,",",G83,",",G82,",",G81,",",G80,",",G79,",")</f>
        <v xml:space="preserve">     2548,2696,2845,2994,3145,3296,3448,3600,3754,3908,</v>
      </c>
    </row>
    <row r="118" spans="1:9" ht="13.5" x14ac:dyDescent="0.2">
      <c r="A118" s="18" t="str">
        <f>CONCATENATE("     ",G78,",",G77,",",G76,",",G75,",",G74,",",G73,",",G72,",",G71,",",G70,",",G69,",")</f>
        <v xml:space="preserve">     4062,4095,4095,4095,4095,4095,4095,4095,4095,4095,</v>
      </c>
    </row>
    <row r="119" spans="1:9" ht="13.5" x14ac:dyDescent="0.2">
      <c r="A119" s="18" t="str">
        <f>CONCATENATE("     ",G68,",",G67,",",G66,",",G65,",",G64,",",G63,",",G62,",",G61,",",G60,",",G59,",",G58,",",B15+1,"};")</f>
        <v xml:space="preserve">     4095,4095,4095,4095,4095,4095,4095,4095,4095,4095,4095,4096};</v>
      </c>
    </row>
    <row r="120" spans="1:9" ht="13.5" x14ac:dyDescent="0.2">
      <c r="A120" s="18"/>
    </row>
    <row r="122" spans="1:9" ht="13.5" x14ac:dyDescent="0.2">
      <c r="A122" s="18" t="str">
        <f>CONCATENATE("uint16_t const Tdata[53]={",H108,",",H108,",",H107,",",H106,",",H105,",",H104,",",H103,",",H102,",",H101,",",H100,",",H99,",")</f>
        <v>uint16_t const Tdata[53]={4000,4000,3940,3880,3820,3760,3700,3640,3580,3520,3460,</v>
      </c>
      <c r="D122" s="33" t="str">
        <f>CONCATENATE("uint16_t const Rdata[53]={",K108,",",K108,",",K107,",",K106,",",K105,",",K104,",",K103,",",K102,",",K101,",",K100,",",K99,",")</f>
        <v>uint16_t const Rdata[53]={7510,7510,7615,7722,7831,7941,8054,8168,8285,8404,8525,</v>
      </c>
    </row>
    <row r="123" spans="1:9" ht="13.5" x14ac:dyDescent="0.2">
      <c r="A123" s="18" t="str">
        <f>CONCATENATE("     ",H98,",",H97,",",H96,",",H95,",",H94,",",H93,",",H92,",",H91,",",H90,",",H89,",")</f>
        <v xml:space="preserve">     3400,3340,3280,3220,3160,3100,3040,2980,2920,2860,</v>
      </c>
      <c r="D123" s="33" t="str">
        <f>CONCATENATE("     ",K98,",",K97,",",K96,",",K95,",",K94,",",K93,",",K92,",",K91,",",K90,",",K89,",")</f>
        <v xml:space="preserve">     8648,8774,8901,9032,9164,9299,9437,9577,9720,9866,</v>
      </c>
    </row>
    <row r="124" spans="1:9" ht="13.5" x14ac:dyDescent="0.2">
      <c r="A124" s="18" t="str">
        <f>CONCATENATE("     ",H88,",",H87,",",H86,",",H85,",",H84,",",H83,",",H82,",",H81,",",H80,",",H79,",")</f>
        <v xml:space="preserve">     2800,2740,2680,2620,2560,2500,2440,2380,2320,2260,</v>
      </c>
      <c r="D124" s="33" t="str">
        <f>CONCATENATE("     ",K88,",",K87,",",K86,",",K85,",",K84,",",K83,",",K82,",",K81,",",K80,",",K79,",")</f>
        <v xml:space="preserve">     10014,10165,10320,10477,10637,10800,10966,11136,11309,11486,</v>
      </c>
    </row>
    <row r="125" spans="1:9" ht="13.5" x14ac:dyDescent="0.2">
      <c r="A125" s="18" t="str">
        <f>CONCATENATE("     ",H78,",",H77,",",H76,",",H75,",",H74,",",H73,",",H72,",",H71,",",H70,",",H69,",")</f>
        <v xml:space="preserve">     2200,2140,2080,2020,1960,1900,1840,1780,1720,1660,</v>
      </c>
      <c r="D125" s="33" t="str">
        <f>CONCATENATE("     ",K78,",",K77,",",K76,",",K75,",",K74,",",K73,",",K72,",",K71,",",K70,",",K69,",")</f>
        <v xml:space="preserve">     11665,11849,12036,12227,12422,12620,12823,13029,13240,13456,</v>
      </c>
    </row>
    <row r="126" spans="1:9" ht="13.5" x14ac:dyDescent="0.2">
      <c r="A126" s="18" t="str">
        <f>CONCATENATE("     ",H68,",",H67,",",H66,",",H65,",",H64,",",H63,",",H62,",",H61,",",H60,",",H59,",",H58,",",H58,"};")</f>
        <v xml:space="preserve">     1600,1540,1480,1420,1360,1300,1240,1180,1120,1060,1000,1000};</v>
      </c>
      <c r="D126" s="33" t="str">
        <f>CONCATENATE("     ",K68,",",K67,",",K66,",",K65,",",K64,",",K63,",",K62,",",K61,",",K60,",",K59,",",K58,",",K58,"};")</f>
        <v xml:space="preserve">     13675,13899,14128,14362,14600,14844,15092,15346,15605,15870,16140,16140};</v>
      </c>
    </row>
    <row r="128" spans="1:9" x14ac:dyDescent="0.15">
      <c r="A128" s="9" t="s">
        <v>37</v>
      </c>
      <c r="G128" t="s">
        <v>57</v>
      </c>
      <c r="I128" t="s">
        <v>57</v>
      </c>
    </row>
    <row r="129" spans="1:12" x14ac:dyDescent="0.15">
      <c r="A129" s="6" t="s">
        <v>3</v>
      </c>
      <c r="B129" s="4" t="s">
        <v>59</v>
      </c>
      <c r="C129" s="4" t="s">
        <v>70</v>
      </c>
      <c r="D129" s="4" t="s">
        <v>69</v>
      </c>
      <c r="E129" s="4" t="s">
        <v>1</v>
      </c>
      <c r="F129" s="4" t="s">
        <v>0</v>
      </c>
      <c r="G129" s="4" t="s">
        <v>4</v>
      </c>
      <c r="I129" s="4" t="s">
        <v>58</v>
      </c>
    </row>
    <row r="130" spans="1:12" x14ac:dyDescent="0.15">
      <c r="A130" s="6">
        <f>B15</f>
        <v>4095</v>
      </c>
      <c r="B130" s="14">
        <f>B$16*A130/(B$15+1)</f>
        <v>3.2991943359375</v>
      </c>
      <c r="C130" s="15">
        <f t="shared" ref="C130:C135" si="7">B130/$I$34</f>
        <v>0.2537841796875</v>
      </c>
      <c r="D130" s="15">
        <f t="shared" ref="D130:D135" si="8">C130+$B$22</f>
        <v>1.2143397352430556</v>
      </c>
      <c r="E130" s="15">
        <f t="shared" ref="E130:E135" si="9">D130*$B$20/($B$19-D130)</f>
        <v>117.01820316250243</v>
      </c>
      <c r="F130" s="14">
        <f>1/($B$6*LN(E130)+$B$7)-273.15</f>
        <v>21.880000224150308</v>
      </c>
      <c r="G130" s="4"/>
      <c r="H130" s="1"/>
      <c r="I130" s="4"/>
      <c r="J130" s="1"/>
      <c r="K130" s="1"/>
      <c r="L130" s="1"/>
    </row>
    <row r="131" spans="1:12" x14ac:dyDescent="0.15">
      <c r="A131" s="6">
        <f>A130-1</f>
        <v>4094</v>
      </c>
      <c r="B131" s="14">
        <f>B$16*A131/(B$15+1)</f>
        <v>3.2983886718749997</v>
      </c>
      <c r="C131" s="15">
        <f t="shared" si="7"/>
        <v>0.25372220552884611</v>
      </c>
      <c r="D131" s="15">
        <f t="shared" si="8"/>
        <v>1.2142777610844018</v>
      </c>
      <c r="E131" s="15">
        <f t="shared" si="9"/>
        <v>117.0064561555385</v>
      </c>
      <c r="F131" s="14">
        <f>1/($B$6*LN(E131)+$B$7)-273.15</f>
        <v>21.883864980987369</v>
      </c>
      <c r="G131" s="15">
        <f>F131-F130</f>
        <v>3.8647568370606677E-3</v>
      </c>
      <c r="H131" s="1"/>
      <c r="I131" s="19">
        <f>1000*(E131-E130)</f>
        <v>-11.747006963929607</v>
      </c>
      <c r="J131" s="1"/>
      <c r="K131" s="1"/>
      <c r="L131" s="1"/>
    </row>
    <row r="132" spans="1:12" x14ac:dyDescent="0.15">
      <c r="A132" s="6">
        <f>(A130+1)/2</f>
        <v>2048</v>
      </c>
      <c r="B132" s="14">
        <f>B$16*A132/(B$15+1)</f>
        <v>1.65</v>
      </c>
      <c r="C132" s="15">
        <f t="shared" si="7"/>
        <v>0.12692307692307692</v>
      </c>
      <c r="D132" s="15">
        <f t="shared" si="8"/>
        <v>1.0874786324786325</v>
      </c>
      <c r="E132" s="15">
        <f t="shared" si="9"/>
        <v>95.177490649438951</v>
      </c>
      <c r="F132" s="14">
        <f>1/($B$6*LN(E132)+$B$7)-273.15</f>
        <v>30.053148354598136</v>
      </c>
      <c r="G132" s="15"/>
      <c r="H132" s="1"/>
      <c r="I132" s="15"/>
      <c r="J132" s="1"/>
      <c r="K132" s="1"/>
      <c r="L132" s="1"/>
    </row>
    <row r="133" spans="1:12" x14ac:dyDescent="0.15">
      <c r="A133" s="6">
        <f>A132-1</f>
        <v>2047</v>
      </c>
      <c r="B133" s="14">
        <f>B$16*A133/(B$15+1)</f>
        <v>1.6491943359374999</v>
      </c>
      <c r="C133" s="15">
        <f t="shared" si="7"/>
        <v>0.12686110276442306</v>
      </c>
      <c r="D133" s="15">
        <f t="shared" si="8"/>
        <v>1.0874166583199787</v>
      </c>
      <c r="E133" s="15">
        <f t="shared" si="9"/>
        <v>95.167800515253901</v>
      </c>
      <c r="F133" s="14">
        <f>1/($B$6*LN(E133)+$B$7)-273.15</f>
        <v>30.057288156098593</v>
      </c>
      <c r="G133" s="15">
        <f>F133-F132</f>
        <v>4.1398015004574518E-3</v>
      </c>
      <c r="H133" s="1"/>
      <c r="I133" s="19">
        <f>1000*(E133-E132)</f>
        <v>-9.6901341850497147</v>
      </c>
      <c r="J133" s="1"/>
      <c r="K133" s="1"/>
      <c r="L133" s="1"/>
    </row>
    <row r="134" spans="1:12" x14ac:dyDescent="0.15">
      <c r="A134" s="6">
        <v>1</v>
      </c>
      <c r="B134" s="14">
        <f>B$16*A134/(B$15+1)</f>
        <v>8.0566406249999996E-4</v>
      </c>
      <c r="C134" s="15">
        <f t="shared" si="7"/>
        <v>6.1974158653846151E-5</v>
      </c>
      <c r="D134" s="15">
        <f t="shared" si="8"/>
        <v>0.96061752971420955</v>
      </c>
      <c r="E134" s="15">
        <f t="shared" si="9"/>
        <v>77.0081297375947</v>
      </c>
      <c r="F134" s="14">
        <f>1/($B$6*LN(E134)+$B$7)-273.15</f>
        <v>38.917843180659474</v>
      </c>
      <c r="G134" s="15"/>
      <c r="H134" s="1"/>
      <c r="I134" s="15"/>
      <c r="J134" s="1"/>
      <c r="K134" s="1"/>
      <c r="L134" s="1"/>
    </row>
    <row r="135" spans="1:12" x14ac:dyDescent="0.15">
      <c r="A135" s="6">
        <v>0</v>
      </c>
      <c r="B135" s="14">
        <f>B$16*A135/(B$15+1)</f>
        <v>0</v>
      </c>
      <c r="C135" s="15">
        <f t="shared" si="7"/>
        <v>0</v>
      </c>
      <c r="D135" s="15">
        <f t="shared" si="8"/>
        <v>0.96055555555555572</v>
      </c>
      <c r="E135" s="15">
        <f t="shared" si="9"/>
        <v>77</v>
      </c>
      <c r="F135" s="14">
        <f>1/($B$6*LN(E135)+$B$7)-273.15</f>
        <v>38.922390503304484</v>
      </c>
      <c r="G135" s="15">
        <f>F135-F134</f>
        <v>4.5473226450098991E-3</v>
      </c>
      <c r="H135" s="1"/>
      <c r="I135" s="19">
        <f>1000*(E135-E134)</f>
        <v>-8.1297375947002593</v>
      </c>
      <c r="J135" s="1"/>
      <c r="K135" s="1"/>
      <c r="L135" s="1"/>
    </row>
    <row r="136" spans="1:12" x14ac:dyDescent="0.15">
      <c r="A136" s="6"/>
      <c r="B136" s="14"/>
      <c r="C136" s="15"/>
      <c r="D136" s="15"/>
      <c r="E136" s="15"/>
      <c r="F136" s="14"/>
      <c r="G136" s="15"/>
      <c r="H136" s="1"/>
      <c r="I136" s="2"/>
      <c r="J136" s="1"/>
      <c r="K136" s="1"/>
      <c r="L136" s="1"/>
    </row>
    <row r="137" spans="1:12" x14ac:dyDescent="0.15">
      <c r="A137" t="s">
        <v>33</v>
      </c>
    </row>
    <row r="138" spans="1:12" x14ac:dyDescent="0.15">
      <c r="A138" t="s">
        <v>48</v>
      </c>
    </row>
    <row r="139" spans="1:12" x14ac:dyDescent="0.15">
      <c r="A139" t="s">
        <v>49</v>
      </c>
    </row>
    <row r="140" spans="1:12" x14ac:dyDescent="0.15">
      <c r="A140" t="s">
        <v>50</v>
      </c>
    </row>
    <row r="141" spans="1:12" x14ac:dyDescent="0.15">
      <c r="A141" t="s">
        <v>51</v>
      </c>
    </row>
    <row r="142" spans="1:12" x14ac:dyDescent="0.15">
      <c r="A142" t="s">
        <v>52</v>
      </c>
    </row>
    <row r="143" spans="1:12" x14ac:dyDescent="0.15">
      <c r="A143" t="s">
        <v>53</v>
      </c>
    </row>
    <row r="144" spans="1:12" x14ac:dyDescent="0.15">
      <c r="A144" t="s">
        <v>54</v>
      </c>
    </row>
    <row r="145" spans="1:1" x14ac:dyDescent="0.15">
      <c r="A145" t="s">
        <v>60</v>
      </c>
    </row>
  </sheetData>
  <phoneticPr fontId="0" type="noConversion"/>
  <pageMargins left="0.75" right="0.75" top="1" bottom="1" header="0.5" footer="0.5"/>
  <pageSetup orientation="portrait" horizontalDpi="4294967292" verticalDpi="4294967292" r:id="rId1"/>
  <headerFooter alignWithMargins="0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7C321-5060-499A-B038-3757413A4F37}">
  <dimension ref="A1:B22"/>
  <sheetViews>
    <sheetView tabSelected="1" zoomScaleNormal="125" zoomScaleSheetLayoutView="100" workbookViewId="0" xr3:uid="{1FECD5B3-5B87-52C1-B95F-710F2C91F047}">
      <selection sqref="A1:B1048576"/>
    </sheetView>
  </sheetViews>
  <sheetFormatPr defaultRowHeight="12.75" x14ac:dyDescent="0.15"/>
  <sheetData>
    <row r="1" spans="1:2" x14ac:dyDescent="0.15">
      <c r="A1" t="s">
        <v>85</v>
      </c>
      <c r="B1" t="s">
        <v>86</v>
      </c>
    </row>
    <row r="2" spans="1:2" x14ac:dyDescent="0.15">
      <c r="A2">
        <v>1</v>
      </c>
      <c r="B2">
        <v>3.89</v>
      </c>
    </row>
    <row r="3" spans="1:2" x14ac:dyDescent="0.15">
      <c r="A3">
        <v>5</v>
      </c>
      <c r="B3">
        <v>1.32</v>
      </c>
    </row>
    <row r="4" spans="1:2" x14ac:dyDescent="0.15">
      <c r="A4">
        <v>10</v>
      </c>
      <c r="B4">
        <v>0.45</v>
      </c>
    </row>
    <row r="5" spans="1:2" x14ac:dyDescent="0.15">
      <c r="A5">
        <v>15</v>
      </c>
      <c r="B5">
        <v>-0.71</v>
      </c>
    </row>
    <row r="6" spans="1:2" x14ac:dyDescent="0.15">
      <c r="A6">
        <v>20</v>
      </c>
      <c r="B6">
        <v>-1.59</v>
      </c>
    </row>
    <row r="7" spans="1:2" x14ac:dyDescent="0.15">
      <c r="A7">
        <v>25</v>
      </c>
      <c r="B7">
        <v>-3.44</v>
      </c>
    </row>
    <row r="8" spans="1:2" x14ac:dyDescent="0.15">
      <c r="A8">
        <v>30</v>
      </c>
      <c r="B8">
        <v>-5.12</v>
      </c>
    </row>
    <row r="9" spans="1:2" x14ac:dyDescent="0.15">
      <c r="A9">
        <v>35</v>
      </c>
      <c r="B9">
        <v>-7.83</v>
      </c>
    </row>
    <row r="10" spans="1:2" x14ac:dyDescent="0.15">
      <c r="A10">
        <v>40</v>
      </c>
      <c r="B10">
        <v>-9.02</v>
      </c>
    </row>
    <row r="11" spans="1:2" x14ac:dyDescent="0.15">
      <c r="A11">
        <v>45</v>
      </c>
      <c r="B11">
        <v>-11.1</v>
      </c>
    </row>
    <row r="12" spans="1:2" x14ac:dyDescent="0.15">
      <c r="A12">
        <v>50</v>
      </c>
      <c r="B12">
        <v>-12.4</v>
      </c>
    </row>
    <row r="13" spans="1:2" x14ac:dyDescent="0.15">
      <c r="A13">
        <v>55</v>
      </c>
      <c r="B13">
        <v>-13.81</v>
      </c>
    </row>
    <row r="14" spans="1:2" x14ac:dyDescent="0.15">
      <c r="A14">
        <v>60</v>
      </c>
      <c r="B14">
        <v>-14.06</v>
      </c>
    </row>
    <row r="15" spans="1:2" x14ac:dyDescent="0.15">
      <c r="A15">
        <v>65</v>
      </c>
      <c r="B15">
        <v>-14.92</v>
      </c>
    </row>
    <row r="16" spans="1:2" x14ac:dyDescent="0.15">
      <c r="A16">
        <v>70</v>
      </c>
      <c r="B16">
        <v>-15.64</v>
      </c>
    </row>
    <row r="17" spans="1:2" x14ac:dyDescent="0.15">
      <c r="A17">
        <v>75</v>
      </c>
      <c r="B17">
        <v>-16.28</v>
      </c>
    </row>
    <row r="18" spans="1:2" x14ac:dyDescent="0.15">
      <c r="A18">
        <v>80</v>
      </c>
      <c r="B18">
        <v>-17.920000000000002</v>
      </c>
    </row>
    <row r="19" spans="1:2" x14ac:dyDescent="0.15">
      <c r="A19">
        <v>85</v>
      </c>
      <c r="B19">
        <v>-19.399999999999999</v>
      </c>
    </row>
    <row r="20" spans="1:2" x14ac:dyDescent="0.15">
      <c r="A20">
        <v>90</v>
      </c>
      <c r="B20">
        <v>-21.72</v>
      </c>
    </row>
    <row r="21" spans="1:2" x14ac:dyDescent="0.15">
      <c r="A21">
        <v>95</v>
      </c>
      <c r="B21">
        <v>-22.34</v>
      </c>
    </row>
    <row r="22" spans="1:2" x14ac:dyDescent="0.15">
      <c r="A22">
        <v>100</v>
      </c>
      <c r="B22">
        <v>-23.9</v>
      </c>
    </row>
  </sheetData>
  <pageMargins left="0" right="0" top="0" bottom="0" header="0" footer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Texas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W. Valvano</dc:creator>
  <cp:lastModifiedBy>X</cp:lastModifiedBy>
  <cp:lastPrinted>2004-10-04T13:55:06Z</cp:lastPrinted>
  <dcterms:created xsi:type="dcterms:W3CDTF">2000-11-01T23:33:19Z</dcterms:created>
  <dcterms:modified xsi:type="dcterms:W3CDTF">2018-04-04T22:32:22Z</dcterms:modified>
</cp:coreProperties>
</file>