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70"/>
  </bookViews>
  <sheets>
    <sheet name="备份" sheetId="13" r:id="rId1"/>
  </sheets>
  <calcPr calcId="125725"/>
</workbook>
</file>

<file path=xl/calcChain.xml><?xml version="1.0" encoding="utf-8"?>
<calcChain xmlns="http://schemas.openxmlformats.org/spreadsheetml/2006/main">
  <c r="H26" i="13"/>
  <c r="F26"/>
  <c r="H25"/>
  <c r="F25"/>
  <c r="H24"/>
  <c r="G28" s="1"/>
  <c r="H23"/>
  <c r="H22"/>
  <c r="H21"/>
  <c r="D27" s="1"/>
  <c r="H20"/>
  <c r="H19"/>
  <c r="F19"/>
  <c r="H18"/>
  <c r="H17"/>
  <c r="F17"/>
  <c r="F18" s="1"/>
  <c r="H16"/>
  <c r="H15"/>
  <c r="H14"/>
  <c r="F14"/>
  <c r="F15" s="1"/>
  <c r="H13"/>
  <c r="H12"/>
  <c r="F12"/>
  <c r="F13" s="1"/>
  <c r="H11"/>
  <c r="H10"/>
  <c r="H9"/>
  <c r="H8"/>
  <c r="H7"/>
  <c r="H6"/>
  <c r="H5"/>
  <c r="D28" l="1"/>
  <c r="G27" s="1"/>
</calcChain>
</file>

<file path=xl/sharedStrings.xml><?xml version="1.0" encoding="utf-8"?>
<sst xmlns="http://schemas.openxmlformats.org/spreadsheetml/2006/main" count="130" uniqueCount="125">
  <si>
    <t>哮喘/过敏症</t>
  </si>
  <si>
    <t>COPD</t>
  </si>
  <si>
    <t>多发伤</t>
  </si>
  <si>
    <t xml:space="preserve">姓名：                 </t>
  </si>
  <si>
    <r>
      <t>科室：</t>
    </r>
    <r>
      <rPr>
        <b/>
        <u/>
        <sz val="10"/>
        <rFont val="宋体"/>
        <family val="3"/>
        <charset val="134"/>
      </rPr>
      <t>重症医学科</t>
    </r>
  </si>
  <si>
    <t>床号:</t>
  </si>
  <si>
    <t>非心源性肺水肿</t>
  </si>
  <si>
    <t>慢性心血管疾病</t>
  </si>
  <si>
    <t>项    目</t>
  </si>
  <si>
    <t>数值</t>
  </si>
  <si>
    <t>得分/权重</t>
  </si>
  <si>
    <t>呼吸暂停</t>
  </si>
  <si>
    <t>外周血管手术</t>
  </si>
  <si>
    <t>A</t>
  </si>
  <si>
    <t xml:space="preserve">    年龄（岁）</t>
  </si>
  <si>
    <t>无严重慢性病</t>
  </si>
  <si>
    <t>自动睁眼</t>
  </si>
  <si>
    <t>回答切题</t>
  </si>
  <si>
    <t>按吩咐动作</t>
  </si>
  <si>
    <t>误吸/中毒/毒性反应</t>
  </si>
  <si>
    <t>心瓣膜手术</t>
  </si>
  <si>
    <t>B</t>
  </si>
  <si>
    <t>01. 肛温(℃)</t>
  </si>
  <si>
    <t>有，无须手术</t>
  </si>
  <si>
    <t>呼唤睁眼</t>
  </si>
  <si>
    <t>回答不切题</t>
  </si>
  <si>
    <t>刺疼能定位</t>
  </si>
  <si>
    <t>肺栓塞</t>
  </si>
  <si>
    <t>颅内肿瘤手术</t>
  </si>
  <si>
    <t>02. MAP(mmHg)</t>
  </si>
  <si>
    <t xml:space="preserve"> </t>
  </si>
  <si>
    <t>有，择期手术后</t>
  </si>
  <si>
    <t>刺疼睁眼</t>
  </si>
  <si>
    <t>答非所问</t>
  </si>
  <si>
    <t>刺疼能躲避</t>
  </si>
  <si>
    <t>感染（非全身性）</t>
  </si>
  <si>
    <t>肾肿瘤手术</t>
  </si>
  <si>
    <t>03. HR(次/分)</t>
  </si>
  <si>
    <t>有，急诊手术后</t>
  </si>
  <si>
    <t>不能睁眼</t>
  </si>
  <si>
    <t>只能发音</t>
  </si>
  <si>
    <t>刺疼肢体屈曲</t>
  </si>
  <si>
    <t>全身性感染/脓毒症</t>
  </si>
  <si>
    <t>肾移植</t>
  </si>
  <si>
    <t>04. R(次/分)</t>
  </si>
  <si>
    <t>有，不能手术</t>
  </si>
  <si>
    <t>不能言语</t>
  </si>
  <si>
    <t>刺疼肢体伸展</t>
  </si>
  <si>
    <t>高血压</t>
  </si>
  <si>
    <t>脑外伤手术</t>
  </si>
  <si>
    <t>05. HCT（%）</t>
  </si>
  <si>
    <t>不能活动</t>
  </si>
  <si>
    <t>心率失常</t>
  </si>
  <si>
    <t>胸部外伤手术</t>
  </si>
  <si>
    <r>
      <rPr>
        <sz val="12"/>
        <rFont val="宋体"/>
        <family val="3"/>
        <charset val="134"/>
      </rPr>
      <t>06. WBC(×10</t>
    </r>
    <r>
      <rPr>
        <vertAlign val="superscript"/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/L)</t>
    </r>
  </si>
  <si>
    <t>充血性心衰</t>
  </si>
  <si>
    <t>颅内出血/硬膜下出血/蛛网膜下出血手术</t>
  </si>
  <si>
    <r>
      <rPr>
        <sz val="12"/>
        <rFont val="宋体"/>
        <family val="3"/>
        <charset val="134"/>
      </rPr>
      <t>07. PaO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(mmHg)(FiO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＜50%)</t>
    </r>
  </si>
  <si>
    <t>是</t>
  </si>
  <si>
    <t>／</t>
  </si>
  <si>
    <t>否</t>
  </si>
  <si>
    <t>失血性或低血容量性休克</t>
  </si>
  <si>
    <r>
      <rPr>
        <sz val="12"/>
        <rFont val="宋体"/>
        <family val="3"/>
        <charset val="134"/>
      </rPr>
      <t xml:space="preserve">    P(A-a)O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  (FiO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≥50%)</t>
    </r>
  </si>
  <si>
    <t>冠心病</t>
  </si>
  <si>
    <t>椎板切除术或其他脊髓手术</t>
  </si>
  <si>
    <t>08. 动脉血pH</t>
  </si>
  <si>
    <t>肿瘤</t>
  </si>
  <si>
    <t>失血性休克</t>
  </si>
  <si>
    <r>
      <rPr>
        <sz val="12"/>
        <rFont val="宋体"/>
        <family val="3"/>
        <charset val="134"/>
      </rPr>
      <t xml:space="preserve">    静脉血HCO</t>
    </r>
    <r>
      <rPr>
        <vertAlign val="subscript"/>
        <sz val="12"/>
        <rFont val="宋体"/>
        <family val="3"/>
        <charset val="134"/>
      </rPr>
      <t>3</t>
    </r>
    <r>
      <rPr>
        <vertAlign val="superscript"/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(mmol/L)</t>
    </r>
    <r>
      <rPr>
        <sz val="10"/>
        <rFont val="宋体"/>
        <family val="3"/>
        <charset val="134"/>
      </rPr>
      <t>（无动脉血气时）</t>
    </r>
  </si>
  <si>
    <t>刘建雄</t>
  </si>
  <si>
    <t>心脏骤停</t>
  </si>
  <si>
    <t>胃肠道出血</t>
  </si>
  <si>
    <r>
      <rPr>
        <sz val="12"/>
        <rFont val="宋体"/>
        <family val="3"/>
        <charset val="134"/>
      </rPr>
      <t>09. 血清Na</t>
    </r>
    <r>
      <rPr>
        <vertAlign val="superscript"/>
        <sz val="12"/>
        <rFont val="宋体"/>
        <family val="3"/>
        <charset val="134"/>
      </rPr>
      <t>＋</t>
    </r>
    <r>
      <rPr>
        <sz val="12"/>
        <rFont val="宋体"/>
        <family val="3"/>
        <charset val="134"/>
      </rPr>
      <t>(mmol/L)</t>
    </r>
  </si>
  <si>
    <t>李华峥</t>
  </si>
  <si>
    <t>心源性休克</t>
  </si>
  <si>
    <t>胃肠道肿瘤手术</t>
  </si>
  <si>
    <r>
      <t>10. 血清K</t>
    </r>
    <r>
      <rPr>
        <vertAlign val="superscript"/>
        <sz val="12"/>
        <rFont val="宋体"/>
        <family val="3"/>
        <charset val="134"/>
      </rPr>
      <t>＋</t>
    </r>
    <r>
      <rPr>
        <sz val="12"/>
        <rFont val="宋体"/>
        <family val="3"/>
        <charset val="134"/>
      </rPr>
      <t>(mmol/L)</t>
    </r>
  </si>
  <si>
    <t>胡庆兵</t>
  </si>
  <si>
    <t>主动脉夹层动脉瘤/胸、腹主动脉瘤破裂</t>
  </si>
  <si>
    <t>术后呼吸功能不全</t>
  </si>
  <si>
    <t>11. 血清肌酐(μmol/L)</t>
  </si>
  <si>
    <t>邓亮飞</t>
  </si>
  <si>
    <t>消化道穿孔或梗阻</t>
  </si>
  <si>
    <t xml:space="preserve">    是否急性肾衰</t>
  </si>
  <si>
    <t>陆  桢</t>
  </si>
  <si>
    <t>神经系统</t>
  </si>
  <si>
    <t>C</t>
  </si>
  <si>
    <t xml:space="preserve">    既往健康状况</t>
  </si>
  <si>
    <t>李宇芳</t>
  </si>
  <si>
    <t>头部创伤</t>
  </si>
  <si>
    <t>心血管系统</t>
  </si>
  <si>
    <t>D</t>
  </si>
  <si>
    <t>01. 睁眼反应</t>
  </si>
  <si>
    <t>李  敏</t>
  </si>
  <si>
    <t>癫痫</t>
  </si>
  <si>
    <t>呼吸系统</t>
  </si>
  <si>
    <t>02. 语言反应</t>
  </si>
  <si>
    <t>颅内出血/硬膜下出血/蛛网膜下出血</t>
  </si>
  <si>
    <t>胃肠道</t>
  </si>
  <si>
    <t>03. 运动反应</t>
  </si>
  <si>
    <t>药物过量</t>
  </si>
  <si>
    <t>代谢或肾脏</t>
  </si>
  <si>
    <t>入ICU  主要 疾病</t>
  </si>
  <si>
    <t>01. 非手术类疾病</t>
  </si>
  <si>
    <t>糖尿病酮症酸中毒</t>
  </si>
  <si>
    <t>02. 手术类疾病</t>
  </si>
  <si>
    <t>消化道出血</t>
  </si>
  <si>
    <t xml:space="preserve">    是否急诊手术后</t>
  </si>
  <si>
    <t>代射性/肾脏</t>
  </si>
  <si>
    <t>APACHEⅡ总分：</t>
  </si>
  <si>
    <t>死亡可能性：</t>
  </si>
  <si>
    <t>%</t>
  </si>
  <si>
    <t>In[R/(1-R)]</t>
  </si>
  <si>
    <t>实施评分时间：</t>
  </si>
  <si>
    <t>评分医师：</t>
  </si>
  <si>
    <t>胃肠道系统</t>
  </si>
  <si>
    <t>1. 数据采集应为病人入ICU或抢救开始后24小时内最差值，并注明具体评分时间。</t>
  </si>
  <si>
    <t>2. B项中的MAP＝1/3收缩压＋2/3舒张压，若有直接动脉压监测则记直接动脉压。</t>
  </si>
  <si>
    <t>3. 呼吸频率应记录病人的自主呼吸频率，不考虑患者是否接受机械通气治疗。</t>
  </si>
  <si>
    <t>4. B项中第07、08项各有两个选项，均只能填一个，另一个空白。</t>
  </si>
  <si>
    <t>5. C项中“严重慢性病”是指住院前患者具有严重器官功能障碍或免疫功能受损病史，判定标准如下，具备一项即可：①心——心功能Ⅳ级；②肺——慢性缺氧，阻塞性或限制性通气障碍，运动耐力差；③肾——正在接受慢性透析治疗；④肝——肝活检证实有肝硬化及门脉高压；有门脉高压导致的上消化道出血史，或有肝功能衰竭/肝性脑病/肝昏迷病史；⑤免疫损害：已经收受了可抑制抗感染能力的治疗，如免疫抑制剂、放疗、化疗、长期或大量激素治疗，或患有足以抑制抗感染能力的疾病，如白血病、淋巴瘤、爱滋病等。</t>
  </si>
  <si>
    <t>6. D项神经功能，如果使用了镇静药物，应以镇静前的情况作为标准，如果没有可信的镇静前的资料，则视该项正常。</t>
  </si>
  <si>
    <t>床     住院号：</t>
    <phoneticPr fontId="14" type="noConversion"/>
  </si>
  <si>
    <t>危重症APACHEⅡ评分表</t>
    <phoneticPr fontId="14" type="noConversion"/>
  </si>
  <si>
    <t xml:space="preserve">填表说明:                     </t>
    <phoneticPr fontId="1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</si>
</sst>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8">
    <font>
      <sz val="12"/>
      <name val="宋体"/>
      <charset val="134"/>
    </font>
    <font>
      <b/>
      <sz val="12"/>
      <color indexed="10"/>
      <name val="宋体"/>
      <family val="3"/>
      <charset val="134"/>
    </font>
    <font>
      <b/>
      <sz val="22"/>
      <name val="楷体_GB2312"/>
      <charset val="134"/>
    </font>
    <font>
      <b/>
      <u/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1"/>
      <color indexed="63"/>
      <name val="宋体"/>
      <family val="3"/>
      <charset val="134"/>
    </font>
    <font>
      <sz val="10"/>
      <color indexed="63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u/>
      <sz val="10"/>
      <name val="宋体"/>
      <family val="3"/>
      <charset val="134"/>
    </font>
    <font>
      <vertAlign val="superscript"/>
      <sz val="12"/>
      <name val="宋体"/>
      <family val="3"/>
      <charset val="134"/>
    </font>
    <font>
      <vertAlign val="subscript"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3" fillId="0" borderId="0"/>
    <xf numFmtId="0" fontId="14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Fill="1" applyProtection="1">
      <alignment vertical="center"/>
    </xf>
    <xf numFmtId="0" fontId="11" fillId="0" borderId="34" xfId="1" applyFont="1" applyFill="1" applyBorder="1" applyAlignment="1" applyProtection="1">
      <alignment vertical="center" wrapText="1"/>
    </xf>
    <xf numFmtId="0" fontId="11" fillId="0" borderId="35" xfId="1" applyFont="1" applyFill="1" applyBorder="1" applyAlignment="1" applyProtection="1">
      <alignment vertical="center" wrapText="1"/>
    </xf>
    <xf numFmtId="0" fontId="0" fillId="0" borderId="0" xfId="0" applyProtection="1">
      <alignment vertical="center"/>
    </xf>
    <xf numFmtId="0" fontId="11" fillId="0" borderId="36" xfId="1" applyFont="1" applyFill="1" applyBorder="1" applyAlignment="1" applyProtection="1">
      <alignment vertical="center" wrapText="1"/>
    </xf>
    <xf numFmtId="0" fontId="11" fillId="0" borderId="37" xfId="1" applyFont="1" applyFill="1" applyBorder="1" applyAlignment="1" applyProtection="1">
      <alignment vertical="center" wrapText="1"/>
    </xf>
    <xf numFmtId="0" fontId="0" fillId="0" borderId="0" xfId="0" applyFont="1" applyFill="1" applyAlignment="1" applyProtection="1">
      <alignment vertical="center"/>
    </xf>
    <xf numFmtId="0" fontId="11" fillId="0" borderId="34" xfId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right" vertical="center"/>
    </xf>
    <xf numFmtId="0" fontId="3" fillId="2" borderId="0" xfId="0" applyFont="1" applyFill="1" applyAlignment="1" applyProtection="1">
      <alignment horizontal="center" vertical="center"/>
    </xf>
    <xf numFmtId="0" fontId="13" fillId="0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 vertical="center"/>
    </xf>
    <xf numFmtId="0" fontId="11" fillId="0" borderId="36" xfId="1" applyFont="1" applyFill="1" applyBorder="1" applyAlignment="1" applyProtection="1">
      <alignment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0" fillId="0" borderId="0" xfId="0" applyFont="1" applyFill="1" applyBorder="1" applyProtection="1">
      <alignment vertical="center"/>
    </xf>
    <xf numFmtId="0" fontId="0" fillId="0" borderId="21" xfId="0" applyFont="1" applyFill="1" applyBorder="1" applyProtection="1">
      <alignment vertical="center"/>
    </xf>
    <xf numFmtId="0" fontId="5" fillId="0" borderId="5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0" fillId="2" borderId="8" xfId="0" applyNumberFormat="1" applyFont="1" applyFill="1" applyBorder="1" applyAlignment="1" applyProtection="1">
      <alignment horizontal="center" vertical="center"/>
    </xf>
    <xf numFmtId="0" fontId="0" fillId="0" borderId="9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11" fillId="0" borderId="38" xfId="0" applyFont="1" applyFill="1" applyBorder="1" applyAlignment="1" applyProtection="1">
      <alignment vertical="center"/>
    </xf>
    <xf numFmtId="0" fontId="11" fillId="0" borderId="26" xfId="2" applyFont="1" applyFill="1" applyBorder="1" applyAlignment="1" applyProtection="1">
      <alignment horizontal="center" vertical="center" wrapText="1"/>
    </xf>
    <xf numFmtId="0" fontId="11" fillId="0" borderId="8" xfId="2" applyFont="1" applyFill="1" applyBorder="1" applyAlignment="1" applyProtection="1">
      <alignment horizontal="center" vertical="center" wrapText="1"/>
    </xf>
    <xf numFmtId="0" fontId="11" fillId="0" borderId="9" xfId="2" applyFont="1" applyFill="1" applyBorder="1" applyAlignment="1" applyProtection="1">
      <alignment horizontal="center" vertical="center" wrapText="1"/>
    </xf>
    <xf numFmtId="0" fontId="1" fillId="0" borderId="13" xfId="0" applyFont="1" applyFill="1" applyBorder="1" applyAlignment="1" applyProtection="1">
      <alignment horizontal="center" vertical="center"/>
    </xf>
    <xf numFmtId="0" fontId="0" fillId="2" borderId="13" xfId="0" applyFont="1" applyFill="1" applyBorder="1" applyAlignment="1" applyProtection="1">
      <alignment horizontal="center" vertical="center"/>
    </xf>
    <xf numFmtId="0" fontId="0" fillId="0" borderId="14" xfId="0" applyFont="1" applyFill="1" applyBorder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39" xfId="2" applyFont="1" applyFill="1" applyBorder="1" applyAlignment="1" applyProtection="1">
      <alignment horizontal="center" vertical="center" wrapText="1"/>
    </xf>
    <xf numFmtId="0" fontId="11" fillId="0" borderId="13" xfId="2" applyFont="1" applyFill="1" applyBorder="1" applyAlignment="1" applyProtection="1">
      <alignment horizontal="center" vertical="center" wrapText="1"/>
    </xf>
    <xf numFmtId="0" fontId="11" fillId="0" borderId="14" xfId="2" applyFont="1" applyFill="1" applyBorder="1" applyAlignment="1" applyProtection="1">
      <alignment horizontal="center" vertical="center" wrapText="1"/>
    </xf>
    <xf numFmtId="0" fontId="1" fillId="0" borderId="17" xfId="0" applyFont="1" applyFill="1" applyBorder="1" applyAlignment="1" applyProtection="1">
      <alignment horizontal="center" vertical="center"/>
    </xf>
    <xf numFmtId="0" fontId="0" fillId="0" borderId="0" xfId="2" applyFont="1" applyFill="1" applyBorder="1" applyAlignment="1" applyProtection="1">
      <alignment horizontal="center" vertical="center" wrapText="1"/>
    </xf>
    <xf numFmtId="0" fontId="11" fillId="0" borderId="10" xfId="0" applyFont="1" applyFill="1" applyBorder="1" applyProtection="1">
      <alignment vertical="center"/>
    </xf>
    <xf numFmtId="0" fontId="11" fillId="0" borderId="36" xfId="1" applyNumberFormat="1" applyFont="1" applyFill="1" applyBorder="1" applyAlignment="1" applyProtection="1">
      <alignment vertical="center" wrapText="1"/>
    </xf>
    <xf numFmtId="0" fontId="11" fillId="0" borderId="37" xfId="1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Protection="1">
      <alignment vertical="center"/>
    </xf>
    <xf numFmtId="0" fontId="11" fillId="0" borderId="19" xfId="0" applyFont="1" applyFill="1" applyBorder="1" applyAlignment="1" applyProtection="1">
      <alignment vertical="center"/>
    </xf>
    <xf numFmtId="0" fontId="11" fillId="0" borderId="39" xfId="0" applyFont="1" applyBorder="1" applyProtection="1">
      <alignment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40" xfId="0" applyFont="1" applyFill="1" applyBorder="1" applyAlignment="1" applyProtection="1">
      <alignment horizontal="center" vertical="center"/>
    </xf>
    <xf numFmtId="0" fontId="11" fillId="0" borderId="41" xfId="0" applyFont="1" applyFill="1" applyBorder="1" applyAlignment="1" applyProtection="1">
      <alignment horizontal="center" vertical="center"/>
    </xf>
    <xf numFmtId="0" fontId="11" fillId="0" borderId="24" xfId="2" applyFont="1" applyFill="1" applyBorder="1" applyAlignment="1" applyProtection="1">
      <alignment horizontal="center" vertical="center" wrapText="1"/>
    </xf>
    <xf numFmtId="0" fontId="11" fillId="0" borderId="0" xfId="0" applyFont="1" applyFill="1" applyProtection="1">
      <alignment vertical="center"/>
    </xf>
    <xf numFmtId="0" fontId="6" fillId="0" borderId="7" xfId="0" applyFont="1" applyFill="1" applyBorder="1" applyAlignment="1" applyProtection="1">
      <alignment horizontal="center" vertical="center"/>
    </xf>
    <xf numFmtId="0" fontId="11" fillId="0" borderId="31" xfId="0" applyFont="1" applyFill="1" applyBorder="1" applyAlignment="1" applyProtection="1">
      <alignment horizontal="center" vertical="center"/>
    </xf>
    <xf numFmtId="0" fontId="11" fillId="0" borderId="32" xfId="0" applyNumberFormat="1" applyFont="1" applyFill="1" applyBorder="1" applyAlignment="1" applyProtection="1">
      <alignment horizontal="center" vertical="center"/>
    </xf>
    <xf numFmtId="0" fontId="11" fillId="0" borderId="33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vertical="center"/>
    </xf>
    <xf numFmtId="0" fontId="0" fillId="0" borderId="37" xfId="0" applyFont="1" applyFill="1" applyBorder="1" applyAlignment="1" applyProtection="1">
      <alignment vertical="center"/>
    </xf>
    <xf numFmtId="0" fontId="11" fillId="0" borderId="42" xfId="0" applyFont="1" applyFill="1" applyBorder="1" applyAlignment="1" applyProtection="1">
      <alignment horizontal="center" vertical="center"/>
    </xf>
    <xf numFmtId="0" fontId="11" fillId="0" borderId="43" xfId="0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0" fillId="0" borderId="36" xfId="0" applyFont="1" applyFill="1" applyBorder="1" applyProtection="1">
      <alignment vertical="center"/>
    </xf>
    <xf numFmtId="0" fontId="0" fillId="0" borderId="37" xfId="0" applyFont="1" applyFill="1" applyBorder="1" applyProtection="1">
      <alignment vertical="center"/>
    </xf>
    <xf numFmtId="0" fontId="8" fillId="0" borderId="18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1" fillId="0" borderId="0" xfId="0" applyFont="1" applyProtection="1">
      <alignment vertical="center"/>
    </xf>
    <xf numFmtId="0" fontId="0" fillId="0" borderId="44" xfId="0" applyFont="1" applyFill="1" applyBorder="1" applyProtection="1">
      <alignment vertical="center"/>
    </xf>
    <xf numFmtId="0" fontId="1" fillId="0" borderId="22" xfId="0" applyFont="1" applyFill="1" applyBorder="1" applyAlignment="1" applyProtection="1">
      <alignment horizontal="center" vertical="center"/>
    </xf>
    <xf numFmtId="0" fontId="0" fillId="2" borderId="23" xfId="0" applyFont="1" applyFill="1" applyBorder="1" applyAlignment="1" applyProtection="1">
      <alignment horizontal="center" vertical="center"/>
    </xf>
    <xf numFmtId="0" fontId="0" fillId="0" borderId="24" xfId="0" applyFont="1" applyFill="1" applyBorder="1" applyAlignment="1" applyProtection="1">
      <alignment horizontal="center" vertical="center"/>
    </xf>
    <xf numFmtId="0" fontId="11" fillId="0" borderId="45" xfId="1" applyFont="1" applyFill="1" applyBorder="1" applyAlignment="1" applyProtection="1">
      <alignment vertical="center"/>
    </xf>
    <xf numFmtId="0" fontId="11" fillId="0" borderId="46" xfId="1" applyFont="1" applyFill="1" applyBorder="1" applyAlignment="1" applyProtection="1">
      <alignment vertical="center" wrapText="1"/>
    </xf>
    <xf numFmtId="0" fontId="0" fillId="2" borderId="17" xfId="0" applyFont="1" applyFill="1" applyBorder="1" applyAlignment="1" applyProtection="1">
      <alignment horizontal="center" vertical="center"/>
    </xf>
    <xf numFmtId="0" fontId="0" fillId="0" borderId="27" xfId="0" applyFont="1" applyFill="1" applyBorder="1" applyAlignment="1" applyProtection="1">
      <alignment horizontal="center" vertical="center"/>
    </xf>
    <xf numFmtId="0" fontId="0" fillId="2" borderId="18" xfId="0" applyFont="1" applyFill="1" applyBorder="1" applyAlignment="1" applyProtection="1">
      <alignment horizontal="center" vertical="center"/>
    </xf>
    <xf numFmtId="0" fontId="0" fillId="0" borderId="30" xfId="0" applyFont="1" applyFill="1" applyBorder="1" applyAlignment="1" applyProtection="1">
      <alignment horizontal="center" vertical="center"/>
    </xf>
    <xf numFmtId="0" fontId="0" fillId="0" borderId="0" xfId="1" applyFont="1" applyFill="1" applyBorder="1" applyAlignment="1" applyProtection="1">
      <alignment vertical="center"/>
    </xf>
    <xf numFmtId="0" fontId="5" fillId="0" borderId="21" xfId="0" applyFont="1" applyFill="1" applyBorder="1" applyAlignment="1" applyProtection="1">
      <alignment horizontal="center" vertical="center"/>
    </xf>
    <xf numFmtId="176" fontId="5" fillId="0" borderId="32" xfId="0" applyNumberFormat="1" applyFont="1" applyFill="1" applyBorder="1" applyAlignment="1" applyProtection="1">
      <alignment vertical="center"/>
    </xf>
    <xf numFmtId="0" fontId="5" fillId="0" borderId="33" xfId="0" applyFont="1" applyFill="1" applyBorder="1" applyAlignment="1" applyProtection="1">
      <alignment horizontal="left" vertical="center"/>
    </xf>
    <xf numFmtId="0" fontId="6" fillId="0" borderId="0" xfId="0" applyFont="1" applyFill="1" applyProtection="1">
      <alignment vertical="center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right" vertical="center"/>
    </xf>
    <xf numFmtId="0" fontId="0" fillId="2" borderId="0" xfId="0" applyFont="1" applyFill="1" applyAlignment="1" applyProtection="1">
      <alignment horizontal="center" vertical="center"/>
    </xf>
    <xf numFmtId="0" fontId="11" fillId="0" borderId="31" xfId="1" applyFont="1" applyFill="1" applyBorder="1" applyAlignment="1" applyProtection="1">
      <alignment vertical="center"/>
    </xf>
    <xf numFmtId="0" fontId="11" fillId="0" borderId="33" xfId="1" applyFont="1" applyFill="1" applyBorder="1" applyAlignment="1" applyProtection="1">
      <alignment vertical="center" wrapText="1"/>
    </xf>
    <xf numFmtId="0" fontId="0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0" fillId="0" borderId="8" xfId="2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right" vertical="center"/>
    </xf>
    <xf numFmtId="0" fontId="10" fillId="0" borderId="0" xfId="2" applyFont="1" applyAlignment="1" applyProtection="1">
      <alignment vertical="center" wrapText="1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 applyProtection="1">
      <alignment horizontal="center" vertical="center"/>
    </xf>
    <xf numFmtId="0" fontId="0" fillId="0" borderId="5" xfId="2" applyFont="1" applyFill="1" applyBorder="1" applyAlignment="1" applyProtection="1">
      <alignment horizontal="center" vertical="center" wrapText="1"/>
    </xf>
    <xf numFmtId="0" fontId="0" fillId="0" borderId="10" xfId="2" applyFont="1" applyFill="1" applyBorder="1" applyAlignment="1" applyProtection="1">
      <alignment horizontal="center" vertical="center" wrapText="1"/>
    </xf>
    <xf numFmtId="0" fontId="0" fillId="0" borderId="29" xfId="2" applyFont="1" applyFill="1" applyBorder="1" applyAlignment="1" applyProtection="1">
      <alignment horizontal="center" vertical="center" wrapText="1"/>
    </xf>
    <xf numFmtId="0" fontId="10" fillId="0" borderId="0" xfId="2" applyFont="1" applyAlignment="1" applyProtection="1">
      <alignment horizontal="left" vertical="center" wrapText="1"/>
    </xf>
    <xf numFmtId="0" fontId="6" fillId="0" borderId="0" xfId="0" applyFont="1" applyFill="1" applyAlignment="1" applyProtection="1">
      <alignment horizontal="center" vertical="center"/>
    </xf>
    <xf numFmtId="0" fontId="6" fillId="0" borderId="0" xfId="0" applyFont="1" applyFill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left" vertical="center"/>
    </xf>
    <xf numFmtId="22" fontId="0" fillId="2" borderId="0" xfId="0" applyNumberFormat="1" applyFont="1" applyFill="1" applyAlignment="1" applyProtection="1">
      <alignment horizontal="left" vertical="center"/>
    </xf>
    <xf numFmtId="0" fontId="1" fillId="2" borderId="0" xfId="0" applyFont="1" applyFill="1" applyAlignment="1" applyProtection="1">
      <alignment horizontal="center" vertical="center"/>
    </xf>
    <xf numFmtId="0" fontId="9" fillId="0" borderId="0" xfId="2" applyFont="1" applyAlignment="1" applyProtection="1">
      <alignment vertical="center" wrapText="1"/>
    </xf>
    <xf numFmtId="0" fontId="0" fillId="0" borderId="25" xfId="0" applyFont="1" applyFill="1" applyBorder="1" applyAlignment="1" applyProtection="1">
      <alignment horizontal="left" vertical="center"/>
    </xf>
    <xf numFmtId="0" fontId="0" fillId="0" borderId="28" xfId="0" applyFont="1" applyFill="1" applyBorder="1" applyAlignment="1" applyProtection="1">
      <alignment horizontal="left" vertical="center"/>
    </xf>
    <xf numFmtId="0" fontId="0" fillId="0" borderId="20" xfId="0" applyFont="1" applyFill="1" applyBorder="1" applyAlignment="1" applyProtection="1">
      <alignment horizontal="left" vertical="center"/>
    </xf>
    <xf numFmtId="0" fontId="0" fillId="0" borderId="21" xfId="0" applyFont="1" applyFill="1" applyBorder="1" applyAlignment="1" applyProtection="1">
      <alignment horizontal="left" vertical="center"/>
    </xf>
    <xf numFmtId="0" fontId="5" fillId="0" borderId="31" xfId="0" applyNumberFormat="1" applyFont="1" applyFill="1" applyBorder="1" applyAlignment="1" applyProtection="1">
      <alignment horizontal="left" vertical="center"/>
    </xf>
    <xf numFmtId="0" fontId="5" fillId="0" borderId="21" xfId="0" applyNumberFormat="1" applyFont="1" applyFill="1" applyBorder="1" applyAlignment="1" applyProtection="1">
      <alignment horizontal="left" vertical="center"/>
    </xf>
    <xf numFmtId="0" fontId="5" fillId="0" borderId="20" xfId="0" applyFont="1" applyFill="1" applyBorder="1" applyAlignment="1" applyProtection="1">
      <alignment horizontal="right" vertical="center"/>
    </xf>
    <xf numFmtId="0" fontId="1" fillId="0" borderId="21" xfId="0" applyFont="1" applyFill="1" applyBorder="1" applyAlignment="1" applyProtection="1">
      <alignment horizontal="center" vertical="center"/>
    </xf>
    <xf numFmtId="0" fontId="0" fillId="0" borderId="47" xfId="2" applyFont="1" applyFill="1" applyBorder="1" applyAlignment="1" applyProtection="1">
      <alignment horizontal="left" vertical="center"/>
    </xf>
    <xf numFmtId="0" fontId="0" fillId="0" borderId="48" xfId="2" applyFont="1" applyFill="1" applyBorder="1" applyAlignment="1" applyProtection="1">
      <alignment horizontal="left" vertical="center"/>
    </xf>
    <xf numFmtId="0" fontId="0" fillId="0" borderId="11" xfId="0" applyFont="1" applyFill="1" applyBorder="1" applyAlignment="1" applyProtection="1">
      <alignment horizontal="left" vertical="center"/>
    </xf>
    <xf numFmtId="0" fontId="0" fillId="0" borderId="12" xfId="0" applyFont="1" applyFill="1" applyBorder="1" applyAlignment="1" applyProtection="1">
      <alignment horizontal="left" vertical="center"/>
    </xf>
    <xf numFmtId="0" fontId="0" fillId="0" borderId="15" xfId="0" applyFont="1" applyFill="1" applyBorder="1" applyAlignment="1" applyProtection="1">
      <alignment horizontal="left" vertical="center"/>
    </xf>
    <xf numFmtId="0" fontId="0" fillId="0" borderId="16" xfId="0" applyFont="1" applyFill="1" applyBorder="1" applyAlignment="1" applyProtection="1">
      <alignment horizontal="left" vertical="center"/>
    </xf>
    <xf numFmtId="0" fontId="0" fillId="0" borderId="6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</cellXfs>
  <cellStyles count="3">
    <cellStyle name="常规" xfId="0" builtinId="0"/>
    <cellStyle name="常规_Sheet1_7" xfId="2"/>
    <cellStyle name="常规_Sheet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36"/>
  <sheetViews>
    <sheetView tabSelected="1" workbookViewId="0">
      <selection activeCell="E29" sqref="E29:F29"/>
    </sheetView>
  </sheetViews>
  <sheetFormatPr defaultColWidth="9" defaultRowHeight="14.25"/>
  <cols>
    <col min="1" max="1" width="0.75" style="1" customWidth="1"/>
    <col min="2" max="2" width="6.875" style="88" customWidth="1"/>
    <col min="3" max="3" width="8.125" style="1" customWidth="1"/>
    <col min="4" max="4" width="14.75" style="1" customWidth="1"/>
    <col min="5" max="5" width="12" style="1" customWidth="1"/>
    <col min="6" max="6" width="7.25" style="89" customWidth="1"/>
    <col min="7" max="7" width="16.875" style="88" customWidth="1"/>
    <col min="8" max="8" width="13.25" style="88" customWidth="1"/>
    <col min="9" max="9" width="8.125" style="1" hidden="1" customWidth="1"/>
    <col min="10" max="10" width="15.125" style="1" hidden="1" customWidth="1"/>
    <col min="11" max="11" width="8.375" style="1" hidden="1" customWidth="1"/>
    <col min="12" max="12" width="7.5" style="1" hidden="1" customWidth="1"/>
    <col min="13" max="13" width="6.5" style="1" hidden="1" customWidth="1"/>
    <col min="14" max="14" width="1.375" style="1" hidden="1" customWidth="1"/>
    <col min="15" max="15" width="11.625" style="1" hidden="1" customWidth="1"/>
    <col min="16" max="16" width="7.625" style="1" hidden="1" customWidth="1"/>
    <col min="17" max="17" width="1.625" style="1" hidden="1" customWidth="1"/>
    <col min="18" max="18" width="12.5" style="1" hidden="1" customWidth="1"/>
    <col min="19" max="19" width="6.75" style="1" hidden="1" customWidth="1"/>
    <col min="20" max="20" width="9" style="1" hidden="1" customWidth="1"/>
    <col min="21" max="249" width="9" style="1" customWidth="1"/>
    <col min="250" max="16384" width="9" style="4"/>
  </cols>
  <sheetData>
    <row r="1" spans="2:29" ht="18" customHeight="1">
      <c r="B1" s="92"/>
      <c r="C1" s="92"/>
      <c r="D1" s="92"/>
      <c r="E1" s="91" t="s">
        <v>123</v>
      </c>
      <c r="F1" s="91"/>
      <c r="G1" s="91"/>
      <c r="H1" s="91"/>
      <c r="O1" s="2" t="s">
        <v>0</v>
      </c>
      <c r="P1" s="3">
        <v>-2.1080000000000001</v>
      </c>
    </row>
    <row r="2" spans="2:29" ht="21" customHeight="1">
      <c r="B2" s="92"/>
      <c r="C2" s="92"/>
      <c r="D2" s="92"/>
      <c r="E2" s="91"/>
      <c r="F2" s="91"/>
      <c r="G2" s="91"/>
      <c r="H2" s="91"/>
      <c r="O2" s="5" t="s">
        <v>1</v>
      </c>
      <c r="P2" s="6">
        <v>-0.36699999999999999</v>
      </c>
      <c r="Q2" s="7"/>
      <c r="R2" s="8" t="s">
        <v>2</v>
      </c>
      <c r="S2" s="3">
        <v>-1.6839999999999999</v>
      </c>
    </row>
    <row r="3" spans="2:29" ht="24" customHeight="1">
      <c r="B3" s="9" t="s">
        <v>3</v>
      </c>
      <c r="C3" s="10"/>
      <c r="D3" s="11" t="s">
        <v>4</v>
      </c>
      <c r="E3" s="12" t="s">
        <v>5</v>
      </c>
      <c r="F3" s="13"/>
      <c r="G3" s="14" t="s">
        <v>122</v>
      </c>
      <c r="H3" s="15"/>
      <c r="O3" s="5" t="s">
        <v>6</v>
      </c>
      <c r="P3" s="6">
        <v>-0.251</v>
      </c>
      <c r="Q3" s="7"/>
      <c r="R3" s="16" t="s">
        <v>7</v>
      </c>
      <c r="S3" s="6">
        <v>-1.3759999999999999</v>
      </c>
    </row>
    <row r="4" spans="2:29" ht="24" customHeight="1">
      <c r="B4" s="123" t="s">
        <v>8</v>
      </c>
      <c r="C4" s="124"/>
      <c r="D4" s="124"/>
      <c r="E4" s="124"/>
      <c r="F4" s="125"/>
      <c r="G4" s="17" t="s">
        <v>9</v>
      </c>
      <c r="H4" s="18" t="s">
        <v>10</v>
      </c>
      <c r="I4" s="19"/>
      <c r="J4" s="19"/>
      <c r="K4" s="20"/>
      <c r="L4" s="19"/>
      <c r="M4" s="19"/>
      <c r="O4" s="5" t="s">
        <v>11</v>
      </c>
      <c r="P4" s="6">
        <v>-0.16800000000000001</v>
      </c>
      <c r="Q4" s="7"/>
      <c r="R4" s="16" t="s">
        <v>12</v>
      </c>
      <c r="S4" s="6">
        <v>-1.3149999999999999</v>
      </c>
    </row>
    <row r="5" spans="2:29" ht="17.100000000000001" customHeight="1">
      <c r="B5" s="21" t="s">
        <v>13</v>
      </c>
      <c r="C5" s="121" t="s">
        <v>14</v>
      </c>
      <c r="D5" s="122"/>
      <c r="E5" s="122"/>
      <c r="F5" s="22"/>
      <c r="G5" s="23"/>
      <c r="H5" s="24">
        <f>IF(G5&gt;=75,6,IF(G5&gt;=65,5,IF(G5&gt;=55,3,IF(G5&gt;=45,2,IF(G5&lt;0,"错误",0)))))</f>
        <v>0</v>
      </c>
      <c r="I5" s="25"/>
      <c r="J5" s="26" t="s">
        <v>15</v>
      </c>
      <c r="K5" s="27" t="s">
        <v>16</v>
      </c>
      <c r="L5" s="28" t="s">
        <v>17</v>
      </c>
      <c r="M5" s="29" t="s">
        <v>18</v>
      </c>
      <c r="N5" s="19"/>
      <c r="O5" s="5" t="s">
        <v>19</v>
      </c>
      <c r="P5" s="6">
        <v>-0.14199999999999999</v>
      </c>
      <c r="Q5" s="7"/>
      <c r="R5" s="16" t="s">
        <v>20</v>
      </c>
      <c r="S5" s="6">
        <v>-1.2609999999999999</v>
      </c>
    </row>
    <row r="6" spans="2:29" ht="17.100000000000001" customHeight="1">
      <c r="B6" s="94" t="s">
        <v>21</v>
      </c>
      <c r="C6" s="117" t="s">
        <v>22</v>
      </c>
      <c r="D6" s="118"/>
      <c r="E6" s="118"/>
      <c r="F6" s="30"/>
      <c r="G6" s="31"/>
      <c r="H6" s="32">
        <f>IF(G6&gt;=41,4,IF(G6&gt;=39,3,IF(G6&gt;=38.5,1,IF(G6&gt;=36,0,IF(G6&gt;=34,1,IF(G6&gt;=32,2,IF(G6&gt;=30,3,IF(G6&gt;=0,4,IF(G6&lt;0,"错误",0)))))))))</f>
        <v>4</v>
      </c>
      <c r="I6" s="33"/>
      <c r="J6" s="34" t="s">
        <v>23</v>
      </c>
      <c r="K6" s="35" t="s">
        <v>24</v>
      </c>
      <c r="L6" s="36" t="s">
        <v>25</v>
      </c>
      <c r="M6" s="37" t="s">
        <v>26</v>
      </c>
      <c r="N6" s="19"/>
      <c r="O6" s="5" t="s">
        <v>27</v>
      </c>
      <c r="P6" s="6">
        <v>-0.128</v>
      </c>
      <c r="Q6" s="7"/>
      <c r="R6" s="16" t="s">
        <v>28</v>
      </c>
      <c r="S6" s="6">
        <v>-1.2450000000000001</v>
      </c>
      <c r="T6" s="19"/>
    </row>
    <row r="7" spans="2:29" ht="17.100000000000001" customHeight="1">
      <c r="B7" s="94"/>
      <c r="C7" s="119" t="s">
        <v>29</v>
      </c>
      <c r="D7" s="120"/>
      <c r="E7" s="120"/>
      <c r="F7" s="38"/>
      <c r="G7" s="31"/>
      <c r="H7" s="32">
        <f>IF(G7&gt;=160,4,IF(G7&gt;=130,3,IF(G7&gt;=110,2,IF(G7&gt;=70,0,IF(G7&gt;=50,2,IF(G7&gt;=0,4,IF(G7&lt;0,"错误",0)))))))</f>
        <v>4</v>
      </c>
      <c r="I7" s="39" t="s">
        <v>30</v>
      </c>
      <c r="J7" s="40" t="s">
        <v>31</v>
      </c>
      <c r="K7" s="35" t="s">
        <v>32</v>
      </c>
      <c r="L7" s="36" t="s">
        <v>33</v>
      </c>
      <c r="M7" s="37" t="s">
        <v>34</v>
      </c>
      <c r="N7" s="33"/>
      <c r="O7" s="5" t="s">
        <v>35</v>
      </c>
      <c r="P7" s="6">
        <v>0</v>
      </c>
      <c r="Q7" s="7"/>
      <c r="R7" s="16" t="s">
        <v>36</v>
      </c>
      <c r="S7" s="6">
        <v>-1.204</v>
      </c>
    </row>
    <row r="8" spans="2:29" ht="17.100000000000001" customHeight="1">
      <c r="B8" s="94"/>
      <c r="C8" s="121" t="s">
        <v>37</v>
      </c>
      <c r="D8" s="122"/>
      <c r="E8" s="122"/>
      <c r="F8" s="22"/>
      <c r="G8" s="31"/>
      <c r="H8" s="32">
        <f>IF(G8&gt;=180,4,IF(G8&gt;=140,3,IF(G8&gt;=110,2,IF(G8&gt;=70,0,IF(G8&gt;=55,2,IF(G8&gt;=40,3,IF(G8&gt;=0,4,IF(G8&lt;0,"错误",0))))))))</f>
        <v>4</v>
      </c>
      <c r="I8" s="39" t="s">
        <v>30</v>
      </c>
      <c r="J8" s="34" t="s">
        <v>38</v>
      </c>
      <c r="K8" s="35" t="s">
        <v>39</v>
      </c>
      <c r="L8" s="36" t="s">
        <v>40</v>
      </c>
      <c r="M8" s="37" t="s">
        <v>41</v>
      </c>
      <c r="N8" s="33"/>
      <c r="O8" s="41" t="s">
        <v>42</v>
      </c>
      <c r="P8" s="42">
        <v>0.113</v>
      </c>
      <c r="Q8" s="7"/>
      <c r="R8" s="16" t="s">
        <v>43</v>
      </c>
      <c r="S8" s="6">
        <v>-1.042</v>
      </c>
      <c r="U8" s="43"/>
    </row>
    <row r="9" spans="2:29" ht="17.100000000000001" customHeight="1">
      <c r="B9" s="94"/>
      <c r="C9" s="119" t="s">
        <v>44</v>
      </c>
      <c r="D9" s="120"/>
      <c r="E9" s="120"/>
      <c r="F9" s="30"/>
      <c r="G9" s="31"/>
      <c r="H9" s="32">
        <f>IF(G9&gt;=50,4,IF(G9&gt;=35,3,IF(G9&gt;=25,1,IF(G9&gt;=12,0,IF(G9&gt;=10,1,IF(G9&gt;=6,2,IF(G9&gt;=0,4,IF(G9&lt;0,"错误",0))))))))</f>
        <v>4</v>
      </c>
      <c r="I9" s="4"/>
      <c r="J9" s="44" t="s">
        <v>45</v>
      </c>
      <c r="K9" s="45"/>
      <c r="L9" s="36" t="s">
        <v>46</v>
      </c>
      <c r="M9" s="37" t="s">
        <v>47</v>
      </c>
      <c r="N9" s="33"/>
      <c r="O9" s="5" t="s">
        <v>48</v>
      </c>
      <c r="P9" s="6">
        <v>-1.798</v>
      </c>
      <c r="Q9" s="7"/>
      <c r="R9" s="16" t="s">
        <v>49</v>
      </c>
      <c r="S9" s="6">
        <v>-0.95499999999999996</v>
      </c>
      <c r="U9" s="43"/>
    </row>
    <row r="10" spans="2:29" ht="17.100000000000001" customHeight="1">
      <c r="B10" s="94"/>
      <c r="C10" s="121" t="s">
        <v>50</v>
      </c>
      <c r="D10" s="122"/>
      <c r="E10" s="122"/>
      <c r="F10" s="22"/>
      <c r="G10" s="31"/>
      <c r="H10" s="32">
        <f>IF(G10&gt;=60,4,IF(G10&gt;=50,2,IF(G10&gt;=46,1,IF(G10&gt;=30,0,IF(G10&gt;=20,2,IF(G10&gt;=0,4,IF(G10&lt;0,"错误",0)))))))</f>
        <v>4</v>
      </c>
      <c r="I10" s="25"/>
      <c r="J10" s="46"/>
      <c r="K10" s="47"/>
      <c r="L10" s="48"/>
      <c r="M10" s="49" t="s">
        <v>51</v>
      </c>
      <c r="N10" s="25"/>
      <c r="O10" s="5" t="s">
        <v>52</v>
      </c>
      <c r="P10" s="6">
        <v>-1.3680000000000001</v>
      </c>
      <c r="Q10" s="7"/>
      <c r="R10" s="16" t="s">
        <v>53</v>
      </c>
      <c r="S10" s="6">
        <v>-0.80200000000000005</v>
      </c>
      <c r="Z10" s="19"/>
    </row>
    <row r="11" spans="2:29" s="1" customFormat="1" ht="17.100000000000001" customHeight="1">
      <c r="B11" s="94"/>
      <c r="C11" s="119" t="s">
        <v>54</v>
      </c>
      <c r="D11" s="120"/>
      <c r="E11" s="120"/>
      <c r="F11" s="30"/>
      <c r="G11" s="31"/>
      <c r="H11" s="32">
        <f>IF(G11&gt;=40,4,IF(G11&gt;=20,2,IF(G11&gt;=15,1,IF(G11&gt;=3,0,IF(G11&gt;=1,2,IF(G11&gt;=0,4,IF(G11&lt;0,"错误",0)))))))</f>
        <v>4</v>
      </c>
      <c r="I11" s="25"/>
      <c r="J11" s="46"/>
      <c r="K11" s="46"/>
      <c r="L11" s="46"/>
      <c r="M11" s="50"/>
      <c r="N11" s="25"/>
      <c r="O11" s="5" t="s">
        <v>55</v>
      </c>
      <c r="P11" s="6">
        <v>-0.42399999999999999</v>
      </c>
      <c r="Q11" s="7"/>
      <c r="R11" s="16" t="s">
        <v>56</v>
      </c>
      <c r="S11" s="6">
        <v>-0.78800000000000003</v>
      </c>
    </row>
    <row r="12" spans="2:29" s="1" customFormat="1" ht="17.100000000000001" customHeight="1">
      <c r="B12" s="94"/>
      <c r="C12" s="121" t="s">
        <v>57</v>
      </c>
      <c r="D12" s="122"/>
      <c r="E12" s="122"/>
      <c r="F12" s="51">
        <f>COUNT(G12:G13)</f>
        <v>0</v>
      </c>
      <c r="G12" s="31"/>
      <c r="H12" s="32">
        <f>IF(G12&gt;70,0,IF(G12&gt;=61,1,IF(G12&gt;=55,3,IF(G12&gt;0,4,IF(G12&lt;0,"错误",0)))))</f>
        <v>0</v>
      </c>
      <c r="I12" s="25"/>
      <c r="J12" s="52" t="s">
        <v>58</v>
      </c>
      <c r="K12" s="53" t="s">
        <v>59</v>
      </c>
      <c r="L12" s="54" t="s">
        <v>60</v>
      </c>
      <c r="M12" s="46"/>
      <c r="N12" s="25"/>
      <c r="O12" s="5" t="s">
        <v>61</v>
      </c>
      <c r="P12" s="6">
        <v>0.49299999999999999</v>
      </c>
      <c r="Q12" s="7"/>
      <c r="R12" s="55"/>
      <c r="S12" s="56"/>
    </row>
    <row r="13" spans="2:29" ht="17.100000000000001" customHeight="1">
      <c r="B13" s="94"/>
      <c r="C13" s="119" t="s">
        <v>62</v>
      </c>
      <c r="D13" s="120"/>
      <c r="E13" s="120"/>
      <c r="F13" s="30" t="str">
        <f>IF(F12=0,"错误",IF(F12=2,"错误",""))</f>
        <v>错误</v>
      </c>
      <c r="G13" s="31"/>
      <c r="H13" s="32">
        <f>IF(G13&gt;=500,4,IF(G13&gt;=350,3,IF(G13&gt;=200,2,IF(G13&lt;0,"错误",0))))</f>
        <v>0</v>
      </c>
      <c r="I13" s="25"/>
      <c r="J13" s="46"/>
      <c r="K13" s="46"/>
      <c r="L13" s="46"/>
      <c r="M13" s="46"/>
      <c r="N13" s="25"/>
      <c r="O13" s="5" t="s">
        <v>63</v>
      </c>
      <c r="P13" s="6">
        <v>-0.191</v>
      </c>
      <c r="Q13" s="7"/>
      <c r="R13" s="16" t="s">
        <v>64</v>
      </c>
      <c r="S13" s="6">
        <v>-0.69899999999999995</v>
      </c>
      <c r="W13" s="4"/>
      <c r="X13" s="4"/>
      <c r="Y13" s="4"/>
      <c r="Z13" s="4"/>
      <c r="AA13" s="4"/>
      <c r="AB13" s="4"/>
      <c r="AC13" s="4"/>
    </row>
    <row r="14" spans="2:29" s="1" customFormat="1" ht="17.100000000000001" customHeight="1">
      <c r="B14" s="94"/>
      <c r="C14" s="121" t="s">
        <v>65</v>
      </c>
      <c r="D14" s="122"/>
      <c r="E14" s="122"/>
      <c r="F14" s="51">
        <f>COUNT(G14:G15)</f>
        <v>0</v>
      </c>
      <c r="G14" s="31"/>
      <c r="H14" s="32">
        <f>IF(G14&gt;=7.7,4,IF(G14&gt;=7.6,3,IF(G14&gt;=7.5,1,IF(G14&gt;=7.33,0,IF(G14&gt;=7.25,2,IF(G14&gt;=7.15,3,IF(G14&gt;0,4,IF(G14&lt;0,"错误",0))))))))</f>
        <v>0</v>
      </c>
      <c r="I14" s="25"/>
      <c r="J14" s="46"/>
      <c r="K14" s="57"/>
      <c r="L14" s="46"/>
      <c r="M14" s="46"/>
      <c r="N14" s="25"/>
      <c r="O14" s="41" t="s">
        <v>66</v>
      </c>
      <c r="P14" s="42">
        <v>0.89100000000000001</v>
      </c>
      <c r="Q14" s="7"/>
      <c r="R14" s="16" t="s">
        <v>67</v>
      </c>
      <c r="S14" s="6">
        <v>-0.68200000000000005</v>
      </c>
    </row>
    <row r="15" spans="2:29" s="1" customFormat="1" ht="17.100000000000001" customHeight="1">
      <c r="B15" s="94"/>
      <c r="C15" s="119" t="s">
        <v>68</v>
      </c>
      <c r="D15" s="120"/>
      <c r="E15" s="120"/>
      <c r="F15" s="30" t="str">
        <f>IF(F14=0,"错误",IF(F14=2,"错误",""))</f>
        <v>错误</v>
      </c>
      <c r="G15" s="31"/>
      <c r="H15" s="32">
        <f>IF(G15&gt;=52,4,IF(G15&gt;=41,3,IF(G15&gt;=32,1,IF(G15&gt;=22,0,IF(G15&gt;=18,2,IF(G15&gt;=15,3,IF(G15&gt;0,4,IF(G15&lt;0,"错误",0))))))))</f>
        <v>0</v>
      </c>
      <c r="J15" s="46"/>
      <c r="K15" s="58" t="s">
        <v>69</v>
      </c>
      <c r="L15" s="46"/>
      <c r="M15" s="46"/>
      <c r="N15" s="25"/>
      <c r="O15" s="5" t="s">
        <v>70</v>
      </c>
      <c r="P15" s="6">
        <v>0.39300000000000002</v>
      </c>
      <c r="Q15" s="7"/>
      <c r="R15" s="16" t="s">
        <v>71</v>
      </c>
      <c r="S15" s="6">
        <v>-0.61699999999999999</v>
      </c>
    </row>
    <row r="16" spans="2:29" s="1" customFormat="1" ht="17.100000000000001" customHeight="1">
      <c r="B16" s="94"/>
      <c r="C16" s="121" t="s">
        <v>72</v>
      </c>
      <c r="D16" s="122"/>
      <c r="E16" s="122"/>
      <c r="F16" s="22"/>
      <c r="G16" s="31"/>
      <c r="H16" s="32">
        <f>IF(G16&gt;=180,4,IF(G16&gt;=160,3,IF(G16&gt;=155,2,IF(G16&gt;=150,1,IF(G16&gt;=130,0,IF(G16&gt;=120,2,IF(G16&gt;=111,3,IF(G16&gt;=0,4,IF(G16&lt;0,"错误",0)))))))))</f>
        <v>4</v>
      </c>
      <c r="I16" s="25"/>
      <c r="J16" s="46"/>
      <c r="K16" s="58" t="s">
        <v>73</v>
      </c>
      <c r="L16" s="46"/>
      <c r="M16" s="46"/>
      <c r="N16" s="25"/>
      <c r="O16" s="5" t="s">
        <v>74</v>
      </c>
      <c r="P16" s="6">
        <v>-0.25900000000000001</v>
      </c>
      <c r="Q16" s="7"/>
      <c r="R16" s="16" t="s">
        <v>75</v>
      </c>
      <c r="S16" s="6">
        <v>-0.248</v>
      </c>
    </row>
    <row r="17" spans="2:25" s="1" customFormat="1" ht="17.100000000000001" customHeight="1">
      <c r="B17" s="94"/>
      <c r="C17" s="119" t="s">
        <v>76</v>
      </c>
      <c r="D17" s="120"/>
      <c r="E17" s="120"/>
      <c r="F17" s="59">
        <f>COUNT(G5:G18)</f>
        <v>0</v>
      </c>
      <c r="G17" s="31"/>
      <c r="H17" s="32">
        <f>IF(G17&gt;=7,4,IF(G17&gt;=6,3,IF(G17&gt;=5.5,1,IF(G17&gt;=3.5,0,IF(G17&gt;=3,1,IF(G17&gt;=2.5,2,IF(G17&gt;=0,4,IF(G17&lt;0,"错误",0))))))))</f>
        <v>4</v>
      </c>
      <c r="I17" s="60"/>
      <c r="J17" s="46"/>
      <c r="K17" s="58" t="s">
        <v>77</v>
      </c>
      <c r="L17" s="46"/>
      <c r="M17" s="46"/>
      <c r="N17" s="25"/>
      <c r="O17" s="5" t="s">
        <v>78</v>
      </c>
      <c r="P17" s="6">
        <v>0.73099999999999998</v>
      </c>
      <c r="Q17" s="7"/>
      <c r="R17" s="16" t="s">
        <v>79</v>
      </c>
      <c r="S17" s="6">
        <v>-0.14000000000000001</v>
      </c>
      <c r="Y17" s="19"/>
    </row>
    <row r="18" spans="2:25" s="1" customFormat="1" ht="17.100000000000001" customHeight="1">
      <c r="B18" s="94"/>
      <c r="C18" s="121" t="s">
        <v>80</v>
      </c>
      <c r="D18" s="122"/>
      <c r="E18" s="122"/>
      <c r="F18" s="22" t="str">
        <f>IF(F17&lt;12,"错误","")</f>
        <v>错误</v>
      </c>
      <c r="G18" s="31"/>
      <c r="H18" s="32">
        <f>IF(G18&gt;=309.4,4,IF(G18&gt;=176.8,3,IF(G18&gt;=132.6,2,IF(G18&gt;=53.04,0,IF(G18&gt;=0,2,IF(G18&lt;0,"错误",0))))))</f>
        <v>2</v>
      </c>
      <c r="I18" s="25"/>
      <c r="J18" s="46"/>
      <c r="K18" s="58" t="s">
        <v>81</v>
      </c>
      <c r="L18" s="46"/>
      <c r="M18" s="46"/>
      <c r="N18" s="25"/>
      <c r="O18" s="61"/>
      <c r="P18" s="62"/>
      <c r="Q18" s="7"/>
      <c r="R18" s="16" t="s">
        <v>82</v>
      </c>
      <c r="S18" s="6">
        <v>0.06</v>
      </c>
    </row>
    <row r="19" spans="2:25" s="1" customFormat="1" ht="17.100000000000001" customHeight="1">
      <c r="B19" s="94"/>
      <c r="C19" s="117" t="s">
        <v>83</v>
      </c>
      <c r="D19" s="118"/>
      <c r="E19" s="118"/>
      <c r="F19" s="63" t="str">
        <f>IF(OR(G19="",G20="",G21="",G22="",G23=""),"以下选择","")</f>
        <v>以下选择</v>
      </c>
      <c r="G19" s="31"/>
      <c r="H19" s="32">
        <f>IF(G19="是",H18,0)</f>
        <v>0</v>
      </c>
      <c r="I19" s="25"/>
      <c r="J19" s="46"/>
      <c r="K19" s="58" t="s">
        <v>84</v>
      </c>
      <c r="L19" s="46"/>
      <c r="M19" s="46"/>
      <c r="N19" s="25"/>
      <c r="O19" s="5" t="s">
        <v>2</v>
      </c>
      <c r="P19" s="6">
        <v>-1.228</v>
      </c>
      <c r="Q19" s="7"/>
      <c r="R19" s="16" t="s">
        <v>85</v>
      </c>
      <c r="S19" s="6">
        <v>-1.1499999999999999</v>
      </c>
    </row>
    <row r="20" spans="2:25" ht="17.100000000000001" customHeight="1">
      <c r="B20" s="64" t="s">
        <v>86</v>
      </c>
      <c r="C20" s="119" t="s">
        <v>87</v>
      </c>
      <c r="D20" s="120"/>
      <c r="E20" s="120"/>
      <c r="F20" s="30"/>
      <c r="G20" s="31"/>
      <c r="H20" s="32">
        <f>IF(G20="有，不能手术",5,IF(G20="有，急诊手术后",5,IF(G20="有，无须手术",2,IF(G20="有，择期手术后",2,0))))</f>
        <v>0</v>
      </c>
      <c r="I20" s="65"/>
      <c r="J20" s="66"/>
      <c r="K20" s="58" t="s">
        <v>88</v>
      </c>
      <c r="L20" s="46"/>
      <c r="M20" s="66"/>
      <c r="N20" s="25"/>
      <c r="O20" s="5" t="s">
        <v>89</v>
      </c>
      <c r="P20" s="6">
        <v>-0.51700000000000002</v>
      </c>
      <c r="Q20" s="7"/>
      <c r="R20" s="16" t="s">
        <v>90</v>
      </c>
      <c r="S20" s="6">
        <v>-0.79700000000000004</v>
      </c>
    </row>
    <row r="21" spans="2:25" ht="17.100000000000001" customHeight="1">
      <c r="B21" s="94" t="s">
        <v>91</v>
      </c>
      <c r="C21" s="121" t="s">
        <v>92</v>
      </c>
      <c r="D21" s="122"/>
      <c r="E21" s="122"/>
      <c r="F21" s="22"/>
      <c r="G21" s="31"/>
      <c r="H21" s="32">
        <f>IF(G21="自动睁眼",4,IF(G21="呼唤睁眼",3,IF(G21="刺疼睁眼",2,1)))</f>
        <v>1</v>
      </c>
      <c r="I21" s="4"/>
      <c r="J21" s="67"/>
      <c r="K21" s="58" t="s">
        <v>93</v>
      </c>
      <c r="L21" s="46"/>
      <c r="M21" s="66"/>
      <c r="N21" s="25"/>
      <c r="O21" s="5" t="s">
        <v>94</v>
      </c>
      <c r="P21" s="6">
        <v>-0.58399999999999996</v>
      </c>
      <c r="Q21" s="7"/>
      <c r="R21" s="16" t="s">
        <v>95</v>
      </c>
      <c r="S21" s="6">
        <v>-0.61</v>
      </c>
    </row>
    <row r="22" spans="2:25" s="1" customFormat="1" ht="17.100000000000001" customHeight="1">
      <c r="B22" s="94"/>
      <c r="C22" s="119" t="s">
        <v>96</v>
      </c>
      <c r="D22" s="120"/>
      <c r="E22" s="120"/>
      <c r="F22" s="30"/>
      <c r="G22" s="31"/>
      <c r="H22" s="32">
        <f>IF(G22="回答切题",5,IF(G22="回答不切题",4,IF(G22="答非所问",3,IF(G22="只能发音",2,1))))</f>
        <v>1</v>
      </c>
      <c r="I22" s="25"/>
      <c r="J22" s="25"/>
      <c r="K22" s="68"/>
      <c r="L22" s="25"/>
      <c r="M22" s="25"/>
      <c r="N22" s="25"/>
      <c r="O22" s="5" t="s">
        <v>97</v>
      </c>
      <c r="P22" s="6">
        <v>0.72299999999999998</v>
      </c>
      <c r="Q22" s="7"/>
      <c r="R22" s="16" t="s">
        <v>98</v>
      </c>
      <c r="S22" s="6">
        <v>-0.61299999999999999</v>
      </c>
    </row>
    <row r="23" spans="2:25" ht="17.100000000000001" customHeight="1" thickBot="1">
      <c r="B23" s="95"/>
      <c r="C23" s="109" t="s">
        <v>99</v>
      </c>
      <c r="D23" s="110"/>
      <c r="E23" s="110"/>
      <c r="F23" s="69"/>
      <c r="G23" s="70"/>
      <c r="H23" s="71">
        <f>IF(G23="按吩咐动作",6,IF(G23="刺疼能定位",5,IF(G23="刺疼能躲避",4,IF(G23="刺疼肢体屈曲",3,IF(G23="刺疼肢体伸展",2,1)))))</f>
        <v>1</v>
      </c>
      <c r="I23" s="25"/>
      <c r="J23" s="25"/>
      <c r="K23" s="4"/>
      <c r="L23" s="25"/>
      <c r="M23" s="25"/>
      <c r="N23" s="25"/>
      <c r="O23" s="5" t="s">
        <v>100</v>
      </c>
      <c r="P23" s="6">
        <v>-3.3530000000000002</v>
      </c>
      <c r="Q23" s="7"/>
      <c r="R23" s="72" t="s">
        <v>101</v>
      </c>
      <c r="S23" s="73">
        <v>-0.19600000000000001</v>
      </c>
    </row>
    <row r="24" spans="2:25" ht="17.100000000000001" customHeight="1">
      <c r="B24" s="96" t="s">
        <v>102</v>
      </c>
      <c r="C24" s="115" t="s">
        <v>103</v>
      </c>
      <c r="D24" s="116"/>
      <c r="E24" s="116"/>
      <c r="F24" s="90"/>
      <c r="G24" s="74"/>
      <c r="H24" s="75">
        <f>IF(G24=O1,P1,IF(G24=O2,P2,IF(G24=O3,P3,IF(G24=O4,P4,IF(G24=O5,P5,IF(G24=O6,P6,IF(G24=O8,P8,IF(G24=O9,P9,IF(G24=O10,P10,IF(G24=O11,P11,IF(G24=O12,P12,IF(G24=O13,P13,IF(G24=O14,P14,IF(G24=O15,P15,IF(G24=O16,P16,IF(G24=O17,P17,IF(G24=O19,P19,IF(G24=O20,P20,IF(G24=O21,P21,IF(G24=O22,P22,IF(G24=O23,P23,IF(G24=O24,P24,IF(G24=O25,P25,IF(G24=O26,P26,IF(G24=O27,P27,IF(G24=O28,P28,IF(G24=O29,P29,IF(G24=O18,0,0))))))))))))))))))))))))))))</f>
        <v>0</v>
      </c>
      <c r="K24" s="4"/>
      <c r="O24" s="5" t="s">
        <v>104</v>
      </c>
      <c r="P24" s="6">
        <v>-1.5069999999999999</v>
      </c>
      <c r="Q24" s="7"/>
      <c r="R24" s="7"/>
    </row>
    <row r="25" spans="2:25" ht="17.100000000000001" customHeight="1">
      <c r="B25" s="97"/>
      <c r="C25" s="107" t="s">
        <v>105</v>
      </c>
      <c r="D25" s="108"/>
      <c r="E25" s="108"/>
      <c r="F25" s="38" t="str">
        <f>IF(AND(G24&gt;0,G25&gt;0),"错误",IF(AND(G24=0,G25=0),"错误",""))</f>
        <v>错误</v>
      </c>
      <c r="G25" s="74"/>
      <c r="H25" s="32">
        <f>IF(G25=R2,S2,IF(G25=R3,S3,IF(G25=R4,S4,IF(G25=R5,S5,IF(G25=R6,S6,IF(G25=R7,S7,IF(G25=R8,S8,IF(G25=R9,S9,IF(G25=R10,S10,IF(G25=R11,S11,IF(G25=R13,S13,IF(G25=R14,S14,IF(G25=R15,S15,IF(G25=R16,S16,IF(G25=R17,S17,IF(G25=R18,S18,IF(G25=R19,S19,IF(G25=R20,S20,IF(G25=R21,S21,IF(G25=R22,S22,IF(G25=R23,S23,0)))))))))))))))))))))</f>
        <v>0</v>
      </c>
      <c r="I25" s="4"/>
      <c r="K25" s="4"/>
      <c r="O25" s="5" t="s">
        <v>106</v>
      </c>
      <c r="P25" s="6">
        <v>0.33400000000000002</v>
      </c>
      <c r="Q25" s="7"/>
      <c r="R25" s="9"/>
    </row>
    <row r="26" spans="2:25" ht="17.100000000000001" customHeight="1">
      <c r="B26" s="98"/>
      <c r="C26" s="109" t="s">
        <v>107</v>
      </c>
      <c r="D26" s="110"/>
      <c r="E26" s="110"/>
      <c r="F26" s="69" t="str">
        <f>IF(AND(G24&gt;0,G26="是"),"错误","")</f>
        <v/>
      </c>
      <c r="G26" s="76"/>
      <c r="H26" s="77">
        <f>IF(G26="是",0.603,0)</f>
        <v>0</v>
      </c>
      <c r="K26" s="4"/>
      <c r="O26" s="5" t="s">
        <v>108</v>
      </c>
      <c r="P26" s="6">
        <v>-0.88500000000000001</v>
      </c>
      <c r="Q26" s="7"/>
      <c r="R26" s="78"/>
    </row>
    <row r="27" spans="2:25" ht="24" customHeight="1">
      <c r="B27" s="111" t="s">
        <v>109</v>
      </c>
      <c r="C27" s="112"/>
      <c r="D27" s="79">
        <f>SUM(H5:H20)+15-H21-H22-H23</f>
        <v>46</v>
      </c>
      <c r="E27" s="113" t="s">
        <v>110</v>
      </c>
      <c r="F27" s="114"/>
      <c r="G27" s="80">
        <f>EXP(D28)/(1+EXP(D28))*100</f>
        <v>96.079662808741546</v>
      </c>
      <c r="H27" s="81" t="s">
        <v>111</v>
      </c>
      <c r="O27" s="5" t="s">
        <v>95</v>
      </c>
      <c r="P27" s="6">
        <v>-0.89</v>
      </c>
      <c r="Q27" s="7"/>
      <c r="R27" s="7"/>
    </row>
    <row r="28" spans="2:25" ht="8.1" customHeight="1">
      <c r="B28" s="100" t="s">
        <v>112</v>
      </c>
      <c r="C28" s="100"/>
      <c r="D28" s="82">
        <f>D27*0.146+G28</f>
        <v>3.1989999999999994</v>
      </c>
      <c r="E28" s="101"/>
      <c r="F28" s="102"/>
      <c r="G28" s="83">
        <f>H24+H25+H26+H28</f>
        <v>-3.5169999999999999</v>
      </c>
      <c r="H28" s="83">
        <v>-3.5169999999999999</v>
      </c>
      <c r="O28" s="5" t="s">
        <v>85</v>
      </c>
      <c r="P28" s="6">
        <v>-0.75900000000000001</v>
      </c>
      <c r="Q28" s="7"/>
      <c r="R28" s="7"/>
    </row>
    <row r="29" spans="2:25" ht="21.95" customHeight="1">
      <c r="B29" s="103"/>
      <c r="C29" s="103"/>
      <c r="D29" s="84" t="s">
        <v>113</v>
      </c>
      <c r="E29" s="104"/>
      <c r="F29" s="105"/>
      <c r="G29" s="84" t="s">
        <v>114</v>
      </c>
      <c r="H29" s="85"/>
      <c r="O29" s="5" t="s">
        <v>90</v>
      </c>
      <c r="P29" s="6">
        <v>0.47</v>
      </c>
      <c r="Q29" s="7"/>
      <c r="R29" s="7"/>
    </row>
    <row r="30" spans="2:25">
      <c r="B30" s="106" t="s">
        <v>124</v>
      </c>
      <c r="C30" s="106"/>
      <c r="D30" s="106"/>
      <c r="E30" s="106"/>
      <c r="F30" s="106"/>
      <c r="G30" s="106"/>
      <c r="H30" s="106"/>
      <c r="I30" s="106"/>
      <c r="O30" s="86" t="s">
        <v>115</v>
      </c>
      <c r="P30" s="87">
        <v>-0.501</v>
      </c>
    </row>
    <row r="31" spans="2:25">
      <c r="B31" s="93" t="s">
        <v>116</v>
      </c>
      <c r="C31" s="93"/>
      <c r="D31" s="93"/>
      <c r="E31" s="93"/>
      <c r="F31" s="93"/>
      <c r="G31" s="93"/>
      <c r="H31" s="93"/>
      <c r="I31" s="93"/>
    </row>
    <row r="32" spans="2:25">
      <c r="B32" s="93" t="s">
        <v>117</v>
      </c>
      <c r="C32" s="93"/>
      <c r="D32" s="93"/>
      <c r="E32" s="93"/>
      <c r="F32" s="93"/>
      <c r="G32" s="93"/>
      <c r="H32" s="93"/>
      <c r="I32" s="93"/>
    </row>
    <row r="33" spans="2:9">
      <c r="B33" s="99" t="s">
        <v>118</v>
      </c>
      <c r="C33" s="99"/>
      <c r="D33" s="99"/>
      <c r="E33" s="99"/>
      <c r="F33" s="99"/>
      <c r="G33" s="99"/>
      <c r="H33" s="99"/>
      <c r="I33" s="99"/>
    </row>
    <row r="34" spans="2:9">
      <c r="B34" s="93" t="s">
        <v>119</v>
      </c>
      <c r="C34" s="93"/>
      <c r="D34" s="93"/>
      <c r="E34" s="93"/>
      <c r="F34" s="93"/>
      <c r="G34" s="93"/>
      <c r="H34" s="93"/>
      <c r="I34" s="93"/>
    </row>
    <row r="35" spans="2:9" ht="60.95" customHeight="1">
      <c r="B35" s="99" t="s">
        <v>120</v>
      </c>
      <c r="C35" s="99"/>
      <c r="D35" s="99"/>
      <c r="E35" s="99"/>
      <c r="F35" s="99"/>
      <c r="G35" s="99"/>
      <c r="H35" s="99"/>
      <c r="I35" s="99"/>
    </row>
    <row r="36" spans="2:9" ht="27" customHeight="1">
      <c r="B36" s="93" t="s">
        <v>121</v>
      </c>
      <c r="C36" s="93"/>
      <c r="D36" s="93"/>
      <c r="E36" s="93"/>
      <c r="F36" s="93"/>
      <c r="G36" s="93"/>
      <c r="H36" s="93"/>
      <c r="I36" s="93"/>
    </row>
  </sheetData>
  <sheetProtection password="CCB8" sheet="1" objects="1" scenarios="1"/>
  <mergeCells count="41">
    <mergeCell ref="B4:F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5:E25"/>
    <mergeCell ref="C26:E26"/>
    <mergeCell ref="B27:C27"/>
    <mergeCell ref="E27:F27"/>
    <mergeCell ref="C24:E24"/>
    <mergeCell ref="E1:H2"/>
    <mergeCell ref="B1:D2"/>
    <mergeCell ref="B36:I36"/>
    <mergeCell ref="B6:B19"/>
    <mergeCell ref="B21:B23"/>
    <mergeCell ref="B24:B26"/>
    <mergeCell ref="B31:I31"/>
    <mergeCell ref="B32:I32"/>
    <mergeCell ref="B33:I33"/>
    <mergeCell ref="B34:I34"/>
    <mergeCell ref="B35:I35"/>
    <mergeCell ref="B28:C28"/>
    <mergeCell ref="E28:F28"/>
    <mergeCell ref="B29:C29"/>
    <mergeCell ref="E29:F29"/>
    <mergeCell ref="B30:I30"/>
  </mergeCells>
  <phoneticPr fontId="14" type="noConversion"/>
  <dataValidations count="9">
    <dataValidation allowBlank="1" showInputMessage="1" showErrorMessage="1" sqref="I5 J12 I16 R25 D27 G6:G18 I10:I14 I18:I20 I22:I23"/>
    <dataValidation type="list" allowBlank="1" showInputMessage="1" showErrorMessage="1" sqref="G19 G26">
      <formula1>$J$12:$L$12</formula1>
    </dataValidation>
    <dataValidation type="list" allowBlank="1" showInputMessage="1" showErrorMessage="1" sqref="G20">
      <formula1>$J$5:$J$9</formula1>
    </dataValidation>
    <dataValidation type="list" allowBlank="1" showInputMessage="1" showErrorMessage="1" sqref="G21">
      <formula1>$K$5:$K$8</formula1>
    </dataValidation>
    <dataValidation type="list" allowBlank="1" showInputMessage="1" showErrorMessage="1" sqref="G22">
      <formula1>$L$5:$L$9</formula1>
    </dataValidation>
    <dataValidation type="list" allowBlank="1" showInputMessage="1" showErrorMessage="1" sqref="G23">
      <formula1>$M$5:$M$10</formula1>
    </dataValidation>
    <dataValidation type="list" allowBlank="1" showInputMessage="1" showErrorMessage="1" sqref="G24 D25">
      <formula1>$O$1:$O$29</formula1>
    </dataValidation>
    <dataValidation type="list" allowBlank="1" showInputMessage="1" showErrorMessage="1" sqref="G25 D26">
      <formula1>$R$2:$R$23</formula1>
    </dataValidation>
    <dataValidation type="list" allowBlank="1" showInputMessage="1" showErrorMessage="1" sqref="H29">
      <formula1>"戴辉水,吕嵩,吕明生,姬楚睿,吴德清,陈玉文"</formula1>
    </dataValidation>
  </dataValidations>
  <pageMargins left="0.75" right="0.75" top="1" bottom="1" header="0.50972222222222197" footer="0.50972222222222197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备份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cp:revision>1</cp:revision>
  <cp:lastPrinted>2019-03-02T11:10:11Z</cp:lastPrinted>
  <dcterms:created xsi:type="dcterms:W3CDTF">2012-06-06T01:30:00Z</dcterms:created>
  <dcterms:modified xsi:type="dcterms:W3CDTF">2019-03-02T11:37:17Z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