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" yWindow="192" windowWidth="19020" windowHeight="8136" activeTab="5"/>
  </bookViews>
  <sheets>
    <sheet name="Highest .Correl" sheetId="6" r:id="rId1"/>
    <sheet name="MATRIX" sheetId="10" r:id="rId2"/>
    <sheet name="RAW.Data" sheetId="13" r:id="rId3"/>
    <sheet name="DATA" sheetId="12" r:id="rId4"/>
    <sheet name="Sigma.t" sheetId="14" r:id="rId5"/>
    <sheet name="Sheet2" sheetId="15" r:id="rId6"/>
    <sheet name="Sheet3" sheetId="16" r:id="rId7"/>
  </sheets>
  <externalReferences>
    <externalReference r:id="rId8"/>
  </externalReferences>
  <calcPr calcId="125725"/>
</workbook>
</file>

<file path=xl/calcChain.xml><?xml version="1.0" encoding="utf-8"?>
<calcChain xmlns="http://schemas.openxmlformats.org/spreadsheetml/2006/main">
  <c r="O11" i="15"/>
  <c r="S8" s="1"/>
  <c r="L8"/>
  <c r="L11"/>
  <c r="L12"/>
  <c r="L13"/>
  <c r="L14"/>
  <c r="L15"/>
  <c r="L16"/>
  <c r="L17"/>
  <c r="L18"/>
  <c r="L19"/>
  <c r="L20"/>
  <c r="L21"/>
  <c r="L10"/>
  <c r="K11"/>
  <c r="K12"/>
  <c r="K13"/>
  <c r="K14"/>
  <c r="K15"/>
  <c r="K16"/>
  <c r="K17"/>
  <c r="K18"/>
  <c r="K19"/>
  <c r="K20"/>
  <c r="K21"/>
  <c r="K10"/>
  <c r="M2" a="1"/>
  <c r="O2" s="1"/>
  <c r="P2"/>
  <c r="O3"/>
  <c r="N4"/>
  <c r="M5"/>
  <c r="Q5"/>
  <c r="P6"/>
  <c r="I11"/>
  <c r="I12"/>
  <c r="I13"/>
  <c r="I14"/>
  <c r="I15"/>
  <c r="I16"/>
  <c r="I17"/>
  <c r="I18"/>
  <c r="I19"/>
  <c r="I20"/>
  <c r="I21"/>
  <c r="I10"/>
  <c r="H11"/>
  <c r="H12"/>
  <c r="H13"/>
  <c r="H14"/>
  <c r="H15"/>
  <c r="H16"/>
  <c r="H17"/>
  <c r="H18"/>
  <c r="H19"/>
  <c r="H20"/>
  <c r="H21"/>
  <c r="H10"/>
  <c r="G2" a="1"/>
  <c r="I2" s="1"/>
  <c r="J2"/>
  <c r="I3"/>
  <c r="H4"/>
  <c r="G5"/>
  <c r="K5"/>
  <c r="J6"/>
  <c r="B2" a="1"/>
  <c r="B6" s="1"/>
  <c r="B8" i="10"/>
  <c r="I6"/>
  <c r="B13" i="14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12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C83"/>
  <c r="B83"/>
  <c r="C82"/>
  <c r="B82"/>
  <c r="C81"/>
  <c r="B81"/>
  <c r="C80"/>
  <c r="B80"/>
  <c r="C79"/>
  <c r="B79"/>
  <c r="C78"/>
  <c r="B78"/>
  <c r="C77"/>
  <c r="B77"/>
  <c r="C76"/>
  <c r="B76"/>
  <c r="C75"/>
  <c r="B75"/>
  <c r="C74"/>
  <c r="B74"/>
  <c r="C73"/>
  <c r="B73"/>
  <c r="C72"/>
  <c r="B72"/>
  <c r="C71"/>
  <c r="B71"/>
  <c r="C70"/>
  <c r="B70"/>
  <c r="C69"/>
  <c r="B69"/>
  <c r="C68"/>
  <c r="B68"/>
  <c r="C67"/>
  <c r="B67"/>
  <c r="C66"/>
  <c r="B66"/>
  <c r="C65"/>
  <c r="B65"/>
  <c r="C64"/>
  <c r="B64"/>
  <c r="S9" i="15" l="1"/>
  <c r="T8"/>
  <c r="T9"/>
  <c r="Q6"/>
  <c r="M6"/>
  <c r="N5"/>
  <c r="O4"/>
  <c r="P3"/>
  <c r="Q2"/>
  <c r="M2"/>
  <c r="N6"/>
  <c r="O5"/>
  <c r="P4"/>
  <c r="Q3"/>
  <c r="M3"/>
  <c r="N2"/>
  <c r="O6"/>
  <c r="P5"/>
  <c r="Q4"/>
  <c r="M4"/>
  <c r="N3"/>
  <c r="K6"/>
  <c r="G6"/>
  <c r="H5"/>
  <c r="I4"/>
  <c r="J3"/>
  <c r="K2"/>
  <c r="G2"/>
  <c r="H6"/>
  <c r="I5"/>
  <c r="J4"/>
  <c r="K3"/>
  <c r="G3"/>
  <c r="H2"/>
  <c r="I6"/>
  <c r="J5"/>
  <c r="K4"/>
  <c r="G4"/>
  <c r="H3"/>
  <c r="B3"/>
  <c r="C4"/>
  <c r="D5"/>
  <c r="D2"/>
  <c r="B4"/>
  <c r="C5"/>
  <c r="D6"/>
  <c r="C2"/>
  <c r="D3"/>
  <c r="B5"/>
  <c r="C6"/>
  <c r="B2"/>
  <c r="C3"/>
  <c r="D4"/>
  <c r="C2" i="14" a="1"/>
  <c r="C3" s="1"/>
  <c r="D18" i="15" l="1"/>
  <c r="E18" s="1"/>
  <c r="D14"/>
  <c r="E14" s="1"/>
  <c r="D10"/>
  <c r="D21"/>
  <c r="E21" s="1"/>
  <c r="D17"/>
  <c r="E17" s="1"/>
  <c r="D13"/>
  <c r="E13" s="1"/>
  <c r="D20"/>
  <c r="E20" s="1"/>
  <c r="D16"/>
  <c r="E16" s="1"/>
  <c r="D12"/>
  <c r="E12" s="1"/>
  <c r="D19"/>
  <c r="E19" s="1"/>
  <c r="D15"/>
  <c r="E15" s="1"/>
  <c r="D11"/>
  <c r="E11" s="1"/>
  <c r="D4" i="14"/>
  <c r="C6"/>
  <c r="D2"/>
  <c r="C4"/>
  <c r="D5"/>
  <c r="C2"/>
  <c r="C5"/>
  <c r="D3"/>
  <c r="D6"/>
  <c r="E10" i="15" l="1"/>
  <c r="D7"/>
  <c r="C31" i="14"/>
  <c r="D31" s="1"/>
  <c r="C25"/>
  <c r="D25" s="1"/>
  <c r="C15"/>
  <c r="D15" s="1"/>
  <c r="C23"/>
  <c r="D23" s="1"/>
  <c r="C19"/>
  <c r="D19" s="1"/>
  <c r="C27"/>
  <c r="D27" s="1"/>
  <c r="C16"/>
  <c r="D16" s="1"/>
  <c r="C24"/>
  <c r="D24" s="1"/>
  <c r="C12"/>
  <c r="D12" s="1"/>
  <c r="C20"/>
  <c r="D20" s="1"/>
  <c r="C28"/>
  <c r="D28" s="1"/>
  <c r="C29"/>
  <c r="D29" s="1"/>
  <c r="C14"/>
  <c r="D14" s="1"/>
  <c r="C18"/>
  <c r="D18" s="1"/>
  <c r="C22"/>
  <c r="D22" s="1"/>
  <c r="C26"/>
  <c r="D26" s="1"/>
  <c r="C30"/>
  <c r="D30" s="1"/>
  <c r="C13"/>
  <c r="D13" s="1"/>
  <c r="C17"/>
  <c r="D17" s="1"/>
  <c r="C21"/>
  <c r="D21" s="1"/>
  <c r="O5" i="10"/>
  <c r="P4"/>
  <c r="P5"/>
  <c r="O4"/>
  <c r="N5"/>
  <c r="N4"/>
  <c r="P3"/>
  <c r="O3"/>
  <c r="N3"/>
  <c r="E7"/>
  <c r="F9"/>
  <c r="F12"/>
  <c r="F13"/>
  <c r="F14"/>
  <c r="F15"/>
  <c r="F16"/>
  <c r="F17"/>
  <c r="F18"/>
  <c r="F19"/>
  <c r="F20"/>
  <c r="F21"/>
  <c r="F22"/>
  <c r="F11"/>
  <c r="E9"/>
  <c r="AF12"/>
  <c r="AK25" a="1"/>
  <c r="AK27" s="1"/>
  <c r="AF25" a="1"/>
  <c r="AG25" s="1"/>
  <c r="AD25" a="1"/>
  <c r="AD26" s="1"/>
  <c r="Z25" a="1"/>
  <c r="AA25" s="1"/>
  <c r="B2" a="1"/>
  <c r="B6" s="1"/>
  <c r="I5" i="6"/>
  <c r="B2" a="1"/>
  <c r="D5" s="1"/>
  <c r="B2" i="12" a="1"/>
  <c r="D2" s="1"/>
  <c r="J18" i="13"/>
  <c r="I18"/>
  <c r="J17"/>
  <c r="I17"/>
  <c r="J16"/>
  <c r="I16"/>
  <c r="J15"/>
  <c r="I15"/>
  <c r="J14"/>
  <c r="I14"/>
  <c r="J13"/>
  <c r="I13"/>
  <c r="J12"/>
  <c r="I12"/>
  <c r="J11"/>
  <c r="I11"/>
  <c r="J10"/>
  <c r="I10"/>
  <c r="J9"/>
  <c r="I9"/>
  <c r="J8"/>
  <c r="I8"/>
  <c r="J7"/>
  <c r="I7"/>
  <c r="J6"/>
  <c r="I6"/>
  <c r="J5"/>
  <c r="I5"/>
  <c r="J4"/>
  <c r="I4"/>
  <c r="J3"/>
  <c r="I3"/>
  <c r="J2"/>
  <c r="I2"/>
  <c r="AK25" i="10" l="1"/>
  <c r="AK26"/>
  <c r="AF27"/>
  <c r="AH25"/>
  <c r="AG27"/>
  <c r="AF26"/>
  <c r="AH27"/>
  <c r="AG26"/>
  <c r="AF25"/>
  <c r="AH26"/>
  <c r="AD27"/>
  <c r="AD25"/>
  <c r="Z27"/>
  <c r="AB25"/>
  <c r="AA27"/>
  <c r="Z26"/>
  <c r="AB27"/>
  <c r="AA26"/>
  <c r="Z25"/>
  <c r="AB26"/>
  <c r="B3"/>
  <c r="C4"/>
  <c r="D5"/>
  <c r="D2"/>
  <c r="B4"/>
  <c r="D6"/>
  <c r="C2"/>
  <c r="D3"/>
  <c r="B5"/>
  <c r="C6"/>
  <c r="C5"/>
  <c r="B2"/>
  <c r="C3"/>
  <c r="D4"/>
  <c r="D2" i="6"/>
  <c r="I2" s="1"/>
  <c r="H19" s="1"/>
  <c r="B4"/>
  <c r="C5"/>
  <c r="D6"/>
  <c r="C2"/>
  <c r="H2" s="1"/>
  <c r="D3"/>
  <c r="B5"/>
  <c r="C6"/>
  <c r="B2"/>
  <c r="G2" s="1"/>
  <c r="C3"/>
  <c r="D4"/>
  <c r="B6"/>
  <c r="B3"/>
  <c r="C4"/>
  <c r="D5" i="12"/>
  <c r="C4"/>
  <c r="B3"/>
  <c r="D4"/>
  <c r="C6"/>
  <c r="B5"/>
  <c r="D3"/>
  <c r="C2"/>
  <c r="B6"/>
  <c r="C3"/>
  <c r="B2"/>
  <c r="D6"/>
  <c r="C5"/>
  <c r="B4"/>
  <c r="D19" i="10" l="1"/>
  <c r="E19" s="1"/>
  <c r="D15"/>
  <c r="E15" s="1"/>
  <c r="D11"/>
  <c r="D22"/>
  <c r="E22" s="1"/>
  <c r="D18"/>
  <c r="E18" s="1"/>
  <c r="D14"/>
  <c r="E14" s="1"/>
  <c r="D20"/>
  <c r="E20" s="1"/>
  <c r="D16"/>
  <c r="E16" s="1"/>
  <c r="D12"/>
  <c r="E12" s="1"/>
  <c r="D21"/>
  <c r="E21" s="1"/>
  <c r="D17"/>
  <c r="E17" s="1"/>
  <c r="D13"/>
  <c r="E13" s="1"/>
  <c r="H16" i="6"/>
  <c r="H18"/>
  <c r="H14"/>
  <c r="H20"/>
  <c r="H10"/>
  <c r="H12"/>
  <c r="H15"/>
  <c r="H17"/>
  <c r="H13"/>
  <c r="H21"/>
  <c r="H11"/>
  <c r="D13"/>
  <c r="E13" s="1"/>
  <c r="D17"/>
  <c r="E17" s="1"/>
  <c r="D21"/>
  <c r="E21" s="1"/>
  <c r="D14"/>
  <c r="E14" s="1"/>
  <c r="D18"/>
  <c r="E18" s="1"/>
  <c r="D10"/>
  <c r="D12"/>
  <c r="E12" s="1"/>
  <c r="D16"/>
  <c r="E16" s="1"/>
  <c r="D20"/>
  <c r="E20" s="1"/>
  <c r="D11"/>
  <c r="E11" s="1"/>
  <c r="D15"/>
  <c r="E15" s="1"/>
  <c r="D19"/>
  <c r="E19" s="1"/>
  <c r="D7" i="10" l="1"/>
  <c r="E11"/>
  <c r="E10" i="6"/>
  <c r="D7"/>
</calcChain>
</file>

<file path=xl/sharedStrings.xml><?xml version="1.0" encoding="utf-8"?>
<sst xmlns="http://schemas.openxmlformats.org/spreadsheetml/2006/main" count="197" uniqueCount="70">
  <si>
    <t xml:space="preserve"> </t>
  </si>
  <si>
    <t>Y</t>
  </si>
  <si>
    <t>Error</t>
  </si>
  <si>
    <t>SSE</t>
  </si>
  <si>
    <t>Intercept</t>
  </si>
  <si>
    <t>Stdev</t>
  </si>
  <si>
    <r>
      <t>R</t>
    </r>
    <r>
      <rPr>
        <vertAlign val="superscript"/>
        <sz val="16"/>
        <color theme="1"/>
        <rFont val="Calibri"/>
        <family val="2"/>
        <scheme val="minor"/>
      </rPr>
      <t>2</t>
    </r>
  </si>
  <si>
    <t>F</t>
  </si>
  <si>
    <t>Deg. Freedom</t>
  </si>
  <si>
    <t>SSReg</t>
  </si>
  <si>
    <t>Fitted</t>
  </si>
  <si>
    <t xml:space="preserve">Temperature     Production      Days    Persons Water   </t>
  </si>
  <si>
    <t>58.8    7107    21      129     3067</t>
  </si>
  <si>
    <t>65.2    6373    22      141     2828</t>
  </si>
  <si>
    <t>70.9    6796    22      153     2891</t>
  </si>
  <si>
    <t>77.4    9208    20      166     2994</t>
  </si>
  <si>
    <t>79.3    14792   25      193     3082</t>
  </si>
  <si>
    <t>81.0    14564   23      189     3898</t>
  </si>
  <si>
    <t>71.9    11964   20      175     3502</t>
  </si>
  <si>
    <t>63.9    13526   23      186     3060</t>
  </si>
  <si>
    <t>54.5    12656   20      190     3211</t>
  </si>
  <si>
    <t>39.5    14119   20      187     3286</t>
  </si>
  <si>
    <t>44.5    16691   22      195     3542</t>
  </si>
  <si>
    <t>43.6    14571   19      206     3125</t>
  </si>
  <si>
    <t>56.0    13619   22      198     3022</t>
  </si>
  <si>
    <t>64.7    14575   22      192     2922</t>
  </si>
  <si>
    <t>73.0    14556   21      191     3950</t>
  </si>
  <si>
    <t>78.9    18573   21      200     4488</t>
  </si>
  <si>
    <t>79.4    15618   22      200     3295</t>
  </si>
  <si>
    <t>Temperature</t>
  </si>
  <si>
    <t>Production</t>
  </si>
  <si>
    <t>Water Consumption</t>
  </si>
  <si>
    <r>
      <t>X</t>
    </r>
    <r>
      <rPr>
        <vertAlign val="subscript"/>
        <sz val="16"/>
        <color theme="1"/>
        <rFont val="Calibri"/>
        <family val="2"/>
        <scheme val="minor"/>
      </rPr>
      <t>1</t>
    </r>
  </si>
  <si>
    <r>
      <t>X</t>
    </r>
    <r>
      <rPr>
        <vertAlign val="subscript"/>
        <sz val="16"/>
        <color theme="1"/>
        <rFont val="Calibri"/>
        <family val="2"/>
        <scheme val="minor"/>
      </rPr>
      <t>2</t>
    </r>
  </si>
  <si>
    <t>Coefficients</t>
  </si>
  <si>
    <t>Std Error</t>
  </si>
  <si>
    <t>Fitted value</t>
  </si>
  <si>
    <t>(expected)</t>
  </si>
  <si>
    <r>
      <t>b</t>
    </r>
    <r>
      <rPr>
        <vertAlign val="subscript"/>
        <sz val="16"/>
        <color theme="1"/>
        <rFont val="Calibri"/>
        <family val="2"/>
        <scheme val="minor"/>
      </rPr>
      <t>0</t>
    </r>
  </si>
  <si>
    <r>
      <t>b</t>
    </r>
    <r>
      <rPr>
        <vertAlign val="subscript"/>
        <sz val="16"/>
        <color theme="1"/>
        <rFont val="Calibri"/>
        <family val="2"/>
        <scheme val="minor"/>
      </rPr>
      <t>1</t>
    </r>
  </si>
  <si>
    <r>
      <t>b</t>
    </r>
    <r>
      <rPr>
        <vertAlign val="subscript"/>
        <sz val="16"/>
        <color theme="1"/>
        <rFont val="Calibri"/>
        <family val="2"/>
        <scheme val="minor"/>
      </rPr>
      <t>2</t>
    </r>
  </si>
  <si>
    <t>Correlation</t>
  </si>
  <si>
    <t>Alternative</t>
  </si>
  <si>
    <t>Value</t>
  </si>
  <si>
    <t>X</t>
  </si>
  <si>
    <t>B</t>
  </si>
  <si>
    <r>
      <t>X</t>
    </r>
    <r>
      <rPr>
        <vertAlign val="superscript"/>
        <sz val="30"/>
        <color theme="1"/>
        <rFont val="Arial Rounded MT Bold"/>
        <family val="2"/>
      </rPr>
      <t>t</t>
    </r>
  </si>
  <si>
    <t>=</t>
  </si>
  <si>
    <r>
      <t>X</t>
    </r>
    <r>
      <rPr>
        <vertAlign val="superscript"/>
        <sz val="30"/>
        <color theme="1"/>
        <rFont val="Arial Rounded MT Bold"/>
        <family val="2"/>
      </rPr>
      <t>t</t>
    </r>
    <r>
      <rPr>
        <sz val="30"/>
        <color theme="1"/>
        <rFont val="Arial Rounded MT Bold"/>
        <family val="2"/>
      </rPr>
      <t>X</t>
    </r>
  </si>
  <si>
    <r>
      <t>X</t>
    </r>
    <r>
      <rPr>
        <vertAlign val="superscript"/>
        <sz val="30"/>
        <color theme="1"/>
        <rFont val="Arial Rounded MT Bold"/>
        <family val="2"/>
      </rPr>
      <t>t</t>
    </r>
    <r>
      <rPr>
        <sz val="30"/>
        <color theme="1"/>
        <rFont val="Arial Rounded MT Bold"/>
        <family val="2"/>
      </rPr>
      <t>Y</t>
    </r>
  </si>
  <si>
    <r>
      <t>(X</t>
    </r>
    <r>
      <rPr>
        <vertAlign val="superscript"/>
        <sz val="30"/>
        <color theme="1"/>
        <rFont val="Arial Rounded MT Bold"/>
        <family val="2"/>
      </rPr>
      <t>t</t>
    </r>
    <r>
      <rPr>
        <sz val="30"/>
        <color theme="1"/>
        <rFont val="Arial Rounded MT Bold"/>
        <family val="2"/>
      </rPr>
      <t>X)</t>
    </r>
    <r>
      <rPr>
        <vertAlign val="superscript"/>
        <sz val="30"/>
        <color theme="1"/>
        <rFont val="Arial Rounded MT Bold"/>
        <family val="2"/>
      </rPr>
      <t>-1</t>
    </r>
  </si>
  <si>
    <t>Correlations</t>
  </si>
  <si>
    <t>Regression</t>
  </si>
  <si>
    <t>Slope</t>
  </si>
  <si>
    <t>est. error</t>
  </si>
  <si>
    <t>Predicted Y</t>
  </si>
  <si>
    <t>Residual = ERROR</t>
  </si>
  <si>
    <t xml:space="preserve">X  </t>
  </si>
  <si>
    <t>x</t>
  </si>
  <si>
    <t>y</t>
  </si>
  <si>
    <t>a</t>
  </si>
  <si>
    <t>b</t>
  </si>
  <si>
    <t>stdev</t>
  </si>
  <si>
    <t>b0</t>
  </si>
  <si>
    <t>b1</t>
  </si>
  <si>
    <t>σ</t>
  </si>
  <si>
    <t>b2</t>
  </si>
  <si>
    <t>error</t>
  </si>
  <si>
    <t>det</t>
  </si>
  <si>
    <t>inverse</t>
  </si>
</sst>
</file>

<file path=xl/styles.xml><?xml version="1.0" encoding="utf-8"?>
<styleSheet xmlns="http://schemas.openxmlformats.org/spreadsheetml/2006/main">
  <numFmts count="1">
    <numFmt numFmtId="165" formatCode="0.0000"/>
  </numFmts>
  <fonts count="1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6"/>
      <color rgb="FF000000"/>
      <name val="Arial Unicode MS"/>
      <family val="2"/>
    </font>
    <font>
      <vertAlign val="subscript"/>
      <sz val="16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30"/>
      <color theme="1"/>
      <name val="Arial Rounded MT Bold"/>
      <family val="2"/>
    </font>
    <font>
      <vertAlign val="superscript"/>
      <sz val="30"/>
      <color theme="1"/>
      <name val="Arial Rounded MT Bold"/>
      <family val="2"/>
    </font>
    <font>
      <b/>
      <sz val="16"/>
      <color theme="1"/>
      <name val="Calibri"/>
      <family val="2"/>
      <scheme val="minor"/>
    </font>
    <font>
      <b/>
      <sz val="18"/>
      <color rgb="FFFFFFFF"/>
      <name val="Perpetua"/>
      <family val="1"/>
    </font>
    <font>
      <b/>
      <sz val="14"/>
      <color rgb="FFFFFFFF"/>
      <name val="Perpetua"/>
      <family val="1"/>
    </font>
    <font>
      <sz val="14"/>
      <color theme="1"/>
      <name val="Calibri"/>
      <family val="2"/>
      <scheme val="minor"/>
    </font>
    <font>
      <sz val="18"/>
      <color rgb="FF000000"/>
      <name val="Perpetua"/>
      <family val="1"/>
    </font>
    <font>
      <sz val="18"/>
      <color theme="1"/>
      <name val="Calibri"/>
      <family val="2"/>
      <scheme val="minor"/>
    </font>
    <font>
      <sz val="16"/>
      <color theme="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9EDF4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43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8" borderId="0" xfId="0" applyFont="1" applyFill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/>
    <xf numFmtId="0" fontId="1" fillId="0" borderId="3" xfId="0" applyFont="1" applyBorder="1"/>
    <xf numFmtId="2" fontId="1" fillId="0" borderId="4" xfId="0" applyNumberFormat="1" applyFont="1" applyBorder="1" applyAlignment="1">
      <alignment horizontal="center"/>
    </xf>
    <xf numFmtId="0" fontId="1" fillId="0" borderId="5" xfId="0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2" fontId="1" fillId="6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5" fillId="0" borderId="0" xfId="0" applyFont="1"/>
    <xf numFmtId="2" fontId="1" fillId="4" borderId="2" xfId="0" applyNumberFormat="1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7" borderId="2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10" fontId="1" fillId="3" borderId="10" xfId="0" applyNumberFormat="1" applyFont="1" applyFill="1" applyBorder="1"/>
    <xf numFmtId="0" fontId="6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2" fontId="1" fillId="5" borderId="0" xfId="0" applyNumberFormat="1" applyFont="1" applyFill="1" applyAlignment="1">
      <alignment horizontal="center"/>
    </xf>
    <xf numFmtId="2" fontId="1" fillId="7" borderId="1" xfId="0" applyNumberFormat="1" applyFont="1" applyFill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1" fillId="3" borderId="4" xfId="0" applyFont="1" applyFill="1" applyBorder="1"/>
    <xf numFmtId="0" fontId="0" fillId="3" borderId="0" xfId="0" applyFill="1" applyBorder="1"/>
    <xf numFmtId="10" fontId="1" fillId="3" borderId="5" xfId="0" applyNumberFormat="1" applyFont="1" applyFill="1" applyBorder="1"/>
    <xf numFmtId="2" fontId="0" fillId="0" borderId="0" xfId="0" applyNumberFormat="1" applyFill="1"/>
    <xf numFmtId="0" fontId="1" fillId="0" borderId="0" xfId="0" applyFont="1" applyFill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2" fontId="1" fillId="7" borderId="3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2" fontId="1" fillId="7" borderId="5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2" fontId="1" fillId="7" borderId="8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2" fontId="1" fillId="7" borderId="6" xfId="0" applyNumberFormat="1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0" fontId="1" fillId="8" borderId="11" xfId="0" applyFont="1" applyFill="1" applyBorder="1"/>
    <xf numFmtId="0" fontId="1" fillId="8" borderId="12" xfId="0" applyFont="1" applyFill="1" applyBorder="1"/>
    <xf numFmtId="0" fontId="1" fillId="8" borderId="13" xfId="0" applyFont="1" applyFill="1" applyBorder="1"/>
    <xf numFmtId="2" fontId="1" fillId="9" borderId="1" xfId="0" applyNumberFormat="1" applyFont="1" applyFill="1" applyBorder="1"/>
    <xf numFmtId="2" fontId="1" fillId="9" borderId="2" xfId="0" applyNumberFormat="1" applyFont="1" applyFill="1" applyBorder="1"/>
    <xf numFmtId="2" fontId="1" fillId="9" borderId="3" xfId="0" applyNumberFormat="1" applyFont="1" applyFill="1" applyBorder="1"/>
    <xf numFmtId="2" fontId="1" fillId="9" borderId="4" xfId="0" applyNumberFormat="1" applyFont="1" applyFill="1" applyBorder="1"/>
    <xf numFmtId="2" fontId="1" fillId="9" borderId="0" xfId="0" applyNumberFormat="1" applyFont="1" applyFill="1" applyBorder="1"/>
    <xf numFmtId="2" fontId="1" fillId="9" borderId="5" xfId="0" applyNumberFormat="1" applyFont="1" applyFill="1" applyBorder="1"/>
    <xf numFmtId="2" fontId="1" fillId="9" borderId="6" xfId="0" applyNumberFormat="1" applyFont="1" applyFill="1" applyBorder="1"/>
    <xf numFmtId="2" fontId="1" fillId="9" borderId="7" xfId="0" applyNumberFormat="1" applyFont="1" applyFill="1" applyBorder="1"/>
    <xf numFmtId="2" fontId="1" fillId="9" borderId="8" xfId="0" applyNumberFormat="1" applyFont="1" applyFill="1" applyBorder="1"/>
    <xf numFmtId="2" fontId="1" fillId="0" borderId="11" xfId="0" applyNumberFormat="1" applyFont="1" applyBorder="1"/>
    <xf numFmtId="2" fontId="1" fillId="0" borderId="12" xfId="0" applyNumberFormat="1" applyFont="1" applyBorder="1"/>
    <xf numFmtId="2" fontId="1" fillId="0" borderId="13" xfId="0" applyNumberFormat="1" applyFont="1" applyBorder="1"/>
    <xf numFmtId="10" fontId="1" fillId="0" borderId="0" xfId="0" applyNumberFormat="1" applyFont="1"/>
    <xf numFmtId="2" fontId="1" fillId="3" borderId="1" xfId="0" applyNumberFormat="1" applyFont="1" applyFill="1" applyBorder="1"/>
    <xf numFmtId="2" fontId="1" fillId="3" borderId="2" xfId="0" applyNumberFormat="1" applyFont="1" applyFill="1" applyBorder="1"/>
    <xf numFmtId="2" fontId="1" fillId="3" borderId="3" xfId="0" applyNumberFormat="1" applyFont="1" applyFill="1" applyBorder="1"/>
    <xf numFmtId="2" fontId="1" fillId="3" borderId="4" xfId="0" applyNumberFormat="1" applyFont="1" applyFill="1" applyBorder="1"/>
    <xf numFmtId="2" fontId="1" fillId="3" borderId="0" xfId="0" applyNumberFormat="1" applyFont="1" applyFill="1" applyBorder="1"/>
    <xf numFmtId="2" fontId="1" fillId="3" borderId="5" xfId="0" applyNumberFormat="1" applyFont="1" applyFill="1" applyBorder="1"/>
    <xf numFmtId="2" fontId="1" fillId="3" borderId="6" xfId="0" applyNumberFormat="1" applyFont="1" applyFill="1" applyBorder="1"/>
    <xf numFmtId="2" fontId="1" fillId="3" borderId="7" xfId="0" applyNumberFormat="1" applyFont="1" applyFill="1" applyBorder="1"/>
    <xf numFmtId="2" fontId="1" fillId="3" borderId="8" xfId="0" applyNumberFormat="1" applyFont="1" applyFill="1" applyBorder="1"/>
    <xf numFmtId="165" fontId="9" fillId="3" borderId="1" xfId="0" applyNumberFormat="1" applyFont="1" applyFill="1" applyBorder="1"/>
    <xf numFmtId="165" fontId="9" fillId="3" borderId="2" xfId="0" applyNumberFormat="1" applyFont="1" applyFill="1" applyBorder="1"/>
    <xf numFmtId="165" fontId="9" fillId="3" borderId="3" xfId="0" applyNumberFormat="1" applyFont="1" applyFill="1" applyBorder="1"/>
    <xf numFmtId="165" fontId="9" fillId="3" borderId="4" xfId="0" applyNumberFormat="1" applyFont="1" applyFill="1" applyBorder="1"/>
    <xf numFmtId="165" fontId="9" fillId="3" borderId="0" xfId="0" applyNumberFormat="1" applyFont="1" applyFill="1" applyBorder="1"/>
    <xf numFmtId="165" fontId="9" fillId="3" borderId="5" xfId="0" applyNumberFormat="1" applyFont="1" applyFill="1" applyBorder="1"/>
    <xf numFmtId="165" fontId="9" fillId="3" borderId="6" xfId="0" applyNumberFormat="1" applyFont="1" applyFill="1" applyBorder="1"/>
    <xf numFmtId="165" fontId="9" fillId="3" borderId="7" xfId="0" applyNumberFormat="1" applyFont="1" applyFill="1" applyBorder="1"/>
    <xf numFmtId="165" fontId="9" fillId="3" borderId="8" xfId="0" applyNumberFormat="1" applyFont="1" applyFill="1" applyBorder="1"/>
    <xf numFmtId="10" fontId="9" fillId="3" borderId="1" xfId="0" applyNumberFormat="1" applyFont="1" applyFill="1" applyBorder="1" applyAlignment="1">
      <alignment horizontal="center"/>
    </xf>
    <xf numFmtId="10" fontId="9" fillId="3" borderId="2" xfId="0" applyNumberFormat="1" applyFont="1" applyFill="1" applyBorder="1" applyAlignment="1">
      <alignment horizontal="center"/>
    </xf>
    <xf numFmtId="10" fontId="9" fillId="3" borderId="3" xfId="0" applyNumberFormat="1" applyFont="1" applyFill="1" applyBorder="1" applyAlignment="1">
      <alignment horizontal="center"/>
    </xf>
    <xf numFmtId="10" fontId="9" fillId="3" borderId="4" xfId="0" applyNumberFormat="1" applyFont="1" applyFill="1" applyBorder="1" applyAlignment="1">
      <alignment horizontal="center"/>
    </xf>
    <xf numFmtId="10" fontId="9" fillId="3" borderId="0" xfId="0" applyNumberFormat="1" applyFont="1" applyFill="1" applyBorder="1" applyAlignment="1">
      <alignment horizontal="center"/>
    </xf>
    <xf numFmtId="10" fontId="9" fillId="3" borderId="5" xfId="0" applyNumberFormat="1" applyFont="1" applyFill="1" applyBorder="1" applyAlignment="1">
      <alignment horizontal="center"/>
    </xf>
    <xf numFmtId="10" fontId="9" fillId="3" borderId="6" xfId="0" applyNumberFormat="1" applyFont="1" applyFill="1" applyBorder="1" applyAlignment="1">
      <alignment horizontal="center"/>
    </xf>
    <xf numFmtId="10" fontId="9" fillId="3" borderId="7" xfId="0" applyNumberFormat="1" applyFont="1" applyFill="1" applyBorder="1" applyAlignment="1">
      <alignment horizontal="center"/>
    </xf>
    <xf numFmtId="0" fontId="1" fillId="0" borderId="0" xfId="0" applyFont="1" applyFill="1"/>
    <xf numFmtId="165" fontId="1" fillId="3" borderId="0" xfId="0" applyNumberFormat="1" applyFont="1" applyFill="1"/>
    <xf numFmtId="165" fontId="1" fillId="12" borderId="0" xfId="0" applyNumberFormat="1" applyFont="1" applyFill="1"/>
    <xf numFmtId="2" fontId="1" fillId="2" borderId="0" xfId="0" applyNumberFormat="1" applyFont="1" applyFill="1"/>
    <xf numFmtId="2" fontId="1" fillId="6" borderId="0" xfId="0" applyNumberFormat="1" applyFont="1" applyFill="1"/>
    <xf numFmtId="10" fontId="1" fillId="11" borderId="0" xfId="0" applyNumberFormat="1" applyFont="1" applyFill="1"/>
    <xf numFmtId="2" fontId="1" fillId="13" borderId="0" xfId="0" applyNumberFormat="1" applyFont="1" applyFill="1"/>
    <xf numFmtId="0" fontId="1" fillId="6" borderId="0" xfId="0" applyFont="1" applyFill="1"/>
    <xf numFmtId="2" fontId="1" fillId="8" borderId="0" xfId="0" applyNumberFormat="1" applyFont="1" applyFill="1"/>
    <xf numFmtId="0" fontId="10" fillId="14" borderId="0" xfId="0" applyFont="1" applyFill="1" applyBorder="1" applyAlignment="1">
      <alignment horizontal="center" vertical="center" wrapText="1"/>
    </xf>
    <xf numFmtId="0" fontId="11" fillId="15" borderId="0" xfId="0" applyFont="1" applyFill="1" applyBorder="1" applyAlignment="1">
      <alignment horizontal="center" vertical="top" wrapText="1"/>
    </xf>
    <xf numFmtId="0" fontId="10" fillId="16" borderId="14" xfId="0" applyFont="1" applyFill="1" applyBorder="1" applyAlignment="1">
      <alignment horizontal="center" vertical="top" wrapText="1" readingOrder="1"/>
    </xf>
    <xf numFmtId="0" fontId="0" fillId="14" borderId="15" xfId="0" applyFill="1" applyBorder="1" applyAlignment="1">
      <alignment horizontal="center" vertical="center"/>
    </xf>
    <xf numFmtId="0" fontId="12" fillId="15" borderId="15" xfId="0" applyFont="1" applyFill="1" applyBorder="1" applyAlignment="1"/>
    <xf numFmtId="2" fontId="13" fillId="17" borderId="16" xfId="0" applyNumberFormat="1" applyFont="1" applyFill="1" applyBorder="1" applyAlignment="1">
      <alignment horizontal="center" vertical="top" wrapText="1" readingOrder="1"/>
    </xf>
    <xf numFmtId="2" fontId="13" fillId="10" borderId="16" xfId="0" applyNumberFormat="1" applyFont="1" applyFill="1" applyBorder="1" applyAlignment="1">
      <alignment horizontal="center" vertical="top" wrapText="1" readingOrder="1"/>
    </xf>
    <xf numFmtId="2" fontId="14" fillId="18" borderId="0" xfId="0" applyNumberFormat="1" applyFont="1" applyFill="1" applyAlignment="1">
      <alignment horizontal="center"/>
    </xf>
    <xf numFmtId="2" fontId="13" fillId="19" borderId="17" xfId="0" applyNumberFormat="1" applyFont="1" applyFill="1" applyBorder="1" applyAlignment="1">
      <alignment horizontal="center" vertical="top" wrapText="1" readingOrder="1"/>
    </xf>
    <xf numFmtId="2" fontId="13" fillId="4" borderId="16" xfId="0" applyNumberFormat="1" applyFont="1" applyFill="1" applyBorder="1" applyAlignment="1">
      <alignment horizontal="center" vertical="top" wrapText="1" readingOrder="1"/>
    </xf>
    <xf numFmtId="2" fontId="14" fillId="2" borderId="0" xfId="0" applyNumberFormat="1" applyFont="1" applyFill="1" applyAlignment="1">
      <alignment horizontal="center"/>
    </xf>
    <xf numFmtId="0" fontId="12" fillId="0" borderId="0" xfId="0" applyFont="1" applyAlignment="1">
      <alignment horizontal="center"/>
    </xf>
    <xf numFmtId="2" fontId="12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2" fontId="12" fillId="0" borderId="0" xfId="0" applyNumberFormat="1" applyFont="1" applyFill="1"/>
    <xf numFmtId="10" fontId="1" fillId="3" borderId="0" xfId="0" applyNumberFormat="1" applyFont="1" applyFill="1" applyBorder="1"/>
    <xf numFmtId="0" fontId="0" fillId="3" borderId="0" xfId="0" applyFill="1"/>
    <xf numFmtId="2" fontId="0" fillId="12" borderId="0" xfId="0" applyNumberForma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spPr>
              <a:ln>
                <a:solidFill>
                  <a:srgbClr val="FF0000"/>
                </a:solidFill>
              </a:ln>
            </c:spPr>
            <c:trendlineType val="linear"/>
          </c:trendline>
          <c:xVal>
            <c:numRef>
              <c:f>Sigma.t!$A$12:$A$31</c:f>
              <c:numCache>
                <c:formatCode>0.00</c:formatCode>
                <c:ptCount val="20"/>
                <c:pt idx="0">
                  <c:v>3</c:v>
                </c:pt>
                <c:pt idx="1">
                  <c:v>3.4147021206467798</c:v>
                </c:pt>
                <c:pt idx="2">
                  <c:v>9.4111091096080379</c:v>
                </c:pt>
                <c:pt idx="3">
                  <c:v>9.9053974151704871</c:v>
                </c:pt>
                <c:pt idx="4">
                  <c:v>16.262935508932372</c:v>
                </c:pt>
                <c:pt idx="5">
                  <c:v>15.509788052734667</c:v>
                </c:pt>
                <c:pt idx="6">
                  <c:v>10.143924162085654</c:v>
                </c:pt>
                <c:pt idx="7">
                  <c:v>8.7550560616115458</c:v>
                </c:pt>
                <c:pt idx="8">
                  <c:v>8.5640263771515368</c:v>
                </c:pt>
                <c:pt idx="9">
                  <c:v>13.053546498756852</c:v>
                </c:pt>
                <c:pt idx="10">
                  <c:v>18.041202454378777</c:v>
                </c:pt>
                <c:pt idx="11">
                  <c:v>10.347542791656785</c:v>
                </c:pt>
                <c:pt idx="12">
                  <c:v>13.251981064712325</c:v>
                </c:pt>
                <c:pt idx="13">
                  <c:v>9.9090127489000057</c:v>
                </c:pt>
                <c:pt idx="14">
                  <c:v>13.763844593744654</c:v>
                </c:pt>
                <c:pt idx="15">
                  <c:v>19.23843131921581</c:v>
                </c:pt>
                <c:pt idx="16">
                  <c:v>2.8814356636363847</c:v>
                </c:pt>
                <c:pt idx="17">
                  <c:v>6.9053026762591907</c:v>
                </c:pt>
                <c:pt idx="18">
                  <c:v>12.037348456020055</c:v>
                </c:pt>
                <c:pt idx="19">
                  <c:v>7.6515865855849796</c:v>
                </c:pt>
              </c:numCache>
            </c:numRef>
          </c:xVal>
          <c:yVal>
            <c:numRef>
              <c:f>Sigma.t!$B$12:$B$31</c:f>
              <c:numCache>
                <c:formatCode>0.00</c:formatCode>
                <c:ptCount val="20"/>
                <c:pt idx="0">
                  <c:v>-1.8623066810532247</c:v>
                </c:pt>
                <c:pt idx="1">
                  <c:v>-1.4966212019528564</c:v>
                </c:pt>
                <c:pt idx="2">
                  <c:v>16.533432853280075</c:v>
                </c:pt>
                <c:pt idx="3">
                  <c:v>19.007163442350581</c:v>
                </c:pt>
                <c:pt idx="4">
                  <c:v>29.880475634119129</c:v>
                </c:pt>
                <c:pt idx="5">
                  <c:v>17.558736597931958</c:v>
                </c:pt>
                <c:pt idx="6">
                  <c:v>17.442735918337263</c:v>
                </c:pt>
                <c:pt idx="7">
                  <c:v>14.291547694395698</c:v>
                </c:pt>
                <c:pt idx="8">
                  <c:v>9.7644056986641434</c:v>
                </c:pt>
                <c:pt idx="9">
                  <c:v>11.816917536966315</c:v>
                </c:pt>
                <c:pt idx="10">
                  <c:v>22.951047565580502</c:v>
                </c:pt>
                <c:pt idx="11">
                  <c:v>13.501557539391095</c:v>
                </c:pt>
                <c:pt idx="12">
                  <c:v>13.567133715323262</c:v>
                </c:pt>
                <c:pt idx="13">
                  <c:v>19.525856445023432</c:v>
                </c:pt>
                <c:pt idx="14">
                  <c:v>20.100910187010761</c:v>
                </c:pt>
                <c:pt idx="15">
                  <c:v>26.104639830344428</c:v>
                </c:pt>
                <c:pt idx="16">
                  <c:v>7.5196817793695807</c:v>
                </c:pt>
                <c:pt idx="17">
                  <c:v>9.0942407867988209</c:v>
                </c:pt>
                <c:pt idx="18">
                  <c:v>9.4849803799776105</c:v>
                </c:pt>
                <c:pt idx="19">
                  <c:v>19.41386742701517</c:v>
                </c:pt>
              </c:numCache>
            </c:numRef>
          </c:yVal>
        </c:ser>
        <c:axId val="66457600"/>
        <c:axId val="63343616"/>
      </c:scatterChart>
      <c:valAx>
        <c:axId val="66457600"/>
        <c:scaling>
          <c:orientation val="minMax"/>
        </c:scaling>
        <c:axPos val="b"/>
        <c:numFmt formatCode="0.00" sourceLinked="1"/>
        <c:tickLblPos val="nextTo"/>
        <c:crossAx val="63343616"/>
        <c:crosses val="autoZero"/>
        <c:crossBetween val="midCat"/>
      </c:valAx>
      <c:valAx>
        <c:axId val="63343616"/>
        <c:scaling>
          <c:orientation val="minMax"/>
        </c:scaling>
        <c:axPos val="l"/>
        <c:majorGridlines/>
        <c:numFmt formatCode="0.00" sourceLinked="1"/>
        <c:tickLblPos val="nextTo"/>
        <c:crossAx val="664576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428535</xdr:colOff>
      <xdr:row>12</xdr:row>
      <xdr:rowOff>115389</xdr:rowOff>
    </xdr:from>
    <xdr:to>
      <xdr:col>13</xdr:col>
      <xdr:colOff>123735</xdr:colOff>
      <xdr:row>20</xdr:row>
      <xdr:rowOff>236220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srow/Documents/TEACHING/STEVENS/MULTIVARIATE.Spring.2017/LECTURES/TOPIC.3.Simple.Regression.2/Topic.3.Simple.Regression.Intercept.EXCEL.V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sidual"/>
      <sheetName val="Resid.Var"/>
      <sheetName val="Resid.NonLinear"/>
      <sheetName val="No.Intercept"/>
      <sheetName val="Standardized"/>
      <sheetName val="Zero.Corr"/>
      <sheetName val="Influence"/>
      <sheetName val="Sheet3"/>
    </sheetNames>
    <sheetDataSet>
      <sheetData sheetId="0">
        <row r="12">
          <cell r="A12">
            <v>5.8478818185139758</v>
          </cell>
          <cell r="B12">
            <v>5.7406884578535005</v>
          </cell>
          <cell r="D12">
            <v>1.7010251776046816</v>
          </cell>
        </row>
        <row r="13">
          <cell r="A13">
            <v>3.4147021206467798</v>
          </cell>
          <cell r="B13">
            <v>2.4906279506299445</v>
          </cell>
          <cell r="D13">
            <v>-0.34180145762074243</v>
          </cell>
        </row>
        <row r="14">
          <cell r="A14">
            <v>9.4111091096080379</v>
          </cell>
          <cell r="B14">
            <v>4.8302664380861451</v>
          </cell>
          <cell r="D14">
            <v>-0.97730929154218593</v>
          </cell>
        </row>
        <row r="15">
          <cell r="A15">
            <v>9.9053974151704871</v>
          </cell>
          <cell r="B15">
            <v>5.3428920819521206</v>
          </cell>
          <cell r="D15">
            <v>-0.70992718046197556</v>
          </cell>
        </row>
        <row r="16">
          <cell r="A16">
            <v>16.262935508932372</v>
          </cell>
          <cell r="B16">
            <v>8.1416240121351553</v>
          </cell>
          <cell r="D16">
            <v>-1.0655185154431752</v>
          </cell>
        </row>
        <row r="17">
          <cell r="A17">
            <v>15.509788052734667</v>
          </cell>
          <cell r="B17">
            <v>9.2055941059818043</v>
          </cell>
          <cell r="D17">
            <v>0.37212933041171148</v>
          </cell>
        </row>
        <row r="18">
          <cell r="A18">
            <v>10.143924162085654</v>
          </cell>
          <cell r="B18">
            <v>6.2865602719685176</v>
          </cell>
          <cell r="D18">
            <v>0.11539481074883184</v>
          </cell>
        </row>
        <row r="19">
          <cell r="A19">
            <v>8.7550560616115458</v>
          </cell>
          <cell r="B19">
            <v>5.3910687536514628</v>
          </cell>
          <cell r="D19">
            <v>-9.1003084068178808E-2</v>
          </cell>
        </row>
        <row r="20">
          <cell r="A20">
            <v>8.5640263771515368</v>
          </cell>
          <cell r="B20">
            <v>4.7724913650438845</v>
          </cell>
          <cell r="D20">
            <v>-0.61480017106491225</v>
          </cell>
        </row>
        <row r="21">
          <cell r="A21">
            <v>13.053546498756852</v>
          </cell>
          <cell r="B21">
            <v>8.3893775660254626</v>
          </cell>
          <cell r="D21">
            <v>0.77458891387138529</v>
          </cell>
        </row>
        <row r="22">
          <cell r="A22">
            <v>18.041202454378777</v>
          </cell>
          <cell r="B22">
            <v>10.332905838235439</v>
          </cell>
          <cell r="D22">
            <v>0.24346756740422926</v>
          </cell>
        </row>
        <row r="23">
          <cell r="A23">
            <v>10.347542791656785</v>
          </cell>
          <cell r="B23">
            <v>6.1678651180246344</v>
          </cell>
          <cell r="D23">
            <v>-0.10432671079280009</v>
          </cell>
        </row>
        <row r="24">
          <cell r="A24">
            <v>13.251981064712325</v>
          </cell>
          <cell r="B24">
            <v>7.8006369355802763</v>
          </cell>
          <cell r="D24">
            <v>8.7394014057323943E-2</v>
          </cell>
        </row>
        <row r="25">
          <cell r="A25">
            <v>9.9090127489000057</v>
          </cell>
          <cell r="B25">
            <v>6.5365246487318238</v>
          </cell>
          <cell r="D25">
            <v>0.48191162100697849</v>
          </cell>
        </row>
        <row r="26">
          <cell r="A26">
            <v>13.763844593744654</v>
          </cell>
          <cell r="B26">
            <v>5.8875575360782868</v>
          </cell>
          <cell r="D26">
            <v>-2.0796489503346658</v>
          </cell>
        </row>
        <row r="27">
          <cell r="A27">
            <v>19.23843131921581</v>
          </cell>
          <cell r="B27">
            <v>12.424694093272544</v>
          </cell>
          <cell r="D27">
            <v>1.7412449323159347</v>
          </cell>
        </row>
        <row r="28">
          <cell r="A28">
            <v>2.8814356636363847</v>
          </cell>
          <cell r="B28">
            <v>2.7196160708082471</v>
          </cell>
          <cell r="D28">
            <v>0.15176939365123499</v>
          </cell>
        </row>
        <row r="29">
          <cell r="A29">
            <v>6.9053026762591907</v>
          </cell>
          <cell r="B29">
            <v>5.9287461497469804</v>
          </cell>
          <cell r="D29">
            <v>1.3644383980905195</v>
          </cell>
        </row>
        <row r="30">
          <cell r="A30">
            <v>12.037348456020055</v>
          </cell>
          <cell r="B30">
            <v>6.6164586152357288</v>
          </cell>
          <cell r="D30">
            <v>-0.49413846449753329</v>
          </cell>
        </row>
        <row r="31">
          <cell r="A31">
            <v>7.6515865855849796</v>
          </cell>
          <cell r="B31">
            <v>4.379689788360972</v>
          </cell>
          <cell r="D31">
            <v>-0.55489033333662974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K22"/>
  <sheetViews>
    <sheetView zoomScale="115" zoomScaleNormal="115" workbookViewId="0">
      <selection sqref="A1:XFD1048576"/>
    </sheetView>
  </sheetViews>
  <sheetFormatPr defaultRowHeight="21"/>
  <cols>
    <col min="1" max="3" width="27.6640625" style="6" customWidth="1"/>
    <col min="4" max="4" width="17.5546875" bestFit="1" customWidth="1"/>
    <col min="5" max="5" width="19.5546875" customWidth="1"/>
    <col min="7" max="7" width="11.44140625" customWidth="1"/>
    <col min="8" max="8" width="9.77734375" bestFit="1" customWidth="1"/>
    <col min="9" max="9" width="10.33203125" bestFit="1" customWidth="1"/>
  </cols>
  <sheetData>
    <row r="1" spans="1:11" ht="25.2" thickBot="1">
      <c r="B1" s="6" t="s">
        <v>40</v>
      </c>
      <c r="C1" s="6" t="s">
        <v>39</v>
      </c>
      <c r="D1" s="6" t="s">
        <v>38</v>
      </c>
      <c r="G1" s="6" t="s">
        <v>40</v>
      </c>
      <c r="H1" s="6" t="s">
        <v>39</v>
      </c>
      <c r="I1" s="6" t="s">
        <v>38</v>
      </c>
    </row>
    <row r="2" spans="1:11" ht="21.6" thickTop="1">
      <c r="A2" s="17" t="s">
        <v>34</v>
      </c>
      <c r="B2" s="33">
        <f t="array" ref="B2:D6">LINEST(A10:A21,B10:C21,TRUE,TRUE)</f>
        <v>0.61348794279489616</v>
      </c>
      <c r="C2" s="30">
        <v>4.870424615443824E-2</v>
      </c>
      <c r="D2" s="18">
        <v>21.74725210910109</v>
      </c>
      <c r="E2" s="19" t="s">
        <v>4</v>
      </c>
      <c r="G2" s="43">
        <f>B2</f>
        <v>0.61348794279489616</v>
      </c>
      <c r="H2" s="30">
        <f>C2</f>
        <v>4.870424615443824E-2</v>
      </c>
      <c r="I2" s="44">
        <f>D2</f>
        <v>21.74725210910109</v>
      </c>
      <c r="K2" t="s">
        <v>0</v>
      </c>
    </row>
    <row r="3" spans="1:11">
      <c r="A3" s="20" t="s">
        <v>5</v>
      </c>
      <c r="B3" s="12">
        <v>0.22005779283730761</v>
      </c>
      <c r="C3" s="12">
        <v>5.4357827262875309E-2</v>
      </c>
      <c r="D3" s="13">
        <v>4.928873780762971</v>
      </c>
      <c r="E3" s="21"/>
      <c r="F3" s="2"/>
      <c r="G3" s="36"/>
      <c r="H3" s="37"/>
      <c r="I3" s="38"/>
    </row>
    <row r="4" spans="1:11" ht="23.4">
      <c r="A4" s="22" t="s">
        <v>6</v>
      </c>
      <c r="B4" s="16">
        <v>0.46347249178791755</v>
      </c>
      <c r="C4" s="12">
        <v>2.48445576756848</v>
      </c>
      <c r="D4" s="14" t="e">
        <v>#N/A</v>
      </c>
      <c r="E4" s="21" t="s">
        <v>35</v>
      </c>
      <c r="F4" s="2"/>
      <c r="G4" s="39"/>
      <c r="H4" s="37"/>
      <c r="I4" s="38"/>
    </row>
    <row r="5" spans="1:11">
      <c r="A5" s="22" t="s">
        <v>7</v>
      </c>
      <c r="B5" s="12">
        <v>3.8872679986078325</v>
      </c>
      <c r="C5" s="15">
        <v>9</v>
      </c>
      <c r="D5" s="14" t="e">
        <v>#N/A</v>
      </c>
      <c r="E5" s="21" t="s">
        <v>8</v>
      </c>
      <c r="F5" s="2"/>
      <c r="G5" s="45" t="s">
        <v>41</v>
      </c>
      <c r="H5" s="46"/>
      <c r="I5" s="47">
        <f>CORREL(A10:A21,H10:H21)</f>
        <v>0.68078814016396993</v>
      </c>
    </row>
    <row r="6" spans="1:11" ht="25.2" thickBot="1">
      <c r="A6" s="23" t="s">
        <v>9</v>
      </c>
      <c r="B6" s="24">
        <v>47.98848251762805</v>
      </c>
      <c r="C6" s="24">
        <v>55.552684149038576</v>
      </c>
      <c r="D6" s="25" t="e">
        <v>#N/A</v>
      </c>
      <c r="E6" s="26" t="s">
        <v>3</v>
      </c>
      <c r="F6" s="29"/>
      <c r="G6" s="39"/>
      <c r="H6" s="37"/>
      <c r="I6" s="38"/>
      <c r="K6" s="1" t="s">
        <v>0</v>
      </c>
    </row>
    <row r="7" spans="1:11" ht="22.2" thickTop="1" thickBot="1">
      <c r="C7" s="34" t="s">
        <v>41</v>
      </c>
      <c r="D7" s="35">
        <f>CORREL(A10:A21,D10:D21)</f>
        <v>0.68078814016396993</v>
      </c>
      <c r="G7" s="22"/>
      <c r="H7" s="22" t="s">
        <v>42</v>
      </c>
      <c r="I7" s="38"/>
    </row>
    <row r="8" spans="1:11" ht="25.2" thickTop="1">
      <c r="A8" s="6" t="s">
        <v>1</v>
      </c>
      <c r="B8" s="6" t="s">
        <v>32</v>
      </c>
      <c r="C8" s="6" t="s">
        <v>33</v>
      </c>
      <c r="D8" s="6" t="s">
        <v>36</v>
      </c>
      <c r="E8" s="5"/>
      <c r="G8" s="22"/>
      <c r="H8" s="15" t="s">
        <v>10</v>
      </c>
      <c r="I8" s="38"/>
    </row>
    <row r="9" spans="1:11">
      <c r="A9" s="6" t="s">
        <v>31</v>
      </c>
      <c r="B9" s="6" t="s">
        <v>29</v>
      </c>
      <c r="C9" s="6" t="s">
        <v>30</v>
      </c>
      <c r="D9" s="6" t="s">
        <v>37</v>
      </c>
      <c r="E9" s="6" t="s">
        <v>2</v>
      </c>
      <c r="G9" s="22"/>
      <c r="H9" s="15" t="s">
        <v>43</v>
      </c>
      <c r="I9" s="38"/>
    </row>
    <row r="10" spans="1:11" ht="23.4">
      <c r="A10" s="11">
        <v>30.67</v>
      </c>
      <c r="B10" s="31">
        <v>58.8</v>
      </c>
      <c r="C10" s="32">
        <v>7.1070000000000002</v>
      </c>
      <c r="D10" s="27">
        <f>$D$2+$C$2*B10+$B$2*C10</f>
        <v>28.971120592425386</v>
      </c>
      <c r="E10" s="28">
        <f>A10-D10</f>
        <v>1.6988794075746156</v>
      </c>
      <c r="F10">
        <v>1</v>
      </c>
      <c r="G10" s="39"/>
      <c r="H10" s="42">
        <f>$I$2+$H$2*B10+$G$2*C10</f>
        <v>28.971120592425386</v>
      </c>
      <c r="I10" s="38"/>
    </row>
    <row r="11" spans="1:11" ht="23.4">
      <c r="A11" s="11">
        <v>28.28</v>
      </c>
      <c r="B11" s="31">
        <v>65.2</v>
      </c>
      <c r="C11" s="32">
        <v>6.3730000000000002</v>
      </c>
      <c r="D11" s="27">
        <f t="shared" ref="D11:D21" si="0">$D$2+$C$2*B11+$B$2*C11</f>
        <v>28.832527617802338</v>
      </c>
      <c r="E11" s="28">
        <f t="shared" ref="E11:E21" si="1">A11-D11</f>
        <v>-0.55252761780233683</v>
      </c>
      <c r="F11">
        <v>2</v>
      </c>
      <c r="G11" s="39"/>
      <c r="H11" s="42">
        <f t="shared" ref="H11:H21" si="2">$I$2+$H$2*B11+$G$2*C11</f>
        <v>28.832527617802338</v>
      </c>
      <c r="I11" s="38"/>
    </row>
    <row r="12" spans="1:11" ht="23.4">
      <c r="A12" s="11">
        <v>28.91</v>
      </c>
      <c r="B12" s="31">
        <v>70.900000000000006</v>
      </c>
      <c r="C12" s="32">
        <v>6.7960000000000003</v>
      </c>
      <c r="D12" s="27">
        <f t="shared" si="0"/>
        <v>29.369647220684875</v>
      </c>
      <c r="E12" s="28">
        <f t="shared" si="1"/>
        <v>-0.45964722068487518</v>
      </c>
      <c r="F12">
        <v>3</v>
      </c>
      <c r="G12" s="39"/>
      <c r="H12" s="42">
        <f t="shared" si="2"/>
        <v>29.369647220684875</v>
      </c>
      <c r="I12" s="38"/>
    </row>
    <row r="13" spans="1:11" ht="23.4">
      <c r="A13" s="11">
        <v>29.94</v>
      </c>
      <c r="B13" s="31">
        <v>77.400000000000006</v>
      </c>
      <c r="C13" s="32">
        <v>9.2080000000000002</v>
      </c>
      <c r="D13" s="27">
        <f t="shared" si="0"/>
        <v>31.165957738710016</v>
      </c>
      <c r="E13" s="28">
        <f t="shared" si="1"/>
        <v>-1.2259577387100151</v>
      </c>
      <c r="F13">
        <v>4</v>
      </c>
      <c r="G13" s="39"/>
      <c r="H13" s="42">
        <f t="shared" si="2"/>
        <v>31.165957738710016</v>
      </c>
      <c r="I13" s="38"/>
    </row>
    <row r="14" spans="1:11" ht="23.4">
      <c r="A14" s="11">
        <v>30.82</v>
      </c>
      <c r="B14" s="31">
        <v>79.3</v>
      </c>
      <c r="C14" s="32">
        <v>14.792</v>
      </c>
      <c r="D14" s="27">
        <f t="shared" si="0"/>
        <v>34.684212478970146</v>
      </c>
      <c r="E14" s="28">
        <f t="shared" si="1"/>
        <v>-3.8642124789701455</v>
      </c>
      <c r="F14">
        <v>5</v>
      </c>
      <c r="G14" s="39"/>
      <c r="H14" s="42">
        <f t="shared" si="2"/>
        <v>34.684212478970146</v>
      </c>
      <c r="I14" s="38"/>
    </row>
    <row r="15" spans="1:11" ht="23.4">
      <c r="A15" s="11">
        <v>38.979999999999997</v>
      </c>
      <c r="B15" s="31">
        <v>81</v>
      </c>
      <c r="C15" s="32">
        <v>14.564</v>
      </c>
      <c r="D15" s="27">
        <f t="shared" si="0"/>
        <v>34.627134446475452</v>
      </c>
      <c r="E15" s="28">
        <f t="shared" si="1"/>
        <v>4.3528655535245449</v>
      </c>
      <c r="F15">
        <v>6</v>
      </c>
      <c r="G15" s="39"/>
      <c r="H15" s="42">
        <f t="shared" si="2"/>
        <v>34.627134446475452</v>
      </c>
      <c r="I15" s="38"/>
    </row>
    <row r="16" spans="1:11" ht="23.4">
      <c r="A16" s="11">
        <v>35.020000000000003</v>
      </c>
      <c r="B16" s="31">
        <v>71.900000000000006</v>
      </c>
      <c r="C16" s="32">
        <v>11.964</v>
      </c>
      <c r="D16" s="27">
        <f t="shared" si="0"/>
        <v>32.588857155203335</v>
      </c>
      <c r="E16" s="28">
        <f t="shared" si="1"/>
        <v>2.4311428447966676</v>
      </c>
      <c r="F16">
        <v>7</v>
      </c>
      <c r="G16" s="39"/>
      <c r="H16" s="42">
        <f t="shared" si="2"/>
        <v>32.588857155203335</v>
      </c>
      <c r="I16" s="38"/>
    </row>
    <row r="17" spans="1:9" ht="23.4">
      <c r="A17" s="11">
        <v>30.6</v>
      </c>
      <c r="B17" s="31">
        <v>63.9</v>
      </c>
      <c r="C17" s="32">
        <v>13.526</v>
      </c>
      <c r="D17" s="27">
        <f t="shared" si="0"/>
        <v>33.157491352613462</v>
      </c>
      <c r="E17" s="28">
        <f t="shared" si="1"/>
        <v>-2.5574913526134608</v>
      </c>
      <c r="F17">
        <v>8</v>
      </c>
      <c r="G17" s="39"/>
      <c r="H17" s="42">
        <f t="shared" si="2"/>
        <v>33.157491352613462</v>
      </c>
      <c r="I17" s="38"/>
    </row>
    <row r="18" spans="1:9" ht="23.4">
      <c r="A18" s="11">
        <v>32.11</v>
      </c>
      <c r="B18" s="31">
        <v>54.5</v>
      </c>
      <c r="C18" s="32">
        <v>12.656000000000001</v>
      </c>
      <c r="D18" s="27">
        <f t="shared" si="0"/>
        <v>32.165936928530179</v>
      </c>
      <c r="E18" s="28">
        <f t="shared" si="1"/>
        <v>-5.5936928530179841E-2</v>
      </c>
      <c r="F18">
        <v>9</v>
      </c>
      <c r="G18" s="39"/>
      <c r="H18" s="42">
        <f t="shared" si="2"/>
        <v>32.165936928530179</v>
      </c>
      <c r="I18" s="38"/>
    </row>
    <row r="19" spans="1:9" ht="23.4">
      <c r="A19" s="11">
        <v>32.86</v>
      </c>
      <c r="B19" s="31">
        <v>39.5</v>
      </c>
      <c r="C19" s="32">
        <v>14.119</v>
      </c>
      <c r="D19" s="27">
        <f t="shared" si="0"/>
        <v>32.332906096522535</v>
      </c>
      <c r="E19" s="28">
        <f t="shared" si="1"/>
        <v>0.52709390347746421</v>
      </c>
      <c r="F19">
        <v>10</v>
      </c>
      <c r="G19" s="39"/>
      <c r="H19" s="42">
        <f t="shared" si="2"/>
        <v>32.332906096522535</v>
      </c>
      <c r="I19" s="38"/>
    </row>
    <row r="20" spans="1:9" ht="23.4">
      <c r="A20" s="11">
        <v>35.42</v>
      </c>
      <c r="B20" s="31">
        <v>44.5</v>
      </c>
      <c r="C20" s="32">
        <v>16.690999999999999</v>
      </c>
      <c r="D20" s="27">
        <f t="shared" si="0"/>
        <v>34.154318316163206</v>
      </c>
      <c r="E20" s="28">
        <f t="shared" si="1"/>
        <v>1.2656816838367959</v>
      </c>
      <c r="F20">
        <v>11</v>
      </c>
      <c r="G20" s="39"/>
      <c r="H20" s="42">
        <f t="shared" si="2"/>
        <v>34.154318316163206</v>
      </c>
      <c r="I20" s="38"/>
    </row>
    <row r="21" spans="1:9" ht="24" thickBot="1">
      <c r="A21" s="11">
        <v>31.25</v>
      </c>
      <c r="B21" s="31">
        <v>43.6</v>
      </c>
      <c r="C21" s="32">
        <v>14.571</v>
      </c>
      <c r="D21" s="27">
        <f t="shared" si="0"/>
        <v>32.809890055899025</v>
      </c>
      <c r="E21" s="28">
        <f t="shared" si="1"/>
        <v>-1.5598900558990252</v>
      </c>
      <c r="F21">
        <v>12</v>
      </c>
      <c r="G21" s="40"/>
      <c r="H21" s="42">
        <f t="shared" si="2"/>
        <v>32.809890055899025</v>
      </c>
      <c r="I21" s="41"/>
    </row>
    <row r="22" spans="1:9" ht="21.6" thickTop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AM37"/>
  <sheetViews>
    <sheetView workbookViewId="0">
      <selection activeCell="C8" sqref="C8"/>
    </sheetView>
  </sheetViews>
  <sheetFormatPr defaultRowHeight="21"/>
  <cols>
    <col min="1" max="3" width="27.6640625" style="6" customWidth="1"/>
    <col min="4" max="4" width="17.5546875" bestFit="1" customWidth="1"/>
    <col min="5" max="5" width="19.5546875" customWidth="1"/>
    <col min="9" max="10" width="14.33203125" style="4" customWidth="1"/>
    <col min="11" max="11" width="14.33203125" customWidth="1"/>
    <col min="14" max="14" width="12" bestFit="1" customWidth="1"/>
    <col min="15" max="15" width="20.33203125" bestFit="1" customWidth="1"/>
    <col min="16" max="16" width="12" bestFit="1" customWidth="1"/>
    <col min="26" max="26" width="9.77734375" bestFit="1" customWidth="1"/>
    <col min="27" max="27" width="12.88671875" bestFit="1" customWidth="1"/>
    <col min="28" max="28" width="11.33203125" bestFit="1" customWidth="1"/>
    <col min="36" max="36" width="17.6640625" bestFit="1" customWidth="1"/>
  </cols>
  <sheetData>
    <row r="1" spans="1:32" ht="43.2" thickBot="1">
      <c r="B1" s="6" t="s">
        <v>40</v>
      </c>
      <c r="C1" s="6" t="s">
        <v>39</v>
      </c>
      <c r="D1" s="6" t="s">
        <v>38</v>
      </c>
      <c r="I1"/>
      <c r="J1" s="65" t="s">
        <v>50</v>
      </c>
      <c r="O1" s="65" t="s">
        <v>51</v>
      </c>
    </row>
    <row r="2" spans="1:32" ht="22.2" thickTop="1" thickBot="1">
      <c r="A2" s="17" t="s">
        <v>34</v>
      </c>
      <c r="B2" s="33">
        <f t="array" ref="B2:D6">LINEST(A11:A22,B11:C22,TRUE,TRUE)</f>
        <v>0.61348794279489616</v>
      </c>
      <c r="C2" s="30">
        <v>4.870424615443824E-2</v>
      </c>
      <c r="D2" s="18">
        <v>21.74725210910109</v>
      </c>
      <c r="E2" s="19" t="s">
        <v>4</v>
      </c>
      <c r="H2" t="s">
        <v>0</v>
      </c>
      <c r="I2" s="135" t="s">
        <v>66</v>
      </c>
      <c r="J2" s="135" t="s">
        <v>64</v>
      </c>
      <c r="K2" s="135" t="s">
        <v>63</v>
      </c>
      <c r="N2" s="135" t="s">
        <v>66</v>
      </c>
      <c r="O2" s="135" t="s">
        <v>64</v>
      </c>
      <c r="P2" s="135" t="s">
        <v>63</v>
      </c>
    </row>
    <row r="3" spans="1:32" ht="21.6" thickTop="1">
      <c r="A3" s="20" t="s">
        <v>5</v>
      </c>
      <c r="B3" s="12">
        <v>0.22005779283730761</v>
      </c>
      <c r="C3" s="12">
        <v>5.4357827262875309E-2</v>
      </c>
      <c r="D3" s="13">
        <v>4.928873780762971</v>
      </c>
      <c r="E3" s="21"/>
      <c r="F3" s="2"/>
      <c r="H3" s="135" t="s">
        <v>66</v>
      </c>
      <c r="I3" s="98">
        <v>3.9357984959583474</v>
      </c>
      <c r="J3" s="99">
        <v>-3.6940365633008926E-2</v>
      </c>
      <c r="K3" s="100">
        <v>-0.12998684768188531</v>
      </c>
      <c r="M3" s="135" t="s">
        <v>66</v>
      </c>
      <c r="N3" s="107">
        <f>I3/I3</f>
        <v>1</v>
      </c>
      <c r="O3" s="108">
        <f>J3/SQRT(I3*J4)</f>
        <v>-0.85104777754966188</v>
      </c>
      <c r="P3" s="109">
        <f>K3/SQRT(I3*K5)</f>
        <v>-0.73973727046718096</v>
      </c>
    </row>
    <row r="4" spans="1:32" ht="23.4">
      <c r="A4" s="22" t="s">
        <v>6</v>
      </c>
      <c r="B4" s="16">
        <v>0.46347249178791755</v>
      </c>
      <c r="C4" s="12">
        <v>2.48445576756848</v>
      </c>
      <c r="D4" s="14" t="e">
        <v>#N/A</v>
      </c>
      <c r="E4" s="21" t="s">
        <v>35</v>
      </c>
      <c r="F4" s="2"/>
      <c r="H4" s="135" t="s">
        <v>64</v>
      </c>
      <c r="I4" s="101">
        <v>-3.694036563300894E-2</v>
      </c>
      <c r="J4" s="102">
        <v>4.7869802998754983E-4</v>
      </c>
      <c r="K4" s="103">
        <v>5.9017550479009294E-4</v>
      </c>
      <c r="M4" s="135" t="s">
        <v>64</v>
      </c>
      <c r="N4" s="110">
        <f>O3</f>
        <v>-0.85104777754966188</v>
      </c>
      <c r="O4" s="111">
        <f>J4/J4</f>
        <v>1</v>
      </c>
      <c r="P4" s="112">
        <f>K4/SQRT(J4*K5)</f>
        <v>0.30454037380310328</v>
      </c>
    </row>
    <row r="5" spans="1:32" ht="21.6" thickBot="1">
      <c r="A5" s="22" t="s">
        <v>7</v>
      </c>
      <c r="B5" s="12">
        <v>3.8872679986078325</v>
      </c>
      <c r="C5" s="15">
        <v>9</v>
      </c>
      <c r="D5" s="14" t="e">
        <v>#N/A</v>
      </c>
      <c r="E5" s="21" t="s">
        <v>8</v>
      </c>
      <c r="F5" s="2"/>
      <c r="H5" s="135" t="s">
        <v>63</v>
      </c>
      <c r="I5" s="104">
        <v>-0.1299868476818852</v>
      </c>
      <c r="J5" s="105">
        <v>5.901755047900912E-4</v>
      </c>
      <c r="K5" s="106">
        <v>7.8453255026632498E-3</v>
      </c>
      <c r="M5" s="135" t="s">
        <v>63</v>
      </c>
      <c r="N5" s="113">
        <f>P3</f>
        <v>-0.73973727046718096</v>
      </c>
      <c r="O5" s="114">
        <f>P4</f>
        <v>0.30454037380310328</v>
      </c>
      <c r="P5" s="111">
        <f>K5/K5</f>
        <v>1</v>
      </c>
    </row>
    <row r="6" spans="1:32" ht="25.8" thickTop="1" thickBot="1">
      <c r="A6" s="23" t="s">
        <v>9</v>
      </c>
      <c r="B6" s="24">
        <v>47.98848251762805</v>
      </c>
      <c r="C6" s="24">
        <v>55.552684149038576</v>
      </c>
      <c r="D6" s="25" t="e">
        <v>#N/A</v>
      </c>
      <c r="E6" s="26" t="s">
        <v>3</v>
      </c>
      <c r="F6" s="29"/>
      <c r="H6" s="1" t="s">
        <v>0</v>
      </c>
      <c r="I6" s="138">
        <f>SQRT(C6/C5)</f>
        <v>2.48445576756848</v>
      </c>
      <c r="J6" s="48"/>
      <c r="P6" t="s">
        <v>0</v>
      </c>
    </row>
    <row r="7" spans="1:32" ht="22.2" thickTop="1" thickBot="1">
      <c r="C7" s="34" t="s">
        <v>41</v>
      </c>
      <c r="D7" s="35">
        <f>CORREL(A11:A22,D11:D22)</f>
        <v>0.68078814016396993</v>
      </c>
      <c r="E7" s="88">
        <f>D7*D7</f>
        <v>0.46347249178791716</v>
      </c>
    </row>
    <row r="8" spans="1:32" ht="21.6" thickTop="1">
      <c r="B8" s="6">
        <f>AVERAGE(B11:B22)</f>
        <v>62.541666666666664</v>
      </c>
      <c r="C8" s="6" t="s">
        <v>0</v>
      </c>
      <c r="D8" s="139"/>
      <c r="E8" s="88"/>
    </row>
    <row r="9" spans="1:32" ht="37.200000000000003">
      <c r="A9" s="6" t="s">
        <v>1</v>
      </c>
      <c r="B9" s="6" t="s">
        <v>32</v>
      </c>
      <c r="C9" s="6" t="s">
        <v>33</v>
      </c>
      <c r="D9" s="6" t="s">
        <v>36</v>
      </c>
      <c r="E9" s="9">
        <f>AVERAGE(D11:D22)</f>
        <v>32.071666666666665</v>
      </c>
      <c r="F9" s="2">
        <f>SUM(F11:F22)</f>
        <v>47.988482517628007</v>
      </c>
      <c r="H9" s="65" t="s">
        <v>1</v>
      </c>
      <c r="I9" s="66"/>
      <c r="J9" s="66"/>
      <c r="K9" s="65" t="s">
        <v>44</v>
      </c>
      <c r="L9" s="65"/>
      <c r="M9" s="65"/>
      <c r="N9" s="65" t="s">
        <v>45</v>
      </c>
    </row>
    <row r="10" spans="1:32" ht="21.6" thickBot="1">
      <c r="A10" s="6" t="s">
        <v>31</v>
      </c>
      <c r="B10" s="6" t="s">
        <v>29</v>
      </c>
      <c r="C10" s="6" t="s">
        <v>30</v>
      </c>
      <c r="D10" s="6" t="s">
        <v>37</v>
      </c>
      <c r="E10" s="6" t="s">
        <v>2</v>
      </c>
      <c r="F10" s="2"/>
    </row>
    <row r="11" spans="1:32" ht="25.2" thickTop="1">
      <c r="A11" s="11">
        <v>30.67</v>
      </c>
      <c r="B11" s="31">
        <v>58.8</v>
      </c>
      <c r="C11" s="32">
        <v>7.1070000000000002</v>
      </c>
      <c r="D11" s="27">
        <f>$D$2+$C$2*B11+$B$2*C11</f>
        <v>28.971120592425386</v>
      </c>
      <c r="E11" s="28">
        <f>A11-D11</f>
        <v>1.6988794075746156</v>
      </c>
      <c r="F11" s="2">
        <f>(D11-$E$9)^2</f>
        <v>9.6133859584930086</v>
      </c>
      <c r="H11" s="50">
        <v>30.67</v>
      </c>
      <c r="I11" s="49"/>
      <c r="J11" s="53">
        <v>1</v>
      </c>
      <c r="K11" s="54">
        <v>58.8</v>
      </c>
      <c r="L11" s="55">
        <v>7.1070000000000002</v>
      </c>
      <c r="N11" s="62" t="s">
        <v>38</v>
      </c>
    </row>
    <row r="12" spans="1:32" ht="24.6">
      <c r="A12" s="11">
        <v>28.28</v>
      </c>
      <c r="B12" s="31">
        <v>65.2</v>
      </c>
      <c r="C12" s="32">
        <v>6.3730000000000002</v>
      </c>
      <c r="D12" s="27">
        <f t="shared" ref="D12:D22" si="0">$D$2+$C$2*B12+$B$2*C12</f>
        <v>28.832527617802338</v>
      </c>
      <c r="E12" s="28">
        <f t="shared" ref="E12:E22" si="1">A12-D12</f>
        <v>-0.55252761780233683</v>
      </c>
      <c r="F12" s="2">
        <f t="shared" ref="F12:F22" si="2">(D12-$E$9)^2</f>
        <v>10.492021777877699</v>
      </c>
      <c r="H12" s="51">
        <v>28.28</v>
      </c>
      <c r="I12" s="49"/>
      <c r="J12" s="56">
        <v>1</v>
      </c>
      <c r="K12" s="57">
        <v>65.2</v>
      </c>
      <c r="L12" s="58">
        <v>6.3730000000000002</v>
      </c>
      <c r="N12" s="63" t="s">
        <v>39</v>
      </c>
      <c r="AF12" s="1" t="e">
        <f>AF25:AG27</f>
        <v>#VALUE!</v>
      </c>
    </row>
    <row r="13" spans="1:32" ht="25.2" thickBot="1">
      <c r="A13" s="11">
        <v>28.91</v>
      </c>
      <c r="B13" s="31">
        <v>70.900000000000006</v>
      </c>
      <c r="C13" s="32">
        <v>6.7960000000000003</v>
      </c>
      <c r="D13" s="27">
        <f t="shared" si="0"/>
        <v>29.369647220684875</v>
      </c>
      <c r="E13" s="28">
        <f t="shared" si="1"/>
        <v>-0.45964722068487518</v>
      </c>
      <c r="F13" s="2">
        <f t="shared" si="2"/>
        <v>7.30090908646374</v>
      </c>
      <c r="H13" s="51">
        <v>28.91</v>
      </c>
      <c r="I13" s="49"/>
      <c r="J13" s="56">
        <v>1</v>
      </c>
      <c r="K13" s="57">
        <v>70.900000000000006</v>
      </c>
      <c r="L13" s="58">
        <v>6.7960000000000003</v>
      </c>
      <c r="N13" s="64" t="s">
        <v>40</v>
      </c>
    </row>
    <row r="14" spans="1:32" ht="24" thickTop="1">
      <c r="A14" s="11">
        <v>29.94</v>
      </c>
      <c r="B14" s="31">
        <v>77.400000000000006</v>
      </c>
      <c r="C14" s="32">
        <v>9.2080000000000002</v>
      </c>
      <c r="D14" s="27">
        <f t="shared" si="0"/>
        <v>31.165957738710016</v>
      </c>
      <c r="E14" s="28">
        <f t="shared" si="1"/>
        <v>-1.2259577387100151</v>
      </c>
      <c r="F14" s="2">
        <f t="shared" si="2"/>
        <v>0.82030866218038245</v>
      </c>
      <c r="H14" s="51">
        <v>29.94</v>
      </c>
      <c r="I14" s="49"/>
      <c r="J14" s="56">
        <v>1</v>
      </c>
      <c r="K14" s="57">
        <v>77.400000000000006</v>
      </c>
      <c r="L14" s="58">
        <v>9.2080000000000002</v>
      </c>
    </row>
    <row r="15" spans="1:32" ht="23.4">
      <c r="A15" s="11">
        <v>30.82</v>
      </c>
      <c r="B15" s="31">
        <v>79.3</v>
      </c>
      <c r="C15" s="32">
        <v>14.792</v>
      </c>
      <c r="D15" s="27">
        <f t="shared" si="0"/>
        <v>34.684212478970146</v>
      </c>
      <c r="E15" s="28">
        <f t="shared" si="1"/>
        <v>-3.8642124789701455</v>
      </c>
      <c r="F15" s="2">
        <f t="shared" si="2"/>
        <v>6.8253956213844518</v>
      </c>
      <c r="H15" s="51">
        <v>30.82</v>
      </c>
      <c r="I15" s="49"/>
      <c r="J15" s="56">
        <v>1</v>
      </c>
      <c r="K15" s="57">
        <v>79.3</v>
      </c>
      <c r="L15" s="58">
        <v>14.792</v>
      </c>
    </row>
    <row r="16" spans="1:32" ht="23.4">
      <c r="A16" s="11">
        <v>38.979999999999997</v>
      </c>
      <c r="B16" s="31">
        <v>81</v>
      </c>
      <c r="C16" s="32">
        <v>14.564</v>
      </c>
      <c r="D16" s="27">
        <f t="shared" si="0"/>
        <v>34.627134446475452</v>
      </c>
      <c r="E16" s="28">
        <f t="shared" si="1"/>
        <v>4.3528655535245449</v>
      </c>
      <c r="F16" s="2">
        <f t="shared" si="2"/>
        <v>6.5304155736408491</v>
      </c>
      <c r="H16" s="51">
        <v>38.979999999999997</v>
      </c>
      <c r="I16" s="49"/>
      <c r="J16" s="56">
        <v>1</v>
      </c>
      <c r="K16" s="57">
        <v>81</v>
      </c>
      <c r="L16" s="58">
        <v>14.564</v>
      </c>
    </row>
    <row r="17" spans="1:39" ht="23.4">
      <c r="A17" s="11">
        <v>35.020000000000003</v>
      </c>
      <c r="B17" s="31">
        <v>71.900000000000006</v>
      </c>
      <c r="C17" s="32">
        <v>11.964</v>
      </c>
      <c r="D17" s="27">
        <f t="shared" si="0"/>
        <v>32.588857155203335</v>
      </c>
      <c r="E17" s="28">
        <f t="shared" si="1"/>
        <v>2.4311428447966676</v>
      </c>
      <c r="F17" s="2">
        <f t="shared" si="2"/>
        <v>0.26748600143279944</v>
      </c>
      <c r="H17" s="51">
        <v>35.020000000000003</v>
      </c>
      <c r="I17" s="49"/>
      <c r="J17" s="56">
        <v>1</v>
      </c>
      <c r="K17" s="57">
        <v>71.900000000000006</v>
      </c>
      <c r="L17" s="58">
        <v>11.964</v>
      </c>
    </row>
    <row r="18" spans="1:39" ht="23.4">
      <c r="A18" s="11">
        <v>30.6</v>
      </c>
      <c r="B18" s="31">
        <v>63.9</v>
      </c>
      <c r="C18" s="32">
        <v>13.526</v>
      </c>
      <c r="D18" s="27">
        <f t="shared" si="0"/>
        <v>33.157491352613462</v>
      </c>
      <c r="E18" s="28">
        <f t="shared" si="1"/>
        <v>-2.5574913526134608</v>
      </c>
      <c r="F18" s="2">
        <f t="shared" si="2"/>
        <v>1.17901524861146</v>
      </c>
      <c r="H18" s="51">
        <v>30.6</v>
      </c>
      <c r="I18" s="49"/>
      <c r="J18" s="56">
        <v>1</v>
      </c>
      <c r="K18" s="57">
        <v>63.9</v>
      </c>
      <c r="L18" s="58">
        <v>13.526</v>
      </c>
    </row>
    <row r="19" spans="1:39" ht="23.4">
      <c r="A19" s="11">
        <v>32.11</v>
      </c>
      <c r="B19" s="31">
        <v>54.5</v>
      </c>
      <c r="C19" s="32">
        <v>12.656000000000001</v>
      </c>
      <c r="D19" s="27">
        <f t="shared" si="0"/>
        <v>32.165936928530179</v>
      </c>
      <c r="E19" s="28">
        <f t="shared" si="1"/>
        <v>-5.5936928530179841E-2</v>
      </c>
      <c r="F19" s="2">
        <f t="shared" si="2"/>
        <v>8.8868822718154716E-3</v>
      </c>
      <c r="H19" s="51">
        <v>32.11</v>
      </c>
      <c r="I19" s="49"/>
      <c r="J19" s="56">
        <v>1</v>
      </c>
      <c r="K19" s="57">
        <v>54.5</v>
      </c>
      <c r="L19" s="58">
        <v>12.656000000000001</v>
      </c>
    </row>
    <row r="20" spans="1:39" ht="23.4">
      <c r="A20" s="11">
        <v>32.86</v>
      </c>
      <c r="B20" s="31">
        <v>39.5</v>
      </c>
      <c r="C20" s="32">
        <v>14.119</v>
      </c>
      <c r="D20" s="27">
        <f t="shared" si="0"/>
        <v>32.332906096522535</v>
      </c>
      <c r="E20" s="28">
        <f t="shared" si="1"/>
        <v>0.52709390347746421</v>
      </c>
      <c r="F20" s="2">
        <f t="shared" si="2"/>
        <v>6.8246039711419917E-2</v>
      </c>
      <c r="H20" s="51">
        <v>32.86</v>
      </c>
      <c r="I20" s="49"/>
      <c r="J20" s="56">
        <v>1</v>
      </c>
      <c r="K20" s="57">
        <v>39.5</v>
      </c>
      <c r="L20" s="58">
        <v>14.119</v>
      </c>
    </row>
    <row r="21" spans="1:39" ht="23.4">
      <c r="A21" s="11">
        <v>35.42</v>
      </c>
      <c r="B21" s="31">
        <v>44.5</v>
      </c>
      <c r="C21" s="32">
        <v>16.690999999999999</v>
      </c>
      <c r="D21" s="27">
        <f t="shared" si="0"/>
        <v>34.154318316163206</v>
      </c>
      <c r="E21" s="28">
        <f t="shared" si="1"/>
        <v>1.2656816838367959</v>
      </c>
      <c r="F21" s="2">
        <f t="shared" si="2"/>
        <v>4.3374378931506605</v>
      </c>
      <c r="H21" s="51">
        <v>35.42</v>
      </c>
      <c r="I21" s="49"/>
      <c r="J21" s="56">
        <v>1</v>
      </c>
      <c r="K21" s="57">
        <v>44.5</v>
      </c>
      <c r="L21" s="58">
        <v>16.690999999999999</v>
      </c>
    </row>
    <row r="22" spans="1:39" ht="24" thickBot="1">
      <c r="A22" s="11">
        <v>31.25</v>
      </c>
      <c r="B22" s="31">
        <v>43.6</v>
      </c>
      <c r="C22" s="32">
        <v>14.571</v>
      </c>
      <c r="D22" s="27">
        <f t="shared" si="0"/>
        <v>32.809890055899025</v>
      </c>
      <c r="E22" s="28">
        <f t="shared" si="1"/>
        <v>-1.5598900558990252</v>
      </c>
      <c r="F22" s="2">
        <f t="shared" si="2"/>
        <v>0.54497377240971212</v>
      </c>
      <c r="H22" s="52">
        <v>31.25</v>
      </c>
      <c r="I22" s="49"/>
      <c r="J22" s="59">
        <v>1</v>
      </c>
      <c r="K22" s="60">
        <v>43.6</v>
      </c>
      <c r="L22" s="61">
        <v>14.571</v>
      </c>
    </row>
    <row r="23" spans="1:39" ht="43.2" thickTop="1">
      <c r="O23" s="65" t="s">
        <v>46</v>
      </c>
      <c r="W23" s="65" t="s">
        <v>44</v>
      </c>
      <c r="Y23" s="65" t="s">
        <v>47</v>
      </c>
      <c r="AA23" s="65" t="s">
        <v>48</v>
      </c>
      <c r="AD23" s="65" t="s">
        <v>49</v>
      </c>
      <c r="AG23" s="65" t="s">
        <v>50</v>
      </c>
      <c r="AJ23" s="65" t="s">
        <v>50</v>
      </c>
      <c r="AK23" s="65" t="s">
        <v>49</v>
      </c>
      <c r="AL23" s="65" t="s">
        <v>47</v>
      </c>
      <c r="AM23" s="65" t="s">
        <v>45</v>
      </c>
    </row>
    <row r="24" spans="1:39" ht="21.6" thickBot="1"/>
    <row r="25" spans="1:39" ht="25.2" thickTop="1">
      <c r="I25" s="53">
        <v>1</v>
      </c>
      <c r="J25" s="67">
        <v>1</v>
      </c>
      <c r="K25" s="67">
        <v>1</v>
      </c>
      <c r="L25" s="67">
        <v>1</v>
      </c>
      <c r="M25" s="67">
        <v>1</v>
      </c>
      <c r="N25" s="67">
        <v>1</v>
      </c>
      <c r="O25" s="67">
        <v>1</v>
      </c>
      <c r="P25" s="67">
        <v>1</v>
      </c>
      <c r="Q25" s="67">
        <v>1</v>
      </c>
      <c r="R25" s="67">
        <v>1</v>
      </c>
      <c r="S25" s="67">
        <v>1</v>
      </c>
      <c r="T25" s="68">
        <v>1</v>
      </c>
      <c r="V25" s="53">
        <v>1</v>
      </c>
      <c r="W25" s="54">
        <v>58.8</v>
      </c>
      <c r="X25" s="55">
        <v>7.1070000000000002</v>
      </c>
      <c r="Z25" s="76">
        <f t="array" ref="Z25:AB27">MMULT(I25:T27,V25:X36)</f>
        <v>12</v>
      </c>
      <c r="AA25" s="77">
        <v>750.5</v>
      </c>
      <c r="AB25" s="78">
        <v>142.36700000000002</v>
      </c>
      <c r="AD25" s="73">
        <f t="array" ref="AD25:AD27">MMULT(I25:T27,H11:H22)</f>
        <v>384.86</v>
      </c>
      <c r="AF25" s="89">
        <f t="array" ref="AF25:AH27">MINVERSE(Z25:AB27)</f>
        <v>3.9357984959583474</v>
      </c>
      <c r="AG25" s="90">
        <v>-3.6940365633008926E-2</v>
      </c>
      <c r="AH25" s="91">
        <v>-0.12998684768188531</v>
      </c>
      <c r="AK25" s="85">
        <f t="array" ref="AK25:AK27">MMULT(AF25:AH27,AD25:AD27)</f>
        <v>21.747252109101396</v>
      </c>
      <c r="AL25" s="2"/>
      <c r="AM25" s="62" t="s">
        <v>38</v>
      </c>
    </row>
    <row r="26" spans="1:39" ht="24.6">
      <c r="I26" s="69">
        <v>58.8</v>
      </c>
      <c r="J26" s="57">
        <v>65.2</v>
      </c>
      <c r="K26" s="57">
        <v>70.900000000000006</v>
      </c>
      <c r="L26" s="57">
        <v>77.400000000000006</v>
      </c>
      <c r="M26" s="57">
        <v>79.3</v>
      </c>
      <c r="N26" s="57">
        <v>81</v>
      </c>
      <c r="O26" s="57">
        <v>71.900000000000006</v>
      </c>
      <c r="P26" s="57">
        <v>63.9</v>
      </c>
      <c r="Q26" s="57">
        <v>54.5</v>
      </c>
      <c r="R26" s="57">
        <v>39.5</v>
      </c>
      <c r="S26" s="57">
        <v>44.5</v>
      </c>
      <c r="T26" s="70">
        <v>43.6</v>
      </c>
      <c r="V26" s="56">
        <v>1</v>
      </c>
      <c r="W26" s="57">
        <v>65.2</v>
      </c>
      <c r="X26" s="58">
        <v>6.3730000000000002</v>
      </c>
      <c r="Z26" s="79">
        <v>750.5</v>
      </c>
      <c r="AA26" s="80">
        <v>49240.07</v>
      </c>
      <c r="AB26" s="81">
        <v>8730.6569999999992</v>
      </c>
      <c r="AD26" s="74">
        <v>24075.665999999997</v>
      </c>
      <c r="AF26" s="92">
        <v>-3.694036563300894E-2</v>
      </c>
      <c r="AG26" s="93">
        <v>4.7869802998754983E-4</v>
      </c>
      <c r="AH26" s="94">
        <v>5.9017550479009294E-4</v>
      </c>
      <c r="AK26" s="86">
        <v>4.8704246154438025E-2</v>
      </c>
      <c r="AL26" s="2"/>
      <c r="AM26" s="63" t="s">
        <v>39</v>
      </c>
    </row>
    <row r="27" spans="1:39" ht="25.2" thickBot="1">
      <c r="I27" s="71">
        <v>7.1070000000000002</v>
      </c>
      <c r="J27" s="72">
        <v>6.3730000000000002</v>
      </c>
      <c r="K27" s="72">
        <v>6.7960000000000003</v>
      </c>
      <c r="L27" s="72">
        <v>9.2080000000000002</v>
      </c>
      <c r="M27" s="72">
        <v>14.792</v>
      </c>
      <c r="N27" s="72">
        <v>14.564</v>
      </c>
      <c r="O27" s="72">
        <v>11.964</v>
      </c>
      <c r="P27" s="72">
        <v>13.526</v>
      </c>
      <c r="Q27" s="72">
        <v>12.656000000000001</v>
      </c>
      <c r="R27" s="72">
        <v>14.119</v>
      </c>
      <c r="S27" s="72">
        <v>16.690999999999999</v>
      </c>
      <c r="T27" s="61">
        <v>14.571</v>
      </c>
      <c r="V27" s="56">
        <v>1</v>
      </c>
      <c r="W27" s="57">
        <v>70.900000000000006</v>
      </c>
      <c r="X27" s="58">
        <v>6.7960000000000003</v>
      </c>
      <c r="Z27" s="82">
        <v>142.36700000000002</v>
      </c>
      <c r="AA27" s="83">
        <v>8730.6569999999992</v>
      </c>
      <c r="AB27" s="84">
        <v>1829.524809</v>
      </c>
      <c r="AD27" s="75">
        <v>4643.7025199999998</v>
      </c>
      <c r="AF27" s="95">
        <v>-0.1299868476818852</v>
      </c>
      <c r="AG27" s="96">
        <v>5.901755047900912E-4</v>
      </c>
      <c r="AH27" s="97">
        <v>7.8453255026632498E-3</v>
      </c>
      <c r="AK27" s="87">
        <v>0.61348794279489027</v>
      </c>
      <c r="AL27" s="2"/>
      <c r="AM27" s="64" t="s">
        <v>40</v>
      </c>
    </row>
    <row r="28" spans="1:39" ht="24" thickTop="1">
      <c r="V28" s="56">
        <v>1</v>
      </c>
      <c r="W28" s="57">
        <v>77.400000000000006</v>
      </c>
      <c r="X28" s="58">
        <v>9.2080000000000002</v>
      </c>
    </row>
    <row r="29" spans="1:39" ht="23.4">
      <c r="V29" s="56">
        <v>1</v>
      </c>
      <c r="W29" s="57">
        <v>79.3</v>
      </c>
      <c r="X29" s="58">
        <v>14.792</v>
      </c>
    </row>
    <row r="30" spans="1:39" ht="23.4">
      <c r="V30" s="56">
        <v>1</v>
      </c>
      <c r="W30" s="57">
        <v>81</v>
      </c>
      <c r="X30" s="58">
        <v>14.564</v>
      </c>
    </row>
    <row r="31" spans="1:39" ht="23.4">
      <c r="V31" s="56">
        <v>1</v>
      </c>
      <c r="W31" s="57">
        <v>71.900000000000006</v>
      </c>
      <c r="X31" s="58">
        <v>11.964</v>
      </c>
    </row>
    <row r="32" spans="1:39" ht="23.4">
      <c r="V32" s="56">
        <v>1</v>
      </c>
      <c r="W32" s="57">
        <v>63.9</v>
      </c>
      <c r="X32" s="58">
        <v>13.526</v>
      </c>
    </row>
    <row r="33" spans="22:24" ht="23.4">
      <c r="V33" s="56">
        <v>1</v>
      </c>
      <c r="W33" s="57">
        <v>54.5</v>
      </c>
      <c r="X33" s="58">
        <v>12.656000000000001</v>
      </c>
    </row>
    <row r="34" spans="22:24" ht="23.4">
      <c r="V34" s="56">
        <v>1</v>
      </c>
      <c r="W34" s="57">
        <v>39.5</v>
      </c>
      <c r="X34" s="58">
        <v>14.119</v>
      </c>
    </row>
    <row r="35" spans="22:24" ht="23.4">
      <c r="V35" s="56">
        <v>1</v>
      </c>
      <c r="W35" s="57">
        <v>44.5</v>
      </c>
      <c r="X35" s="58">
        <v>16.690999999999999</v>
      </c>
    </row>
    <row r="36" spans="22:24" ht="24" thickBot="1">
      <c r="V36" s="59">
        <v>1</v>
      </c>
      <c r="W36" s="60">
        <v>43.6</v>
      </c>
      <c r="X36" s="61">
        <v>14.571</v>
      </c>
    </row>
    <row r="37" spans="22:24" ht="21.6" thickTop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Q18"/>
  <sheetViews>
    <sheetView workbookViewId="0">
      <selection activeCell="D28" sqref="D28"/>
    </sheetView>
  </sheetViews>
  <sheetFormatPr defaultRowHeight="14.4"/>
  <cols>
    <col min="1" max="1" width="18" customWidth="1"/>
  </cols>
  <sheetData>
    <row r="1" spans="1:17" ht="15">
      <c r="A1" s="7" t="s">
        <v>11</v>
      </c>
      <c r="H1" t="s">
        <v>29</v>
      </c>
      <c r="M1" t="s">
        <v>30</v>
      </c>
      <c r="Q1" t="s">
        <v>31</v>
      </c>
    </row>
    <row r="2" spans="1:17" ht="15">
      <c r="A2" s="7" t="s">
        <v>12</v>
      </c>
      <c r="H2" s="7">
        <v>58.8</v>
      </c>
      <c r="I2" s="1">
        <f>M2/1000</f>
        <v>7.1070000000000002</v>
      </c>
      <c r="J2">
        <f>Q2/100</f>
        <v>30.67</v>
      </c>
      <c r="M2" s="7">
        <v>7107</v>
      </c>
      <c r="Q2" s="7">
        <v>3067</v>
      </c>
    </row>
    <row r="3" spans="1:17" ht="15">
      <c r="A3" s="7" t="s">
        <v>13</v>
      </c>
      <c r="H3" s="7">
        <v>65.2</v>
      </c>
      <c r="I3" s="1">
        <f t="shared" ref="I3:I18" si="0">M3/1000</f>
        <v>6.3730000000000002</v>
      </c>
      <c r="J3">
        <f t="shared" ref="J3:J18" si="1">Q3/100</f>
        <v>28.28</v>
      </c>
      <c r="M3" s="7">
        <v>6373</v>
      </c>
      <c r="Q3" s="7">
        <v>2828</v>
      </c>
    </row>
    <row r="4" spans="1:17" ht="15">
      <c r="A4" s="7" t="s">
        <v>14</v>
      </c>
      <c r="H4" s="7">
        <v>70.900000000000006</v>
      </c>
      <c r="I4" s="1">
        <f t="shared" si="0"/>
        <v>6.7960000000000003</v>
      </c>
      <c r="J4">
        <f t="shared" si="1"/>
        <v>28.91</v>
      </c>
      <c r="M4" s="7">
        <v>6796</v>
      </c>
      <c r="Q4" s="7">
        <v>2891</v>
      </c>
    </row>
    <row r="5" spans="1:17" ht="15">
      <c r="A5" s="7" t="s">
        <v>15</v>
      </c>
      <c r="H5" s="7">
        <v>77.400000000000006</v>
      </c>
      <c r="I5" s="1">
        <f t="shared" si="0"/>
        <v>9.2080000000000002</v>
      </c>
      <c r="J5">
        <f t="shared" si="1"/>
        <v>29.94</v>
      </c>
      <c r="M5" s="7">
        <v>9208</v>
      </c>
      <c r="Q5" s="7">
        <v>2994</v>
      </c>
    </row>
    <row r="6" spans="1:17" ht="15">
      <c r="A6" s="7" t="s">
        <v>16</v>
      </c>
      <c r="H6" s="7">
        <v>79.3</v>
      </c>
      <c r="I6" s="1">
        <f t="shared" si="0"/>
        <v>14.792</v>
      </c>
      <c r="J6">
        <f t="shared" si="1"/>
        <v>30.82</v>
      </c>
      <c r="M6" s="7">
        <v>14792</v>
      </c>
      <c r="Q6" s="7">
        <v>3082</v>
      </c>
    </row>
    <row r="7" spans="1:17" ht="15">
      <c r="A7" s="7" t="s">
        <v>17</v>
      </c>
      <c r="H7" s="7">
        <v>81</v>
      </c>
      <c r="I7" s="1">
        <f t="shared" si="0"/>
        <v>14.564</v>
      </c>
      <c r="J7">
        <f t="shared" si="1"/>
        <v>38.979999999999997</v>
      </c>
      <c r="M7" s="7">
        <v>14564</v>
      </c>
      <c r="Q7" s="7">
        <v>3898</v>
      </c>
    </row>
    <row r="8" spans="1:17" ht="15">
      <c r="A8" s="7" t="s">
        <v>18</v>
      </c>
      <c r="H8" s="7">
        <v>71.900000000000006</v>
      </c>
      <c r="I8" s="1">
        <f t="shared" si="0"/>
        <v>11.964</v>
      </c>
      <c r="J8">
        <f t="shared" si="1"/>
        <v>35.020000000000003</v>
      </c>
      <c r="M8" s="7">
        <v>11964</v>
      </c>
      <c r="Q8" s="7">
        <v>3502</v>
      </c>
    </row>
    <row r="9" spans="1:17" ht="15">
      <c r="A9" s="7" t="s">
        <v>19</v>
      </c>
      <c r="H9" s="7">
        <v>63.9</v>
      </c>
      <c r="I9" s="1">
        <f t="shared" si="0"/>
        <v>13.526</v>
      </c>
      <c r="J9">
        <f t="shared" si="1"/>
        <v>30.6</v>
      </c>
      <c r="M9" s="7">
        <v>13526</v>
      </c>
      <c r="Q9" s="7">
        <v>3060</v>
      </c>
    </row>
    <row r="10" spans="1:17" ht="15">
      <c r="A10" s="7" t="s">
        <v>20</v>
      </c>
      <c r="H10" s="7">
        <v>54.5</v>
      </c>
      <c r="I10" s="1">
        <f t="shared" si="0"/>
        <v>12.656000000000001</v>
      </c>
      <c r="J10">
        <f t="shared" si="1"/>
        <v>32.11</v>
      </c>
      <c r="M10" s="7">
        <v>12656</v>
      </c>
      <c r="Q10" s="7">
        <v>3211</v>
      </c>
    </row>
    <row r="11" spans="1:17" ht="15">
      <c r="A11" s="7" t="s">
        <v>21</v>
      </c>
      <c r="H11" s="7">
        <v>39.5</v>
      </c>
      <c r="I11" s="1">
        <f t="shared" si="0"/>
        <v>14.119</v>
      </c>
      <c r="J11">
        <f t="shared" si="1"/>
        <v>32.86</v>
      </c>
      <c r="M11" s="7">
        <v>14119</v>
      </c>
      <c r="Q11" s="7">
        <v>3286</v>
      </c>
    </row>
    <row r="12" spans="1:17" ht="15">
      <c r="A12" s="7" t="s">
        <v>22</v>
      </c>
      <c r="H12" s="7">
        <v>44.5</v>
      </c>
      <c r="I12" s="1">
        <f t="shared" si="0"/>
        <v>16.690999999999999</v>
      </c>
      <c r="J12">
        <f t="shared" si="1"/>
        <v>35.42</v>
      </c>
      <c r="M12" s="7">
        <v>16691</v>
      </c>
      <c r="Q12" s="7">
        <v>3542</v>
      </c>
    </row>
    <row r="13" spans="1:17" ht="15">
      <c r="A13" s="7" t="s">
        <v>23</v>
      </c>
      <c r="H13" s="7">
        <v>43.6</v>
      </c>
      <c r="I13" s="1">
        <f t="shared" si="0"/>
        <v>14.571</v>
      </c>
      <c r="J13">
        <f t="shared" si="1"/>
        <v>31.25</v>
      </c>
      <c r="M13" s="7">
        <v>14571</v>
      </c>
      <c r="Q13" s="7">
        <v>3125</v>
      </c>
    </row>
    <row r="14" spans="1:17" ht="15">
      <c r="A14" s="7" t="s">
        <v>24</v>
      </c>
      <c r="H14" s="7" t="s">
        <v>24</v>
      </c>
      <c r="I14" t="e">
        <f t="shared" si="0"/>
        <v>#VALUE!</v>
      </c>
      <c r="J14" t="e">
        <f t="shared" si="1"/>
        <v>#VALUE!</v>
      </c>
      <c r="M14" s="7" t="s">
        <v>24</v>
      </c>
      <c r="Q14" s="7" t="s">
        <v>24</v>
      </c>
    </row>
    <row r="15" spans="1:17" ht="15">
      <c r="A15" s="7" t="s">
        <v>25</v>
      </c>
      <c r="H15" s="7" t="s">
        <v>25</v>
      </c>
      <c r="I15" t="e">
        <f t="shared" si="0"/>
        <v>#VALUE!</v>
      </c>
      <c r="J15" t="e">
        <f t="shared" si="1"/>
        <v>#VALUE!</v>
      </c>
      <c r="M15" s="7" t="s">
        <v>25</v>
      </c>
      <c r="Q15" s="7" t="s">
        <v>25</v>
      </c>
    </row>
    <row r="16" spans="1:17" ht="15">
      <c r="A16" s="7" t="s">
        <v>26</v>
      </c>
      <c r="H16" s="7" t="s">
        <v>26</v>
      </c>
      <c r="I16" t="e">
        <f t="shared" si="0"/>
        <v>#VALUE!</v>
      </c>
      <c r="J16" t="e">
        <f t="shared" si="1"/>
        <v>#VALUE!</v>
      </c>
      <c r="M16" s="7" t="s">
        <v>26</v>
      </c>
      <c r="Q16" s="7" t="s">
        <v>26</v>
      </c>
    </row>
    <row r="17" spans="1:17" ht="15">
      <c r="A17" s="7" t="s">
        <v>27</v>
      </c>
      <c r="H17" s="7" t="s">
        <v>27</v>
      </c>
      <c r="I17" t="e">
        <f t="shared" si="0"/>
        <v>#VALUE!</v>
      </c>
      <c r="J17" t="e">
        <f t="shared" si="1"/>
        <v>#VALUE!</v>
      </c>
      <c r="M17" s="7" t="s">
        <v>27</v>
      </c>
      <c r="Q17" s="7" t="s">
        <v>27</v>
      </c>
    </row>
    <row r="18" spans="1:17" ht="15">
      <c r="A18" s="7" t="s">
        <v>28</v>
      </c>
      <c r="H18" s="7" t="s">
        <v>28</v>
      </c>
      <c r="I18" t="e">
        <f t="shared" si="0"/>
        <v>#VALUE!</v>
      </c>
      <c r="J18" t="e">
        <f t="shared" si="1"/>
        <v>#VALUE!</v>
      </c>
      <c r="M18" s="7" t="s">
        <v>28</v>
      </c>
      <c r="Q18" s="7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2:K21"/>
  <sheetViews>
    <sheetView workbookViewId="0">
      <selection sqref="A1:XFD1048576"/>
    </sheetView>
  </sheetViews>
  <sheetFormatPr defaultRowHeight="21"/>
  <cols>
    <col min="1" max="3" width="27.6640625" style="6" customWidth="1"/>
    <col min="4" max="4" width="17.5546875" bestFit="1" customWidth="1"/>
  </cols>
  <sheetData>
    <row r="2" spans="1:11">
      <c r="A2" s="9" t="s">
        <v>34</v>
      </c>
      <c r="B2" s="9">
        <f t="array" ref="B2:D6">LINEST(A10:A21,B10:C21,TRUE,TRUE)</f>
        <v>0.61348794279489616</v>
      </c>
      <c r="C2" s="9">
        <v>4.870424615443824E-2</v>
      </c>
      <c r="D2" s="3">
        <v>21.74725210910109</v>
      </c>
      <c r="E2" s="2" t="s">
        <v>4</v>
      </c>
      <c r="K2" t="s">
        <v>0</v>
      </c>
    </row>
    <row r="3" spans="1:11">
      <c r="A3" s="9" t="s">
        <v>5</v>
      </c>
      <c r="B3" s="9">
        <v>0.22005779283730761</v>
      </c>
      <c r="C3" s="9">
        <v>5.4357827262875309E-2</v>
      </c>
      <c r="D3" s="3">
        <v>4.928873780762971</v>
      </c>
      <c r="E3" s="2"/>
      <c r="F3" s="2"/>
    </row>
    <row r="4" spans="1:11" ht="23.4">
      <c r="A4" s="6" t="s">
        <v>6</v>
      </c>
      <c r="B4" s="10">
        <v>0.46347249178791755</v>
      </c>
      <c r="C4" s="9">
        <v>2.48445576756848</v>
      </c>
      <c r="D4" s="2" t="e">
        <v>#N/A</v>
      </c>
      <c r="E4" s="2" t="s">
        <v>35</v>
      </c>
      <c r="F4" s="2"/>
    </row>
    <row r="5" spans="1:11">
      <c r="A5" s="6" t="s">
        <v>7</v>
      </c>
      <c r="B5" s="9">
        <v>3.8872679986078325</v>
      </c>
      <c r="C5" s="6">
        <v>9</v>
      </c>
      <c r="D5" s="2" t="e">
        <v>#N/A</v>
      </c>
      <c r="E5" s="2" t="s">
        <v>8</v>
      </c>
      <c r="F5" s="2"/>
    </row>
    <row r="6" spans="1:11">
      <c r="A6" s="6" t="s">
        <v>9</v>
      </c>
      <c r="B6" s="9">
        <v>47.98848251762805</v>
      </c>
      <c r="C6" s="9">
        <v>55.552684149038576</v>
      </c>
      <c r="D6" s="2" t="e">
        <v>#N/A</v>
      </c>
      <c r="E6" s="2" t="s">
        <v>3</v>
      </c>
      <c r="F6" s="2"/>
      <c r="K6" s="1" t="s">
        <v>0</v>
      </c>
    </row>
    <row r="8" spans="1:11" ht="24.6">
      <c r="A8" s="6" t="s">
        <v>1</v>
      </c>
      <c r="B8" s="6" t="s">
        <v>32</v>
      </c>
      <c r="C8" s="6" t="s">
        <v>33</v>
      </c>
    </row>
    <row r="9" spans="1:11">
      <c r="A9" s="6" t="s">
        <v>31</v>
      </c>
      <c r="B9" s="6" t="s">
        <v>29</v>
      </c>
      <c r="C9" s="6" t="s">
        <v>30</v>
      </c>
    </row>
    <row r="10" spans="1:11" ht="23.4">
      <c r="A10" s="6">
        <v>30.67</v>
      </c>
      <c r="B10" s="8">
        <v>58.8</v>
      </c>
      <c r="C10" s="9">
        <v>7.1070000000000002</v>
      </c>
    </row>
    <row r="11" spans="1:11" ht="23.4">
      <c r="A11" s="6">
        <v>28.28</v>
      </c>
      <c r="B11" s="8">
        <v>65.2</v>
      </c>
      <c r="C11" s="9">
        <v>6.3730000000000002</v>
      </c>
    </row>
    <row r="12" spans="1:11" ht="23.4">
      <c r="A12" s="6">
        <v>28.91</v>
      </c>
      <c r="B12" s="8">
        <v>70.900000000000006</v>
      </c>
      <c r="C12" s="9">
        <v>6.7960000000000003</v>
      </c>
    </row>
    <row r="13" spans="1:11" ht="23.4">
      <c r="A13" s="6">
        <v>29.94</v>
      </c>
      <c r="B13" s="8">
        <v>77.400000000000006</v>
      </c>
      <c r="C13" s="9">
        <v>9.2080000000000002</v>
      </c>
    </row>
    <row r="14" spans="1:11" ht="23.4">
      <c r="A14" s="6">
        <v>30.82</v>
      </c>
      <c r="B14" s="8">
        <v>79.3</v>
      </c>
      <c r="C14" s="9">
        <v>14.792</v>
      </c>
    </row>
    <row r="15" spans="1:11" ht="23.4">
      <c r="A15" s="6">
        <v>38.979999999999997</v>
      </c>
      <c r="B15" s="8">
        <v>81</v>
      </c>
      <c r="C15" s="9">
        <v>14.564</v>
      </c>
    </row>
    <row r="16" spans="1:11" ht="23.4">
      <c r="A16" s="6">
        <v>35.020000000000003</v>
      </c>
      <c r="B16" s="8">
        <v>71.900000000000006</v>
      </c>
      <c r="C16" s="9">
        <v>11.964</v>
      </c>
    </row>
    <row r="17" spans="1:3" ht="23.4">
      <c r="A17" s="6">
        <v>30.6</v>
      </c>
      <c r="B17" s="8">
        <v>63.9</v>
      </c>
      <c r="C17" s="9">
        <v>13.526</v>
      </c>
    </row>
    <row r="18" spans="1:3" ht="23.4">
      <c r="A18" s="6">
        <v>32.11</v>
      </c>
      <c r="B18" s="8">
        <v>54.5</v>
      </c>
      <c r="C18" s="9">
        <v>12.656000000000001</v>
      </c>
    </row>
    <row r="19" spans="1:3" ht="23.4">
      <c r="A19" s="6">
        <v>32.86</v>
      </c>
      <c r="B19" s="8">
        <v>39.5</v>
      </c>
      <c r="C19" s="9">
        <v>14.119</v>
      </c>
    </row>
    <row r="20" spans="1:3" ht="23.4">
      <c r="A20" s="6">
        <v>35.42</v>
      </c>
      <c r="B20" s="8">
        <v>44.5</v>
      </c>
      <c r="C20" s="9">
        <v>16.690999999999999</v>
      </c>
    </row>
    <row r="21" spans="1:3" ht="23.4">
      <c r="A21" s="6">
        <v>31.25</v>
      </c>
      <c r="B21" s="8">
        <v>43.6</v>
      </c>
      <c r="C21" s="9">
        <v>14.571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O105"/>
  <sheetViews>
    <sheetView zoomScale="105" zoomScaleNormal="105" workbookViewId="0">
      <selection activeCell="K3" sqref="K3"/>
    </sheetView>
  </sheetViews>
  <sheetFormatPr defaultRowHeight="14.4"/>
  <cols>
    <col min="1" max="2" width="10.44140625" customWidth="1"/>
    <col min="3" max="3" width="17.33203125" customWidth="1"/>
    <col min="4" max="4" width="13.33203125" customWidth="1"/>
    <col min="5" max="5" width="11.44140625" customWidth="1"/>
    <col min="14" max="15" width="9.77734375" bestFit="1" customWidth="1"/>
  </cols>
  <sheetData>
    <row r="1" spans="1:15" ht="24.6">
      <c r="A1" s="2" t="s">
        <v>52</v>
      </c>
      <c r="I1" s="6" t="s">
        <v>39</v>
      </c>
      <c r="J1" s="6" t="s">
        <v>38</v>
      </c>
      <c r="K1" s="137" t="s">
        <v>65</v>
      </c>
    </row>
    <row r="2" spans="1:15" ht="21">
      <c r="B2" s="115" t="s">
        <v>53</v>
      </c>
      <c r="C2" s="116">
        <f t="array" aca="1" ref="C2:D6" ca="1">LINEST(B12:B31,A12:A31,TRUE,TRUE)</f>
        <v>1.3693420166369865</v>
      </c>
      <c r="D2" s="117">
        <f ca="1"/>
        <v>0.19169647019972302</v>
      </c>
      <c r="E2" s="115" t="s">
        <v>4</v>
      </c>
      <c r="I2" s="6">
        <v>1</v>
      </c>
      <c r="J2" s="6">
        <v>2</v>
      </c>
      <c r="K2" s="6">
        <v>5</v>
      </c>
      <c r="N2" s="116">
        <v>1.0380462545044686</v>
      </c>
      <c r="O2" s="117">
        <v>1.151325941128686</v>
      </c>
    </row>
    <row r="3" spans="1:15" ht="21">
      <c r="A3" s="2"/>
      <c r="B3" s="115" t="s">
        <v>5</v>
      </c>
      <c r="C3" s="118">
        <f ca="1"/>
        <v>0.24587843641830132</v>
      </c>
      <c r="D3" s="119">
        <f ca="1"/>
        <v>2.8361529929614187</v>
      </c>
      <c r="E3" s="115" t="s">
        <v>5</v>
      </c>
      <c r="L3" t="s">
        <v>0</v>
      </c>
    </row>
    <row r="4" spans="1:15" ht="24" thickBot="1">
      <c r="A4" s="2"/>
      <c r="B4" s="115" t="s">
        <v>6</v>
      </c>
      <c r="C4" s="120">
        <f ca="1"/>
        <v>0.6327714712244259</v>
      </c>
      <c r="D4" s="121">
        <f ca="1"/>
        <v>4.9956322096711361</v>
      </c>
      <c r="E4" s="115" t="s">
        <v>54</v>
      </c>
    </row>
    <row r="5" spans="1:15" ht="25.8" thickTop="1" thickBot="1">
      <c r="A5" s="2"/>
      <c r="B5" s="115" t="s">
        <v>7</v>
      </c>
      <c r="C5" s="119">
        <f ca="1"/>
        <v>31.015799671164469</v>
      </c>
      <c r="D5" s="122">
        <f ca="1"/>
        <v>18</v>
      </c>
      <c r="E5" s="115" t="s">
        <v>8</v>
      </c>
      <c r="J5" s="129">
        <v>5.8478818185139758</v>
      </c>
    </row>
    <row r="6" spans="1:15" ht="21">
      <c r="A6" s="2"/>
      <c r="B6" s="115" t="s">
        <v>9</v>
      </c>
      <c r="C6" s="123">
        <f ca="1"/>
        <v>774.04087838743749</v>
      </c>
      <c r="D6" s="118">
        <f ca="1"/>
        <v>449.21414113746687</v>
      </c>
      <c r="E6" s="115" t="s">
        <v>3</v>
      </c>
    </row>
    <row r="10" spans="1:15" ht="13.2" customHeight="1" thickBot="1">
      <c r="C10" s="124" t="s">
        <v>55</v>
      </c>
      <c r="D10" s="125" t="s">
        <v>56</v>
      </c>
    </row>
    <row r="11" spans="1:15" ht="32.4" customHeight="1" thickBot="1">
      <c r="A11" s="126" t="s">
        <v>57</v>
      </c>
      <c r="B11" s="126" t="s">
        <v>1</v>
      </c>
      <c r="C11" s="127"/>
      <c r="D11" s="128"/>
    </row>
    <row r="12" spans="1:15" ht="25.8" thickTop="1" thickBot="1">
      <c r="A12" s="129">
        <v>3</v>
      </c>
      <c r="B12" s="129">
        <f ca="1">$J$2+$I$2*A12+$K$2*NORMSINV(RAND())</f>
        <v>-1.8623066810532247</v>
      </c>
      <c r="C12" s="130">
        <f ca="1">$D$2+$C$2*A12</f>
        <v>4.2997225201106826</v>
      </c>
      <c r="D12" s="131">
        <f ca="1">B12-C12</f>
        <v>-6.1620292011639073</v>
      </c>
    </row>
    <row r="13" spans="1:15" ht="25.8" thickTop="1" thickBot="1">
      <c r="A13" s="132">
        <v>3.4147021206467798</v>
      </c>
      <c r="B13" s="129">
        <f t="shared" ref="B13:B31" ca="1" si="0">$J$2+$I$2*A13+$K$2*NORMSINV(RAND())</f>
        <v>-1.4966212019528564</v>
      </c>
      <c r="C13" s="133">
        <f ca="1">$D$2+$C$2*A13</f>
        <v>4.8675915583007789</v>
      </c>
      <c r="D13" s="134">
        <f ca="1">B13-C13</f>
        <v>-6.3642127602536354</v>
      </c>
    </row>
    <row r="14" spans="1:15" ht="25.8" thickTop="1" thickBot="1">
      <c r="A14" s="129">
        <v>9.4111091096080379</v>
      </c>
      <c r="B14" s="129">
        <f t="shared" ca="1" si="0"/>
        <v>16.533432853280075</v>
      </c>
      <c r="C14" s="130">
        <f t="shared" ref="C14:C31" ca="1" si="1">$D$2+$C$2*A14</f>
        <v>13.078723597141108</v>
      </c>
      <c r="D14" s="131">
        <f t="shared" ref="D14:D21" ca="1" si="2">B14-C14</f>
        <v>3.4547092561389672</v>
      </c>
    </row>
    <row r="15" spans="1:15" ht="25.8" thickTop="1" thickBot="1">
      <c r="A15" s="132">
        <v>9.9053974151704871</v>
      </c>
      <c r="B15" s="129">
        <f t="shared" ca="1" si="0"/>
        <v>19.007163442350581</v>
      </c>
      <c r="C15" s="133">
        <f t="shared" ca="1" si="1"/>
        <v>13.755573342280071</v>
      </c>
      <c r="D15" s="134">
        <f t="shared" ca="1" si="2"/>
        <v>5.2515901000705103</v>
      </c>
    </row>
    <row r="16" spans="1:15" ht="25.8" thickTop="1" thickBot="1">
      <c r="A16" s="129">
        <v>16.262935508932372</v>
      </c>
      <c r="B16" s="129">
        <f t="shared" ca="1" si="0"/>
        <v>29.880475634119129</v>
      </c>
      <c r="C16" s="130">
        <f t="shared" ca="1" si="1"/>
        <v>22.461217376438434</v>
      </c>
      <c r="D16" s="131">
        <f t="shared" ca="1" si="2"/>
        <v>7.4192582576806956</v>
      </c>
    </row>
    <row r="17" spans="1:4" ht="25.8" thickTop="1" thickBot="1">
      <c r="A17" s="132">
        <v>15.509788052734667</v>
      </c>
      <c r="B17" s="129">
        <f t="shared" ca="1" si="0"/>
        <v>17.558736597931958</v>
      </c>
      <c r="C17" s="133">
        <f t="shared" ca="1" si="1"/>
        <v>21.429900919943652</v>
      </c>
      <c r="D17" s="134">
        <f t="shared" ca="1" si="2"/>
        <v>-3.871164322011694</v>
      </c>
    </row>
    <row r="18" spans="1:4" ht="25.8" thickTop="1" thickBot="1">
      <c r="A18" s="129">
        <v>10.143924162085654</v>
      </c>
      <c r="B18" s="129">
        <f t="shared" ca="1" si="0"/>
        <v>17.442735918337263</v>
      </c>
      <c r="C18" s="130">
        <f t="shared" ca="1" si="1"/>
        <v>14.082198038922746</v>
      </c>
      <c r="D18" s="131">
        <f t="shared" ca="1" si="2"/>
        <v>3.3605378794145171</v>
      </c>
    </row>
    <row r="19" spans="1:4" ht="25.8" thickTop="1" thickBot="1">
      <c r="A19" s="132">
        <v>8.7550560616115458</v>
      </c>
      <c r="B19" s="129">
        <f t="shared" ca="1" si="0"/>
        <v>14.291547694395698</v>
      </c>
      <c r="C19" s="133">
        <f t="shared" ca="1" si="1"/>
        <v>12.180362593376749</v>
      </c>
      <c r="D19" s="134">
        <f t="shared" ca="1" si="2"/>
        <v>2.1111851010189486</v>
      </c>
    </row>
    <row r="20" spans="1:4" ht="25.8" thickTop="1" thickBot="1">
      <c r="A20" s="129">
        <v>8.5640263771515368</v>
      </c>
      <c r="B20" s="129">
        <f t="shared" ca="1" si="0"/>
        <v>9.7644056986641434</v>
      </c>
      <c r="C20" s="130">
        <f t="shared" ca="1" si="1"/>
        <v>11.918777620020753</v>
      </c>
      <c r="D20" s="131">
        <f t="shared" ca="1" si="2"/>
        <v>-2.1543719213566099</v>
      </c>
    </row>
    <row r="21" spans="1:4" ht="25.8" thickTop="1" thickBot="1">
      <c r="A21" s="132">
        <v>13.053546498756852</v>
      </c>
      <c r="B21" s="129">
        <f t="shared" ca="1" si="0"/>
        <v>11.816917536966315</v>
      </c>
      <c r="C21" s="133">
        <f t="shared" ca="1" si="1"/>
        <v>18.066466157072107</v>
      </c>
      <c r="D21" s="134">
        <f t="shared" ca="1" si="2"/>
        <v>-6.2495486201057915</v>
      </c>
    </row>
    <row r="22" spans="1:4" ht="25.8" thickTop="1" thickBot="1">
      <c r="A22" s="129">
        <v>18.041202454378777</v>
      </c>
      <c r="B22" s="129">
        <f t="shared" ca="1" si="0"/>
        <v>22.951047565580502</v>
      </c>
      <c r="C22" s="130">
        <f t="shared" ca="1" si="1"/>
        <v>24.896273021634908</v>
      </c>
      <c r="D22" s="131">
        <f ca="1">B22-C22</f>
        <v>-1.9452254560544056</v>
      </c>
    </row>
    <row r="23" spans="1:4" ht="25.8" thickTop="1" thickBot="1">
      <c r="A23" s="132">
        <v>10.347542791656785</v>
      </c>
      <c r="B23" s="129">
        <f t="shared" ca="1" si="0"/>
        <v>13.501557539391095</v>
      </c>
      <c r="C23" s="133">
        <f t="shared" ca="1" si="1"/>
        <v>14.361021583764538</v>
      </c>
      <c r="D23" s="134">
        <f ca="1">B23-C23</f>
        <v>-0.8594640443734427</v>
      </c>
    </row>
    <row r="24" spans="1:4" ht="25.8" thickTop="1" thickBot="1">
      <c r="A24" s="129">
        <v>13.251981064712325</v>
      </c>
      <c r="B24" s="129">
        <f t="shared" ca="1" si="0"/>
        <v>13.567133715323262</v>
      </c>
      <c r="C24" s="130">
        <f t="shared" ca="1" si="1"/>
        <v>18.338190945788057</v>
      </c>
      <c r="D24" s="131">
        <f t="shared" ref="D24:D31" ca="1" si="3">B24-C24</f>
        <v>-4.7710572304647947</v>
      </c>
    </row>
    <row r="25" spans="1:4" ht="25.8" thickTop="1" thickBot="1">
      <c r="A25" s="132">
        <v>9.9090127489000057</v>
      </c>
      <c r="B25" s="129">
        <f t="shared" ca="1" si="0"/>
        <v>19.525856445023432</v>
      </c>
      <c r="C25" s="133">
        <f t="shared" ca="1" si="1"/>
        <v>13.760523970660065</v>
      </c>
      <c r="D25" s="134">
        <f t="shared" ca="1" si="3"/>
        <v>5.7653324743633672</v>
      </c>
    </row>
    <row r="26" spans="1:4" ht="25.8" thickTop="1" thickBot="1">
      <c r="A26" s="129">
        <v>13.763844593744654</v>
      </c>
      <c r="B26" s="129">
        <f t="shared" ca="1" si="0"/>
        <v>20.100910187010761</v>
      </c>
      <c r="C26" s="130">
        <f t="shared" ca="1" si="1"/>
        <v>19.039107182876112</v>
      </c>
      <c r="D26" s="131">
        <f t="shared" ca="1" si="3"/>
        <v>1.0618030041346493</v>
      </c>
    </row>
    <row r="27" spans="1:4" ht="25.8" thickTop="1" thickBot="1">
      <c r="A27" s="132">
        <v>19.23843131921581</v>
      </c>
      <c r="B27" s="129">
        <f t="shared" ca="1" si="0"/>
        <v>26.104639830344428</v>
      </c>
      <c r="C27" s="133">
        <f t="shared" ca="1" si="1"/>
        <v>26.535688809786862</v>
      </c>
      <c r="D27" s="134">
        <f t="shared" ca="1" si="3"/>
        <v>-0.43104897944243348</v>
      </c>
    </row>
    <row r="28" spans="1:4" ht="25.8" thickTop="1" thickBot="1">
      <c r="A28" s="129">
        <v>2.8814356636363847</v>
      </c>
      <c r="B28" s="129">
        <f t="shared" ca="1" si="0"/>
        <v>7.5196817793695807</v>
      </c>
      <c r="C28" s="130">
        <f t="shared" ca="1" si="1"/>
        <v>4.137367392653303</v>
      </c>
      <c r="D28" s="131">
        <f t="shared" ca="1" si="3"/>
        <v>3.3823143867162777</v>
      </c>
    </row>
    <row r="29" spans="1:4" ht="25.8" thickTop="1" thickBot="1">
      <c r="A29" s="132">
        <v>6.9053026762591907</v>
      </c>
      <c r="B29" s="129">
        <f t="shared" ca="1" si="0"/>
        <v>9.0942407867988209</v>
      </c>
      <c r="C29" s="133">
        <f t="shared" ca="1" si="1"/>
        <v>9.6474175623972638</v>
      </c>
      <c r="D29" s="134">
        <f t="shared" ca="1" si="3"/>
        <v>-0.55317677559844292</v>
      </c>
    </row>
    <row r="30" spans="1:4" ht="25.8" thickTop="1" thickBot="1">
      <c r="A30" s="129">
        <v>12.037348456020055</v>
      </c>
      <c r="B30" s="129">
        <f t="shared" ca="1" si="0"/>
        <v>9.4849803799776105</v>
      </c>
      <c r="C30" s="130">
        <f t="shared" ca="1" si="1"/>
        <v>16.674943479928341</v>
      </c>
      <c r="D30" s="131">
        <f t="shared" ca="1" si="3"/>
        <v>-7.1899630999507309</v>
      </c>
    </row>
    <row r="31" spans="1:4" ht="25.8" thickTop="1" thickBot="1">
      <c r="A31" s="132">
        <v>7.6515865855849796</v>
      </c>
      <c r="B31" s="129">
        <f t="shared" ca="1" si="0"/>
        <v>19.41386742701517</v>
      </c>
      <c r="C31" s="133">
        <f t="shared" ca="1" si="1"/>
        <v>10.669335475777173</v>
      </c>
      <c r="D31" s="134">
        <f t="shared" ca="1" si="3"/>
        <v>8.7445319512379971</v>
      </c>
    </row>
    <row r="39" spans="1:4" ht="18">
      <c r="A39" s="135" t="s">
        <v>58</v>
      </c>
      <c r="B39" s="135" t="s">
        <v>59</v>
      </c>
      <c r="C39" s="135"/>
      <c r="D39" s="135"/>
    </row>
    <row r="40" spans="1:4" ht="18">
      <c r="A40" s="136">
        <v>5.8478818185139758</v>
      </c>
      <c r="B40" s="136">
        <v>5.7406884578535005</v>
      </c>
      <c r="C40" s="135"/>
      <c r="D40" s="135"/>
    </row>
    <row r="41" spans="1:4" ht="18">
      <c r="A41" s="136">
        <v>3.4147021206467798</v>
      </c>
      <c r="B41" s="136">
        <v>2.4906279506299445</v>
      </c>
      <c r="C41" s="135"/>
      <c r="D41" s="135"/>
    </row>
    <row r="42" spans="1:4" ht="18">
      <c r="A42" s="136">
        <v>9.4111091096080379</v>
      </c>
      <c r="B42" s="136">
        <v>4.8302664380861451</v>
      </c>
      <c r="C42" s="135"/>
      <c r="D42" s="135"/>
    </row>
    <row r="43" spans="1:4" ht="18">
      <c r="A43" s="136">
        <v>9.9053974151704871</v>
      </c>
      <c r="B43" s="136">
        <v>5.3428920819521206</v>
      </c>
      <c r="C43" s="135"/>
      <c r="D43" s="135"/>
    </row>
    <row r="44" spans="1:4" ht="18">
      <c r="A44" s="136">
        <v>16.262935508932372</v>
      </c>
      <c r="B44" s="136">
        <v>8.1416240121351553</v>
      </c>
      <c r="C44" s="135"/>
      <c r="D44" s="135"/>
    </row>
    <row r="45" spans="1:4" ht="18">
      <c r="A45" s="136">
        <v>15.509788052734667</v>
      </c>
      <c r="B45" s="136">
        <v>9.2055941059818043</v>
      </c>
      <c r="C45" s="135"/>
      <c r="D45" s="135"/>
    </row>
    <row r="46" spans="1:4" ht="18">
      <c r="A46" s="136">
        <v>10.143924162085654</v>
      </c>
      <c r="B46" s="136">
        <v>6.2865602719685176</v>
      </c>
      <c r="C46" s="135"/>
      <c r="D46" s="135"/>
    </row>
    <row r="47" spans="1:4" ht="18">
      <c r="A47" s="136">
        <v>8.7550560616115458</v>
      </c>
      <c r="B47" s="136">
        <v>5.3910687536514628</v>
      </c>
      <c r="C47" s="135"/>
      <c r="D47" s="135"/>
    </row>
    <row r="48" spans="1:4" ht="18">
      <c r="A48" s="136">
        <v>8.5640263771515368</v>
      </c>
      <c r="B48" s="136">
        <v>4.7724913650438845</v>
      </c>
      <c r="C48" s="135"/>
      <c r="D48" s="135"/>
    </row>
    <row r="49" spans="1:4" ht="18">
      <c r="A49" s="136">
        <v>13.053546498756852</v>
      </c>
      <c r="B49" s="136">
        <v>8.3893775660254626</v>
      </c>
      <c r="C49" s="135"/>
      <c r="D49" s="135"/>
    </row>
    <row r="50" spans="1:4" ht="18">
      <c r="A50" s="136">
        <v>18.041202454378777</v>
      </c>
      <c r="B50" s="136">
        <v>10.332905838235439</v>
      </c>
      <c r="C50" s="135"/>
      <c r="D50" s="135"/>
    </row>
    <row r="51" spans="1:4" ht="18">
      <c r="A51" s="136">
        <v>10.347542791656785</v>
      </c>
      <c r="B51" s="136">
        <v>6.1678651180246344</v>
      </c>
      <c r="C51" s="135"/>
      <c r="D51" s="135"/>
    </row>
    <row r="52" spans="1:4" ht="18">
      <c r="A52" s="136">
        <v>13.251981064712325</v>
      </c>
      <c r="B52" s="136">
        <v>7.8006369355802763</v>
      </c>
      <c r="C52" s="135"/>
      <c r="D52" s="135"/>
    </row>
    <row r="53" spans="1:4" ht="18">
      <c r="A53" s="136">
        <v>9.9090127489000057</v>
      </c>
      <c r="B53" s="136">
        <v>6.5365246487318238</v>
      </c>
      <c r="C53" s="135"/>
      <c r="D53" s="135"/>
    </row>
    <row r="54" spans="1:4" ht="18">
      <c r="A54" s="136">
        <v>13.763844593744654</v>
      </c>
      <c r="B54" s="136">
        <v>5.8875575360782868</v>
      </c>
      <c r="C54" s="135"/>
      <c r="D54" s="135"/>
    </row>
    <row r="55" spans="1:4" ht="18">
      <c r="A55" s="136">
        <v>19.23843131921581</v>
      </c>
      <c r="B55" s="136">
        <v>12.424694093272544</v>
      </c>
      <c r="C55" s="135"/>
      <c r="D55" s="135"/>
    </row>
    <row r="56" spans="1:4" ht="18">
      <c r="A56" s="136">
        <v>2.8814356636363847</v>
      </c>
      <c r="B56" s="136">
        <v>2.7196160708082471</v>
      </c>
      <c r="C56" s="135"/>
      <c r="D56" s="135"/>
    </row>
    <row r="57" spans="1:4" ht="18">
      <c r="A57" s="136">
        <v>6.9053026762591907</v>
      </c>
      <c r="B57" s="136">
        <v>5.9287461497469804</v>
      </c>
      <c r="C57" s="135"/>
      <c r="D57" s="135"/>
    </row>
    <row r="58" spans="1:4" ht="18">
      <c r="A58" s="136">
        <v>12.037348456020055</v>
      </c>
      <c r="B58" s="136">
        <v>6.6164586152357288</v>
      </c>
      <c r="C58" s="135"/>
      <c r="D58" s="135"/>
    </row>
    <row r="59" spans="1:4" ht="18">
      <c r="A59" s="136">
        <v>7.6515865855849796</v>
      </c>
      <c r="B59" s="136">
        <v>4.379689788360972</v>
      </c>
      <c r="C59" s="135"/>
      <c r="D59" s="135"/>
    </row>
    <row r="60" spans="1:4" ht="18">
      <c r="A60" s="135"/>
      <c r="B60" s="135"/>
      <c r="C60" s="135"/>
      <c r="D60" s="135"/>
    </row>
    <row r="61" spans="1:4" ht="18">
      <c r="A61" s="135" t="s">
        <v>60</v>
      </c>
      <c r="B61" s="135" t="s">
        <v>4</v>
      </c>
      <c r="C61" s="135">
        <v>1</v>
      </c>
      <c r="D61" s="135"/>
    </row>
    <row r="62" spans="1:4" ht="18">
      <c r="A62" s="135" t="s">
        <v>61</v>
      </c>
      <c r="B62" s="135" t="s">
        <v>53</v>
      </c>
      <c r="C62" s="135">
        <v>0.5</v>
      </c>
      <c r="D62" s="135"/>
    </row>
    <row r="63" spans="1:4" ht="18">
      <c r="A63" s="135" t="s">
        <v>58</v>
      </c>
      <c r="B63" s="135" t="s">
        <v>59</v>
      </c>
      <c r="C63" s="135" t="s">
        <v>62</v>
      </c>
      <c r="D63" s="135"/>
    </row>
    <row r="64" spans="1:4" ht="18">
      <c r="A64" s="136">
        <v>5.8478818185139758</v>
      </c>
      <c r="B64" s="136">
        <f ca="1">$C$61+$C$62*A64 +NORMSINV(RAND())</f>
        <v>3.4978939832804707</v>
      </c>
      <c r="C64" s="135">
        <f>1</f>
        <v>1</v>
      </c>
      <c r="D64" s="135"/>
    </row>
    <row r="65" spans="1:4" ht="18">
      <c r="A65" s="136">
        <v>3.4147021206467798</v>
      </c>
      <c r="B65" s="136">
        <f t="shared" ref="B65:B83" ca="1" si="4">$C$61+$C$62*A65 +NORMSINV(RAND())</f>
        <v>1.1684025945964294</v>
      </c>
      <c r="C65" s="135">
        <f>1</f>
        <v>1</v>
      </c>
      <c r="D65" s="135"/>
    </row>
    <row r="66" spans="1:4" ht="18">
      <c r="A66" s="136">
        <v>9.4111091096080379</v>
      </c>
      <c r="B66" s="136">
        <f t="shared" ca="1" si="4"/>
        <v>6.3786659440035951</v>
      </c>
      <c r="C66" s="135">
        <f>1</f>
        <v>1</v>
      </c>
      <c r="D66" s="135"/>
    </row>
    <row r="67" spans="1:4" ht="18">
      <c r="A67" s="136">
        <v>9.9053974151704871</v>
      </c>
      <c r="B67" s="136">
        <f t="shared" ca="1" si="4"/>
        <v>5.3864093176412391</v>
      </c>
      <c r="C67" s="135">
        <f>1</f>
        <v>1</v>
      </c>
      <c r="D67" s="135"/>
    </row>
    <row r="68" spans="1:4" ht="18">
      <c r="A68" s="136">
        <v>16.262935508932372</v>
      </c>
      <c r="B68" s="136">
        <f t="shared" ca="1" si="4"/>
        <v>10.440305982570999</v>
      </c>
      <c r="C68" s="135">
        <f>1</f>
        <v>1</v>
      </c>
      <c r="D68" s="135"/>
    </row>
    <row r="69" spans="1:4" ht="18">
      <c r="A69" s="136">
        <v>15.509788052734667</v>
      </c>
      <c r="B69" s="136">
        <f t="shared" ca="1" si="4"/>
        <v>7.92789575464493</v>
      </c>
      <c r="C69" s="135">
        <f>1</f>
        <v>1</v>
      </c>
      <c r="D69" s="135"/>
    </row>
    <row r="70" spans="1:4" ht="18">
      <c r="A70" s="136">
        <v>10.143924162085654</v>
      </c>
      <c r="B70" s="136">
        <f t="shared" ca="1" si="4"/>
        <v>8.7429665194889292</v>
      </c>
      <c r="C70" s="135">
        <f>1</f>
        <v>1</v>
      </c>
      <c r="D70" s="135"/>
    </row>
    <row r="71" spans="1:4" ht="18">
      <c r="A71" s="136">
        <v>8.7550560616115458</v>
      </c>
      <c r="B71" s="136">
        <f t="shared" ca="1" si="4"/>
        <v>4.5345811861426908</v>
      </c>
      <c r="C71" s="135">
        <f>1</f>
        <v>1</v>
      </c>
      <c r="D71" s="135"/>
    </row>
    <row r="72" spans="1:4" ht="18">
      <c r="A72" s="136">
        <v>8.5640263771515368</v>
      </c>
      <c r="B72" s="136">
        <f t="shared" ca="1" si="4"/>
        <v>5.0393151822532838</v>
      </c>
      <c r="C72" s="135">
        <f>1</f>
        <v>1</v>
      </c>
      <c r="D72" s="135"/>
    </row>
    <row r="73" spans="1:4" ht="18">
      <c r="A73" s="136">
        <v>13.053546498756852</v>
      </c>
      <c r="B73" s="136">
        <f t="shared" ca="1" si="4"/>
        <v>7.7153934934246209</v>
      </c>
      <c r="C73" s="135">
        <f>1</f>
        <v>1</v>
      </c>
    </row>
    <row r="74" spans="1:4" ht="18">
      <c r="A74" s="136">
        <v>18.041202454378777</v>
      </c>
      <c r="B74" s="136">
        <f t="shared" ca="1" si="4"/>
        <v>9.2318300550291355</v>
      </c>
      <c r="C74" s="135">
        <f>1</f>
        <v>1</v>
      </c>
    </row>
    <row r="75" spans="1:4" ht="18">
      <c r="A75" s="136">
        <v>10.347542791656785</v>
      </c>
      <c r="B75" s="136">
        <f t="shared" ca="1" si="4"/>
        <v>6.0335384280918856</v>
      </c>
      <c r="C75" s="135">
        <f>1</f>
        <v>1</v>
      </c>
    </row>
    <row r="76" spans="1:4" ht="18">
      <c r="A76" s="136">
        <v>13.251981064712325</v>
      </c>
      <c r="B76" s="136">
        <f t="shared" ca="1" si="4"/>
        <v>7.7408940631429317</v>
      </c>
      <c r="C76" s="135">
        <f>1</f>
        <v>1</v>
      </c>
    </row>
    <row r="77" spans="1:4" ht="18">
      <c r="A77" s="136">
        <v>9.9090127489000057</v>
      </c>
      <c r="B77" s="136">
        <f t="shared" ca="1" si="4"/>
        <v>5.6396794041249079</v>
      </c>
      <c r="C77" s="135">
        <f>1</f>
        <v>1</v>
      </c>
    </row>
    <row r="78" spans="1:4" ht="18">
      <c r="A78" s="136">
        <v>13.763844593744654</v>
      </c>
      <c r="B78" s="136">
        <f t="shared" ca="1" si="4"/>
        <v>9.1355278444680916</v>
      </c>
      <c r="C78" s="135">
        <f>1</f>
        <v>1</v>
      </c>
    </row>
    <row r="79" spans="1:4" ht="18">
      <c r="A79" s="136">
        <v>19.23843131921581</v>
      </c>
      <c r="B79" s="136">
        <f t="shared" ca="1" si="4"/>
        <v>10.300064552771813</v>
      </c>
      <c r="C79" s="135">
        <f>1</f>
        <v>1</v>
      </c>
    </row>
    <row r="80" spans="1:4" ht="18">
      <c r="A80" s="136">
        <v>2.8814356636363847</v>
      </c>
      <c r="B80" s="136">
        <f t="shared" ca="1" si="4"/>
        <v>1.0622424734980513</v>
      </c>
      <c r="C80" s="135">
        <f>1</f>
        <v>1</v>
      </c>
    </row>
    <row r="81" spans="1:3" ht="18">
      <c r="A81" s="136">
        <v>6.9053026762591907</v>
      </c>
      <c r="B81" s="136">
        <f t="shared" ca="1" si="4"/>
        <v>3.6360466518989316</v>
      </c>
      <c r="C81" s="135">
        <f>1</f>
        <v>1</v>
      </c>
    </row>
    <row r="82" spans="1:3" ht="18">
      <c r="A82" s="136">
        <v>12.037348456020055</v>
      </c>
      <c r="B82" s="136">
        <f t="shared" ca="1" si="4"/>
        <v>7.4157015114046851</v>
      </c>
      <c r="C82" s="135">
        <f>1</f>
        <v>1</v>
      </c>
    </row>
    <row r="83" spans="1:3" ht="18">
      <c r="A83" s="136">
        <v>7.6515865855849796</v>
      </c>
      <c r="B83" s="136">
        <f t="shared" ca="1" si="4"/>
        <v>4.1897735246713168</v>
      </c>
      <c r="C83" s="135">
        <f>1</f>
        <v>1</v>
      </c>
    </row>
    <row r="86" spans="1:3" ht="18">
      <c r="A86" s="136">
        <f ca="1">20*RAND()</f>
        <v>1.0150131922697447</v>
      </c>
    </row>
    <row r="87" spans="1:3" ht="18">
      <c r="A87" s="136">
        <f t="shared" ref="A87:A105" ca="1" si="5">20*RAND()</f>
        <v>19.75509736096194</v>
      </c>
    </row>
    <row r="88" spans="1:3" ht="18">
      <c r="A88" s="136">
        <f t="shared" ca="1" si="5"/>
        <v>14.727069678463334</v>
      </c>
    </row>
    <row r="89" spans="1:3" ht="18">
      <c r="A89" s="136">
        <f t="shared" ca="1" si="5"/>
        <v>0.9115266663721755</v>
      </c>
    </row>
    <row r="90" spans="1:3" ht="18">
      <c r="A90" s="136">
        <f t="shared" ca="1" si="5"/>
        <v>10.475144472721922</v>
      </c>
    </row>
    <row r="91" spans="1:3" ht="18">
      <c r="A91" s="136">
        <f t="shared" ca="1" si="5"/>
        <v>5.8032385042578527</v>
      </c>
    </row>
    <row r="92" spans="1:3" ht="18">
      <c r="A92" s="136">
        <f t="shared" ca="1" si="5"/>
        <v>18.937750964240294</v>
      </c>
    </row>
    <row r="93" spans="1:3" ht="18">
      <c r="A93" s="136">
        <f t="shared" ca="1" si="5"/>
        <v>12.390483676980661</v>
      </c>
    </row>
    <row r="94" spans="1:3" ht="18">
      <c r="A94" s="136">
        <f t="shared" ca="1" si="5"/>
        <v>3.124651840578534</v>
      </c>
    </row>
    <row r="95" spans="1:3" ht="18">
      <c r="A95" s="136">
        <f t="shared" ca="1" si="5"/>
        <v>15.263037079472372</v>
      </c>
    </row>
    <row r="96" spans="1:3" ht="18">
      <c r="A96" s="136">
        <f t="shared" ca="1" si="5"/>
        <v>6.964352355045893</v>
      </c>
    </row>
    <row r="97" spans="1:1" ht="18">
      <c r="A97" s="136">
        <f t="shared" ca="1" si="5"/>
        <v>12.443688824605816</v>
      </c>
    </row>
    <row r="98" spans="1:1" ht="18">
      <c r="A98" s="136">
        <f t="shared" ca="1" si="5"/>
        <v>4.8685813770940278</v>
      </c>
    </row>
    <row r="99" spans="1:1" ht="18">
      <c r="A99" s="136">
        <f t="shared" ca="1" si="5"/>
        <v>11.805834924654599</v>
      </c>
    </row>
    <row r="100" spans="1:1" ht="18">
      <c r="A100" s="136">
        <f t="shared" ca="1" si="5"/>
        <v>16.136883515319518</v>
      </c>
    </row>
    <row r="101" spans="1:1" ht="18">
      <c r="A101" s="136">
        <f t="shared" ca="1" si="5"/>
        <v>15.228128947042121</v>
      </c>
    </row>
    <row r="102" spans="1:1" ht="18">
      <c r="A102" s="136">
        <f t="shared" ca="1" si="5"/>
        <v>10.203312055864231</v>
      </c>
    </row>
    <row r="103" spans="1:1" ht="18">
      <c r="A103" s="136">
        <f t="shared" ca="1" si="5"/>
        <v>7.4879568808433961</v>
      </c>
    </row>
    <row r="104" spans="1:1" ht="18">
      <c r="A104" s="136">
        <f t="shared" ca="1" si="5"/>
        <v>15.01879395708723</v>
      </c>
    </row>
    <row r="105" spans="1:1" ht="18">
      <c r="A105" s="136">
        <f t="shared" ca="1" si="5"/>
        <v>7.2525454071755124</v>
      </c>
    </row>
  </sheetData>
  <mergeCells count="2">
    <mergeCell ref="C10:C11"/>
    <mergeCell ref="D10:D1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1"/>
  <sheetViews>
    <sheetView tabSelected="1" topLeftCell="H1" zoomScale="159" zoomScaleNormal="159" workbookViewId="0">
      <selection activeCell="O10" sqref="O10"/>
    </sheetView>
  </sheetViews>
  <sheetFormatPr defaultRowHeight="21"/>
  <cols>
    <col min="1" max="3" width="27.6640625" style="6" customWidth="1"/>
    <col min="4" max="4" width="17.5546875" bestFit="1" customWidth="1"/>
    <col min="5" max="5" width="19.5546875" customWidth="1"/>
  </cols>
  <sheetData>
    <row r="1" spans="1:20" ht="25.2" thickBot="1">
      <c r="B1" s="6" t="s">
        <v>40</v>
      </c>
      <c r="C1" s="6" t="s">
        <v>39</v>
      </c>
      <c r="D1" s="6" t="s">
        <v>38</v>
      </c>
    </row>
    <row r="2" spans="1:20" ht="21.6" thickTop="1">
      <c r="A2" s="17" t="s">
        <v>34</v>
      </c>
      <c r="B2" s="33">
        <f t="array" ref="B2:D6">LINEST(A10:A21,B10:C21,TRUE,TRUE)</f>
        <v>0.61348794279489616</v>
      </c>
      <c r="C2" s="30">
        <v>4.870424615443824E-2</v>
      </c>
      <c r="D2" s="18">
        <v>21.74725210910109</v>
      </c>
      <c r="E2" s="19" t="s">
        <v>4</v>
      </c>
      <c r="G2">
        <f t="array" ref="G2:K6">LINEST(A10:A21,B10:B21,TRUE,TRUE)</f>
        <v>2.5537637813741812E-3</v>
      </c>
      <c r="H2">
        <v>31.911950023506556</v>
      </c>
      <c r="I2" t="e">
        <v>#N/A</v>
      </c>
      <c r="J2" t="e">
        <v>#N/A</v>
      </c>
      <c r="K2" t="e">
        <v>#N/A</v>
      </c>
      <c r="M2">
        <f t="array" ref="M2:Q6">LINEST(C10:C21,B10:B21,TRUE,TRUE)</f>
        <v>-7.5226388578745515E-2</v>
      </c>
      <c r="N2">
        <v>16.56870038569571</v>
      </c>
      <c r="O2" t="e">
        <v>#N/A</v>
      </c>
      <c r="P2" t="e">
        <v>#N/A</v>
      </c>
      <c r="Q2" t="e">
        <v>#N/A</v>
      </c>
    </row>
    <row r="3" spans="1:20">
      <c r="A3" s="20" t="s">
        <v>5</v>
      </c>
      <c r="B3" s="12">
        <v>0.22005779283730761</v>
      </c>
      <c r="C3" s="12">
        <v>5.4357827262875309E-2</v>
      </c>
      <c r="D3" s="13">
        <v>4.928873780762971</v>
      </c>
      <c r="E3" s="21"/>
      <c r="F3" s="2"/>
      <c r="G3">
        <v>6.7053364749728769E-2</v>
      </c>
      <c r="H3">
        <v>4.2952582781610413</v>
      </c>
      <c r="I3" t="e">
        <v>#N/A</v>
      </c>
      <c r="J3" t="e">
        <v>#N/A</v>
      </c>
      <c r="K3" t="e">
        <v>#N/A</v>
      </c>
      <c r="M3">
        <v>7.4402933713530212E-2</v>
      </c>
      <c r="N3">
        <v>4.7660519072430381</v>
      </c>
      <c r="O3" t="e">
        <v>#N/A</v>
      </c>
      <c r="P3" t="e">
        <v>#N/A</v>
      </c>
      <c r="Q3" t="e">
        <v>#N/A</v>
      </c>
    </row>
    <row r="4" spans="1:20" ht="23.4">
      <c r="A4" s="22" t="s">
        <v>6</v>
      </c>
      <c r="B4" s="16">
        <v>0.46347249178791755</v>
      </c>
      <c r="C4" s="12">
        <v>2.48445576756848</v>
      </c>
      <c r="D4" s="14" t="e">
        <v>#N/A</v>
      </c>
      <c r="E4" s="21" t="s">
        <v>35</v>
      </c>
      <c r="F4" s="2"/>
      <c r="G4">
        <v>1.4502981901039176E-4</v>
      </c>
      <c r="H4">
        <v>3.2175479811496959</v>
      </c>
      <c r="I4" t="e">
        <v>#N/A</v>
      </c>
      <c r="J4" t="e">
        <v>#N/A</v>
      </c>
      <c r="K4" t="e">
        <v>#N/A</v>
      </c>
      <c r="M4">
        <v>9.2744839276131738E-2</v>
      </c>
      <c r="N4">
        <v>3.5702162010080505</v>
      </c>
      <c r="O4" t="e">
        <v>#N/A</v>
      </c>
      <c r="P4" t="e">
        <v>#N/A</v>
      </c>
      <c r="Q4" t="e">
        <v>#N/A</v>
      </c>
    </row>
    <row r="5" spans="1:20">
      <c r="A5" s="22" t="s">
        <v>7</v>
      </c>
      <c r="B5" s="12">
        <v>3.8872679986078325</v>
      </c>
      <c r="C5" s="15">
        <v>9</v>
      </c>
      <c r="D5" s="14" t="e">
        <v>#N/A</v>
      </c>
      <c r="E5" s="21" t="s">
        <v>8</v>
      </c>
      <c r="F5" s="2"/>
      <c r="G5">
        <v>1.4505085570974264E-3</v>
      </c>
      <c r="H5">
        <v>10</v>
      </c>
      <c r="I5" t="e">
        <v>#N/A</v>
      </c>
      <c r="J5" t="e">
        <v>#N/A</v>
      </c>
      <c r="K5" t="e">
        <v>#N/A</v>
      </c>
      <c r="M5">
        <v>1.0222575003280638</v>
      </c>
      <c r="N5">
        <v>10</v>
      </c>
      <c r="O5" t="e">
        <v>#N/A</v>
      </c>
      <c r="P5" t="e">
        <v>#N/A</v>
      </c>
      <c r="Q5" t="e">
        <v>#N/A</v>
      </c>
    </row>
    <row r="6" spans="1:20" ht="25.2" thickBot="1">
      <c r="A6" s="23" t="s">
        <v>9</v>
      </c>
      <c r="B6" s="24">
        <v>47.98848251762805</v>
      </c>
      <c r="C6" s="24">
        <v>55.552684149038576</v>
      </c>
      <c r="D6" s="25" t="e">
        <v>#N/A</v>
      </c>
      <c r="E6" s="26" t="s">
        <v>3</v>
      </c>
      <c r="F6" s="29"/>
      <c r="G6" s="1">
        <v>1.5016556661791469E-2</v>
      </c>
      <c r="H6">
        <v>103.52615011000483</v>
      </c>
      <c r="I6" t="e">
        <v>#N/A</v>
      </c>
      <c r="J6" t="e">
        <v>#N/A</v>
      </c>
      <c r="K6" t="e">
        <v>#N/A</v>
      </c>
      <c r="M6">
        <v>13.030147697263089</v>
      </c>
      <c r="N6">
        <v>127.46443721940355</v>
      </c>
      <c r="O6" t="e">
        <v>#N/A</v>
      </c>
      <c r="P6" t="e">
        <v>#N/A</v>
      </c>
      <c r="Q6" t="e">
        <v>#N/A</v>
      </c>
    </row>
    <row r="7" spans="1:20" ht="22.2" thickTop="1" thickBot="1">
      <c r="C7" s="34" t="s">
        <v>41</v>
      </c>
      <c r="D7" s="35">
        <f>CORREL(A10:A21,D10:D21)</f>
        <v>0.68078814016396993</v>
      </c>
      <c r="S7" t="s">
        <v>69</v>
      </c>
    </row>
    <row r="8" spans="1:20" ht="25.2" thickTop="1">
      <c r="A8" s="6" t="s">
        <v>1</v>
      </c>
      <c r="B8" s="6" t="s">
        <v>32</v>
      </c>
      <c r="C8" s="6" t="s">
        <v>33</v>
      </c>
      <c r="D8" s="6" t="s">
        <v>36</v>
      </c>
      <c r="E8" s="5"/>
      <c r="L8" s="142">
        <f>CORREL(I10:I21,L10:L21)</f>
        <v>0.55403142903845415</v>
      </c>
      <c r="O8">
        <v>1</v>
      </c>
      <c r="P8">
        <v>2</v>
      </c>
      <c r="S8">
        <f>P9/$O$11</f>
        <v>-2000.0000000002203</v>
      </c>
      <c r="T8">
        <f>-P8/$O$11</f>
        <v>1000.0000000001102</v>
      </c>
    </row>
    <row r="9" spans="1:20">
      <c r="A9" s="6" t="s">
        <v>31</v>
      </c>
      <c r="B9" s="6" t="s">
        <v>29</v>
      </c>
      <c r="C9" s="6" t="s">
        <v>30</v>
      </c>
      <c r="D9" s="6" t="s">
        <v>37</v>
      </c>
      <c r="E9" s="6" t="s">
        <v>2</v>
      </c>
      <c r="I9" t="s">
        <v>2</v>
      </c>
      <c r="L9" t="s">
        <v>67</v>
      </c>
      <c r="O9">
        <v>2.0009999999999999</v>
      </c>
      <c r="P9">
        <v>4</v>
      </c>
      <c r="S9">
        <f>-O9/$O$11</f>
        <v>1000.5000000001102</v>
      </c>
      <c r="T9">
        <f>O8/$O$11</f>
        <v>-500.00000000005508</v>
      </c>
    </row>
    <row r="10" spans="1:20" ht="23.4">
      <c r="A10" s="11">
        <v>30.67</v>
      </c>
      <c r="B10" s="31">
        <v>58.8</v>
      </c>
      <c r="C10" s="32">
        <v>7.1070000000000002</v>
      </c>
      <c r="D10" s="27">
        <f>$D$2+$C$2*B10+$B$2*C10</f>
        <v>28.971120592425386</v>
      </c>
      <c r="E10" s="28">
        <f>A10-D10</f>
        <v>1.6988794075746156</v>
      </c>
      <c r="F10">
        <v>1</v>
      </c>
      <c r="H10">
        <f>$H$2+$G$2*B10</f>
        <v>32.062111333851355</v>
      </c>
      <c r="I10" s="140">
        <f>A10-H10</f>
        <v>-1.3921113338513535</v>
      </c>
      <c r="K10">
        <f>$N$4+$M$4*B10</f>
        <v>9.0236127504445953</v>
      </c>
      <c r="L10" s="141">
        <f>C10-K10</f>
        <v>-1.9166127504445951</v>
      </c>
    </row>
    <row r="11" spans="1:20" ht="23.4">
      <c r="A11" s="11">
        <v>28.28</v>
      </c>
      <c r="B11" s="31">
        <v>65.2</v>
      </c>
      <c r="C11" s="32">
        <v>6.3730000000000002</v>
      </c>
      <c r="D11" s="27">
        <f t="shared" ref="D11:D21" si="0">$D$2+$C$2*B11+$B$2*C11</f>
        <v>28.832527617802338</v>
      </c>
      <c r="E11" s="28">
        <f t="shared" ref="E11:E21" si="1">A11-D11</f>
        <v>-0.55252761780233683</v>
      </c>
      <c r="F11">
        <v>2</v>
      </c>
      <c r="H11">
        <f t="shared" ref="H11:H21" si="2">$H$2+$G$2*B11</f>
        <v>32.078455422052151</v>
      </c>
      <c r="I11" s="140">
        <f t="shared" ref="I11:I21" si="3">A11-H11</f>
        <v>-3.7984554220521503</v>
      </c>
      <c r="K11">
        <f t="shared" ref="K11:K21" si="4">$N$4+$M$4*B11</f>
        <v>9.6171797218118407</v>
      </c>
      <c r="L11" s="141">
        <f t="shared" ref="L11:L21" si="5">C11-K11</f>
        <v>-3.2441797218118404</v>
      </c>
      <c r="N11" t="s">
        <v>68</v>
      </c>
      <c r="O11">
        <f>O8*P9-O9*P8</f>
        <v>-1.9999999999997797E-3</v>
      </c>
    </row>
    <row r="12" spans="1:20" ht="23.4">
      <c r="A12" s="11">
        <v>28.91</v>
      </c>
      <c r="B12" s="31">
        <v>70.900000000000006</v>
      </c>
      <c r="C12" s="32">
        <v>6.7960000000000003</v>
      </c>
      <c r="D12" s="27">
        <f t="shared" si="0"/>
        <v>29.369647220684875</v>
      </c>
      <c r="E12" s="28">
        <f t="shared" si="1"/>
        <v>-0.45964722068487518</v>
      </c>
      <c r="F12">
        <v>3</v>
      </c>
      <c r="H12">
        <f t="shared" si="2"/>
        <v>32.093011875605988</v>
      </c>
      <c r="I12" s="140">
        <f t="shared" si="3"/>
        <v>-3.1830118756059882</v>
      </c>
      <c r="K12">
        <f t="shared" si="4"/>
        <v>10.145825305685792</v>
      </c>
      <c r="L12" s="141">
        <f t="shared" si="5"/>
        <v>-3.3498253056857914</v>
      </c>
    </row>
    <row r="13" spans="1:20" ht="23.4">
      <c r="A13" s="11">
        <v>29.94</v>
      </c>
      <c r="B13" s="31">
        <v>77.400000000000006</v>
      </c>
      <c r="C13" s="32">
        <v>9.2080000000000002</v>
      </c>
      <c r="D13" s="27">
        <f t="shared" si="0"/>
        <v>31.165957738710016</v>
      </c>
      <c r="E13" s="28">
        <f t="shared" si="1"/>
        <v>-1.2259577387100151</v>
      </c>
      <c r="F13">
        <v>4</v>
      </c>
      <c r="H13">
        <f t="shared" si="2"/>
        <v>32.109611340184919</v>
      </c>
      <c r="I13" s="140">
        <f t="shared" si="3"/>
        <v>-2.1696113401849182</v>
      </c>
      <c r="K13">
        <f t="shared" si="4"/>
        <v>10.748666760980647</v>
      </c>
      <c r="L13" s="141">
        <f t="shared" si="5"/>
        <v>-1.5406667609806473</v>
      </c>
    </row>
    <row r="14" spans="1:20" ht="23.4">
      <c r="A14" s="11">
        <v>30.82</v>
      </c>
      <c r="B14" s="31">
        <v>79.3</v>
      </c>
      <c r="C14" s="32">
        <v>14.792</v>
      </c>
      <c r="D14" s="27">
        <f t="shared" si="0"/>
        <v>34.684212478970146</v>
      </c>
      <c r="E14" s="28">
        <f t="shared" si="1"/>
        <v>-3.8642124789701455</v>
      </c>
      <c r="F14">
        <v>5</v>
      </c>
      <c r="H14">
        <f t="shared" si="2"/>
        <v>32.114463491369527</v>
      </c>
      <c r="I14" s="140">
        <f t="shared" si="3"/>
        <v>-1.2944634913695268</v>
      </c>
      <c r="K14">
        <f t="shared" si="4"/>
        <v>10.924881955605297</v>
      </c>
      <c r="L14" s="141">
        <f t="shared" si="5"/>
        <v>3.8671180443947026</v>
      </c>
    </row>
    <row r="15" spans="1:20" ht="23.4">
      <c r="A15" s="11">
        <v>38.979999999999997</v>
      </c>
      <c r="B15" s="31">
        <v>81</v>
      </c>
      <c r="C15" s="32">
        <v>14.564</v>
      </c>
      <c r="D15" s="27">
        <f t="shared" si="0"/>
        <v>34.627134446475452</v>
      </c>
      <c r="E15" s="28">
        <f t="shared" si="1"/>
        <v>4.3528655535245449</v>
      </c>
      <c r="F15">
        <v>6</v>
      </c>
      <c r="H15">
        <f t="shared" si="2"/>
        <v>32.118804889797865</v>
      </c>
      <c r="I15" s="140">
        <f t="shared" si="3"/>
        <v>6.8611951102021322</v>
      </c>
      <c r="K15">
        <f t="shared" si="4"/>
        <v>11.082548182374723</v>
      </c>
      <c r="L15" s="141">
        <f t="shared" si="5"/>
        <v>3.4814518176252776</v>
      </c>
    </row>
    <row r="16" spans="1:20" ht="23.4">
      <c r="A16" s="11">
        <v>35.020000000000003</v>
      </c>
      <c r="B16" s="31">
        <v>71.900000000000006</v>
      </c>
      <c r="C16" s="32">
        <v>11.964</v>
      </c>
      <c r="D16" s="27">
        <f t="shared" si="0"/>
        <v>32.588857155203335</v>
      </c>
      <c r="E16" s="28">
        <f t="shared" si="1"/>
        <v>2.4311428447966676</v>
      </c>
      <c r="F16">
        <v>7</v>
      </c>
      <c r="H16">
        <f t="shared" si="2"/>
        <v>32.09556563938736</v>
      </c>
      <c r="I16" s="140">
        <f t="shared" si="3"/>
        <v>2.9244343606126435</v>
      </c>
      <c r="K16">
        <f t="shared" si="4"/>
        <v>10.238570144961923</v>
      </c>
      <c r="L16" s="141">
        <f t="shared" si="5"/>
        <v>1.7254298550380778</v>
      </c>
    </row>
    <row r="17" spans="1:12" ht="23.4">
      <c r="A17" s="11">
        <v>30.6</v>
      </c>
      <c r="B17" s="31">
        <v>63.9</v>
      </c>
      <c r="C17" s="32">
        <v>13.526</v>
      </c>
      <c r="D17" s="27">
        <f t="shared" si="0"/>
        <v>33.157491352613462</v>
      </c>
      <c r="E17" s="28">
        <f t="shared" si="1"/>
        <v>-2.5574913526134608</v>
      </c>
      <c r="F17">
        <v>8</v>
      </c>
      <c r="H17">
        <f t="shared" si="2"/>
        <v>32.075135529136368</v>
      </c>
      <c r="I17" s="140">
        <f t="shared" si="3"/>
        <v>-1.4751355291363666</v>
      </c>
      <c r="K17">
        <f t="shared" si="4"/>
        <v>9.4966114307528677</v>
      </c>
      <c r="L17" s="141">
        <f t="shared" si="5"/>
        <v>4.0293885692471321</v>
      </c>
    </row>
    <row r="18" spans="1:12" ht="23.4">
      <c r="A18" s="11">
        <v>32.11</v>
      </c>
      <c r="B18" s="31">
        <v>54.5</v>
      </c>
      <c r="C18" s="32">
        <v>12.656000000000001</v>
      </c>
      <c r="D18" s="27">
        <f t="shared" si="0"/>
        <v>32.165936928530179</v>
      </c>
      <c r="E18" s="28">
        <f t="shared" si="1"/>
        <v>-5.5936928530179841E-2</v>
      </c>
      <c r="F18">
        <v>9</v>
      </c>
      <c r="H18">
        <f t="shared" si="2"/>
        <v>32.051130149591451</v>
      </c>
      <c r="I18" s="140">
        <f t="shared" si="3"/>
        <v>5.886985040854853E-2</v>
      </c>
      <c r="K18">
        <f t="shared" si="4"/>
        <v>8.6248099415572312</v>
      </c>
      <c r="L18" s="141">
        <f t="shared" si="5"/>
        <v>4.0311900584427693</v>
      </c>
    </row>
    <row r="19" spans="1:12" ht="23.4">
      <c r="A19" s="11">
        <v>32.86</v>
      </c>
      <c r="B19" s="31">
        <v>39.5</v>
      </c>
      <c r="C19" s="32">
        <v>14.119</v>
      </c>
      <c r="D19" s="27">
        <f t="shared" si="0"/>
        <v>32.332906096522535</v>
      </c>
      <c r="E19" s="28">
        <f t="shared" si="1"/>
        <v>0.52709390347746421</v>
      </c>
      <c r="F19">
        <v>10</v>
      </c>
      <c r="H19">
        <f t="shared" si="2"/>
        <v>32.012823692870839</v>
      </c>
      <c r="I19" s="140">
        <f t="shared" si="3"/>
        <v>0.84717630712916048</v>
      </c>
      <c r="K19">
        <f t="shared" si="4"/>
        <v>7.2336373524152542</v>
      </c>
      <c r="L19" s="141">
        <f t="shared" si="5"/>
        <v>6.8853626475847456</v>
      </c>
    </row>
    <row r="20" spans="1:12" ht="23.4">
      <c r="A20" s="11">
        <v>35.42</v>
      </c>
      <c r="B20" s="31">
        <v>44.5</v>
      </c>
      <c r="C20" s="32">
        <v>16.690999999999999</v>
      </c>
      <c r="D20" s="27">
        <f t="shared" si="0"/>
        <v>34.154318316163206</v>
      </c>
      <c r="E20" s="28">
        <f t="shared" si="1"/>
        <v>1.2656816838367959</v>
      </c>
      <c r="F20">
        <v>11</v>
      </c>
      <c r="H20">
        <f t="shared" si="2"/>
        <v>32.02559251177771</v>
      </c>
      <c r="I20" s="140">
        <f t="shared" si="3"/>
        <v>3.3944074882222921</v>
      </c>
      <c r="K20">
        <f t="shared" si="4"/>
        <v>7.6973615487959126</v>
      </c>
      <c r="L20" s="141">
        <f t="shared" si="5"/>
        <v>8.9936384512040863</v>
      </c>
    </row>
    <row r="21" spans="1:12" ht="23.4">
      <c r="A21" s="11">
        <v>31.25</v>
      </c>
      <c r="B21" s="31">
        <v>43.6</v>
      </c>
      <c r="C21" s="32">
        <v>14.571</v>
      </c>
      <c r="D21" s="27">
        <f t="shared" si="0"/>
        <v>32.809890055899025</v>
      </c>
      <c r="E21" s="28">
        <f t="shared" si="1"/>
        <v>-1.5598900558990252</v>
      </c>
      <c r="F21">
        <v>12</v>
      </c>
      <c r="H21">
        <f t="shared" si="2"/>
        <v>32.023294124374473</v>
      </c>
      <c r="I21" s="140">
        <f t="shared" si="3"/>
        <v>-0.77329412437447331</v>
      </c>
      <c r="K21">
        <f t="shared" si="4"/>
        <v>7.6138911934473947</v>
      </c>
      <c r="L21" s="141">
        <f t="shared" si="5"/>
        <v>6.957108806552605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Highest .Correl</vt:lpstr>
      <vt:lpstr>MATRIX</vt:lpstr>
      <vt:lpstr>RAW.Data</vt:lpstr>
      <vt:lpstr>DATA</vt:lpstr>
      <vt:lpstr>Sigma.t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Kosrow Dehnad</dc:creator>
  <cp:lastModifiedBy>Kosrow Dehnad</cp:lastModifiedBy>
  <dcterms:created xsi:type="dcterms:W3CDTF">2017-01-18T11:27:25Z</dcterms:created>
  <dcterms:modified xsi:type="dcterms:W3CDTF">2017-03-02T12:55:26Z</dcterms:modified>
</cp:coreProperties>
</file>