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23520" windowHeight="102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48" i="1" l="1"/>
  <c r="F147" i="1"/>
  <c r="F146" i="1"/>
  <c r="F145" i="1"/>
  <c r="F144" i="1"/>
  <c r="F143" i="1"/>
  <c r="F142" i="1"/>
  <c r="F141" i="1"/>
  <c r="F140" i="1"/>
  <c r="F139" i="1"/>
  <c r="F138" i="1"/>
  <c r="E144" i="1" l="1"/>
  <c r="E145" i="1"/>
  <c r="E146" i="1"/>
  <c r="E147" i="1"/>
  <c r="E148" i="1"/>
  <c r="E138" i="1"/>
  <c r="E139" i="1"/>
  <c r="E140" i="1"/>
  <c r="E141" i="1"/>
  <c r="E142" i="1"/>
  <c r="E143" i="1" l="1"/>
  <c r="H94" i="1" l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F124" i="1"/>
  <c r="E124" i="1"/>
  <c r="H95" i="1"/>
  <c r="H96" i="1"/>
  <c r="H97" i="1"/>
  <c r="H98" i="1"/>
  <c r="H99" i="1"/>
  <c r="H100" i="1"/>
  <c r="H101" i="1"/>
  <c r="H102" i="1"/>
  <c r="H103" i="1"/>
  <c r="H104" i="1"/>
  <c r="E95" i="1" l="1"/>
  <c r="E96" i="1"/>
  <c r="E97" i="1"/>
  <c r="E98" i="1"/>
  <c r="E99" i="1"/>
  <c r="E100" i="1"/>
  <c r="E101" i="1"/>
  <c r="E102" i="1"/>
  <c r="E103" i="1"/>
  <c r="E104" i="1"/>
  <c r="E94" i="1"/>
  <c r="A75" i="1" l="1"/>
  <c r="A58" i="1"/>
  <c r="A55" i="1"/>
  <c r="A38" i="1"/>
  <c r="C4" i="1"/>
  <c r="C5" i="1"/>
  <c r="C6" i="1"/>
  <c r="C7" i="1"/>
  <c r="C8" i="1"/>
  <c r="C9" i="1"/>
  <c r="C10" i="1"/>
  <c r="C11" i="1"/>
  <c r="C12" i="1"/>
  <c r="C13" i="1"/>
  <c r="C3" i="1"/>
  <c r="B19" i="1"/>
  <c r="B20" i="1"/>
  <c r="C20" i="1" s="1"/>
  <c r="D20" i="1" s="1"/>
  <c r="E20" i="1" s="1"/>
  <c r="F20" i="1" s="1"/>
  <c r="B21" i="1"/>
  <c r="C21" i="1" s="1"/>
  <c r="D21" i="1" s="1"/>
  <c r="E21" i="1" s="1"/>
  <c r="F21" i="1" s="1"/>
  <c r="B22" i="1"/>
  <c r="B23" i="1"/>
  <c r="B24" i="1"/>
  <c r="C24" i="1" s="1"/>
  <c r="D24" i="1" s="1"/>
  <c r="E24" i="1" s="1"/>
  <c r="F24" i="1" s="1"/>
  <c r="B25" i="1"/>
  <c r="C25" i="1" s="1"/>
  <c r="D25" i="1" s="1"/>
  <c r="E25" i="1" s="1"/>
  <c r="F25" i="1" s="1"/>
  <c r="B26" i="1"/>
  <c r="B27" i="1"/>
  <c r="B28" i="1"/>
  <c r="C28" i="1" s="1"/>
  <c r="D28" i="1" s="1"/>
  <c r="E28" i="1" s="1"/>
  <c r="F28" i="1" s="1"/>
  <c r="B29" i="1"/>
  <c r="C29" i="1" s="1"/>
  <c r="D29" i="1" s="1"/>
  <c r="E29" i="1" s="1"/>
  <c r="F29" i="1" s="1"/>
  <c r="B30" i="1"/>
  <c r="B31" i="1"/>
  <c r="B32" i="1"/>
  <c r="C32" i="1" s="1"/>
  <c r="D32" i="1" s="1"/>
  <c r="B33" i="1"/>
  <c r="C33" i="1" s="1"/>
  <c r="D33" i="1" s="1"/>
  <c r="E33" i="1" s="1"/>
  <c r="F33" i="1" s="1"/>
  <c r="B34" i="1"/>
  <c r="G10" i="1"/>
  <c r="G9" i="1"/>
  <c r="B38" i="1" l="1"/>
  <c r="C38" i="1" s="1"/>
  <c r="D38" i="1" s="1"/>
  <c r="E38" i="1" s="1"/>
  <c r="F38" i="1" s="1"/>
  <c r="G38" i="1" s="1"/>
  <c r="H38" i="1" s="1"/>
  <c r="B58" i="1"/>
  <c r="H21" i="1"/>
  <c r="A61" i="1" s="1"/>
  <c r="B61" i="1" s="1"/>
  <c r="C61" i="1" s="1"/>
  <c r="B75" i="1"/>
  <c r="C75" i="1" s="1"/>
  <c r="D75" i="1" s="1"/>
  <c r="E75" i="1" s="1"/>
  <c r="F75" i="1" s="1"/>
  <c r="G75" i="1" s="1"/>
  <c r="H75" i="1" s="1"/>
  <c r="B55" i="1"/>
  <c r="C55" i="1" s="1"/>
  <c r="D55" i="1" s="1"/>
  <c r="E55" i="1" s="1"/>
  <c r="F55" i="1" s="1"/>
  <c r="G55" i="1" s="1"/>
  <c r="H55" i="1" s="1"/>
  <c r="C58" i="1"/>
  <c r="D61" i="1"/>
  <c r="E61" i="1" s="1"/>
  <c r="F61" i="1" s="1"/>
  <c r="G61" i="1" s="1"/>
  <c r="H61" i="1" s="1"/>
  <c r="D58" i="1"/>
  <c r="E58" i="1" s="1"/>
  <c r="F58" i="1" s="1"/>
  <c r="G58" i="1" s="1"/>
  <c r="H58" i="1" s="1"/>
  <c r="H28" i="1"/>
  <c r="A68" i="1" s="1"/>
  <c r="B68" i="1" s="1"/>
  <c r="C68" i="1" s="1"/>
  <c r="D68" i="1" s="1"/>
  <c r="E68" i="1" s="1"/>
  <c r="E32" i="1"/>
  <c r="F32" i="1" s="1"/>
  <c r="G24" i="1"/>
  <c r="A44" i="1" s="1"/>
  <c r="B44" i="1" s="1"/>
  <c r="C44" i="1" s="1"/>
  <c r="D44" i="1" s="1"/>
  <c r="E44" i="1" s="1"/>
  <c r="F44" i="1" s="1"/>
  <c r="G44" i="1" s="1"/>
  <c r="H44" i="1" s="1"/>
  <c r="H24" i="1"/>
  <c r="A64" i="1" s="1"/>
  <c r="B64" i="1" s="1"/>
  <c r="C64" i="1" s="1"/>
  <c r="D64" i="1" s="1"/>
  <c r="E64" i="1" s="1"/>
  <c r="F64" i="1" s="1"/>
  <c r="G64" i="1" s="1"/>
  <c r="H64" i="1" s="1"/>
  <c r="A18" i="1"/>
  <c r="B18" i="1" s="1"/>
  <c r="G19" i="1"/>
  <c r="A39" i="1" s="1"/>
  <c r="B39" i="1" s="1"/>
  <c r="C39" i="1" s="1"/>
  <c r="D39" i="1" s="1"/>
  <c r="E39" i="1" s="1"/>
  <c r="F39" i="1" s="1"/>
  <c r="G39" i="1" s="1"/>
  <c r="H39" i="1" s="1"/>
  <c r="G31" i="1"/>
  <c r="A51" i="1" s="1"/>
  <c r="B51" i="1" s="1"/>
  <c r="C51" i="1" s="1"/>
  <c r="D51" i="1" s="1"/>
  <c r="E51" i="1" s="1"/>
  <c r="F51" i="1" s="1"/>
  <c r="G51" i="1" s="1"/>
  <c r="H51" i="1" s="1"/>
  <c r="G27" i="1"/>
  <c r="A47" i="1" s="1"/>
  <c r="B47" i="1" s="1"/>
  <c r="C47" i="1" s="1"/>
  <c r="D47" i="1" s="1"/>
  <c r="E47" i="1" s="1"/>
  <c r="F47" i="1" s="1"/>
  <c r="G47" i="1" s="1"/>
  <c r="H47" i="1" s="1"/>
  <c r="G23" i="1"/>
  <c r="A43" i="1" s="1"/>
  <c r="B43" i="1" s="1"/>
  <c r="C43" i="1" s="1"/>
  <c r="D43" i="1" s="1"/>
  <c r="E43" i="1" s="1"/>
  <c r="F43" i="1" s="1"/>
  <c r="G43" i="1" s="1"/>
  <c r="H43" i="1" s="1"/>
  <c r="H19" i="1"/>
  <c r="A59" i="1" s="1"/>
  <c r="B59" i="1" s="1"/>
  <c r="C59" i="1" s="1"/>
  <c r="D59" i="1" s="1"/>
  <c r="E59" i="1" s="1"/>
  <c r="F59" i="1" s="1"/>
  <c r="G59" i="1" s="1"/>
  <c r="H59" i="1" s="1"/>
  <c r="H31" i="1"/>
  <c r="A71" i="1" s="1"/>
  <c r="B71" i="1" s="1"/>
  <c r="C71" i="1" s="1"/>
  <c r="D71" i="1" s="1"/>
  <c r="E71" i="1" s="1"/>
  <c r="F71" i="1" s="1"/>
  <c r="G71" i="1" s="1"/>
  <c r="H71" i="1" s="1"/>
  <c r="H27" i="1"/>
  <c r="A67" i="1" s="1"/>
  <c r="B67" i="1" s="1"/>
  <c r="C67" i="1" s="1"/>
  <c r="D67" i="1" s="1"/>
  <c r="E67" i="1" s="1"/>
  <c r="H23" i="1"/>
  <c r="A63" i="1" s="1"/>
  <c r="B63" i="1" s="1"/>
  <c r="C63" i="1" s="1"/>
  <c r="D63" i="1" s="1"/>
  <c r="E63" i="1" s="1"/>
  <c r="F63" i="1" s="1"/>
  <c r="G63" i="1" s="1"/>
  <c r="H63" i="1" s="1"/>
  <c r="G32" i="1"/>
  <c r="A52" i="1" s="1"/>
  <c r="B52" i="1" s="1"/>
  <c r="C52" i="1" s="1"/>
  <c r="D52" i="1" s="1"/>
  <c r="E52" i="1" s="1"/>
  <c r="F52" i="1" s="1"/>
  <c r="G52" i="1" s="1"/>
  <c r="H52" i="1" s="1"/>
  <c r="G28" i="1"/>
  <c r="A48" i="1" s="1"/>
  <c r="B48" i="1" s="1"/>
  <c r="C48" i="1" s="1"/>
  <c r="D48" i="1" s="1"/>
  <c r="E48" i="1" s="1"/>
  <c r="F48" i="1" s="1"/>
  <c r="G48" i="1" s="1"/>
  <c r="H48" i="1" s="1"/>
  <c r="H32" i="1"/>
  <c r="A72" i="1" s="1"/>
  <c r="B72" i="1" s="1"/>
  <c r="C72" i="1" s="1"/>
  <c r="D72" i="1" s="1"/>
  <c r="E72" i="1" s="1"/>
  <c r="F72" i="1" s="1"/>
  <c r="G72" i="1" s="1"/>
  <c r="H72" i="1" s="1"/>
  <c r="H20" i="1"/>
  <c r="A60" i="1" s="1"/>
  <c r="B60" i="1" s="1"/>
  <c r="C60" i="1" s="1"/>
  <c r="D60" i="1" s="1"/>
  <c r="E60" i="1" s="1"/>
  <c r="F60" i="1" s="1"/>
  <c r="G60" i="1" s="1"/>
  <c r="H60" i="1" s="1"/>
  <c r="A35" i="1"/>
  <c r="B35" i="1" s="1"/>
  <c r="C31" i="1"/>
  <c r="D31" i="1" s="1"/>
  <c r="E31" i="1" s="1"/>
  <c r="F31" i="1" s="1"/>
  <c r="C27" i="1"/>
  <c r="D27" i="1" s="1"/>
  <c r="E27" i="1" s="1"/>
  <c r="F27" i="1" s="1"/>
  <c r="C23" i="1"/>
  <c r="D23" i="1" s="1"/>
  <c r="E23" i="1" s="1"/>
  <c r="F23" i="1" s="1"/>
  <c r="C19" i="1"/>
  <c r="D19" i="1" s="1"/>
  <c r="E19" i="1" s="1"/>
  <c r="F19" i="1" s="1"/>
  <c r="G34" i="1"/>
  <c r="A54" i="1" s="1"/>
  <c r="B54" i="1" s="1"/>
  <c r="C54" i="1" s="1"/>
  <c r="D54" i="1" s="1"/>
  <c r="E54" i="1" s="1"/>
  <c r="F54" i="1" s="1"/>
  <c r="G54" i="1" s="1"/>
  <c r="H54" i="1" s="1"/>
  <c r="G30" i="1"/>
  <c r="A50" i="1" s="1"/>
  <c r="B50" i="1" s="1"/>
  <c r="C50" i="1" s="1"/>
  <c r="D50" i="1" s="1"/>
  <c r="E50" i="1" s="1"/>
  <c r="F50" i="1" s="1"/>
  <c r="G50" i="1" s="1"/>
  <c r="H50" i="1" s="1"/>
  <c r="G26" i="1"/>
  <c r="A46" i="1" s="1"/>
  <c r="B46" i="1" s="1"/>
  <c r="C46" i="1" s="1"/>
  <c r="D46" i="1" s="1"/>
  <c r="E46" i="1" s="1"/>
  <c r="F46" i="1" s="1"/>
  <c r="G46" i="1" s="1"/>
  <c r="H46" i="1" s="1"/>
  <c r="G22" i="1"/>
  <c r="A42" i="1" s="1"/>
  <c r="B42" i="1" s="1"/>
  <c r="C42" i="1" s="1"/>
  <c r="D42" i="1" s="1"/>
  <c r="E42" i="1" s="1"/>
  <c r="F42" i="1" s="1"/>
  <c r="G42" i="1" s="1"/>
  <c r="H42" i="1" s="1"/>
  <c r="H34" i="1"/>
  <c r="A74" i="1" s="1"/>
  <c r="B74" i="1" s="1"/>
  <c r="C74" i="1" s="1"/>
  <c r="D74" i="1" s="1"/>
  <c r="E74" i="1" s="1"/>
  <c r="F74" i="1" s="1"/>
  <c r="G74" i="1" s="1"/>
  <c r="H74" i="1" s="1"/>
  <c r="H30" i="1"/>
  <c r="A70" i="1" s="1"/>
  <c r="B70" i="1" s="1"/>
  <c r="C70" i="1" s="1"/>
  <c r="D70" i="1" s="1"/>
  <c r="E70" i="1" s="1"/>
  <c r="F70" i="1" s="1"/>
  <c r="G70" i="1" s="1"/>
  <c r="H70" i="1" s="1"/>
  <c r="H26" i="1"/>
  <c r="A66" i="1" s="1"/>
  <c r="B66" i="1" s="1"/>
  <c r="C66" i="1" s="1"/>
  <c r="D66" i="1" s="1"/>
  <c r="E66" i="1" s="1"/>
  <c r="F66" i="1" s="1"/>
  <c r="G66" i="1" s="1"/>
  <c r="H66" i="1" s="1"/>
  <c r="H22" i="1"/>
  <c r="A62" i="1" s="1"/>
  <c r="B62" i="1" s="1"/>
  <c r="C62" i="1" s="1"/>
  <c r="D62" i="1" s="1"/>
  <c r="E62" i="1" s="1"/>
  <c r="F62" i="1" s="1"/>
  <c r="G62" i="1" s="1"/>
  <c r="H62" i="1" s="1"/>
  <c r="G20" i="1"/>
  <c r="A40" i="1" s="1"/>
  <c r="B40" i="1" s="1"/>
  <c r="C40" i="1" s="1"/>
  <c r="D40" i="1" s="1"/>
  <c r="E40" i="1" s="1"/>
  <c r="F40" i="1" s="1"/>
  <c r="G40" i="1" s="1"/>
  <c r="H40" i="1" s="1"/>
  <c r="C34" i="1"/>
  <c r="D34" i="1" s="1"/>
  <c r="E34" i="1" s="1"/>
  <c r="F34" i="1" s="1"/>
  <c r="C30" i="1"/>
  <c r="D30" i="1" s="1"/>
  <c r="E30" i="1" s="1"/>
  <c r="F30" i="1" s="1"/>
  <c r="C26" i="1"/>
  <c r="D26" i="1" s="1"/>
  <c r="E26" i="1" s="1"/>
  <c r="F26" i="1" s="1"/>
  <c r="C22" i="1"/>
  <c r="D22" i="1" s="1"/>
  <c r="E22" i="1" s="1"/>
  <c r="F22" i="1" s="1"/>
  <c r="G33" i="1"/>
  <c r="A53" i="1" s="1"/>
  <c r="B53" i="1" s="1"/>
  <c r="C53" i="1" s="1"/>
  <c r="D53" i="1" s="1"/>
  <c r="E53" i="1" s="1"/>
  <c r="F53" i="1" s="1"/>
  <c r="G53" i="1" s="1"/>
  <c r="H53" i="1" s="1"/>
  <c r="G29" i="1"/>
  <c r="A49" i="1" s="1"/>
  <c r="B49" i="1" s="1"/>
  <c r="C49" i="1" s="1"/>
  <c r="D49" i="1" s="1"/>
  <c r="E49" i="1" s="1"/>
  <c r="F49" i="1" s="1"/>
  <c r="G49" i="1" s="1"/>
  <c r="H49" i="1" s="1"/>
  <c r="G25" i="1"/>
  <c r="A45" i="1" s="1"/>
  <c r="B45" i="1" s="1"/>
  <c r="C45" i="1" s="1"/>
  <c r="D45" i="1" s="1"/>
  <c r="E45" i="1" s="1"/>
  <c r="F45" i="1" s="1"/>
  <c r="G45" i="1" s="1"/>
  <c r="H45" i="1" s="1"/>
  <c r="G21" i="1"/>
  <c r="A41" i="1" s="1"/>
  <c r="B41" i="1" s="1"/>
  <c r="C41" i="1" s="1"/>
  <c r="D41" i="1" s="1"/>
  <c r="E41" i="1" s="1"/>
  <c r="F41" i="1" s="1"/>
  <c r="G41" i="1" s="1"/>
  <c r="H41" i="1" s="1"/>
  <c r="H33" i="1"/>
  <c r="A73" i="1" s="1"/>
  <c r="B73" i="1" s="1"/>
  <c r="C73" i="1" s="1"/>
  <c r="D73" i="1" s="1"/>
  <c r="E73" i="1" s="1"/>
  <c r="F73" i="1" s="1"/>
  <c r="G73" i="1" s="1"/>
  <c r="H73" i="1" s="1"/>
  <c r="H29" i="1"/>
  <c r="A69" i="1" s="1"/>
  <c r="B69" i="1" s="1"/>
  <c r="C69" i="1" s="1"/>
  <c r="D69" i="1" s="1"/>
  <c r="E69" i="1" s="1"/>
  <c r="F69" i="1" s="1"/>
  <c r="G69" i="1" s="1"/>
  <c r="H69" i="1" s="1"/>
  <c r="H25" i="1"/>
  <c r="A65" i="1" s="1"/>
  <c r="B65" i="1" s="1"/>
  <c r="C65" i="1" s="1"/>
  <c r="D65" i="1" s="1"/>
  <c r="E65" i="1" s="1"/>
  <c r="F65" i="1" s="1"/>
  <c r="G65" i="1" s="1"/>
  <c r="H65" i="1" s="1"/>
  <c r="F68" i="1" l="1"/>
  <c r="G68" i="1" s="1"/>
  <c r="H68" i="1" s="1"/>
  <c r="F67" i="1"/>
  <c r="G67" i="1" s="1"/>
  <c r="H67" i="1" s="1"/>
  <c r="C18" i="1"/>
  <c r="D18" i="1" s="1"/>
  <c r="E18" i="1" s="1"/>
  <c r="F18" i="1" s="1"/>
  <c r="C35" i="1"/>
  <c r="D35" i="1" s="1"/>
  <c r="E35" i="1" s="1"/>
  <c r="F35" i="1" s="1"/>
  <c r="A107" i="1" l="1"/>
  <c r="A108" i="1" s="1"/>
  <c r="A109" i="1" s="1"/>
  <c r="A97" i="1" l="1"/>
  <c r="A101" i="1"/>
  <c r="A98" i="1"/>
  <c r="A102" i="1"/>
  <c r="A99" i="1"/>
  <c r="A103" i="1"/>
  <c r="A100" i="1"/>
  <c r="A95" i="1"/>
  <c r="A96" i="1"/>
</calcChain>
</file>

<file path=xl/sharedStrings.xml><?xml version="1.0" encoding="utf-8"?>
<sst xmlns="http://schemas.openxmlformats.org/spreadsheetml/2006/main" count="113" uniqueCount="85">
  <si>
    <t>mm</t>
  </si>
  <si>
    <t>axle_sensor_raw</t>
  </si>
  <si>
    <t>axle_sensor_out</t>
  </si>
  <si>
    <t>The first calculation step is the calculation of angle α, which is given by the sensor current signal. Therefor current is scaled to radians.</t>
  </si>
  <si>
    <t>With help of the sine law 2r is calculated:</t>
  </si>
  <si>
    <t>2r = length a / sin α.</t>
  </si>
  <si>
    <t>The third step is calculation of axle angle β:</t>
  </si>
  <si>
    <t>β  = arcsin(b / 2r)</t>
  </si>
  <si>
    <t>Step four is determination of the joint angle γ:</t>
  </si>
  <si>
    <t>γ =  π – β – α</t>
  </si>
  <si>
    <t>The last calculation step is the calculation of the axle width.</t>
  </si>
  <si>
    <t>The axle width is distance c times two:</t>
  </si>
  <si>
    <t>Axle width = 2 *  (2r * sin γ)  +  0.5</t>
  </si>
  <si>
    <t>dist_sensor_joint</t>
  </si>
  <si>
    <t>dist_joint_axle</t>
  </si>
  <si>
    <t>b</t>
  </si>
  <si>
    <t>a</t>
  </si>
  <si>
    <t>sensor_angle_min_width</t>
  </si>
  <si>
    <t>0.001 Rad</t>
  </si>
  <si>
    <t>sensor_angle_max_width</t>
  </si>
  <si>
    <t>°</t>
  </si>
  <si>
    <t>Angle α (Current to angle!)</t>
  </si>
  <si>
    <t>2r</t>
  </si>
  <si>
    <t>β</t>
  </si>
  <si>
    <t>γ</t>
  </si>
  <si>
    <t>c</t>
  </si>
  <si>
    <t>Axle width (2*c)</t>
  </si>
  <si>
    <t>min_axle_width</t>
  </si>
  <si>
    <t>0.1 mm</t>
  </si>
  <si>
    <t>max_axle_width</t>
  </si>
  <si>
    <t>Dataset 1</t>
  </si>
  <si>
    <t>Dataset 2</t>
  </si>
  <si>
    <t>Lookup Table Eeprom</t>
  </si>
  <si>
    <t>The track width is calculated as: current axle width – eep.min_axle_width + eep. min_tire_track_width</t>
  </si>
  <si>
    <t>Track width</t>
  </si>
  <si>
    <t>HandMeasuredTrackWidth</t>
  </si>
  <si>
    <t>USER INPUT:</t>
  </si>
  <si>
    <t>Eeprom Parameters</t>
  </si>
  <si>
    <t>Current uA (Dataset 1)</t>
  </si>
  <si>
    <t>Current uA (Dataset 2)</t>
  </si>
  <si>
    <t>Trackwidth Dataset 1</t>
  </si>
  <si>
    <t>Trackwidth Dataset 2</t>
  </si>
  <si>
    <t>Breakpoints</t>
  </si>
  <si>
    <t>axle_curve_bkpts - [0.001 radians]</t>
  </si>
  <si>
    <t>axle_curve_bkpts - [degrees]</t>
  </si>
  <si>
    <t>axle_curve_out[..] -    [mm]</t>
  </si>
  <si>
    <t>Lookup tables</t>
  </si>
  <si>
    <t>axle_curve_out[0]</t>
  </si>
  <si>
    <t>axle_curve_out[1]</t>
  </si>
  <si>
    <t>axle_curve_out[2]</t>
  </si>
  <si>
    <t>axle_curve_out[3]</t>
  </si>
  <si>
    <t>axle_curve_out[4]</t>
  </si>
  <si>
    <t>axle_curve_out[5]</t>
  </si>
  <si>
    <t>axle_curve_out[6]</t>
  </si>
  <si>
    <t>axle_curve_out[7]</t>
  </si>
  <si>
    <t>axle_curve_out[8]</t>
  </si>
  <si>
    <t>axle_curve_out[9]</t>
  </si>
  <si>
    <t>axle_curve_out[10]</t>
  </si>
  <si>
    <t>axle_curve_bkpts[0]</t>
  </si>
  <si>
    <t>axle_curve_bkpts[1]</t>
  </si>
  <si>
    <t>axle_curve_bkpts[2]</t>
  </si>
  <si>
    <t>axle_curve_bkpts[3]</t>
  </si>
  <si>
    <t>axle_curve_bkpts[4]</t>
  </si>
  <si>
    <t>axle_curve_bkpts[5]</t>
  </si>
  <si>
    <t>axle_curve_bkpts[6]</t>
  </si>
  <si>
    <t>axle_curve_bkpts[7]</t>
  </si>
  <si>
    <t>axle_curve_bkpts[8]</t>
  </si>
  <si>
    <t>axle_curve_bkpts[9]</t>
  </si>
  <si>
    <t>axle_curve_bkpts[10]</t>
  </si>
  <si>
    <t>sensor_range[0]</t>
  </si>
  <si>
    <t>sensor_range[1]</t>
  </si>
  <si>
    <t>FL_sensor_calibration[0]</t>
  </si>
  <si>
    <t>FL_sensor_calibration[1]</t>
  </si>
  <si>
    <t>uA</t>
  </si>
  <si>
    <t>0.001 radians</t>
  </si>
  <si>
    <t>RL_sensor_calibration[0]</t>
  </si>
  <si>
    <t>RL_sensor_calibration[1]</t>
  </si>
  <si>
    <t>Current [uA]</t>
  </si>
  <si>
    <t>Calculated by TA Module</t>
  </si>
  <si>
    <t>Trackwidth          [mm]</t>
  </si>
  <si>
    <t>Min tire track width</t>
  </si>
  <si>
    <t>track_adjust_logic_Y.   xxxxAxleWidth_mm</t>
  </si>
  <si>
    <t>track_adjust_logic_Y.   xxxxTrackWidth_mm</t>
  </si>
  <si>
    <t>track_adjust_logic_Y. XX_track_width_mm</t>
  </si>
  <si>
    <t>Calc trackwidth theoretically based on AxleWidth_mm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</si>
</sst>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FA7D00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1"/>
    </font>
    <font>
      <b/>
      <sz val="10"/>
      <color rgb="FF0061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  <xf numFmtId="0" fontId="10" fillId="6" borderId="0" applyNumberFormat="0" applyBorder="0" applyAlignment="0" applyProtection="0"/>
    <xf numFmtId="0" fontId="9" fillId="7" borderId="2" applyNumberFormat="0" applyFont="0" applyAlignment="0" applyProtection="0"/>
    <xf numFmtId="0" fontId="11" fillId="0" borderId="0"/>
    <xf numFmtId="0" fontId="12" fillId="0" borderId="0"/>
    <xf numFmtId="0" fontId="9" fillId="0" borderId="0"/>
    <xf numFmtId="0" fontId="9" fillId="0" borderId="0"/>
    <xf numFmtId="0" fontId="11" fillId="0" borderId="0"/>
  </cellStyleXfs>
  <cellXfs count="38">
    <xf numFmtId="0" fontId="0" fillId="0" borderId="0" xfId="0"/>
    <xf numFmtId="49" fontId="0" fillId="0" borderId="0" xfId="0" applyNumberFormat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center"/>
    </xf>
    <xf numFmtId="2" fontId="0" fillId="0" borderId="0" xfId="0" applyNumberFormat="1"/>
    <xf numFmtId="0" fontId="5" fillId="0" borderId="0" xfId="0" applyFont="1"/>
    <xf numFmtId="49" fontId="5" fillId="0" borderId="0" xfId="0" applyNumberFormat="1" applyFont="1" applyAlignment="1">
      <alignment horizontal="center"/>
    </xf>
    <xf numFmtId="0" fontId="3" fillId="4" borderId="1" xfId="3"/>
    <xf numFmtId="0" fontId="3" fillId="4" borderId="1" xfId="3" applyNumberFormat="1"/>
    <xf numFmtId="49" fontId="3" fillId="4" borderId="1" xfId="3" applyNumberFormat="1" applyAlignment="1">
      <alignment horizontal="center"/>
    </xf>
    <xf numFmtId="0" fontId="5" fillId="0" borderId="0" xfId="0" applyFont="1" applyAlignment="1">
      <alignment horizontal="center"/>
    </xf>
    <xf numFmtId="1" fontId="4" fillId="5" borderId="1" xfId="4" applyNumberFormat="1"/>
    <xf numFmtId="0" fontId="4" fillId="5" borderId="1" xfId="4" applyNumberFormat="1" applyAlignment="1">
      <alignment horizontal="center"/>
    </xf>
    <xf numFmtId="0" fontId="4" fillId="5" borderId="1" xfId="4"/>
    <xf numFmtId="2" fontId="4" fillId="5" borderId="1" xfId="4" applyNumberFormat="1"/>
    <xf numFmtId="0" fontId="7" fillId="2" borderId="0" xfId="1" applyFont="1" applyBorder="1"/>
    <xf numFmtId="0" fontId="7" fillId="2" borderId="0" xfId="1" applyFont="1"/>
    <xf numFmtId="0" fontId="8" fillId="0" borderId="0" xfId="0" applyFont="1" applyAlignment="1">
      <alignment horizontal="right"/>
    </xf>
    <xf numFmtId="0" fontId="3" fillId="4" borderId="1" xfId="3" applyAlignment="1">
      <alignment horizontal="center"/>
    </xf>
    <xf numFmtId="0" fontId="2" fillId="3" borderId="0" xfId="2"/>
    <xf numFmtId="0" fontId="2" fillId="3" borderId="0" xfId="2" applyNumberFormat="1"/>
    <xf numFmtId="1" fontId="3" fillId="4" borderId="1" xfId="3" applyNumberFormat="1"/>
    <xf numFmtId="0" fontId="1" fillId="2" borderId="0" xfId="1"/>
    <xf numFmtId="0" fontId="1" fillId="0" borderId="0" xfId="1" applyFill="1"/>
    <xf numFmtId="0" fontId="2" fillId="3" borderId="0" xfId="2" applyAlignment="1">
      <alignment horizontal="center"/>
    </xf>
    <xf numFmtId="0" fontId="5" fillId="0" borderId="0" xfId="0" applyFont="1" applyAlignment="1">
      <alignment vertical="top" wrapText="1"/>
    </xf>
    <xf numFmtId="0" fontId="1" fillId="2" borderId="0" xfId="1" applyAlignment="1">
      <alignment horizontal="center"/>
    </xf>
    <xf numFmtId="0" fontId="11" fillId="0" borderId="0" xfId="1" applyFont="1" applyFill="1"/>
    <xf numFmtId="0" fontId="10" fillId="6" borderId="0" xfId="5"/>
    <xf numFmtId="1" fontId="2" fillId="3" borderId="0" xfId="2" applyNumberFormat="1" applyAlignment="1">
      <alignment horizontal="center"/>
    </xf>
    <xf numFmtId="0" fontId="11" fillId="7" borderId="2" xfId="6" applyFont="1"/>
    <xf numFmtId="0" fontId="11" fillId="7" borderId="2" xfId="6" applyNumberFormat="1" applyFont="1"/>
    <xf numFmtId="1" fontId="0" fillId="0" borderId="0" xfId="0" applyNumberFormat="1"/>
    <xf numFmtId="0" fontId="5" fillId="0" borderId="0" xfId="0" applyFont="1" applyAlignment="1">
      <alignment wrapText="1"/>
    </xf>
    <xf numFmtId="0" fontId="13" fillId="0" borderId="0" xfId="0" applyFont="1"/>
    <xf numFmtId="0" fontId="2" fillId="3" borderId="0" xfId="2" applyAlignment="1">
      <alignment horizontal="center"/>
    </xf>
    <xf numFmtId="14" fontId="0" fillId="0" borderId="0" xfId="0" applyNumberFormat="1"/>
    <xf numFmtId="49" fontId="5" fillId="0" borderId="0" xfId="0" applyNumberFormat="1" applyFont="1" applyAlignment="1">
      <alignment wrapText="1"/>
    </xf>
  </cellXfs>
  <cellStyles count="12">
    <cellStyle name="Bad" xfId="5" builtinId="27"/>
    <cellStyle name="Calculation" xfId="4" builtinId="22"/>
    <cellStyle name="Good" xfId="1" builtinId="26"/>
    <cellStyle name="Input" xfId="3" builtinId="20"/>
    <cellStyle name="Neutral" xfId="2" builtinId="28"/>
    <cellStyle name="Normal" xfId="0" builtinId="0"/>
    <cellStyle name="Normal 2" xfId="8"/>
    <cellStyle name="Normal 2 2" xfId="11"/>
    <cellStyle name="Normal 3" xfId="9"/>
    <cellStyle name="Normal 4" xfId="10"/>
    <cellStyle name="Normal 5" xfId="7"/>
    <cellStyle name="Note" xfId="6" builtinId="10"/>
  </cellStyles>
  <dxfs count="28"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Track Adjust calibration values vs. TA Eeprom lookup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1216023830136522E-2"/>
          <c:y val="9.1972806677853791E-2"/>
          <c:w val="0.84018892116402211"/>
          <c:h val="0.806919667828406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Lookup Table Eeprom</c:v>
                </c:pt>
              </c:strCache>
            </c:strRef>
          </c:tx>
          <c:xVal>
            <c:numRef>
              <c:f>Sheet1!$A$3:$A$13</c:f>
              <c:numCache>
                <c:formatCode>General</c:formatCode>
                <c:ptCount val="11"/>
                <c:pt idx="0">
                  <c:v>4000</c:v>
                </c:pt>
                <c:pt idx="1">
                  <c:v>5442</c:v>
                </c:pt>
                <c:pt idx="2">
                  <c:v>6750</c:v>
                </c:pt>
                <c:pt idx="3">
                  <c:v>8058</c:v>
                </c:pt>
                <c:pt idx="4">
                  <c:v>9367</c:v>
                </c:pt>
                <c:pt idx="5">
                  <c:v>10675</c:v>
                </c:pt>
                <c:pt idx="6">
                  <c:v>11983</c:v>
                </c:pt>
                <c:pt idx="7">
                  <c:v>13292</c:v>
                </c:pt>
                <c:pt idx="8">
                  <c:v>14600</c:v>
                </c:pt>
                <c:pt idx="9">
                  <c:v>15908</c:v>
                </c:pt>
                <c:pt idx="10">
                  <c:v>17083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895</c:v>
                </c:pt>
                <c:pt idx="1">
                  <c:v>889</c:v>
                </c:pt>
                <c:pt idx="2">
                  <c:v>869</c:v>
                </c:pt>
                <c:pt idx="3">
                  <c:v>839</c:v>
                </c:pt>
                <c:pt idx="4">
                  <c:v>800</c:v>
                </c:pt>
                <c:pt idx="5">
                  <c:v>753</c:v>
                </c:pt>
                <c:pt idx="6">
                  <c:v>701</c:v>
                </c:pt>
                <c:pt idx="7">
                  <c:v>645</c:v>
                </c:pt>
                <c:pt idx="8">
                  <c:v>588</c:v>
                </c:pt>
                <c:pt idx="9">
                  <c:v>533</c:v>
                </c:pt>
                <c:pt idx="10">
                  <c:v>487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Sheet1!$G$17</c:f>
              <c:strCache>
                <c:ptCount val="1"/>
                <c:pt idx="0">
                  <c:v>Dataset 1</c:v>
                </c:pt>
              </c:strCache>
            </c:strRef>
          </c:tx>
          <c:xVal>
            <c:numRef>
              <c:f>Sheet1!$G$18:$G$35</c:f>
              <c:numCache>
                <c:formatCode>0</c:formatCode>
                <c:ptCount val="18"/>
                <c:pt idx="0" formatCode="General">
                  <c:v>5374</c:v>
                </c:pt>
                <c:pt idx="1">
                  <c:v>5974.8936206509907</c:v>
                </c:pt>
                <c:pt idx="2">
                  <c:v>6750.6156689992667</c:v>
                </c:pt>
                <c:pt idx="3">
                  <c:v>7526.3377173475437</c:v>
                </c:pt>
                <c:pt idx="4">
                  <c:v>8302.0597656958198</c:v>
                </c:pt>
                <c:pt idx="5">
                  <c:v>9077.7818140440977</c:v>
                </c:pt>
                <c:pt idx="6">
                  <c:v>9853.5038623923738</c:v>
                </c:pt>
                <c:pt idx="7">
                  <c:v>10629.22591074065</c:v>
                </c:pt>
                <c:pt idx="8">
                  <c:v>11404.947959088926</c:v>
                </c:pt>
                <c:pt idx="9">
                  <c:v>12180.670007437204</c:v>
                </c:pt>
                <c:pt idx="10">
                  <c:v>12956.39205578548</c:v>
                </c:pt>
                <c:pt idx="11">
                  <c:v>13732.114104133756</c:v>
                </c:pt>
                <c:pt idx="12">
                  <c:v>14507.836152482034</c:v>
                </c:pt>
                <c:pt idx="13">
                  <c:v>15283.55820083031</c:v>
                </c:pt>
                <c:pt idx="14">
                  <c:v>16059.280249178586</c:v>
                </c:pt>
                <c:pt idx="15">
                  <c:v>16835.002297526862</c:v>
                </c:pt>
                <c:pt idx="16">
                  <c:v>17610.72434587514</c:v>
                </c:pt>
                <c:pt idx="17" formatCode="General">
                  <c:v>18201</c:v>
                </c:pt>
              </c:numCache>
            </c:numRef>
          </c:xVal>
          <c:yVal>
            <c:numRef>
              <c:f>Sheet1!$F$18:$F$35</c:f>
              <c:numCache>
                <c:formatCode>0.00</c:formatCode>
                <c:ptCount val="18"/>
                <c:pt idx="0">
                  <c:v>846</c:v>
                </c:pt>
                <c:pt idx="1">
                  <c:v>832</c:v>
                </c:pt>
                <c:pt idx="2">
                  <c:v>810</c:v>
                </c:pt>
                <c:pt idx="3">
                  <c:v>785</c:v>
                </c:pt>
                <c:pt idx="4">
                  <c:v>759</c:v>
                </c:pt>
                <c:pt idx="5">
                  <c:v>730</c:v>
                </c:pt>
                <c:pt idx="6">
                  <c:v>701</c:v>
                </c:pt>
                <c:pt idx="7">
                  <c:v>670</c:v>
                </c:pt>
                <c:pt idx="8">
                  <c:v>638</c:v>
                </c:pt>
                <c:pt idx="9">
                  <c:v>607</c:v>
                </c:pt>
                <c:pt idx="10">
                  <c:v>576</c:v>
                </c:pt>
                <c:pt idx="11">
                  <c:v>545</c:v>
                </c:pt>
                <c:pt idx="12">
                  <c:v>516</c:v>
                </c:pt>
                <c:pt idx="13">
                  <c:v>488</c:v>
                </c:pt>
                <c:pt idx="14">
                  <c:v>461</c:v>
                </c:pt>
                <c:pt idx="15">
                  <c:v>436</c:v>
                </c:pt>
                <c:pt idx="16">
                  <c:v>413</c:v>
                </c:pt>
                <c:pt idx="17">
                  <c:v>396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Sheet1!$H$17</c:f>
              <c:strCache>
                <c:ptCount val="1"/>
                <c:pt idx="0">
                  <c:v>Dataset 2</c:v>
                </c:pt>
              </c:strCache>
            </c:strRef>
          </c:tx>
          <c:xVal>
            <c:numRef>
              <c:f>Sheet1!$H$18:$H$35</c:f>
              <c:numCache>
                <c:formatCode>0</c:formatCode>
                <c:ptCount val="18"/>
                <c:pt idx="0" formatCode="General">
                  <c:v>6283</c:v>
                </c:pt>
                <c:pt idx="1">
                  <c:v>6832.1756384884666</c:v>
                </c:pt>
                <c:pt idx="2">
                  <c:v>7541.1324929974589</c:v>
                </c:pt>
                <c:pt idx="3">
                  <c:v>8250.0893475064513</c:v>
                </c:pt>
                <c:pt idx="4">
                  <c:v>8959.0462020154446</c:v>
                </c:pt>
                <c:pt idx="5">
                  <c:v>9668.003056524436</c:v>
                </c:pt>
                <c:pt idx="6">
                  <c:v>10376.959911033429</c:v>
                </c:pt>
                <c:pt idx="7">
                  <c:v>11085.916765542421</c:v>
                </c:pt>
                <c:pt idx="8">
                  <c:v>11794.873620051412</c:v>
                </c:pt>
                <c:pt idx="9">
                  <c:v>12503.830474560405</c:v>
                </c:pt>
                <c:pt idx="10">
                  <c:v>13212.787329069399</c:v>
                </c:pt>
                <c:pt idx="11">
                  <c:v>13921.74418357839</c:v>
                </c:pt>
                <c:pt idx="12">
                  <c:v>14630.701038087383</c:v>
                </c:pt>
                <c:pt idx="13">
                  <c:v>15339.657892596375</c:v>
                </c:pt>
                <c:pt idx="14">
                  <c:v>16048.614747105368</c:v>
                </c:pt>
                <c:pt idx="15">
                  <c:v>16757.57160161436</c:v>
                </c:pt>
                <c:pt idx="16">
                  <c:v>17466.528456123353</c:v>
                </c:pt>
                <c:pt idx="17" formatCode="General">
                  <c:v>18006</c:v>
                </c:pt>
              </c:numCache>
            </c:numRef>
          </c:xVal>
          <c:yVal>
            <c:numRef>
              <c:f>Sheet1!$F$18:$F$35</c:f>
              <c:numCache>
                <c:formatCode>0.00</c:formatCode>
                <c:ptCount val="18"/>
                <c:pt idx="0">
                  <c:v>846</c:v>
                </c:pt>
                <c:pt idx="1">
                  <c:v>832</c:v>
                </c:pt>
                <c:pt idx="2">
                  <c:v>810</c:v>
                </c:pt>
                <c:pt idx="3">
                  <c:v>785</c:v>
                </c:pt>
                <c:pt idx="4">
                  <c:v>759</c:v>
                </c:pt>
                <c:pt idx="5">
                  <c:v>730</c:v>
                </c:pt>
                <c:pt idx="6">
                  <c:v>701</c:v>
                </c:pt>
                <c:pt idx="7">
                  <c:v>670</c:v>
                </c:pt>
                <c:pt idx="8">
                  <c:v>638</c:v>
                </c:pt>
                <c:pt idx="9">
                  <c:v>607</c:v>
                </c:pt>
                <c:pt idx="10">
                  <c:v>576</c:v>
                </c:pt>
                <c:pt idx="11">
                  <c:v>545</c:v>
                </c:pt>
                <c:pt idx="12">
                  <c:v>516</c:v>
                </c:pt>
                <c:pt idx="13">
                  <c:v>488</c:v>
                </c:pt>
                <c:pt idx="14">
                  <c:v>461</c:v>
                </c:pt>
                <c:pt idx="15">
                  <c:v>436</c:v>
                </c:pt>
                <c:pt idx="16">
                  <c:v>413</c:v>
                </c:pt>
                <c:pt idx="17">
                  <c:v>396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3232"/>
        <c:axId val="46945408"/>
      </c:scatterChart>
      <c:valAx>
        <c:axId val="4694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 raw value (uA)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945408"/>
        <c:crosses val="autoZero"/>
        <c:crossBetween val="midCat"/>
      </c:valAx>
      <c:valAx>
        <c:axId val="46945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Calculated axle width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943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1599277309065021"/>
          <c:y val="0.45270633793726606"/>
          <c:w val="0.18858713771692581"/>
          <c:h val="0.118576481218536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real</a:t>
            </a:r>
            <a:r>
              <a:rPr lang="en-US" baseline="0"/>
              <a:t> </a:t>
            </a:r>
            <a:r>
              <a:rPr lang="en-US"/>
              <a:t>Track Width vs. TA calculated track width with lookup table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1216023830136522E-2"/>
          <c:y val="0.14000550750828278"/>
          <c:w val="0.83995737307564844"/>
          <c:h val="0.75888696699797775"/>
        </c:manualLayout>
      </c:layout>
      <c:scatterChart>
        <c:scatterStyle val="smoothMarker"/>
        <c:varyColors val="0"/>
        <c:ser>
          <c:idx val="0"/>
          <c:order val="0"/>
          <c:tx>
            <c:v>Track width calculated with TA lookup table</c:v>
          </c:tx>
          <c:xVal>
            <c:numRef>
              <c:f>Sheet1!$A$3:$A$13</c:f>
              <c:numCache>
                <c:formatCode>General</c:formatCode>
                <c:ptCount val="11"/>
                <c:pt idx="0">
                  <c:v>4000</c:v>
                </c:pt>
                <c:pt idx="1">
                  <c:v>5442</c:v>
                </c:pt>
                <c:pt idx="2">
                  <c:v>6750</c:v>
                </c:pt>
                <c:pt idx="3">
                  <c:v>8058</c:v>
                </c:pt>
                <c:pt idx="4">
                  <c:v>9367</c:v>
                </c:pt>
                <c:pt idx="5">
                  <c:v>10675</c:v>
                </c:pt>
                <c:pt idx="6">
                  <c:v>11983</c:v>
                </c:pt>
                <c:pt idx="7">
                  <c:v>13292</c:v>
                </c:pt>
                <c:pt idx="8">
                  <c:v>14600</c:v>
                </c:pt>
                <c:pt idx="9">
                  <c:v>15908</c:v>
                </c:pt>
                <c:pt idx="10">
                  <c:v>17083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2299</c:v>
                </c:pt>
                <c:pt idx="1">
                  <c:v>2293</c:v>
                </c:pt>
                <c:pt idx="2">
                  <c:v>2273</c:v>
                </c:pt>
                <c:pt idx="3">
                  <c:v>2243</c:v>
                </c:pt>
                <c:pt idx="4">
                  <c:v>2204</c:v>
                </c:pt>
                <c:pt idx="5">
                  <c:v>2157</c:v>
                </c:pt>
                <c:pt idx="6">
                  <c:v>2105</c:v>
                </c:pt>
                <c:pt idx="7">
                  <c:v>2049</c:v>
                </c:pt>
                <c:pt idx="8">
                  <c:v>1992</c:v>
                </c:pt>
                <c:pt idx="9">
                  <c:v>1937</c:v>
                </c:pt>
                <c:pt idx="10">
                  <c:v>1891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Sheet1!$H$37</c:f>
              <c:strCache>
                <c:ptCount val="1"/>
                <c:pt idx="0">
                  <c:v>Trackwidth Dataset 1</c:v>
                </c:pt>
              </c:strCache>
            </c:strRef>
          </c:tx>
          <c:xVal>
            <c:numRef>
              <c:f>Sheet1!$A$38:$A$55</c:f>
              <c:numCache>
                <c:formatCode>0</c:formatCode>
                <c:ptCount val="18"/>
                <c:pt idx="0">
                  <c:v>5374</c:v>
                </c:pt>
                <c:pt idx="1">
                  <c:v>5974.8936206509907</c:v>
                </c:pt>
                <c:pt idx="2">
                  <c:v>6750.6156689992667</c:v>
                </c:pt>
                <c:pt idx="3">
                  <c:v>7526.3377173475437</c:v>
                </c:pt>
                <c:pt idx="4">
                  <c:v>8302.0597656958198</c:v>
                </c:pt>
                <c:pt idx="5">
                  <c:v>9077.7818140440977</c:v>
                </c:pt>
                <c:pt idx="6">
                  <c:v>9853.5038623923738</c:v>
                </c:pt>
                <c:pt idx="7">
                  <c:v>10629.22591074065</c:v>
                </c:pt>
                <c:pt idx="8">
                  <c:v>11404.947959088926</c:v>
                </c:pt>
                <c:pt idx="9">
                  <c:v>12180.670007437204</c:v>
                </c:pt>
                <c:pt idx="10">
                  <c:v>12956.39205578548</c:v>
                </c:pt>
                <c:pt idx="11">
                  <c:v>13732.114104133756</c:v>
                </c:pt>
                <c:pt idx="12">
                  <c:v>14507.836152482034</c:v>
                </c:pt>
                <c:pt idx="13">
                  <c:v>15283.55820083031</c:v>
                </c:pt>
                <c:pt idx="14">
                  <c:v>16059.280249178586</c:v>
                </c:pt>
                <c:pt idx="15">
                  <c:v>16835.002297526862</c:v>
                </c:pt>
                <c:pt idx="16">
                  <c:v>17610.72434587514</c:v>
                </c:pt>
                <c:pt idx="17">
                  <c:v>18201</c:v>
                </c:pt>
              </c:numCache>
            </c:numRef>
          </c:xVal>
          <c:yVal>
            <c:numRef>
              <c:f>Sheet1!$H$38:$H$55</c:f>
              <c:numCache>
                <c:formatCode>General</c:formatCode>
                <c:ptCount val="18"/>
                <c:pt idx="0">
                  <c:v>2250</c:v>
                </c:pt>
                <c:pt idx="1">
                  <c:v>2236</c:v>
                </c:pt>
                <c:pt idx="2">
                  <c:v>2214</c:v>
                </c:pt>
                <c:pt idx="3">
                  <c:v>2189</c:v>
                </c:pt>
                <c:pt idx="4">
                  <c:v>2163</c:v>
                </c:pt>
                <c:pt idx="5">
                  <c:v>2134</c:v>
                </c:pt>
                <c:pt idx="6">
                  <c:v>2105</c:v>
                </c:pt>
                <c:pt idx="7">
                  <c:v>2074</c:v>
                </c:pt>
                <c:pt idx="8">
                  <c:v>2042</c:v>
                </c:pt>
                <c:pt idx="9">
                  <c:v>2011</c:v>
                </c:pt>
                <c:pt idx="10">
                  <c:v>1980</c:v>
                </c:pt>
                <c:pt idx="11">
                  <c:v>1949</c:v>
                </c:pt>
                <c:pt idx="12">
                  <c:v>1920</c:v>
                </c:pt>
                <c:pt idx="13">
                  <c:v>1892</c:v>
                </c:pt>
                <c:pt idx="14">
                  <c:v>1865</c:v>
                </c:pt>
                <c:pt idx="15">
                  <c:v>1840</c:v>
                </c:pt>
                <c:pt idx="16">
                  <c:v>1817</c:v>
                </c:pt>
                <c:pt idx="17">
                  <c:v>1800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Sheet1!$H$57</c:f>
              <c:strCache>
                <c:ptCount val="1"/>
                <c:pt idx="0">
                  <c:v>Trackwidth Dataset 2</c:v>
                </c:pt>
              </c:strCache>
            </c:strRef>
          </c:tx>
          <c:xVal>
            <c:numRef>
              <c:f>Sheet1!$A$58:$A$75</c:f>
              <c:numCache>
                <c:formatCode>0</c:formatCode>
                <c:ptCount val="18"/>
                <c:pt idx="0">
                  <c:v>6283</c:v>
                </c:pt>
                <c:pt idx="1">
                  <c:v>6832.1756384884666</c:v>
                </c:pt>
                <c:pt idx="2">
                  <c:v>7541.1324929974589</c:v>
                </c:pt>
                <c:pt idx="3">
                  <c:v>8250.0893475064513</c:v>
                </c:pt>
                <c:pt idx="4">
                  <c:v>8959.0462020154446</c:v>
                </c:pt>
                <c:pt idx="5">
                  <c:v>9668.003056524436</c:v>
                </c:pt>
                <c:pt idx="6">
                  <c:v>10376.959911033429</c:v>
                </c:pt>
                <c:pt idx="7">
                  <c:v>11085.916765542421</c:v>
                </c:pt>
                <c:pt idx="8">
                  <c:v>11794.873620051412</c:v>
                </c:pt>
                <c:pt idx="9">
                  <c:v>12503.830474560405</c:v>
                </c:pt>
                <c:pt idx="10">
                  <c:v>13212.787329069399</c:v>
                </c:pt>
                <c:pt idx="11">
                  <c:v>13921.74418357839</c:v>
                </c:pt>
                <c:pt idx="12">
                  <c:v>14630.701038087383</c:v>
                </c:pt>
                <c:pt idx="13">
                  <c:v>15339.657892596375</c:v>
                </c:pt>
                <c:pt idx="14">
                  <c:v>16048.614747105368</c:v>
                </c:pt>
                <c:pt idx="15">
                  <c:v>16757.57160161436</c:v>
                </c:pt>
                <c:pt idx="16">
                  <c:v>17466.528456123353</c:v>
                </c:pt>
                <c:pt idx="17">
                  <c:v>18006</c:v>
                </c:pt>
              </c:numCache>
            </c:numRef>
          </c:xVal>
          <c:yVal>
            <c:numRef>
              <c:f>Sheet1!$H$58:$H$75</c:f>
              <c:numCache>
                <c:formatCode>General</c:formatCode>
                <c:ptCount val="18"/>
                <c:pt idx="0">
                  <c:v>2250</c:v>
                </c:pt>
                <c:pt idx="1">
                  <c:v>2236</c:v>
                </c:pt>
                <c:pt idx="2">
                  <c:v>2214</c:v>
                </c:pt>
                <c:pt idx="3">
                  <c:v>2189</c:v>
                </c:pt>
                <c:pt idx="4">
                  <c:v>2163</c:v>
                </c:pt>
                <c:pt idx="5">
                  <c:v>2134</c:v>
                </c:pt>
                <c:pt idx="6">
                  <c:v>2105</c:v>
                </c:pt>
                <c:pt idx="7">
                  <c:v>2074</c:v>
                </c:pt>
                <c:pt idx="8">
                  <c:v>2042</c:v>
                </c:pt>
                <c:pt idx="9">
                  <c:v>2011</c:v>
                </c:pt>
                <c:pt idx="10">
                  <c:v>1980</c:v>
                </c:pt>
                <c:pt idx="11">
                  <c:v>1949</c:v>
                </c:pt>
                <c:pt idx="12">
                  <c:v>1920</c:v>
                </c:pt>
                <c:pt idx="13">
                  <c:v>1892</c:v>
                </c:pt>
                <c:pt idx="14">
                  <c:v>1865</c:v>
                </c:pt>
                <c:pt idx="15">
                  <c:v>1840</c:v>
                </c:pt>
                <c:pt idx="16">
                  <c:v>1817</c:v>
                </c:pt>
                <c:pt idx="17">
                  <c:v>1800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6000"/>
        <c:axId val="46982272"/>
      </c:scatterChart>
      <c:valAx>
        <c:axId val="4697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 raw value (uA)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982272"/>
        <c:crosses val="autoZero"/>
        <c:crossBetween val="midCat"/>
      </c:valAx>
      <c:valAx>
        <c:axId val="46982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Calculated track width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976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5399300037403925"/>
          <c:y val="0.45981339788356845"/>
          <c:w val="0.33059485280891915"/>
          <c:h val="0.1277944408892351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real</a:t>
            </a:r>
            <a:r>
              <a:rPr lang="en-US" baseline="0"/>
              <a:t> </a:t>
            </a:r>
            <a:r>
              <a:rPr lang="en-US"/>
              <a:t>Track Width vs. TA calculated track width with lookup table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1216023830136522E-2"/>
          <c:y val="0.14000550750828278"/>
          <c:w val="0.83995737307564844"/>
          <c:h val="0.75888696699797775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Sheet1!$H$37</c:f>
              <c:strCache>
                <c:ptCount val="1"/>
                <c:pt idx="0">
                  <c:v>Trackwidth Dataset 1</c:v>
                </c:pt>
              </c:strCache>
            </c:strRef>
          </c:tx>
          <c:xVal>
            <c:numRef>
              <c:f>Sheet1!$B$38:$B$55</c:f>
              <c:numCache>
                <c:formatCode>General</c:formatCode>
                <c:ptCount val="18"/>
                <c:pt idx="0">
                  <c:v>26.126875457965539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59.999999999999993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99.999999999999986</c:v>
                </c:pt>
                <c:pt idx="16">
                  <c:v>105</c:v>
                </c:pt>
                <c:pt idx="17">
                  <c:v>108.80468529534333</c:v>
                </c:pt>
              </c:numCache>
            </c:numRef>
          </c:xVal>
          <c:yVal>
            <c:numRef>
              <c:f>Sheet1!$G$38:$G$55</c:f>
              <c:numCache>
                <c:formatCode>General</c:formatCode>
                <c:ptCount val="18"/>
                <c:pt idx="0">
                  <c:v>846</c:v>
                </c:pt>
                <c:pt idx="1">
                  <c:v>832</c:v>
                </c:pt>
                <c:pt idx="2">
                  <c:v>810</c:v>
                </c:pt>
                <c:pt idx="3">
                  <c:v>785</c:v>
                </c:pt>
                <c:pt idx="4">
                  <c:v>759</c:v>
                </c:pt>
                <c:pt idx="5">
                  <c:v>730</c:v>
                </c:pt>
                <c:pt idx="6">
                  <c:v>701</c:v>
                </c:pt>
                <c:pt idx="7">
                  <c:v>670</c:v>
                </c:pt>
                <c:pt idx="8">
                  <c:v>638</c:v>
                </c:pt>
                <c:pt idx="9">
                  <c:v>607</c:v>
                </c:pt>
                <c:pt idx="10">
                  <c:v>576</c:v>
                </c:pt>
                <c:pt idx="11">
                  <c:v>545</c:v>
                </c:pt>
                <c:pt idx="12">
                  <c:v>516</c:v>
                </c:pt>
                <c:pt idx="13">
                  <c:v>488</c:v>
                </c:pt>
                <c:pt idx="14">
                  <c:v>461</c:v>
                </c:pt>
                <c:pt idx="15">
                  <c:v>436</c:v>
                </c:pt>
                <c:pt idx="16">
                  <c:v>413</c:v>
                </c:pt>
                <c:pt idx="17">
                  <c:v>396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Sheet1!$H$57</c:f>
              <c:strCache>
                <c:ptCount val="1"/>
                <c:pt idx="0">
                  <c:v>Trackwidth Dataset 2</c:v>
                </c:pt>
              </c:strCache>
            </c:strRef>
          </c:tx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7.6755557216837134E-2"/>
                  <c:y val="-0.37736512617901563"/>
                </c:manualLayout>
              </c:layout>
              <c:numFmt formatCode="General" sourceLinked="0"/>
            </c:trendlineLbl>
          </c:trendline>
          <c:xVal>
            <c:numRef>
              <c:f>Sheet1!$B$58:$B$75</c:f>
              <c:numCache>
                <c:formatCode>General</c:formatCode>
                <c:ptCount val="18"/>
                <c:pt idx="0">
                  <c:v>26.126875457965539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59.999999999999993</c:v>
                </c:pt>
                <c:pt idx="8">
                  <c:v>64.999999999999986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94.999999999999986</c:v>
                </c:pt>
                <c:pt idx="15">
                  <c:v>99.999999999999986</c:v>
                </c:pt>
                <c:pt idx="16">
                  <c:v>104.99999999999999</c:v>
                </c:pt>
                <c:pt idx="17">
                  <c:v>108.80468529534333</c:v>
                </c:pt>
              </c:numCache>
            </c:numRef>
          </c:xVal>
          <c:yVal>
            <c:numRef>
              <c:f>Sheet1!$G$58:$G$75</c:f>
              <c:numCache>
                <c:formatCode>General</c:formatCode>
                <c:ptCount val="18"/>
                <c:pt idx="0">
                  <c:v>846</c:v>
                </c:pt>
                <c:pt idx="1">
                  <c:v>832</c:v>
                </c:pt>
                <c:pt idx="2">
                  <c:v>810</c:v>
                </c:pt>
                <c:pt idx="3">
                  <c:v>785</c:v>
                </c:pt>
                <c:pt idx="4">
                  <c:v>759</c:v>
                </c:pt>
                <c:pt idx="5">
                  <c:v>730</c:v>
                </c:pt>
                <c:pt idx="6">
                  <c:v>701</c:v>
                </c:pt>
                <c:pt idx="7">
                  <c:v>670</c:v>
                </c:pt>
                <c:pt idx="8">
                  <c:v>638</c:v>
                </c:pt>
                <c:pt idx="9">
                  <c:v>607</c:v>
                </c:pt>
                <c:pt idx="10">
                  <c:v>576</c:v>
                </c:pt>
                <c:pt idx="11">
                  <c:v>545</c:v>
                </c:pt>
                <c:pt idx="12">
                  <c:v>516</c:v>
                </c:pt>
                <c:pt idx="13">
                  <c:v>488</c:v>
                </c:pt>
                <c:pt idx="14">
                  <c:v>461</c:v>
                </c:pt>
                <c:pt idx="15">
                  <c:v>436</c:v>
                </c:pt>
                <c:pt idx="16">
                  <c:v>413</c:v>
                </c:pt>
                <c:pt idx="17">
                  <c:v>396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Sheet1!$B$92</c:f>
              <c:strCache>
                <c:ptCount val="1"/>
                <c:pt idx="0">
                  <c:v>Lookup tables</c:v>
                </c:pt>
              </c:strCache>
            </c:strRef>
          </c:tx>
          <c:xVal>
            <c:numRef>
              <c:f>Sheet1!$C$94:$C$104</c:f>
              <c:numCache>
                <c:formatCode>General</c:formatCode>
                <c:ptCount val="11"/>
                <c:pt idx="0">
                  <c:v>26.126875457965539</c:v>
                </c:pt>
                <c:pt idx="1">
                  <c:v>35</c:v>
                </c:pt>
                <c:pt idx="2">
                  <c:v>45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  <c:pt idx="10">
                  <c:v>108.80468529534333</c:v>
                </c:pt>
              </c:numCache>
            </c:numRef>
          </c:xVal>
          <c:yVal>
            <c:numRef>
              <c:f>Sheet1!$G$94:$G$104</c:f>
              <c:numCache>
                <c:formatCode>General</c:formatCode>
                <c:ptCount val="11"/>
                <c:pt idx="0">
                  <c:v>846</c:v>
                </c:pt>
                <c:pt idx="1">
                  <c:v>810</c:v>
                </c:pt>
                <c:pt idx="2">
                  <c:v>759</c:v>
                </c:pt>
                <c:pt idx="3">
                  <c:v>730</c:v>
                </c:pt>
                <c:pt idx="4">
                  <c:v>670</c:v>
                </c:pt>
                <c:pt idx="5">
                  <c:v>607</c:v>
                </c:pt>
                <c:pt idx="6">
                  <c:v>545</c:v>
                </c:pt>
                <c:pt idx="7">
                  <c:v>488</c:v>
                </c:pt>
                <c:pt idx="8">
                  <c:v>461</c:v>
                </c:pt>
                <c:pt idx="9">
                  <c:v>436</c:v>
                </c:pt>
                <c:pt idx="10">
                  <c:v>396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0096"/>
        <c:axId val="55302016"/>
      </c:scatterChart>
      <c:valAx>
        <c:axId val="5530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 output value</a:t>
                </a:r>
                <a:r>
                  <a:rPr lang="en-US" baseline="0"/>
                  <a:t> [°]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302016"/>
        <c:crosses val="autoZero"/>
        <c:crossBetween val="midCat"/>
      </c:valAx>
      <c:valAx>
        <c:axId val="55302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Calculated track width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300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5399300037403925"/>
          <c:y val="0.45981339788356845"/>
          <c:w val="0.2297737225782967"/>
          <c:h val="0.1703925878523135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theoretic and calculated axle width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556872595226675E-2"/>
          <c:y val="9.9128516651022763E-2"/>
          <c:w val="0.8262248939312693"/>
          <c:h val="0.807078553954656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Sheet1!$B$137</c:f>
              <c:strCache>
                <c:ptCount val="1"/>
                <c:pt idx="0">
                  <c:v>track_adjust_logic_Y.   xxxxAxleWidth_mm</c:v>
                </c:pt>
              </c:strCache>
            </c:strRef>
          </c:tx>
          <c:xVal>
            <c:numRef>
              <c:f>Sheet1!$A$138:$A$148</c:f>
              <c:numCache>
                <c:formatCode>0</c:formatCode>
                <c:ptCount val="11"/>
                <c:pt idx="0" formatCode="General">
                  <c:v>5500</c:v>
                </c:pt>
                <c:pt idx="1">
                  <c:v>6841.5214674117751</c:v>
                </c:pt>
                <c:pt idx="2">
                  <c:v>8353.4144438448384</c:v>
                </c:pt>
                <c:pt idx="3">
                  <c:v>9109.3609320613723</c:v>
                </c:pt>
                <c:pt idx="4">
                  <c:v>10621.253908494436</c:v>
                </c:pt>
                <c:pt idx="5">
                  <c:v>12133.146884927501</c:v>
                </c:pt>
                <c:pt idx="6">
                  <c:v>13645.039861360565</c:v>
                </c:pt>
                <c:pt idx="7">
                  <c:v>15156.932837793629</c:v>
                </c:pt>
                <c:pt idx="8">
                  <c:v>15912.879326010161</c:v>
                </c:pt>
                <c:pt idx="9">
                  <c:v>16668.825814226693</c:v>
                </c:pt>
                <c:pt idx="10" formatCode="General">
                  <c:v>18000</c:v>
                </c:pt>
              </c:numCache>
            </c:numRef>
          </c:xVal>
          <c:yVal>
            <c:numRef>
              <c:f>Sheet1!$B$138:$B$148</c:f>
              <c:numCache>
                <c:formatCode>General</c:formatCode>
                <c:ptCount val="11"/>
                <c:pt idx="0">
                  <c:v>814.58</c:v>
                </c:pt>
                <c:pt idx="1">
                  <c:v>780.30499999999995</c:v>
                </c:pt>
                <c:pt idx="2">
                  <c:v>738.04499999999996</c:v>
                </c:pt>
                <c:pt idx="3">
                  <c:v>714.90800000000002</c:v>
                </c:pt>
                <c:pt idx="4">
                  <c:v>667.79300000000001</c:v>
                </c:pt>
                <c:pt idx="5">
                  <c:v>618.702</c:v>
                </c:pt>
                <c:pt idx="6">
                  <c:v>569.99300000000005</c:v>
                </c:pt>
                <c:pt idx="7">
                  <c:v>523.43100000000004</c:v>
                </c:pt>
                <c:pt idx="8">
                  <c:v>501.22300000000001</c:v>
                </c:pt>
                <c:pt idx="9">
                  <c:v>479.43900000000002</c:v>
                </c:pt>
                <c:pt idx="10">
                  <c:v>443.57900000000001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Sheet1!$G$93</c:f>
              <c:strCache>
                <c:ptCount val="1"/>
                <c:pt idx="0">
                  <c:v>axle_curve_out[..] -    [mm]</c:v>
                </c:pt>
              </c:strCache>
            </c:strRef>
          </c:tx>
          <c:xVal>
            <c:numRef>
              <c:f>Sheet1!$A$94:$A$104</c:f>
              <c:numCache>
                <c:formatCode>0</c:formatCode>
                <c:ptCount val="11"/>
                <c:pt idx="0" formatCode="General">
                  <c:v>5500</c:v>
                </c:pt>
                <c:pt idx="1">
                  <c:v>6841.5214674117751</c:v>
                </c:pt>
                <c:pt idx="2">
                  <c:v>8353.4144438448384</c:v>
                </c:pt>
                <c:pt idx="3">
                  <c:v>9109.3609320613723</c:v>
                </c:pt>
                <c:pt idx="4">
                  <c:v>10621.253908494436</c:v>
                </c:pt>
                <c:pt idx="5">
                  <c:v>12133.146884927501</c:v>
                </c:pt>
                <c:pt idx="6">
                  <c:v>13645.039861360565</c:v>
                </c:pt>
                <c:pt idx="7">
                  <c:v>15156.932837793629</c:v>
                </c:pt>
                <c:pt idx="8">
                  <c:v>15912.879326010161</c:v>
                </c:pt>
                <c:pt idx="9">
                  <c:v>16668.825814226693</c:v>
                </c:pt>
                <c:pt idx="10">
                  <c:v>18000</c:v>
                </c:pt>
              </c:numCache>
            </c:numRef>
          </c:xVal>
          <c:yVal>
            <c:numRef>
              <c:f>Sheet1!$G$94:$G$104</c:f>
              <c:numCache>
                <c:formatCode>General</c:formatCode>
                <c:ptCount val="11"/>
                <c:pt idx="0">
                  <c:v>846</c:v>
                </c:pt>
                <c:pt idx="1">
                  <c:v>810</c:v>
                </c:pt>
                <c:pt idx="2">
                  <c:v>759</c:v>
                </c:pt>
                <c:pt idx="3">
                  <c:v>730</c:v>
                </c:pt>
                <c:pt idx="4">
                  <c:v>670</c:v>
                </c:pt>
                <c:pt idx="5">
                  <c:v>607</c:v>
                </c:pt>
                <c:pt idx="6">
                  <c:v>545</c:v>
                </c:pt>
                <c:pt idx="7">
                  <c:v>488</c:v>
                </c:pt>
                <c:pt idx="8">
                  <c:v>461</c:v>
                </c:pt>
                <c:pt idx="9">
                  <c:v>436</c:v>
                </c:pt>
                <c:pt idx="10">
                  <c:v>396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7872"/>
        <c:axId val="57578240"/>
      </c:scatterChart>
      <c:scatterChart>
        <c:scatterStyle val="lineMarker"/>
        <c:varyColors val="0"/>
        <c:ser>
          <c:idx val="2"/>
          <c:order val="2"/>
          <c:tx>
            <c:strRef>
              <c:f>Sheet1!$C$93</c:f>
              <c:strCache>
                <c:ptCount val="1"/>
                <c:pt idx="0">
                  <c:v>axle_curve_bkpts - [degrees]</c:v>
                </c:pt>
              </c:strCache>
            </c:strRef>
          </c:tx>
          <c:xVal>
            <c:numRef>
              <c:f>Sheet1!$A$94:$A$104</c:f>
              <c:numCache>
                <c:formatCode>0</c:formatCode>
                <c:ptCount val="11"/>
                <c:pt idx="0" formatCode="General">
                  <c:v>5500</c:v>
                </c:pt>
                <c:pt idx="1">
                  <c:v>6841.5214674117751</c:v>
                </c:pt>
                <c:pt idx="2">
                  <c:v>8353.4144438448384</c:v>
                </c:pt>
                <c:pt idx="3">
                  <c:v>9109.3609320613723</c:v>
                </c:pt>
                <c:pt idx="4">
                  <c:v>10621.253908494436</c:v>
                </c:pt>
                <c:pt idx="5">
                  <c:v>12133.146884927501</c:v>
                </c:pt>
                <c:pt idx="6">
                  <c:v>13645.039861360565</c:v>
                </c:pt>
                <c:pt idx="7">
                  <c:v>15156.932837793629</c:v>
                </c:pt>
                <c:pt idx="8">
                  <c:v>15912.879326010161</c:v>
                </c:pt>
                <c:pt idx="9">
                  <c:v>16668.825814226693</c:v>
                </c:pt>
                <c:pt idx="10">
                  <c:v>18000</c:v>
                </c:pt>
              </c:numCache>
            </c:numRef>
          </c:xVal>
          <c:yVal>
            <c:numRef>
              <c:f>Sheet1!$C$94:$C$104</c:f>
              <c:numCache>
                <c:formatCode>General</c:formatCode>
                <c:ptCount val="11"/>
                <c:pt idx="0">
                  <c:v>26.126875457965539</c:v>
                </c:pt>
                <c:pt idx="1">
                  <c:v>35</c:v>
                </c:pt>
                <c:pt idx="2">
                  <c:v>45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  <c:pt idx="10">
                  <c:v>108.80468529534333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2336"/>
        <c:axId val="57580160"/>
      </c:scatterChart>
      <c:valAx>
        <c:axId val="5756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 current [uA]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578240"/>
        <c:crosses val="autoZero"/>
        <c:crossBetween val="midCat"/>
      </c:valAx>
      <c:valAx>
        <c:axId val="57578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Axle width [mm]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567872"/>
        <c:crosses val="autoZero"/>
        <c:crossBetween val="midCat"/>
      </c:valAx>
      <c:valAx>
        <c:axId val="575801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 angle [°]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582336"/>
        <c:crosses val="max"/>
        <c:crossBetween val="midCat"/>
      </c:valAx>
      <c:valAx>
        <c:axId val="5758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580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061439900657581"/>
          <c:y val="0.30714181556112707"/>
          <c:w val="0.33630532742546965"/>
          <c:h val="0.2046957689260194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theoretic and calculated track width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556872595226675E-2"/>
          <c:y val="9.9128516651022763E-2"/>
          <c:w val="0.8262248939312693"/>
          <c:h val="0.807078553954656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Sheet1!$C$137</c:f>
              <c:strCache>
                <c:ptCount val="1"/>
                <c:pt idx="0">
                  <c:v>track_adjust_logic_Y.   xxxxTrackWidth_mm</c:v>
                </c:pt>
              </c:strCache>
            </c:strRef>
          </c:tx>
          <c:xVal>
            <c:numRef>
              <c:f>Sheet1!$A$138:$A$148</c:f>
              <c:numCache>
                <c:formatCode>0</c:formatCode>
                <c:ptCount val="11"/>
                <c:pt idx="0" formatCode="General">
                  <c:v>5500</c:v>
                </c:pt>
                <c:pt idx="1">
                  <c:v>6841.5214674117751</c:v>
                </c:pt>
                <c:pt idx="2">
                  <c:v>8353.4144438448384</c:v>
                </c:pt>
                <c:pt idx="3">
                  <c:v>9109.3609320613723</c:v>
                </c:pt>
                <c:pt idx="4">
                  <c:v>10621.253908494436</c:v>
                </c:pt>
                <c:pt idx="5">
                  <c:v>12133.146884927501</c:v>
                </c:pt>
                <c:pt idx="6">
                  <c:v>13645.039861360565</c:v>
                </c:pt>
                <c:pt idx="7">
                  <c:v>15156.932837793629</c:v>
                </c:pt>
                <c:pt idx="8">
                  <c:v>15912.879326010161</c:v>
                </c:pt>
                <c:pt idx="9">
                  <c:v>16668.825814226693</c:v>
                </c:pt>
                <c:pt idx="10" formatCode="General">
                  <c:v>18000</c:v>
                </c:pt>
              </c:numCache>
            </c:numRef>
          </c:xVal>
          <c:yVal>
            <c:numRef>
              <c:f>Sheet1!$C$138:$C$148</c:f>
              <c:numCache>
                <c:formatCode>General</c:formatCode>
                <c:ptCount val="11"/>
                <c:pt idx="0">
                  <c:v>3722.58</c:v>
                </c:pt>
                <c:pt idx="1">
                  <c:v>3688.3</c:v>
                </c:pt>
                <c:pt idx="2">
                  <c:v>3646.05</c:v>
                </c:pt>
                <c:pt idx="3">
                  <c:v>3622.91</c:v>
                </c:pt>
                <c:pt idx="4">
                  <c:v>3575.79</c:v>
                </c:pt>
                <c:pt idx="5">
                  <c:v>3526.7</c:v>
                </c:pt>
                <c:pt idx="6">
                  <c:v>3477.99</c:v>
                </c:pt>
                <c:pt idx="7">
                  <c:v>3431.43</c:v>
                </c:pt>
                <c:pt idx="8">
                  <c:v>3409.22</c:v>
                </c:pt>
                <c:pt idx="9">
                  <c:v>3387.44</c:v>
                </c:pt>
                <c:pt idx="10">
                  <c:v>3351.58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Sheet1!$H$93</c:f>
              <c:strCache>
                <c:ptCount val="1"/>
                <c:pt idx="0">
                  <c:v>Trackwidth          [mm]</c:v>
                </c:pt>
              </c:strCache>
            </c:strRef>
          </c:tx>
          <c:xVal>
            <c:numRef>
              <c:f>Sheet1!$A$94:$A$104</c:f>
              <c:numCache>
                <c:formatCode>0</c:formatCode>
                <c:ptCount val="11"/>
                <c:pt idx="0" formatCode="General">
                  <c:v>5500</c:v>
                </c:pt>
                <c:pt idx="1">
                  <c:v>6841.5214674117751</c:v>
                </c:pt>
                <c:pt idx="2">
                  <c:v>8353.4144438448384</c:v>
                </c:pt>
                <c:pt idx="3">
                  <c:v>9109.3609320613723</c:v>
                </c:pt>
                <c:pt idx="4">
                  <c:v>10621.253908494436</c:v>
                </c:pt>
                <c:pt idx="5">
                  <c:v>12133.146884927501</c:v>
                </c:pt>
                <c:pt idx="6">
                  <c:v>13645.039861360565</c:v>
                </c:pt>
                <c:pt idx="7">
                  <c:v>15156.932837793629</c:v>
                </c:pt>
                <c:pt idx="8">
                  <c:v>15912.879326010161</c:v>
                </c:pt>
                <c:pt idx="9">
                  <c:v>16668.825814226693</c:v>
                </c:pt>
                <c:pt idx="10">
                  <c:v>18000</c:v>
                </c:pt>
              </c:numCache>
            </c:numRef>
          </c:xVal>
          <c:yVal>
            <c:numRef>
              <c:f>Sheet1!$H$94:$H$104</c:f>
              <c:numCache>
                <c:formatCode>General</c:formatCode>
                <c:ptCount val="11"/>
                <c:pt idx="0">
                  <c:v>2300</c:v>
                </c:pt>
                <c:pt idx="1">
                  <c:v>2264</c:v>
                </c:pt>
                <c:pt idx="2">
                  <c:v>2213</c:v>
                </c:pt>
                <c:pt idx="3">
                  <c:v>2184</c:v>
                </c:pt>
                <c:pt idx="4">
                  <c:v>2124</c:v>
                </c:pt>
                <c:pt idx="5">
                  <c:v>2061</c:v>
                </c:pt>
                <c:pt idx="6">
                  <c:v>1999</c:v>
                </c:pt>
                <c:pt idx="7">
                  <c:v>1942</c:v>
                </c:pt>
                <c:pt idx="8">
                  <c:v>1915</c:v>
                </c:pt>
                <c:pt idx="9">
                  <c:v>1890</c:v>
                </c:pt>
                <c:pt idx="10">
                  <c:v>1850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Sheet1!$D$137</c:f>
              <c:strCache>
                <c:ptCount val="1"/>
                <c:pt idx="0">
                  <c:v>track_adjust_logic_Y. XX_track_width_mm</c:v>
                </c:pt>
              </c:strCache>
            </c:strRef>
          </c:tx>
          <c:xVal>
            <c:numRef>
              <c:f>Sheet1!$A$138:$A$148</c:f>
              <c:numCache>
                <c:formatCode>0</c:formatCode>
                <c:ptCount val="11"/>
                <c:pt idx="0" formatCode="General">
                  <c:v>5500</c:v>
                </c:pt>
                <c:pt idx="1">
                  <c:v>6841.5214674117751</c:v>
                </c:pt>
                <c:pt idx="2">
                  <c:v>8353.4144438448384</c:v>
                </c:pt>
                <c:pt idx="3">
                  <c:v>9109.3609320613723</c:v>
                </c:pt>
                <c:pt idx="4">
                  <c:v>10621.253908494436</c:v>
                </c:pt>
                <c:pt idx="5">
                  <c:v>12133.146884927501</c:v>
                </c:pt>
                <c:pt idx="6">
                  <c:v>13645.039861360565</c:v>
                </c:pt>
                <c:pt idx="7">
                  <c:v>15156.932837793629</c:v>
                </c:pt>
                <c:pt idx="8">
                  <c:v>15912.879326010161</c:v>
                </c:pt>
                <c:pt idx="9">
                  <c:v>16668.825814226693</c:v>
                </c:pt>
                <c:pt idx="10" formatCode="General">
                  <c:v>18000</c:v>
                </c:pt>
              </c:numCache>
            </c:numRef>
          </c:xVal>
          <c:yVal>
            <c:numRef>
              <c:f>Sheet1!$D$138:$D$148</c:f>
              <c:numCache>
                <c:formatCode>General</c:formatCode>
                <c:ptCount val="11"/>
                <c:pt idx="0">
                  <c:v>2268.58</c:v>
                </c:pt>
                <c:pt idx="1">
                  <c:v>2234.3000000000002</c:v>
                </c:pt>
                <c:pt idx="2">
                  <c:v>2192.0500000000002</c:v>
                </c:pt>
                <c:pt idx="3">
                  <c:v>2168.91</c:v>
                </c:pt>
                <c:pt idx="4">
                  <c:v>2121.79</c:v>
                </c:pt>
                <c:pt idx="5">
                  <c:v>2072.6999999999998</c:v>
                </c:pt>
                <c:pt idx="6">
                  <c:v>2023.99</c:v>
                </c:pt>
                <c:pt idx="7">
                  <c:v>1977.43</c:v>
                </c:pt>
                <c:pt idx="8">
                  <c:v>1955.22</c:v>
                </c:pt>
                <c:pt idx="9">
                  <c:v>1933.44</c:v>
                </c:pt>
                <c:pt idx="10">
                  <c:v>1897.58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02048"/>
        <c:axId val="57603968"/>
      </c:scatterChart>
      <c:valAx>
        <c:axId val="5760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 current [uA]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603968"/>
        <c:crosses val="autoZero"/>
        <c:crossBetween val="midCat"/>
      </c:valAx>
      <c:valAx>
        <c:axId val="57603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Axle width [mm]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602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20738984687847"/>
          <c:y val="0.24411729122388015"/>
          <c:w val="0.33218750881946207"/>
          <c:h val="0.159431541027413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142874</xdr:colOff>
      <xdr:row>1</xdr:row>
      <xdr:rowOff>0</xdr:rowOff>
    </xdr:from>
    <xdr:to>
      <xdr:col>21</xdr:col>
      <xdr:colOff>66675</xdr:colOff>
      <xdr:row>36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37</xdr:row>
      <xdr:rowOff>28575</xdr:rowOff>
    </xdr:from>
    <xdr:to>
      <xdr:col>21</xdr:col>
      <xdr:colOff>66676</xdr:colOff>
      <xdr:row>70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70</xdr:row>
      <xdr:rowOff>142875</xdr:rowOff>
    </xdr:from>
    <xdr:to>
      <xdr:col>21</xdr:col>
      <xdr:colOff>76201</xdr:colOff>
      <xdr:row>101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161925</xdr:colOff>
      <xdr:row>102</xdr:row>
      <xdr:rowOff>142875</xdr:rowOff>
    </xdr:from>
    <xdr:to>
      <xdr:col>21</xdr:col>
      <xdr:colOff>85725</xdr:colOff>
      <xdr:row>129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171450</xdr:colOff>
      <xdr:row>129</xdr:row>
      <xdr:rowOff>142875</xdr:rowOff>
    </xdr:from>
    <xdr:to>
      <xdr:col>21</xdr:col>
      <xdr:colOff>95250</xdr:colOff>
      <xdr:row>157</xdr:row>
      <xdr:rowOff>4762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48"/>
  <sheetViews>
    <sheetView tabSelected="1" topLeftCell="A118" zoomScaleNormal="100" workbookViewId="0">
      <selection activeCell="B157" sqref="B157"/>
    </sheetView>
  </sheetViews>
  <sheetFormatPr defaultRowHeight="12.75" x14ac:dyDescent="0.2"/>
  <cols>
    <col min="1" max="1" width="27.42578125" customWidth="1"/>
    <col min="2" max="2" width="25.5703125" bestFit="1" customWidth="1"/>
    <col min="3" max="3" width="27.42578125" bestFit="1" customWidth="1"/>
    <col min="4" max="4" width="21.7109375" bestFit="1" customWidth="1"/>
    <col min="5" max="5" width="22.5703125" customWidth="1"/>
    <col min="6" max="6" width="15.28515625" bestFit="1" customWidth="1"/>
    <col min="7" max="7" width="23.85546875" bestFit="1" customWidth="1"/>
    <col min="8" max="8" width="20.140625" bestFit="1" customWidth="1"/>
    <col min="9" max="9" width="11" bestFit="1" customWidth="1"/>
  </cols>
  <sheetData>
    <row r="1" spans="1:8" x14ac:dyDescent="0.2">
      <c r="A1" s="35" t="s">
        <v>32</v>
      </c>
      <c r="B1" s="35"/>
      <c r="C1" s="35"/>
    </row>
    <row r="2" spans="1:8" x14ac:dyDescent="0.2">
      <c r="A2" s="19" t="s">
        <v>1</v>
      </c>
      <c r="B2" s="19" t="s">
        <v>2</v>
      </c>
      <c r="C2" s="19" t="s">
        <v>34</v>
      </c>
      <c r="E2" s="7" t="s">
        <v>37</v>
      </c>
      <c r="F2" s="7"/>
      <c r="G2" s="7"/>
      <c r="H2" s="7"/>
    </row>
    <row r="3" spans="1:8" x14ac:dyDescent="0.2">
      <c r="A3" s="20">
        <v>4000</v>
      </c>
      <c r="B3" s="20">
        <v>895</v>
      </c>
      <c r="C3" s="19">
        <f>B3-$G$12/10+$G$15</f>
        <v>2299</v>
      </c>
      <c r="E3" s="7" t="s">
        <v>13</v>
      </c>
      <c r="F3" s="18" t="s">
        <v>15</v>
      </c>
      <c r="G3" s="8">
        <v>157.5</v>
      </c>
      <c r="H3" s="7" t="s">
        <v>0</v>
      </c>
    </row>
    <row r="4" spans="1:8" x14ac:dyDescent="0.2">
      <c r="A4" s="20">
        <v>5442</v>
      </c>
      <c r="B4" s="20">
        <v>889</v>
      </c>
      <c r="C4" s="19">
        <f t="shared" ref="C4:C13" si="0">B4-$G$12/10+$G$15</f>
        <v>2293</v>
      </c>
      <c r="E4" s="7" t="s">
        <v>14</v>
      </c>
      <c r="F4" s="18" t="s">
        <v>16</v>
      </c>
      <c r="G4" s="8">
        <v>290</v>
      </c>
      <c r="H4" s="7" t="s">
        <v>0</v>
      </c>
    </row>
    <row r="5" spans="1:8" x14ac:dyDescent="0.2">
      <c r="A5" s="20">
        <v>6750</v>
      </c>
      <c r="B5" s="20">
        <v>869</v>
      </c>
      <c r="C5" s="19">
        <f t="shared" si="0"/>
        <v>2273</v>
      </c>
      <c r="E5" s="7"/>
      <c r="F5" s="18"/>
      <c r="G5" s="7"/>
      <c r="H5" s="7"/>
    </row>
    <row r="6" spans="1:8" x14ac:dyDescent="0.2">
      <c r="A6" s="20">
        <v>8058</v>
      </c>
      <c r="B6" s="20">
        <v>839</v>
      </c>
      <c r="C6" s="19">
        <f t="shared" si="0"/>
        <v>2243</v>
      </c>
      <c r="E6" s="7" t="s">
        <v>17</v>
      </c>
      <c r="F6" s="18"/>
      <c r="G6" s="8">
        <v>1899</v>
      </c>
      <c r="H6" s="9" t="s">
        <v>18</v>
      </c>
    </row>
    <row r="7" spans="1:8" x14ac:dyDescent="0.2">
      <c r="A7" s="20">
        <v>9367</v>
      </c>
      <c r="B7" s="20">
        <v>800</v>
      </c>
      <c r="C7" s="19">
        <f t="shared" si="0"/>
        <v>2204</v>
      </c>
      <c r="E7" s="7" t="s">
        <v>19</v>
      </c>
      <c r="F7" s="18"/>
      <c r="G7" s="8">
        <v>456</v>
      </c>
      <c r="H7" s="9" t="s">
        <v>18</v>
      </c>
    </row>
    <row r="8" spans="1:8" x14ac:dyDescent="0.2">
      <c r="A8" s="20">
        <v>10675</v>
      </c>
      <c r="B8" s="20">
        <v>753</v>
      </c>
      <c r="C8" s="19">
        <f t="shared" si="0"/>
        <v>2157</v>
      </c>
      <c r="E8" s="7"/>
      <c r="F8" s="18"/>
      <c r="G8" s="7"/>
      <c r="H8" s="7"/>
    </row>
    <row r="9" spans="1:8" x14ac:dyDescent="0.2">
      <c r="A9" s="20">
        <v>11983</v>
      </c>
      <c r="B9" s="20">
        <v>701</v>
      </c>
      <c r="C9" s="19">
        <f t="shared" si="0"/>
        <v>2105</v>
      </c>
      <c r="E9" s="7" t="s">
        <v>17</v>
      </c>
      <c r="F9" s="18"/>
      <c r="G9" s="7">
        <f>DEGREES(G6*0.001)</f>
        <v>108.80468529534333</v>
      </c>
      <c r="H9" s="7" t="s">
        <v>20</v>
      </c>
    </row>
    <row r="10" spans="1:8" x14ac:dyDescent="0.2">
      <c r="A10" s="20">
        <v>13292</v>
      </c>
      <c r="B10" s="20">
        <v>645</v>
      </c>
      <c r="C10" s="19">
        <f t="shared" si="0"/>
        <v>2049</v>
      </c>
      <c r="E10" s="7" t="s">
        <v>19</v>
      </c>
      <c r="F10" s="18"/>
      <c r="G10" s="7">
        <f>DEGREES(G7*0.001)</f>
        <v>26.126875457965539</v>
      </c>
      <c r="H10" s="7" t="s">
        <v>20</v>
      </c>
    </row>
    <row r="11" spans="1:8" x14ac:dyDescent="0.2">
      <c r="A11" s="20">
        <v>14600</v>
      </c>
      <c r="B11" s="20">
        <v>588</v>
      </c>
      <c r="C11" s="19">
        <f t="shared" si="0"/>
        <v>1992</v>
      </c>
      <c r="E11" s="7"/>
      <c r="F11" s="18"/>
      <c r="G11" s="7"/>
      <c r="H11" s="7"/>
    </row>
    <row r="12" spans="1:8" x14ac:dyDescent="0.2">
      <c r="A12" s="20">
        <v>15908</v>
      </c>
      <c r="B12" s="20">
        <v>533</v>
      </c>
      <c r="C12" s="19">
        <f t="shared" si="0"/>
        <v>1937</v>
      </c>
      <c r="E12" s="7" t="s">
        <v>27</v>
      </c>
      <c r="F12" s="9" t="s">
        <v>28</v>
      </c>
      <c r="G12" s="8">
        <v>3960</v>
      </c>
      <c r="H12" s="7"/>
    </row>
    <row r="13" spans="1:8" x14ac:dyDescent="0.2">
      <c r="A13" s="20">
        <v>17083</v>
      </c>
      <c r="B13" s="20">
        <v>487</v>
      </c>
      <c r="C13" s="19">
        <f t="shared" si="0"/>
        <v>1891</v>
      </c>
      <c r="E13" s="7" t="s">
        <v>29</v>
      </c>
      <c r="F13" s="9" t="s">
        <v>28</v>
      </c>
      <c r="G13" s="8">
        <v>8460</v>
      </c>
      <c r="H13" s="7"/>
    </row>
    <row r="14" spans="1:8" x14ac:dyDescent="0.2">
      <c r="B14" s="1"/>
    </row>
    <row r="15" spans="1:8" x14ac:dyDescent="0.2">
      <c r="B15" s="1"/>
      <c r="D15" s="17" t="s">
        <v>36</v>
      </c>
      <c r="E15" s="15" t="s">
        <v>35</v>
      </c>
      <c r="F15" s="16"/>
      <c r="G15" s="16">
        <v>1800</v>
      </c>
      <c r="H15" s="16" t="s">
        <v>0</v>
      </c>
    </row>
    <row r="16" spans="1:8" x14ac:dyDescent="0.2">
      <c r="B16" s="1"/>
    </row>
    <row r="17" spans="1:8" x14ac:dyDescent="0.2">
      <c r="A17" s="10" t="s">
        <v>21</v>
      </c>
      <c r="B17" s="6" t="s">
        <v>22</v>
      </c>
      <c r="C17" s="10" t="s">
        <v>23</v>
      </c>
      <c r="D17" s="10" t="s">
        <v>24</v>
      </c>
      <c r="E17" s="10" t="s">
        <v>25</v>
      </c>
      <c r="F17" s="10" t="s">
        <v>26</v>
      </c>
      <c r="G17" s="10" t="s">
        <v>30</v>
      </c>
      <c r="H17" s="10" t="s">
        <v>31</v>
      </c>
    </row>
    <row r="18" spans="1:8" x14ac:dyDescent="0.2">
      <c r="A18" s="7">
        <f>G10</f>
        <v>26.126875457965539</v>
      </c>
      <c r="B18" s="12">
        <f t="shared" ref="B18:B35" si="1">$G$4/SIN(RADIANS(A18))</f>
        <v>658.55156291449396</v>
      </c>
      <c r="C18" s="13">
        <f t="shared" ref="C18:C35" si="2">DEGREES(ASIN($G$3/B18))</f>
        <v>13.837040615714482</v>
      </c>
      <c r="D18" s="13">
        <f>180-C18-A18</f>
        <v>140.03608392631998</v>
      </c>
      <c r="E18" s="13">
        <f>B18*SIN(RADIANS(D18))+0.5</f>
        <v>423.49098811217289</v>
      </c>
      <c r="F18" s="14">
        <f>ROUNDDOWN(E18*2,0)</f>
        <v>846</v>
      </c>
      <c r="G18" s="7">
        <v>5374</v>
      </c>
      <c r="H18" s="7">
        <v>6283</v>
      </c>
    </row>
    <row r="19" spans="1:8" x14ac:dyDescent="0.2">
      <c r="A19">
        <v>30</v>
      </c>
      <c r="B19" s="12">
        <f t="shared" si="1"/>
        <v>580.00000000000011</v>
      </c>
      <c r="C19" s="13">
        <f t="shared" si="2"/>
        <v>15.756624360201169</v>
      </c>
      <c r="D19" s="13">
        <f t="shared" ref="D19:D35" si="3">180-C19-A19</f>
        <v>134.24337563979884</v>
      </c>
      <c r="E19" s="13">
        <f t="shared" ref="E19:E35" si="4">B19*SIN(RADIANS(D19))+0.5</f>
        <v>416.00191670246124</v>
      </c>
      <c r="F19" s="14">
        <f t="shared" ref="F19:F35" si="5">ROUNDDOWN(E19*2,0)</f>
        <v>832</v>
      </c>
      <c r="G19" s="11">
        <f t="shared" ref="G19:H34" si="6">(($A19-$G$9)*(G$18-G$35)+G$35*($G$10-$G$9))/($G$10-$G$9)</f>
        <v>5974.8936206509907</v>
      </c>
      <c r="H19" s="11">
        <f t="shared" si="6"/>
        <v>6832.1756384884666</v>
      </c>
    </row>
    <row r="20" spans="1:8" x14ac:dyDescent="0.2">
      <c r="A20">
        <v>35</v>
      </c>
      <c r="B20" s="12">
        <f t="shared" si="1"/>
        <v>505.59957073011844</v>
      </c>
      <c r="C20" s="13">
        <f t="shared" si="2"/>
        <v>18.150334506466226</v>
      </c>
      <c r="D20" s="13">
        <f t="shared" si="3"/>
        <v>126.84966549353376</v>
      </c>
      <c r="E20" s="13">
        <f t="shared" si="4"/>
        <v>405.0867530503657</v>
      </c>
      <c r="F20" s="14">
        <f t="shared" si="5"/>
        <v>810</v>
      </c>
      <c r="G20" s="11">
        <f t="shared" si="6"/>
        <v>6750.6156689992667</v>
      </c>
      <c r="H20" s="11">
        <f t="shared" si="6"/>
        <v>7541.1324929974589</v>
      </c>
    </row>
    <row r="21" spans="1:8" x14ac:dyDescent="0.2">
      <c r="A21">
        <v>40</v>
      </c>
      <c r="B21" s="12">
        <f t="shared" si="1"/>
        <v>451.15990978951965</v>
      </c>
      <c r="C21" s="13">
        <f t="shared" si="2"/>
        <v>20.432287209726454</v>
      </c>
      <c r="D21" s="13">
        <f t="shared" si="3"/>
        <v>119.56771279027356</v>
      </c>
      <c r="E21" s="13">
        <f t="shared" si="4"/>
        <v>392.90676985724014</v>
      </c>
      <c r="F21" s="14">
        <f t="shared" si="5"/>
        <v>785</v>
      </c>
      <c r="G21" s="11">
        <f t="shared" si="6"/>
        <v>7526.3377173475437</v>
      </c>
      <c r="H21" s="11">
        <f t="shared" si="6"/>
        <v>8250.0893475064513</v>
      </c>
    </row>
    <row r="22" spans="1:8" x14ac:dyDescent="0.2">
      <c r="A22">
        <v>45</v>
      </c>
      <c r="B22" s="12">
        <f t="shared" si="1"/>
        <v>410.12193308819758</v>
      </c>
      <c r="C22" s="13">
        <f t="shared" si="2"/>
        <v>22.583666918615855</v>
      </c>
      <c r="D22" s="13">
        <f t="shared" si="3"/>
        <v>112.41633308138415</v>
      </c>
      <c r="E22" s="13">
        <f t="shared" si="4"/>
        <v>379.63203949003645</v>
      </c>
      <c r="F22" s="14">
        <f t="shared" si="5"/>
        <v>759</v>
      </c>
      <c r="G22" s="11">
        <f t="shared" si="6"/>
        <v>8302.0597656958198</v>
      </c>
      <c r="H22" s="11">
        <f t="shared" si="6"/>
        <v>8959.0462020154446</v>
      </c>
    </row>
    <row r="23" spans="1:8" x14ac:dyDescent="0.2">
      <c r="A23">
        <v>50</v>
      </c>
      <c r="B23" s="12">
        <f t="shared" si="1"/>
        <v>378.56811390636079</v>
      </c>
      <c r="C23" s="13">
        <f t="shared" si="2"/>
        <v>24.584914186621095</v>
      </c>
      <c r="D23" s="13">
        <f t="shared" si="3"/>
        <v>105.41508581337891</v>
      </c>
      <c r="E23" s="13">
        <f t="shared" si="4"/>
        <v>365.44929661313762</v>
      </c>
      <c r="F23" s="14">
        <f t="shared" si="5"/>
        <v>730</v>
      </c>
      <c r="G23" s="11">
        <f t="shared" si="6"/>
        <v>9077.7818140440977</v>
      </c>
      <c r="H23" s="11">
        <f t="shared" si="6"/>
        <v>9668.003056524436</v>
      </c>
    </row>
    <row r="24" spans="1:8" x14ac:dyDescent="0.2">
      <c r="A24">
        <v>55</v>
      </c>
      <c r="B24" s="12">
        <f t="shared" si="1"/>
        <v>354.02463074082226</v>
      </c>
      <c r="C24" s="13">
        <f t="shared" si="2"/>
        <v>26.415936546481039</v>
      </c>
      <c r="D24" s="13">
        <f t="shared" si="3"/>
        <v>98.584063453518951</v>
      </c>
      <c r="E24" s="13">
        <f t="shared" si="4"/>
        <v>350.55882393537632</v>
      </c>
      <c r="F24" s="14">
        <f t="shared" si="5"/>
        <v>701</v>
      </c>
      <c r="G24" s="11">
        <f t="shared" si="6"/>
        <v>9853.5038623923738</v>
      </c>
      <c r="H24" s="11">
        <f t="shared" si="6"/>
        <v>10376.959911033429</v>
      </c>
    </row>
    <row r="25" spans="1:8" x14ac:dyDescent="0.2">
      <c r="A25">
        <v>60</v>
      </c>
      <c r="B25" s="12">
        <f t="shared" si="1"/>
        <v>334.86315612998294</v>
      </c>
      <c r="C25" s="13">
        <f t="shared" si="2"/>
        <v>28.056458729927776</v>
      </c>
      <c r="D25" s="13">
        <f t="shared" si="3"/>
        <v>91.943541270072217</v>
      </c>
      <c r="E25" s="13">
        <f t="shared" si="4"/>
        <v>335.17051988849977</v>
      </c>
      <c r="F25" s="14">
        <f t="shared" si="5"/>
        <v>670</v>
      </c>
      <c r="G25" s="11">
        <f t="shared" si="6"/>
        <v>10629.22591074065</v>
      </c>
      <c r="H25" s="11">
        <f t="shared" si="6"/>
        <v>11085.916765542421</v>
      </c>
    </row>
    <row r="26" spans="1:8" x14ac:dyDescent="0.2">
      <c r="A26">
        <v>65</v>
      </c>
      <c r="B26" s="12">
        <f t="shared" si="1"/>
        <v>319.97959649912264</v>
      </c>
      <c r="C26" s="13">
        <f t="shared" si="2"/>
        <v>29.486527028420934</v>
      </c>
      <c r="D26" s="13">
        <f t="shared" si="3"/>
        <v>85.513472971579063</v>
      </c>
      <c r="E26" s="13">
        <f t="shared" si="4"/>
        <v>319.49910082778564</v>
      </c>
      <c r="F26" s="14">
        <f t="shared" si="5"/>
        <v>638</v>
      </c>
      <c r="G26" s="11">
        <f t="shared" si="6"/>
        <v>11404.947959088926</v>
      </c>
      <c r="H26" s="11">
        <f t="shared" si="6"/>
        <v>11794.873620051412</v>
      </c>
    </row>
    <row r="27" spans="1:8" x14ac:dyDescent="0.2">
      <c r="A27">
        <v>70</v>
      </c>
      <c r="B27" s="12">
        <f t="shared" si="1"/>
        <v>308.61155401801454</v>
      </c>
      <c r="C27" s="13">
        <f t="shared" si="2"/>
        <v>30.687166043360726</v>
      </c>
      <c r="D27" s="13">
        <f t="shared" si="3"/>
        <v>79.312833956639281</v>
      </c>
      <c r="E27" s="13">
        <f t="shared" si="4"/>
        <v>303.7584891789889</v>
      </c>
      <c r="F27" s="14">
        <f t="shared" si="5"/>
        <v>607</v>
      </c>
      <c r="G27" s="11">
        <f t="shared" si="6"/>
        <v>12180.670007437204</v>
      </c>
      <c r="H27" s="11">
        <f t="shared" si="6"/>
        <v>12503.830474560405</v>
      </c>
    </row>
    <row r="28" spans="1:8" x14ac:dyDescent="0.2">
      <c r="A28">
        <v>75</v>
      </c>
      <c r="B28" s="12">
        <f t="shared" si="1"/>
        <v>300.23009231892405</v>
      </c>
      <c r="C28" s="13">
        <f t="shared" si="2"/>
        <v>31.641160998851497</v>
      </c>
      <c r="D28" s="13">
        <f t="shared" si="3"/>
        <v>73.35883900114851</v>
      </c>
      <c r="E28" s="13">
        <f t="shared" si="4"/>
        <v>288.15558241619681</v>
      </c>
      <c r="F28" s="14">
        <f t="shared" si="5"/>
        <v>576</v>
      </c>
      <c r="G28" s="11">
        <f t="shared" si="6"/>
        <v>12956.39205578548</v>
      </c>
      <c r="H28" s="11">
        <f t="shared" si="6"/>
        <v>13212.787329069399</v>
      </c>
    </row>
    <row r="29" spans="1:8" x14ac:dyDescent="0.2">
      <c r="A29">
        <v>80</v>
      </c>
      <c r="B29" s="12">
        <f t="shared" si="1"/>
        <v>294.47371744686603</v>
      </c>
      <c r="C29" s="13">
        <f t="shared" si="2"/>
        <v>32.33390796838561</v>
      </c>
      <c r="D29" s="13">
        <f t="shared" si="3"/>
        <v>67.666092031614397</v>
      </c>
      <c r="E29" s="13">
        <f t="shared" si="4"/>
        <v>272.88376919572408</v>
      </c>
      <c r="F29" s="14">
        <f t="shared" si="5"/>
        <v>545</v>
      </c>
      <c r="G29" s="11">
        <f t="shared" si="6"/>
        <v>13732.114104133756</v>
      </c>
      <c r="H29" s="11">
        <f t="shared" si="6"/>
        <v>13921.74418357839</v>
      </c>
    </row>
    <row r="30" spans="1:8" x14ac:dyDescent="0.2">
      <c r="A30">
        <v>85</v>
      </c>
      <c r="B30" s="12">
        <f t="shared" si="1"/>
        <v>291.10775288757071</v>
      </c>
      <c r="C30" s="13">
        <f t="shared" si="2"/>
        <v>32.754244582676975</v>
      </c>
      <c r="D30" s="13">
        <f t="shared" si="3"/>
        <v>62.245755417323039</v>
      </c>
      <c r="E30" s="13">
        <f t="shared" si="4"/>
        <v>258.11672040555931</v>
      </c>
      <c r="F30" s="14">
        <f t="shared" si="5"/>
        <v>516</v>
      </c>
      <c r="G30" s="11">
        <f t="shared" si="6"/>
        <v>14507.836152482034</v>
      </c>
      <c r="H30" s="11">
        <f t="shared" si="6"/>
        <v>14630.701038087383</v>
      </c>
    </row>
    <row r="31" spans="1:8" x14ac:dyDescent="0.2">
      <c r="A31">
        <v>90</v>
      </c>
      <c r="B31" s="12">
        <f t="shared" si="1"/>
        <v>290</v>
      </c>
      <c r="C31" s="13">
        <f t="shared" si="2"/>
        <v>32.895154968086061</v>
      </c>
      <c r="D31" s="13">
        <f t="shared" si="3"/>
        <v>57.104845031913953</v>
      </c>
      <c r="E31" s="13">
        <f t="shared" si="4"/>
        <v>244.00308006265547</v>
      </c>
      <c r="F31" s="14">
        <f t="shared" si="5"/>
        <v>488</v>
      </c>
      <c r="G31" s="11">
        <f t="shared" si="6"/>
        <v>15283.55820083031</v>
      </c>
      <c r="H31" s="11">
        <f t="shared" si="6"/>
        <v>15339.657892596375</v>
      </c>
    </row>
    <row r="32" spans="1:8" x14ac:dyDescent="0.2">
      <c r="A32">
        <v>95</v>
      </c>
      <c r="B32" s="12">
        <f t="shared" si="1"/>
        <v>291.10775288757071</v>
      </c>
      <c r="C32" s="13">
        <f t="shared" si="2"/>
        <v>32.754244582676975</v>
      </c>
      <c r="D32" s="13">
        <f t="shared" si="3"/>
        <v>52.245755417323039</v>
      </c>
      <c r="E32" s="13">
        <f t="shared" si="4"/>
        <v>230.66266144004697</v>
      </c>
      <c r="F32" s="14">
        <f t="shared" si="5"/>
        <v>461</v>
      </c>
      <c r="G32" s="11">
        <f t="shared" si="6"/>
        <v>16059.280249178586</v>
      </c>
      <c r="H32" s="11">
        <f t="shared" si="6"/>
        <v>16048.614747105368</v>
      </c>
    </row>
    <row r="33" spans="1:8" x14ac:dyDescent="0.2">
      <c r="A33">
        <v>100</v>
      </c>
      <c r="B33" s="12">
        <f t="shared" si="1"/>
        <v>294.47371744686603</v>
      </c>
      <c r="C33" s="13">
        <f t="shared" si="2"/>
        <v>32.33390796838561</v>
      </c>
      <c r="D33" s="13">
        <f t="shared" si="3"/>
        <v>47.666092031614397</v>
      </c>
      <c r="E33" s="13">
        <f t="shared" si="4"/>
        <v>218.18459323064104</v>
      </c>
      <c r="F33" s="14">
        <f t="shared" si="5"/>
        <v>436</v>
      </c>
      <c r="G33" s="11">
        <f t="shared" si="6"/>
        <v>16835.002297526862</v>
      </c>
      <c r="H33" s="11">
        <f t="shared" si="6"/>
        <v>16757.57160161436</v>
      </c>
    </row>
    <row r="34" spans="1:8" x14ac:dyDescent="0.2">
      <c r="A34">
        <v>105</v>
      </c>
      <c r="B34" s="12">
        <f t="shared" si="1"/>
        <v>300.23009231892405</v>
      </c>
      <c r="C34" s="13">
        <f t="shared" si="2"/>
        <v>31.641160998851497</v>
      </c>
      <c r="D34" s="13">
        <f t="shared" si="3"/>
        <v>43.35883900114851</v>
      </c>
      <c r="E34" s="13">
        <f t="shared" si="4"/>
        <v>206.62758320890276</v>
      </c>
      <c r="F34" s="14">
        <f t="shared" si="5"/>
        <v>413</v>
      </c>
      <c r="G34" s="11">
        <f t="shared" si="6"/>
        <v>17610.72434587514</v>
      </c>
      <c r="H34" s="11">
        <f t="shared" si="6"/>
        <v>17466.528456123353</v>
      </c>
    </row>
    <row r="35" spans="1:8" x14ac:dyDescent="0.2">
      <c r="A35" s="7">
        <f>G9</f>
        <v>108.80468529534333</v>
      </c>
      <c r="B35" s="12">
        <f t="shared" si="1"/>
        <v>306.35219025353553</v>
      </c>
      <c r="C35" s="13">
        <f t="shared" si="2"/>
        <v>30.938262799957105</v>
      </c>
      <c r="D35" s="13">
        <f t="shared" si="3"/>
        <v>40.257051904699566</v>
      </c>
      <c r="E35" s="13">
        <f t="shared" si="4"/>
        <v>198.47027290732257</v>
      </c>
      <c r="F35" s="14">
        <f t="shared" si="5"/>
        <v>396</v>
      </c>
      <c r="G35" s="7">
        <v>18201</v>
      </c>
      <c r="H35" s="7">
        <v>18006</v>
      </c>
    </row>
    <row r="36" spans="1:8" x14ac:dyDescent="0.2">
      <c r="B36" s="3"/>
      <c r="F36" s="4"/>
    </row>
    <row r="37" spans="1:8" x14ac:dyDescent="0.2">
      <c r="A37" s="5" t="s">
        <v>38</v>
      </c>
      <c r="B37" s="10" t="s">
        <v>21</v>
      </c>
      <c r="C37" s="6" t="s">
        <v>22</v>
      </c>
      <c r="D37" s="10" t="s">
        <v>23</v>
      </c>
      <c r="E37" s="10" t="s">
        <v>24</v>
      </c>
      <c r="F37" s="10" t="s">
        <v>25</v>
      </c>
      <c r="G37" s="10" t="s">
        <v>26</v>
      </c>
      <c r="H37" s="10" t="s">
        <v>40</v>
      </c>
    </row>
    <row r="38" spans="1:8" x14ac:dyDescent="0.2">
      <c r="A38" s="21">
        <f>G18</f>
        <v>5374</v>
      </c>
      <c r="B38" s="13">
        <f>((A38-$A$38)*($G$10-$G$9))/($A$38-$A$55)+$G$10</f>
        <v>26.126875457965539</v>
      </c>
      <c r="C38" s="13">
        <f>$G$4/SIN(RADIANS(B38))</f>
        <v>658.55156291449396</v>
      </c>
      <c r="D38" s="13">
        <f>DEGREES(ASIN($G$3/C38))</f>
        <v>13.837040615714482</v>
      </c>
      <c r="E38" s="13">
        <f>180-D38-B38</f>
        <v>140.03608392631998</v>
      </c>
      <c r="F38" s="13">
        <f>C38*SIN(RADIANS(E38))+0.5</f>
        <v>423.49098811217289</v>
      </c>
      <c r="G38" s="13">
        <f>ROUNDDOWN(F38*2,0)</f>
        <v>846</v>
      </c>
      <c r="H38" s="13">
        <f>G38-$G$12/10+$G$15</f>
        <v>2250</v>
      </c>
    </row>
    <row r="39" spans="1:8" x14ac:dyDescent="0.2">
      <c r="A39" s="21">
        <f t="shared" ref="A39:A54" si="7">G19</f>
        <v>5974.8936206509907</v>
      </c>
      <c r="B39" s="13">
        <f t="shared" ref="B39:B55" si="8">((A39-$A$38)*($G$10-$G$9))/($A$38-$A$55)+$G$10</f>
        <v>30</v>
      </c>
      <c r="C39" s="13">
        <f t="shared" ref="C39:C55" si="9">$G$4/SIN(RADIANS(B39))</f>
        <v>580.00000000000011</v>
      </c>
      <c r="D39" s="13">
        <f t="shared" ref="D39:D55" si="10">DEGREES(ASIN($G$3/C39))</f>
        <v>15.756624360201169</v>
      </c>
      <c r="E39" s="13">
        <f t="shared" ref="E39:E55" si="11">180-D39-B39</f>
        <v>134.24337563979884</v>
      </c>
      <c r="F39" s="13">
        <f t="shared" ref="F39:F55" si="12">C39*SIN(RADIANS(E39))+0.5</f>
        <v>416.00191670246124</v>
      </c>
      <c r="G39" s="13">
        <f t="shared" ref="G39:G55" si="13">ROUNDDOWN(F39*2,0)</f>
        <v>832</v>
      </c>
      <c r="H39" s="13">
        <f t="shared" ref="H39:H55" si="14">G39-$G$12/10+$G$15</f>
        <v>2236</v>
      </c>
    </row>
    <row r="40" spans="1:8" x14ac:dyDescent="0.2">
      <c r="A40" s="21">
        <f t="shared" si="7"/>
        <v>6750.6156689992667</v>
      </c>
      <c r="B40" s="13">
        <f t="shared" si="8"/>
        <v>35</v>
      </c>
      <c r="C40" s="13">
        <f t="shared" si="9"/>
        <v>505.59957073011844</v>
      </c>
      <c r="D40" s="13">
        <f t="shared" si="10"/>
        <v>18.150334506466226</v>
      </c>
      <c r="E40" s="13">
        <f t="shared" si="11"/>
        <v>126.84966549353376</v>
      </c>
      <c r="F40" s="13">
        <f t="shared" si="12"/>
        <v>405.0867530503657</v>
      </c>
      <c r="G40" s="13">
        <f t="shared" si="13"/>
        <v>810</v>
      </c>
      <c r="H40" s="13">
        <f t="shared" si="14"/>
        <v>2214</v>
      </c>
    </row>
    <row r="41" spans="1:8" x14ac:dyDescent="0.2">
      <c r="A41" s="21">
        <f t="shared" si="7"/>
        <v>7526.3377173475437</v>
      </c>
      <c r="B41" s="13">
        <f t="shared" si="8"/>
        <v>40</v>
      </c>
      <c r="C41" s="13">
        <f t="shared" si="9"/>
        <v>451.15990978951965</v>
      </c>
      <c r="D41" s="13">
        <f t="shared" si="10"/>
        <v>20.432287209726454</v>
      </c>
      <c r="E41" s="13">
        <f t="shared" si="11"/>
        <v>119.56771279027356</v>
      </c>
      <c r="F41" s="13">
        <f t="shared" si="12"/>
        <v>392.90676985724014</v>
      </c>
      <c r="G41" s="13">
        <f t="shared" si="13"/>
        <v>785</v>
      </c>
      <c r="H41" s="13">
        <f t="shared" si="14"/>
        <v>2189</v>
      </c>
    </row>
    <row r="42" spans="1:8" x14ac:dyDescent="0.2">
      <c r="A42" s="21">
        <f t="shared" si="7"/>
        <v>8302.0597656958198</v>
      </c>
      <c r="B42" s="13">
        <f t="shared" si="8"/>
        <v>45</v>
      </c>
      <c r="C42" s="13">
        <f t="shared" si="9"/>
        <v>410.12193308819758</v>
      </c>
      <c r="D42" s="13">
        <f t="shared" si="10"/>
        <v>22.583666918615855</v>
      </c>
      <c r="E42" s="13">
        <f t="shared" si="11"/>
        <v>112.41633308138415</v>
      </c>
      <c r="F42" s="13">
        <f t="shared" si="12"/>
        <v>379.63203949003645</v>
      </c>
      <c r="G42" s="13">
        <f t="shared" si="13"/>
        <v>759</v>
      </c>
      <c r="H42" s="13">
        <f t="shared" si="14"/>
        <v>2163</v>
      </c>
    </row>
    <row r="43" spans="1:8" x14ac:dyDescent="0.2">
      <c r="A43" s="21">
        <f t="shared" si="7"/>
        <v>9077.7818140440977</v>
      </c>
      <c r="B43" s="13">
        <f t="shared" si="8"/>
        <v>50</v>
      </c>
      <c r="C43" s="13">
        <f t="shared" si="9"/>
        <v>378.56811390636079</v>
      </c>
      <c r="D43" s="13">
        <f t="shared" si="10"/>
        <v>24.584914186621095</v>
      </c>
      <c r="E43" s="13">
        <f t="shared" si="11"/>
        <v>105.41508581337891</v>
      </c>
      <c r="F43" s="13">
        <f t="shared" si="12"/>
        <v>365.44929661313762</v>
      </c>
      <c r="G43" s="13">
        <f t="shared" si="13"/>
        <v>730</v>
      </c>
      <c r="H43" s="13">
        <f t="shared" si="14"/>
        <v>2134</v>
      </c>
    </row>
    <row r="44" spans="1:8" x14ac:dyDescent="0.2">
      <c r="A44" s="21">
        <f t="shared" si="7"/>
        <v>9853.5038623923738</v>
      </c>
      <c r="B44" s="13">
        <f t="shared" si="8"/>
        <v>55</v>
      </c>
      <c r="C44" s="13">
        <f t="shared" si="9"/>
        <v>354.02463074082226</v>
      </c>
      <c r="D44" s="13">
        <f t="shared" si="10"/>
        <v>26.415936546481039</v>
      </c>
      <c r="E44" s="13">
        <f t="shared" si="11"/>
        <v>98.584063453518951</v>
      </c>
      <c r="F44" s="13">
        <f t="shared" si="12"/>
        <v>350.55882393537632</v>
      </c>
      <c r="G44" s="13">
        <f t="shared" si="13"/>
        <v>701</v>
      </c>
      <c r="H44" s="13">
        <f t="shared" si="14"/>
        <v>2105</v>
      </c>
    </row>
    <row r="45" spans="1:8" x14ac:dyDescent="0.2">
      <c r="A45" s="21">
        <f t="shared" si="7"/>
        <v>10629.22591074065</v>
      </c>
      <c r="B45" s="13">
        <f t="shared" si="8"/>
        <v>59.999999999999993</v>
      </c>
      <c r="C45" s="13">
        <f t="shared" si="9"/>
        <v>334.86315612998294</v>
      </c>
      <c r="D45" s="13">
        <f t="shared" si="10"/>
        <v>28.056458729927776</v>
      </c>
      <c r="E45" s="13">
        <f t="shared" si="11"/>
        <v>91.943541270072217</v>
      </c>
      <c r="F45" s="13">
        <f t="shared" si="12"/>
        <v>335.17051988849977</v>
      </c>
      <c r="G45" s="13">
        <f t="shared" si="13"/>
        <v>670</v>
      </c>
      <c r="H45" s="13">
        <f t="shared" si="14"/>
        <v>2074</v>
      </c>
    </row>
    <row r="46" spans="1:8" x14ac:dyDescent="0.2">
      <c r="A46" s="21">
        <f t="shared" si="7"/>
        <v>11404.947959088926</v>
      </c>
      <c r="B46" s="13">
        <f t="shared" si="8"/>
        <v>65</v>
      </c>
      <c r="C46" s="13">
        <f t="shared" si="9"/>
        <v>319.97959649912264</v>
      </c>
      <c r="D46" s="13">
        <f t="shared" si="10"/>
        <v>29.486527028420934</v>
      </c>
      <c r="E46" s="13">
        <f t="shared" si="11"/>
        <v>85.513472971579063</v>
      </c>
      <c r="F46" s="13">
        <f t="shared" si="12"/>
        <v>319.49910082778564</v>
      </c>
      <c r="G46" s="13">
        <f t="shared" si="13"/>
        <v>638</v>
      </c>
      <c r="H46" s="13">
        <f t="shared" si="14"/>
        <v>2042</v>
      </c>
    </row>
    <row r="47" spans="1:8" x14ac:dyDescent="0.2">
      <c r="A47" s="21">
        <f t="shared" si="7"/>
        <v>12180.670007437204</v>
      </c>
      <c r="B47" s="13">
        <f t="shared" si="8"/>
        <v>70</v>
      </c>
      <c r="C47" s="13">
        <f t="shared" si="9"/>
        <v>308.61155401801454</v>
      </c>
      <c r="D47" s="13">
        <f t="shared" si="10"/>
        <v>30.687166043360726</v>
      </c>
      <c r="E47" s="13">
        <f t="shared" si="11"/>
        <v>79.312833956639281</v>
      </c>
      <c r="F47" s="13">
        <f t="shared" si="12"/>
        <v>303.7584891789889</v>
      </c>
      <c r="G47" s="13">
        <f t="shared" si="13"/>
        <v>607</v>
      </c>
      <c r="H47" s="13">
        <f t="shared" si="14"/>
        <v>2011</v>
      </c>
    </row>
    <row r="48" spans="1:8" x14ac:dyDescent="0.2">
      <c r="A48" s="21">
        <f t="shared" si="7"/>
        <v>12956.39205578548</v>
      </c>
      <c r="B48" s="13">
        <f t="shared" si="8"/>
        <v>75</v>
      </c>
      <c r="C48" s="13">
        <f t="shared" si="9"/>
        <v>300.23009231892405</v>
      </c>
      <c r="D48" s="13">
        <f t="shared" si="10"/>
        <v>31.641160998851497</v>
      </c>
      <c r="E48" s="13">
        <f t="shared" si="11"/>
        <v>73.35883900114851</v>
      </c>
      <c r="F48" s="13">
        <f t="shared" si="12"/>
        <v>288.15558241619681</v>
      </c>
      <c r="G48" s="13">
        <f t="shared" si="13"/>
        <v>576</v>
      </c>
      <c r="H48" s="13">
        <f t="shared" si="14"/>
        <v>1980</v>
      </c>
    </row>
    <row r="49" spans="1:8" x14ac:dyDescent="0.2">
      <c r="A49" s="21">
        <f t="shared" si="7"/>
        <v>13732.114104133756</v>
      </c>
      <c r="B49" s="13">
        <f t="shared" si="8"/>
        <v>80</v>
      </c>
      <c r="C49" s="13">
        <f t="shared" si="9"/>
        <v>294.47371744686603</v>
      </c>
      <c r="D49" s="13">
        <f t="shared" si="10"/>
        <v>32.33390796838561</v>
      </c>
      <c r="E49" s="13">
        <f t="shared" si="11"/>
        <v>67.666092031614397</v>
      </c>
      <c r="F49" s="13">
        <f t="shared" si="12"/>
        <v>272.88376919572408</v>
      </c>
      <c r="G49" s="13">
        <f t="shared" si="13"/>
        <v>545</v>
      </c>
      <c r="H49" s="13">
        <f t="shared" si="14"/>
        <v>1949</v>
      </c>
    </row>
    <row r="50" spans="1:8" x14ac:dyDescent="0.2">
      <c r="A50" s="21">
        <f t="shared" si="7"/>
        <v>14507.836152482034</v>
      </c>
      <c r="B50" s="13">
        <f t="shared" si="8"/>
        <v>85</v>
      </c>
      <c r="C50" s="13">
        <f t="shared" si="9"/>
        <v>291.10775288757071</v>
      </c>
      <c r="D50" s="13">
        <f t="shared" si="10"/>
        <v>32.754244582676975</v>
      </c>
      <c r="E50" s="13">
        <f t="shared" si="11"/>
        <v>62.245755417323039</v>
      </c>
      <c r="F50" s="13">
        <f t="shared" si="12"/>
        <v>258.11672040555931</v>
      </c>
      <c r="G50" s="13">
        <f t="shared" si="13"/>
        <v>516</v>
      </c>
      <c r="H50" s="13">
        <f t="shared" si="14"/>
        <v>1920</v>
      </c>
    </row>
    <row r="51" spans="1:8" x14ac:dyDescent="0.2">
      <c r="A51" s="21">
        <f t="shared" si="7"/>
        <v>15283.55820083031</v>
      </c>
      <c r="B51" s="13">
        <f t="shared" si="8"/>
        <v>90</v>
      </c>
      <c r="C51" s="13">
        <f t="shared" si="9"/>
        <v>290</v>
      </c>
      <c r="D51" s="13">
        <f t="shared" si="10"/>
        <v>32.895154968086061</v>
      </c>
      <c r="E51" s="13">
        <f t="shared" si="11"/>
        <v>57.104845031913953</v>
      </c>
      <c r="F51" s="13">
        <f t="shared" si="12"/>
        <v>244.00308006265547</v>
      </c>
      <c r="G51" s="13">
        <f t="shared" si="13"/>
        <v>488</v>
      </c>
      <c r="H51" s="13">
        <f t="shared" si="14"/>
        <v>1892</v>
      </c>
    </row>
    <row r="52" spans="1:8" x14ac:dyDescent="0.2">
      <c r="A52" s="21">
        <f t="shared" si="7"/>
        <v>16059.280249178586</v>
      </c>
      <c r="B52" s="13">
        <f t="shared" si="8"/>
        <v>95</v>
      </c>
      <c r="C52" s="13">
        <f t="shared" si="9"/>
        <v>291.10775288757071</v>
      </c>
      <c r="D52" s="13">
        <f t="shared" si="10"/>
        <v>32.754244582676975</v>
      </c>
      <c r="E52" s="13">
        <f t="shared" si="11"/>
        <v>52.245755417323039</v>
      </c>
      <c r="F52" s="13">
        <f t="shared" si="12"/>
        <v>230.66266144004697</v>
      </c>
      <c r="G52" s="13">
        <f t="shared" si="13"/>
        <v>461</v>
      </c>
      <c r="H52" s="13">
        <f t="shared" si="14"/>
        <v>1865</v>
      </c>
    </row>
    <row r="53" spans="1:8" x14ac:dyDescent="0.2">
      <c r="A53" s="21">
        <f t="shared" si="7"/>
        <v>16835.002297526862</v>
      </c>
      <c r="B53" s="13">
        <f t="shared" si="8"/>
        <v>99.999999999999986</v>
      </c>
      <c r="C53" s="13">
        <f t="shared" si="9"/>
        <v>294.47371744686603</v>
      </c>
      <c r="D53" s="13">
        <f t="shared" si="10"/>
        <v>32.33390796838561</v>
      </c>
      <c r="E53" s="13">
        <f t="shared" si="11"/>
        <v>47.666092031614411</v>
      </c>
      <c r="F53" s="13">
        <f t="shared" si="12"/>
        <v>218.18459323064107</v>
      </c>
      <c r="G53" s="13">
        <f t="shared" si="13"/>
        <v>436</v>
      </c>
      <c r="H53" s="13">
        <f t="shared" si="14"/>
        <v>1840</v>
      </c>
    </row>
    <row r="54" spans="1:8" x14ac:dyDescent="0.2">
      <c r="A54" s="21">
        <f t="shared" si="7"/>
        <v>17610.72434587514</v>
      </c>
      <c r="B54" s="13">
        <f t="shared" si="8"/>
        <v>105</v>
      </c>
      <c r="C54" s="13">
        <f t="shared" si="9"/>
        <v>300.23009231892405</v>
      </c>
      <c r="D54" s="13">
        <f t="shared" si="10"/>
        <v>31.641160998851497</v>
      </c>
      <c r="E54" s="13">
        <f t="shared" si="11"/>
        <v>43.35883900114851</v>
      </c>
      <c r="F54" s="13">
        <f t="shared" si="12"/>
        <v>206.62758320890276</v>
      </c>
      <c r="G54" s="13">
        <f t="shared" si="13"/>
        <v>413</v>
      </c>
      <c r="H54" s="13">
        <f t="shared" si="14"/>
        <v>1817</v>
      </c>
    </row>
    <row r="55" spans="1:8" x14ac:dyDescent="0.2">
      <c r="A55" s="21">
        <f>G35</f>
        <v>18201</v>
      </c>
      <c r="B55" s="13">
        <f t="shared" si="8"/>
        <v>108.80468529534333</v>
      </c>
      <c r="C55" s="13">
        <f t="shared" si="9"/>
        <v>306.35219025353553</v>
      </c>
      <c r="D55" s="13">
        <f t="shared" si="10"/>
        <v>30.938262799957105</v>
      </c>
      <c r="E55" s="13">
        <f t="shared" si="11"/>
        <v>40.257051904699566</v>
      </c>
      <c r="F55" s="13">
        <f t="shared" si="12"/>
        <v>198.47027290732257</v>
      </c>
      <c r="G55" s="13">
        <f t="shared" si="13"/>
        <v>396</v>
      </c>
      <c r="H55" s="13">
        <f t="shared" si="14"/>
        <v>1800</v>
      </c>
    </row>
    <row r="57" spans="1:8" x14ac:dyDescent="0.2">
      <c r="A57" s="5" t="s">
        <v>39</v>
      </c>
      <c r="B57" s="10" t="s">
        <v>21</v>
      </c>
      <c r="C57" s="6" t="s">
        <v>22</v>
      </c>
      <c r="D57" s="10" t="s">
        <v>23</v>
      </c>
      <c r="E57" s="10" t="s">
        <v>24</v>
      </c>
      <c r="F57" s="10" t="s">
        <v>25</v>
      </c>
      <c r="G57" s="10" t="s">
        <v>26</v>
      </c>
      <c r="H57" s="10" t="s">
        <v>41</v>
      </c>
    </row>
    <row r="58" spans="1:8" x14ac:dyDescent="0.2">
      <c r="A58" s="21">
        <f>H18</f>
        <v>6283</v>
      </c>
      <c r="B58" s="13">
        <f>((A58-$A$58)*($G$10-$G$9))/($A$58-$A$75)+$G$10</f>
        <v>26.126875457965539</v>
      </c>
      <c r="C58" s="13">
        <f>$G$4/SIN(RADIANS(B58))</f>
        <v>658.55156291449396</v>
      </c>
      <c r="D58" s="13">
        <f>DEGREES(ASIN($G$3/C58))</f>
        <v>13.837040615714482</v>
      </c>
      <c r="E58" s="13">
        <f>180-D58-B58</f>
        <v>140.03608392631998</v>
      </c>
      <c r="F58" s="13">
        <f>C58*SIN(RADIANS(E58))+0.5</f>
        <v>423.49098811217289</v>
      </c>
      <c r="G58" s="13">
        <f>ROUNDDOWN(F58*2,0)</f>
        <v>846</v>
      </c>
      <c r="H58" s="13">
        <f>G58-$G$12/10+$G$15</f>
        <v>2250</v>
      </c>
    </row>
    <row r="59" spans="1:8" x14ac:dyDescent="0.2">
      <c r="A59" s="21">
        <f t="shared" ref="A59:A75" si="15">H19</f>
        <v>6832.1756384884666</v>
      </c>
      <c r="B59" s="13">
        <f t="shared" ref="B59:B75" si="16">((A59-$A$58)*($G$10-$G$9))/($A$58-$A$75)+$G$10</f>
        <v>30</v>
      </c>
      <c r="C59" s="13">
        <f t="shared" ref="C59:C75" si="17">$G$4/SIN(RADIANS(B59))</f>
        <v>580.00000000000011</v>
      </c>
      <c r="D59" s="13">
        <f t="shared" ref="D59:D75" si="18">DEGREES(ASIN($G$3/C59))</f>
        <v>15.756624360201169</v>
      </c>
      <c r="E59" s="13">
        <f t="shared" ref="E59:E75" si="19">180-D59-B59</f>
        <v>134.24337563979884</v>
      </c>
      <c r="F59" s="13">
        <f t="shared" ref="F59:F75" si="20">C59*SIN(RADIANS(E59))+0.5</f>
        <v>416.00191670246124</v>
      </c>
      <c r="G59" s="13">
        <f t="shared" ref="G59:G75" si="21">ROUNDDOWN(F59*2,0)</f>
        <v>832</v>
      </c>
      <c r="H59" s="13">
        <f t="shared" ref="H59:H75" si="22">G59-$G$12/10+$G$15</f>
        <v>2236</v>
      </c>
    </row>
    <row r="60" spans="1:8" x14ac:dyDescent="0.2">
      <c r="A60" s="21">
        <f t="shared" si="15"/>
        <v>7541.1324929974589</v>
      </c>
      <c r="B60" s="13">
        <f t="shared" si="16"/>
        <v>35</v>
      </c>
      <c r="C60" s="13">
        <f t="shared" si="17"/>
        <v>505.59957073011844</v>
      </c>
      <c r="D60" s="13">
        <f t="shared" si="18"/>
        <v>18.150334506466226</v>
      </c>
      <c r="E60" s="13">
        <f t="shared" si="19"/>
        <v>126.84966549353376</v>
      </c>
      <c r="F60" s="13">
        <f t="shared" si="20"/>
        <v>405.0867530503657</v>
      </c>
      <c r="G60" s="13">
        <f t="shared" si="21"/>
        <v>810</v>
      </c>
      <c r="H60" s="13">
        <f t="shared" si="22"/>
        <v>2214</v>
      </c>
    </row>
    <row r="61" spans="1:8" x14ac:dyDescent="0.2">
      <c r="A61" s="21">
        <f t="shared" si="15"/>
        <v>8250.0893475064513</v>
      </c>
      <c r="B61" s="13">
        <f t="shared" si="16"/>
        <v>40</v>
      </c>
      <c r="C61" s="13">
        <f t="shared" si="17"/>
        <v>451.15990978951965</v>
      </c>
      <c r="D61" s="13">
        <f t="shared" si="18"/>
        <v>20.432287209726454</v>
      </c>
      <c r="E61" s="13">
        <f t="shared" si="19"/>
        <v>119.56771279027356</v>
      </c>
      <c r="F61" s="13">
        <f t="shared" si="20"/>
        <v>392.90676985724014</v>
      </c>
      <c r="G61" s="13">
        <f t="shared" si="21"/>
        <v>785</v>
      </c>
      <c r="H61" s="13">
        <f t="shared" si="22"/>
        <v>2189</v>
      </c>
    </row>
    <row r="62" spans="1:8" x14ac:dyDescent="0.2">
      <c r="A62" s="21">
        <f t="shared" si="15"/>
        <v>8959.0462020154446</v>
      </c>
      <c r="B62" s="13">
        <f t="shared" si="16"/>
        <v>45</v>
      </c>
      <c r="C62" s="13">
        <f t="shared" si="17"/>
        <v>410.12193308819758</v>
      </c>
      <c r="D62" s="13">
        <f t="shared" si="18"/>
        <v>22.583666918615855</v>
      </c>
      <c r="E62" s="13">
        <f t="shared" si="19"/>
        <v>112.41633308138415</v>
      </c>
      <c r="F62" s="13">
        <f t="shared" si="20"/>
        <v>379.63203949003645</v>
      </c>
      <c r="G62" s="13">
        <f t="shared" si="21"/>
        <v>759</v>
      </c>
      <c r="H62" s="13">
        <f t="shared" si="22"/>
        <v>2163</v>
      </c>
    </row>
    <row r="63" spans="1:8" x14ac:dyDescent="0.2">
      <c r="A63" s="21">
        <f t="shared" si="15"/>
        <v>9668.003056524436</v>
      </c>
      <c r="B63" s="13">
        <f t="shared" si="16"/>
        <v>50</v>
      </c>
      <c r="C63" s="13">
        <f t="shared" si="17"/>
        <v>378.56811390636079</v>
      </c>
      <c r="D63" s="13">
        <f t="shared" si="18"/>
        <v>24.584914186621095</v>
      </c>
      <c r="E63" s="13">
        <f t="shared" si="19"/>
        <v>105.41508581337891</v>
      </c>
      <c r="F63" s="13">
        <f t="shared" si="20"/>
        <v>365.44929661313762</v>
      </c>
      <c r="G63" s="13">
        <f t="shared" si="21"/>
        <v>730</v>
      </c>
      <c r="H63" s="13">
        <f t="shared" si="22"/>
        <v>2134</v>
      </c>
    </row>
    <row r="64" spans="1:8" x14ac:dyDescent="0.2">
      <c r="A64" s="21">
        <f t="shared" si="15"/>
        <v>10376.959911033429</v>
      </c>
      <c r="B64" s="13">
        <f t="shared" si="16"/>
        <v>55</v>
      </c>
      <c r="C64" s="13">
        <f t="shared" si="17"/>
        <v>354.02463074082226</v>
      </c>
      <c r="D64" s="13">
        <f t="shared" si="18"/>
        <v>26.415936546481039</v>
      </c>
      <c r="E64" s="13">
        <f t="shared" si="19"/>
        <v>98.584063453518951</v>
      </c>
      <c r="F64" s="13">
        <f t="shared" si="20"/>
        <v>350.55882393537632</v>
      </c>
      <c r="G64" s="13">
        <f t="shared" si="21"/>
        <v>701</v>
      </c>
      <c r="H64" s="13">
        <f t="shared" si="22"/>
        <v>2105</v>
      </c>
    </row>
    <row r="65" spans="1:8" x14ac:dyDescent="0.2">
      <c r="A65" s="21">
        <f t="shared" si="15"/>
        <v>11085.916765542421</v>
      </c>
      <c r="B65" s="13">
        <f t="shared" si="16"/>
        <v>59.999999999999993</v>
      </c>
      <c r="C65" s="13">
        <f t="shared" si="17"/>
        <v>334.86315612998294</v>
      </c>
      <c r="D65" s="13">
        <f t="shared" si="18"/>
        <v>28.056458729927776</v>
      </c>
      <c r="E65" s="13">
        <f t="shared" si="19"/>
        <v>91.943541270072217</v>
      </c>
      <c r="F65" s="13">
        <f t="shared" si="20"/>
        <v>335.17051988849977</v>
      </c>
      <c r="G65" s="13">
        <f t="shared" si="21"/>
        <v>670</v>
      </c>
      <c r="H65" s="13">
        <f t="shared" si="22"/>
        <v>2074</v>
      </c>
    </row>
    <row r="66" spans="1:8" x14ac:dyDescent="0.2">
      <c r="A66" s="21">
        <f t="shared" si="15"/>
        <v>11794.873620051412</v>
      </c>
      <c r="B66" s="13">
        <f t="shared" si="16"/>
        <v>64.999999999999986</v>
      </c>
      <c r="C66" s="13">
        <f t="shared" si="17"/>
        <v>319.97959649912264</v>
      </c>
      <c r="D66" s="13">
        <f t="shared" si="18"/>
        <v>29.486527028420934</v>
      </c>
      <c r="E66" s="13">
        <f t="shared" si="19"/>
        <v>85.513472971579077</v>
      </c>
      <c r="F66" s="13">
        <f t="shared" si="20"/>
        <v>319.49910082778564</v>
      </c>
      <c r="G66" s="13">
        <f t="shared" si="21"/>
        <v>638</v>
      </c>
      <c r="H66" s="13">
        <f t="shared" si="22"/>
        <v>2042</v>
      </c>
    </row>
    <row r="67" spans="1:8" x14ac:dyDescent="0.2">
      <c r="A67" s="21">
        <f t="shared" si="15"/>
        <v>12503.830474560405</v>
      </c>
      <c r="B67" s="13">
        <f t="shared" si="16"/>
        <v>70</v>
      </c>
      <c r="C67" s="13">
        <f t="shared" si="17"/>
        <v>308.61155401801454</v>
      </c>
      <c r="D67" s="13">
        <f t="shared" si="18"/>
        <v>30.687166043360726</v>
      </c>
      <c r="E67" s="13">
        <f t="shared" si="19"/>
        <v>79.312833956639281</v>
      </c>
      <c r="F67" s="13">
        <f t="shared" si="20"/>
        <v>303.7584891789889</v>
      </c>
      <c r="G67" s="13">
        <f t="shared" si="21"/>
        <v>607</v>
      </c>
      <c r="H67" s="13">
        <f t="shared" si="22"/>
        <v>2011</v>
      </c>
    </row>
    <row r="68" spans="1:8" x14ac:dyDescent="0.2">
      <c r="A68" s="21">
        <f t="shared" si="15"/>
        <v>13212.787329069399</v>
      </c>
      <c r="B68" s="13">
        <f t="shared" si="16"/>
        <v>75</v>
      </c>
      <c r="C68" s="13">
        <f t="shared" si="17"/>
        <v>300.23009231892405</v>
      </c>
      <c r="D68" s="13">
        <f t="shared" si="18"/>
        <v>31.641160998851497</v>
      </c>
      <c r="E68" s="13">
        <f t="shared" si="19"/>
        <v>73.35883900114851</v>
      </c>
      <c r="F68" s="13">
        <f t="shared" si="20"/>
        <v>288.15558241619681</v>
      </c>
      <c r="G68" s="13">
        <f t="shared" si="21"/>
        <v>576</v>
      </c>
      <c r="H68" s="13">
        <f t="shared" si="22"/>
        <v>1980</v>
      </c>
    </row>
    <row r="69" spans="1:8" x14ac:dyDescent="0.2">
      <c r="A69" s="21">
        <f t="shared" si="15"/>
        <v>13921.74418357839</v>
      </c>
      <c r="B69" s="13">
        <f t="shared" si="16"/>
        <v>80</v>
      </c>
      <c r="C69" s="13">
        <f t="shared" si="17"/>
        <v>294.47371744686603</v>
      </c>
      <c r="D69" s="13">
        <f t="shared" si="18"/>
        <v>32.33390796838561</v>
      </c>
      <c r="E69" s="13">
        <f t="shared" si="19"/>
        <v>67.666092031614397</v>
      </c>
      <c r="F69" s="13">
        <f t="shared" si="20"/>
        <v>272.88376919572408</v>
      </c>
      <c r="G69" s="13">
        <f t="shared" si="21"/>
        <v>545</v>
      </c>
      <c r="H69" s="13">
        <f t="shared" si="22"/>
        <v>1949</v>
      </c>
    </row>
    <row r="70" spans="1:8" x14ac:dyDescent="0.2">
      <c r="A70" s="21">
        <f t="shared" si="15"/>
        <v>14630.701038087383</v>
      </c>
      <c r="B70" s="13">
        <f t="shared" si="16"/>
        <v>85</v>
      </c>
      <c r="C70" s="13">
        <f t="shared" si="17"/>
        <v>291.10775288757071</v>
      </c>
      <c r="D70" s="13">
        <f t="shared" si="18"/>
        <v>32.754244582676975</v>
      </c>
      <c r="E70" s="13">
        <f t="shared" si="19"/>
        <v>62.245755417323039</v>
      </c>
      <c r="F70" s="13">
        <f t="shared" si="20"/>
        <v>258.11672040555931</v>
      </c>
      <c r="G70" s="13">
        <f t="shared" si="21"/>
        <v>516</v>
      </c>
      <c r="H70" s="13">
        <f t="shared" si="22"/>
        <v>1920</v>
      </c>
    </row>
    <row r="71" spans="1:8" x14ac:dyDescent="0.2">
      <c r="A71" s="21">
        <f t="shared" si="15"/>
        <v>15339.657892596375</v>
      </c>
      <c r="B71" s="13">
        <f t="shared" si="16"/>
        <v>90</v>
      </c>
      <c r="C71" s="13">
        <f t="shared" si="17"/>
        <v>290</v>
      </c>
      <c r="D71" s="13">
        <f t="shared" si="18"/>
        <v>32.895154968086061</v>
      </c>
      <c r="E71" s="13">
        <f t="shared" si="19"/>
        <v>57.104845031913953</v>
      </c>
      <c r="F71" s="13">
        <f t="shared" si="20"/>
        <v>244.00308006265547</v>
      </c>
      <c r="G71" s="13">
        <f t="shared" si="21"/>
        <v>488</v>
      </c>
      <c r="H71" s="13">
        <f t="shared" si="22"/>
        <v>1892</v>
      </c>
    </row>
    <row r="72" spans="1:8" x14ac:dyDescent="0.2">
      <c r="A72" s="21">
        <f t="shared" si="15"/>
        <v>16048.614747105368</v>
      </c>
      <c r="B72" s="13">
        <f t="shared" si="16"/>
        <v>94.999999999999986</v>
      </c>
      <c r="C72" s="13">
        <f t="shared" si="17"/>
        <v>291.10775288757071</v>
      </c>
      <c r="D72" s="13">
        <f t="shared" si="18"/>
        <v>32.754244582676975</v>
      </c>
      <c r="E72" s="13">
        <f t="shared" si="19"/>
        <v>52.245755417323053</v>
      </c>
      <c r="F72" s="13">
        <f t="shared" si="20"/>
        <v>230.66266144004703</v>
      </c>
      <c r="G72" s="13">
        <f t="shared" si="21"/>
        <v>461</v>
      </c>
      <c r="H72" s="13">
        <f t="shared" si="22"/>
        <v>1865</v>
      </c>
    </row>
    <row r="73" spans="1:8" x14ac:dyDescent="0.2">
      <c r="A73" s="21">
        <f t="shared" si="15"/>
        <v>16757.57160161436</v>
      </c>
      <c r="B73" s="13">
        <f t="shared" si="16"/>
        <v>99.999999999999986</v>
      </c>
      <c r="C73" s="13">
        <f t="shared" si="17"/>
        <v>294.47371744686603</v>
      </c>
      <c r="D73" s="13">
        <f t="shared" si="18"/>
        <v>32.33390796838561</v>
      </c>
      <c r="E73" s="13">
        <f t="shared" si="19"/>
        <v>47.666092031614411</v>
      </c>
      <c r="F73" s="13">
        <f t="shared" si="20"/>
        <v>218.18459323064107</v>
      </c>
      <c r="G73" s="13">
        <f t="shared" si="21"/>
        <v>436</v>
      </c>
      <c r="H73" s="13">
        <f t="shared" si="22"/>
        <v>1840</v>
      </c>
    </row>
    <row r="74" spans="1:8" x14ac:dyDescent="0.2">
      <c r="A74" s="21">
        <f t="shared" si="15"/>
        <v>17466.528456123353</v>
      </c>
      <c r="B74" s="13">
        <f t="shared" si="16"/>
        <v>104.99999999999999</v>
      </c>
      <c r="C74" s="13">
        <f t="shared" si="17"/>
        <v>300.23009231892405</v>
      </c>
      <c r="D74" s="13">
        <f t="shared" si="18"/>
        <v>31.641160998851497</v>
      </c>
      <c r="E74" s="13">
        <f t="shared" si="19"/>
        <v>43.358839001148525</v>
      </c>
      <c r="F74" s="13">
        <f t="shared" si="20"/>
        <v>206.62758320890285</v>
      </c>
      <c r="G74" s="13">
        <f t="shared" si="21"/>
        <v>413</v>
      </c>
      <c r="H74" s="13">
        <f t="shared" si="22"/>
        <v>1817</v>
      </c>
    </row>
    <row r="75" spans="1:8" x14ac:dyDescent="0.2">
      <c r="A75" s="21">
        <f t="shared" si="15"/>
        <v>18006</v>
      </c>
      <c r="B75" s="13">
        <f t="shared" si="16"/>
        <v>108.80468529534333</v>
      </c>
      <c r="C75" s="13">
        <f t="shared" si="17"/>
        <v>306.35219025353553</v>
      </c>
      <c r="D75" s="13">
        <f t="shared" si="18"/>
        <v>30.938262799957105</v>
      </c>
      <c r="E75" s="13">
        <f t="shared" si="19"/>
        <v>40.257051904699566</v>
      </c>
      <c r="F75" s="13">
        <f t="shared" si="20"/>
        <v>198.47027290732257</v>
      </c>
      <c r="G75" s="13">
        <f t="shared" si="21"/>
        <v>396</v>
      </c>
      <c r="H75" s="13">
        <f t="shared" si="22"/>
        <v>1800</v>
      </c>
    </row>
    <row r="79" spans="1:8" ht="15.75" x14ac:dyDescent="0.2">
      <c r="A79" s="2" t="s">
        <v>3</v>
      </c>
    </row>
    <row r="80" spans="1:8" ht="15.75" x14ac:dyDescent="0.2">
      <c r="A80" s="2"/>
    </row>
    <row r="81" spans="1:8" ht="15.75" x14ac:dyDescent="0.2">
      <c r="A81" s="2" t="s">
        <v>4</v>
      </c>
      <c r="E81" s="2" t="s">
        <v>5</v>
      </c>
    </row>
    <row r="82" spans="1:8" ht="15.75" x14ac:dyDescent="0.2">
      <c r="A82" s="2"/>
    </row>
    <row r="83" spans="1:8" ht="15.75" x14ac:dyDescent="0.2">
      <c r="A83" s="2" t="s">
        <v>6</v>
      </c>
      <c r="E83" s="2" t="s">
        <v>7</v>
      </c>
    </row>
    <row r="84" spans="1:8" ht="15.75" x14ac:dyDescent="0.2">
      <c r="A84" s="2"/>
    </row>
    <row r="85" spans="1:8" ht="15.75" x14ac:dyDescent="0.2">
      <c r="A85" s="2" t="s">
        <v>8</v>
      </c>
      <c r="E85" s="2" t="s">
        <v>9</v>
      </c>
    </row>
    <row r="86" spans="1:8" ht="15.75" x14ac:dyDescent="0.2">
      <c r="A86" s="2"/>
    </row>
    <row r="87" spans="1:8" ht="15.75" x14ac:dyDescent="0.2">
      <c r="A87" s="2" t="s">
        <v>10</v>
      </c>
    </row>
    <row r="88" spans="1:8" ht="15.75" x14ac:dyDescent="0.2">
      <c r="A88" s="2" t="s">
        <v>11</v>
      </c>
      <c r="E88" s="2" t="s">
        <v>12</v>
      </c>
    </row>
    <row r="90" spans="1:8" ht="15.75" x14ac:dyDescent="0.2">
      <c r="A90" s="2" t="s">
        <v>33</v>
      </c>
    </row>
    <row r="91" spans="1:8" x14ac:dyDescent="0.2">
      <c r="F91" s="23"/>
    </row>
    <row r="92" spans="1:8" x14ac:dyDescent="0.2">
      <c r="B92" s="5" t="s">
        <v>46</v>
      </c>
      <c r="G92" t="s">
        <v>80</v>
      </c>
      <c r="H92">
        <v>1850</v>
      </c>
    </row>
    <row r="93" spans="1:8" ht="29.25" customHeight="1" x14ac:dyDescent="0.2">
      <c r="A93" t="s">
        <v>77</v>
      </c>
      <c r="B93" s="25" t="s">
        <v>42</v>
      </c>
      <c r="C93" s="25" t="s">
        <v>44</v>
      </c>
      <c r="E93" s="25" t="s">
        <v>43</v>
      </c>
      <c r="G93" s="25" t="s">
        <v>45</v>
      </c>
      <c r="H93" s="25" t="s">
        <v>79</v>
      </c>
    </row>
    <row r="94" spans="1:8" x14ac:dyDescent="0.2">
      <c r="A94">
        <v>5500</v>
      </c>
      <c r="B94" s="22">
        <v>0</v>
      </c>
      <c r="C94" s="28">
        <v>26.126875457965539</v>
      </c>
      <c r="D94" s="19" t="s">
        <v>58</v>
      </c>
      <c r="E94" s="24">
        <f t="shared" ref="E94:E104" si="23">C94*PI()/180*1000</f>
        <v>456</v>
      </c>
      <c r="F94" s="22" t="s">
        <v>47</v>
      </c>
      <c r="G94" s="26">
        <v>846</v>
      </c>
      <c r="H94">
        <f>G94-G$104+H$92</f>
        <v>2300</v>
      </c>
    </row>
    <row r="95" spans="1:8" x14ac:dyDescent="0.2">
      <c r="A95" s="32">
        <f>A$107*C95+A$109</f>
        <v>6841.5214674117751</v>
      </c>
      <c r="B95" s="22">
        <v>1</v>
      </c>
      <c r="C95" s="28">
        <v>35</v>
      </c>
      <c r="D95" s="19" t="s">
        <v>59</v>
      </c>
      <c r="E95" s="29">
        <f t="shared" si="23"/>
        <v>610.86523819801528</v>
      </c>
      <c r="F95" s="22" t="s">
        <v>48</v>
      </c>
      <c r="G95" s="26">
        <v>810</v>
      </c>
      <c r="H95">
        <f t="shared" ref="H95:H104" si="24">G95-G$104+H$92</f>
        <v>2264</v>
      </c>
    </row>
    <row r="96" spans="1:8" x14ac:dyDescent="0.2">
      <c r="A96" s="32">
        <f>A$107*C96+A$109</f>
        <v>8353.4144438448384</v>
      </c>
      <c r="B96" s="22">
        <v>2</v>
      </c>
      <c r="C96" s="28">
        <v>45</v>
      </c>
      <c r="D96" s="19" t="s">
        <v>60</v>
      </c>
      <c r="E96" s="29">
        <f t="shared" si="23"/>
        <v>785.39816339744823</v>
      </c>
      <c r="F96" s="22" t="s">
        <v>49</v>
      </c>
      <c r="G96" s="26">
        <v>759</v>
      </c>
      <c r="H96">
        <f t="shared" si="24"/>
        <v>2213</v>
      </c>
    </row>
    <row r="97" spans="1:8" x14ac:dyDescent="0.2">
      <c r="A97" s="32">
        <f t="shared" ref="A97:A103" si="25">A$107*C97+A$109</f>
        <v>9109.3609320613723</v>
      </c>
      <c r="B97" s="22">
        <v>3</v>
      </c>
      <c r="C97" s="28">
        <v>50</v>
      </c>
      <c r="D97" s="19" t="s">
        <v>61</v>
      </c>
      <c r="E97" s="29">
        <f t="shared" si="23"/>
        <v>872.66462599716476</v>
      </c>
      <c r="F97" s="22" t="s">
        <v>50</v>
      </c>
      <c r="G97" s="26">
        <v>730</v>
      </c>
      <c r="H97">
        <f t="shared" si="24"/>
        <v>2184</v>
      </c>
    </row>
    <row r="98" spans="1:8" x14ac:dyDescent="0.2">
      <c r="A98" s="32">
        <f t="shared" si="25"/>
        <v>10621.253908494436</v>
      </c>
      <c r="B98" s="22">
        <v>4</v>
      </c>
      <c r="C98" s="28">
        <v>60</v>
      </c>
      <c r="D98" s="19" t="s">
        <v>62</v>
      </c>
      <c r="E98" s="29">
        <f t="shared" si="23"/>
        <v>1047.1975511965977</v>
      </c>
      <c r="F98" s="22" t="s">
        <v>51</v>
      </c>
      <c r="G98" s="26">
        <v>670</v>
      </c>
      <c r="H98">
        <f t="shared" si="24"/>
        <v>2124</v>
      </c>
    </row>
    <row r="99" spans="1:8" x14ac:dyDescent="0.2">
      <c r="A99" s="32">
        <f t="shared" si="25"/>
        <v>12133.146884927501</v>
      </c>
      <c r="B99" s="22">
        <v>5</v>
      </c>
      <c r="C99" s="28">
        <v>70</v>
      </c>
      <c r="D99" s="19" t="s">
        <v>63</v>
      </c>
      <c r="E99" s="29">
        <f t="shared" si="23"/>
        <v>1221.7304763960306</v>
      </c>
      <c r="F99" s="22" t="s">
        <v>52</v>
      </c>
      <c r="G99" s="26">
        <v>607</v>
      </c>
      <c r="H99">
        <f t="shared" si="24"/>
        <v>2061</v>
      </c>
    </row>
    <row r="100" spans="1:8" x14ac:dyDescent="0.2">
      <c r="A100" s="32">
        <f t="shared" si="25"/>
        <v>13645.039861360565</v>
      </c>
      <c r="B100" s="22">
        <v>6</v>
      </c>
      <c r="C100" s="28">
        <v>80</v>
      </c>
      <c r="D100" s="19" t="s">
        <v>64</v>
      </c>
      <c r="E100" s="29">
        <f t="shared" si="23"/>
        <v>1396.2634015954636</v>
      </c>
      <c r="F100" s="22" t="s">
        <v>53</v>
      </c>
      <c r="G100" s="26">
        <v>545</v>
      </c>
      <c r="H100">
        <f t="shared" si="24"/>
        <v>1999</v>
      </c>
    </row>
    <row r="101" spans="1:8" x14ac:dyDescent="0.2">
      <c r="A101" s="32">
        <f t="shared" si="25"/>
        <v>15156.932837793629</v>
      </c>
      <c r="B101" s="22">
        <v>7</v>
      </c>
      <c r="C101" s="28">
        <v>90</v>
      </c>
      <c r="D101" s="19" t="s">
        <v>65</v>
      </c>
      <c r="E101" s="29">
        <f t="shared" si="23"/>
        <v>1570.7963267948965</v>
      </c>
      <c r="F101" s="22" t="s">
        <v>54</v>
      </c>
      <c r="G101" s="26">
        <v>488</v>
      </c>
      <c r="H101">
        <f t="shared" si="24"/>
        <v>1942</v>
      </c>
    </row>
    <row r="102" spans="1:8" x14ac:dyDescent="0.2">
      <c r="A102" s="32">
        <f t="shared" si="25"/>
        <v>15912.879326010161</v>
      </c>
      <c r="B102" s="22">
        <v>8</v>
      </c>
      <c r="C102" s="28">
        <v>95</v>
      </c>
      <c r="D102" s="19" t="s">
        <v>66</v>
      </c>
      <c r="E102" s="29">
        <f t="shared" si="23"/>
        <v>1658.0627893946132</v>
      </c>
      <c r="F102" s="22" t="s">
        <v>55</v>
      </c>
      <c r="G102" s="26">
        <v>461</v>
      </c>
      <c r="H102">
        <f t="shared" si="24"/>
        <v>1915</v>
      </c>
    </row>
    <row r="103" spans="1:8" x14ac:dyDescent="0.2">
      <c r="A103" s="32">
        <f t="shared" si="25"/>
        <v>16668.825814226693</v>
      </c>
      <c r="B103" s="22">
        <v>9</v>
      </c>
      <c r="C103" s="28">
        <v>100</v>
      </c>
      <c r="D103" s="19" t="s">
        <v>67</v>
      </c>
      <c r="E103" s="29">
        <f t="shared" si="23"/>
        <v>1745.3292519943295</v>
      </c>
      <c r="F103" s="22" t="s">
        <v>56</v>
      </c>
      <c r="G103" s="26">
        <v>436</v>
      </c>
      <c r="H103">
        <f t="shared" si="24"/>
        <v>1890</v>
      </c>
    </row>
    <row r="104" spans="1:8" x14ac:dyDescent="0.2">
      <c r="A104" s="32">
        <v>18000</v>
      </c>
      <c r="B104" s="22">
        <v>10</v>
      </c>
      <c r="C104" s="28">
        <v>108.80468529534333</v>
      </c>
      <c r="D104" s="19" t="s">
        <v>68</v>
      </c>
      <c r="E104" s="24">
        <f t="shared" si="23"/>
        <v>1899</v>
      </c>
      <c r="F104" s="22" t="s">
        <v>57</v>
      </c>
      <c r="G104" s="26">
        <v>396</v>
      </c>
      <c r="H104">
        <f t="shared" si="24"/>
        <v>1850</v>
      </c>
    </row>
    <row r="107" spans="1:8" x14ac:dyDescent="0.2">
      <c r="A107">
        <f>(A104-A94)/(C104-C94)</f>
        <v>151.18929764330645</v>
      </c>
      <c r="D107" s="19" t="s">
        <v>69</v>
      </c>
      <c r="E107" s="24">
        <v>456</v>
      </c>
      <c r="F107" s="27" t="s">
        <v>74</v>
      </c>
    </row>
    <row r="108" spans="1:8" x14ac:dyDescent="0.2">
      <c r="A108">
        <f>A107*C94</f>
        <v>3950.1039501039504</v>
      </c>
      <c r="D108" s="19" t="s">
        <v>70</v>
      </c>
      <c r="E108" s="24">
        <v>1899</v>
      </c>
      <c r="F108" s="27" t="s">
        <v>74</v>
      </c>
    </row>
    <row r="109" spans="1:8" x14ac:dyDescent="0.2">
      <c r="A109">
        <f>A94-A108</f>
        <v>1549.8960498960496</v>
      </c>
    </row>
    <row r="110" spans="1:8" x14ac:dyDescent="0.2">
      <c r="D110" s="30" t="s">
        <v>71</v>
      </c>
      <c r="E110" s="31">
        <v>5500</v>
      </c>
      <c r="F110" t="s">
        <v>73</v>
      </c>
    </row>
    <row r="111" spans="1:8" x14ac:dyDescent="0.2">
      <c r="D111" s="30" t="s">
        <v>72</v>
      </c>
      <c r="E111" s="31">
        <v>18000</v>
      </c>
      <c r="F111" t="s">
        <v>73</v>
      </c>
    </row>
    <row r="112" spans="1:8" x14ac:dyDescent="0.2">
      <c r="D112" s="30" t="s">
        <v>75</v>
      </c>
      <c r="E112" s="31">
        <v>5500</v>
      </c>
      <c r="F112" t="s">
        <v>73</v>
      </c>
    </row>
    <row r="113" spans="1:6" x14ac:dyDescent="0.2">
      <c r="D113" s="30" t="s">
        <v>76</v>
      </c>
      <c r="E113" s="31">
        <v>18000</v>
      </c>
      <c r="F113" t="s">
        <v>73</v>
      </c>
    </row>
    <row r="116" spans="1:6" x14ac:dyDescent="0.2">
      <c r="A116" s="13"/>
      <c r="B116" s="13" t="s">
        <v>78</v>
      </c>
    </row>
    <row r="117" spans="1:6" x14ac:dyDescent="0.2">
      <c r="A117" s="13">
        <v>6000</v>
      </c>
      <c r="B117" s="13">
        <v>803</v>
      </c>
    </row>
    <row r="118" spans="1:6" x14ac:dyDescent="0.2">
      <c r="A118" s="13">
        <v>9036</v>
      </c>
      <c r="B118" s="13">
        <v>717</v>
      </c>
    </row>
    <row r="119" spans="1:6" x14ac:dyDescent="0.2">
      <c r="A119" s="13">
        <v>15060</v>
      </c>
      <c r="B119" s="13">
        <v>526</v>
      </c>
    </row>
    <row r="120" spans="1:6" x14ac:dyDescent="0.2">
      <c r="A120" s="13">
        <v>17000</v>
      </c>
      <c r="B120" s="13">
        <v>469</v>
      </c>
    </row>
    <row r="122" spans="1:6" x14ac:dyDescent="0.2">
      <c r="A122" s="36">
        <v>42012</v>
      </c>
    </row>
    <row r="123" spans="1:6" ht="25.5" customHeight="1" x14ac:dyDescent="0.2">
      <c r="A123" s="5" t="s">
        <v>73</v>
      </c>
      <c r="B123" s="33" t="s">
        <v>81</v>
      </c>
      <c r="C123" s="33" t="s">
        <v>82</v>
      </c>
      <c r="D123" s="33" t="s">
        <v>83</v>
      </c>
      <c r="E123">
        <v>955</v>
      </c>
    </row>
    <row r="124" spans="1:6" x14ac:dyDescent="0.2">
      <c r="A124">
        <v>5500</v>
      </c>
      <c r="B124">
        <v>814.58</v>
      </c>
      <c r="C124">
        <v>2724.58</v>
      </c>
      <c r="D124">
        <v>1769.58</v>
      </c>
      <c r="E124" s="34">
        <f t="shared" ref="E124:E134" si="26">D124+E$123</f>
        <v>2724.58</v>
      </c>
      <c r="F124" s="34">
        <f t="shared" ref="F124:F134" si="27">D124-E$123</f>
        <v>814.57999999999993</v>
      </c>
    </row>
    <row r="125" spans="1:6" x14ac:dyDescent="0.2">
      <c r="A125" s="32">
        <v>6841.5214674117751</v>
      </c>
      <c r="B125">
        <v>780.30499999999995</v>
      </c>
      <c r="C125">
        <v>2690.3</v>
      </c>
      <c r="D125">
        <v>1735.3</v>
      </c>
      <c r="E125" s="34">
        <f t="shared" si="26"/>
        <v>2690.3</v>
      </c>
      <c r="F125" s="34">
        <f t="shared" si="27"/>
        <v>780.3</v>
      </c>
    </row>
    <row r="126" spans="1:6" x14ac:dyDescent="0.2">
      <c r="A126" s="32">
        <v>8353.4144438448384</v>
      </c>
      <c r="B126">
        <v>738.04499999999996</v>
      </c>
      <c r="C126">
        <v>2648.05</v>
      </c>
      <c r="D126">
        <v>1693.05</v>
      </c>
      <c r="E126" s="34">
        <f t="shared" si="26"/>
        <v>2648.05</v>
      </c>
      <c r="F126" s="34">
        <f t="shared" si="27"/>
        <v>738.05</v>
      </c>
    </row>
    <row r="127" spans="1:6" x14ac:dyDescent="0.2">
      <c r="A127" s="32">
        <v>9109.3609320613723</v>
      </c>
      <c r="B127">
        <v>714.90800000000002</v>
      </c>
      <c r="C127">
        <v>2624.91</v>
      </c>
      <c r="D127">
        <v>1669.91</v>
      </c>
      <c r="E127" s="34">
        <f t="shared" si="26"/>
        <v>2624.91</v>
      </c>
      <c r="F127" s="34">
        <f t="shared" si="27"/>
        <v>714.91000000000008</v>
      </c>
    </row>
    <row r="128" spans="1:6" x14ac:dyDescent="0.2">
      <c r="A128" s="32">
        <v>10621.253908494436</v>
      </c>
      <c r="B128">
        <v>667.79300000000001</v>
      </c>
      <c r="C128">
        <v>2577.79</v>
      </c>
      <c r="D128">
        <v>1622.79</v>
      </c>
      <c r="E128" s="34">
        <f t="shared" si="26"/>
        <v>2577.79</v>
      </c>
      <c r="F128" s="34">
        <f t="shared" si="27"/>
        <v>667.79</v>
      </c>
    </row>
    <row r="129" spans="1:6" x14ac:dyDescent="0.2">
      <c r="A129" s="32">
        <v>12133.146884927501</v>
      </c>
      <c r="B129">
        <v>618.702</v>
      </c>
      <c r="C129">
        <v>2528.6999999999998</v>
      </c>
      <c r="D129">
        <v>1573.7</v>
      </c>
      <c r="E129" s="34">
        <f t="shared" si="26"/>
        <v>2528.6999999999998</v>
      </c>
      <c r="F129" s="34">
        <f t="shared" si="27"/>
        <v>618.70000000000005</v>
      </c>
    </row>
    <row r="130" spans="1:6" x14ac:dyDescent="0.2">
      <c r="A130" s="32">
        <v>13645.039861360565</v>
      </c>
      <c r="B130">
        <v>569.99300000000005</v>
      </c>
      <c r="C130">
        <v>2479.9899999999998</v>
      </c>
      <c r="D130">
        <v>1524.99</v>
      </c>
      <c r="E130" s="34">
        <f t="shared" si="26"/>
        <v>2479.9899999999998</v>
      </c>
      <c r="F130" s="34">
        <f t="shared" si="27"/>
        <v>569.99</v>
      </c>
    </row>
    <row r="131" spans="1:6" x14ac:dyDescent="0.2">
      <c r="A131" s="32">
        <v>15156.932837793629</v>
      </c>
      <c r="B131">
        <v>523.43100000000004</v>
      </c>
      <c r="C131">
        <v>2433.4299999999998</v>
      </c>
      <c r="D131">
        <v>1478.43</v>
      </c>
      <c r="E131" s="34">
        <f t="shared" si="26"/>
        <v>2433.4300000000003</v>
      </c>
      <c r="F131" s="34">
        <f t="shared" si="27"/>
        <v>523.43000000000006</v>
      </c>
    </row>
    <row r="132" spans="1:6" x14ac:dyDescent="0.2">
      <c r="A132" s="32">
        <v>15912.879326010161</v>
      </c>
      <c r="B132">
        <v>501.22300000000001</v>
      </c>
      <c r="C132">
        <v>2411.2199999999998</v>
      </c>
      <c r="D132">
        <v>1456.22</v>
      </c>
      <c r="E132" s="34">
        <f t="shared" si="26"/>
        <v>2411.2200000000003</v>
      </c>
      <c r="F132" s="34">
        <f t="shared" si="27"/>
        <v>501.22</v>
      </c>
    </row>
    <row r="133" spans="1:6" x14ac:dyDescent="0.2">
      <c r="A133" s="32">
        <v>16668.825814226693</v>
      </c>
      <c r="B133">
        <v>479.43900000000002</v>
      </c>
      <c r="C133">
        <v>2389.44</v>
      </c>
      <c r="D133">
        <v>1434.44</v>
      </c>
      <c r="E133" s="34">
        <f t="shared" si="26"/>
        <v>2389.44</v>
      </c>
      <c r="F133" s="34">
        <f t="shared" si="27"/>
        <v>479.44000000000005</v>
      </c>
    </row>
    <row r="134" spans="1:6" x14ac:dyDescent="0.2">
      <c r="A134">
        <v>18000</v>
      </c>
      <c r="B134">
        <v>443.57900000000001</v>
      </c>
      <c r="C134">
        <v>2353.58</v>
      </c>
      <c r="D134">
        <v>1398.58</v>
      </c>
      <c r="E134" s="34">
        <f t="shared" si="26"/>
        <v>2353.58</v>
      </c>
      <c r="F134" s="34">
        <f t="shared" si="27"/>
        <v>443.57999999999993</v>
      </c>
    </row>
    <row r="136" spans="1:6" x14ac:dyDescent="0.2">
      <c r="A136" s="36">
        <v>42013</v>
      </c>
    </row>
    <row r="137" spans="1:6" ht="38.25" x14ac:dyDescent="0.2">
      <c r="A137" s="5" t="s">
        <v>73</v>
      </c>
      <c r="B137" s="33" t="s">
        <v>81</v>
      </c>
      <c r="C137" s="33" t="s">
        <v>82</v>
      </c>
      <c r="D137" s="33" t="s">
        <v>83</v>
      </c>
      <c r="E137" s="37" t="s">
        <v>84</v>
      </c>
    </row>
    <row r="138" spans="1:6" x14ac:dyDescent="0.2">
      <c r="A138">
        <v>5500</v>
      </c>
      <c r="B138">
        <v>814.58</v>
      </c>
      <c r="C138">
        <v>3722.58</v>
      </c>
      <c r="D138">
        <v>2268.58</v>
      </c>
      <c r="E138" s="34">
        <f t="shared" ref="E138:E148" si="28">B138-G$104+H$92</f>
        <v>2268.58</v>
      </c>
      <c r="F138" s="34">
        <f>C138-D138</f>
        <v>1454</v>
      </c>
    </row>
    <row r="139" spans="1:6" x14ac:dyDescent="0.2">
      <c r="A139" s="32">
        <v>6841.5214674117751</v>
      </c>
      <c r="B139">
        <v>780.30499999999995</v>
      </c>
      <c r="C139">
        <v>3688.3</v>
      </c>
      <c r="D139">
        <v>2234.3000000000002</v>
      </c>
      <c r="E139" s="34">
        <f t="shared" si="28"/>
        <v>2234.3049999999998</v>
      </c>
      <c r="F139" s="34">
        <f t="shared" ref="F139:F148" si="29">C139-D139</f>
        <v>1454</v>
      </c>
    </row>
    <row r="140" spans="1:6" x14ac:dyDescent="0.2">
      <c r="A140" s="32">
        <v>8353.4144438448384</v>
      </c>
      <c r="B140">
        <v>738.04499999999996</v>
      </c>
      <c r="C140">
        <v>3646.05</v>
      </c>
      <c r="D140">
        <v>2192.0500000000002</v>
      </c>
      <c r="E140" s="34">
        <f t="shared" si="28"/>
        <v>2192.0450000000001</v>
      </c>
      <c r="F140" s="34">
        <f t="shared" si="29"/>
        <v>1454</v>
      </c>
    </row>
    <row r="141" spans="1:6" x14ac:dyDescent="0.2">
      <c r="A141" s="32">
        <v>9109.3609320613723</v>
      </c>
      <c r="B141">
        <v>714.90800000000002</v>
      </c>
      <c r="C141">
        <v>3622.91</v>
      </c>
      <c r="D141">
        <v>2168.91</v>
      </c>
      <c r="E141" s="34">
        <f t="shared" si="28"/>
        <v>2168.9079999999999</v>
      </c>
      <c r="F141" s="34">
        <f t="shared" si="29"/>
        <v>1454</v>
      </c>
    </row>
    <row r="142" spans="1:6" x14ac:dyDescent="0.2">
      <c r="A142" s="32">
        <v>10621.253908494436</v>
      </c>
      <c r="B142">
        <v>667.79300000000001</v>
      </c>
      <c r="C142">
        <v>3575.79</v>
      </c>
      <c r="D142">
        <v>2121.79</v>
      </c>
      <c r="E142" s="34">
        <f t="shared" si="28"/>
        <v>2121.7930000000001</v>
      </c>
      <c r="F142" s="34">
        <f t="shared" si="29"/>
        <v>1454</v>
      </c>
    </row>
    <row r="143" spans="1:6" x14ac:dyDescent="0.2">
      <c r="A143" s="32">
        <v>12133.146884927501</v>
      </c>
      <c r="B143">
        <v>618.702</v>
      </c>
      <c r="C143">
        <v>3526.7</v>
      </c>
      <c r="D143">
        <v>2072.6999999999998</v>
      </c>
      <c r="E143" s="34">
        <f>B143-G$104+H$92</f>
        <v>2072.7020000000002</v>
      </c>
      <c r="F143" s="34">
        <f t="shared" si="29"/>
        <v>1454</v>
      </c>
    </row>
    <row r="144" spans="1:6" x14ac:dyDescent="0.2">
      <c r="A144" s="32">
        <v>13645.039861360565</v>
      </c>
      <c r="B144">
        <v>569.99300000000005</v>
      </c>
      <c r="C144">
        <v>3477.99</v>
      </c>
      <c r="D144">
        <v>2023.99</v>
      </c>
      <c r="E144" s="34">
        <f t="shared" si="28"/>
        <v>2023.9929999999999</v>
      </c>
      <c r="F144" s="34">
        <f t="shared" si="29"/>
        <v>1453.9999999999998</v>
      </c>
    </row>
    <row r="145" spans="1:6" x14ac:dyDescent="0.2">
      <c r="A145" s="32">
        <v>15156.932837793629</v>
      </c>
      <c r="B145">
        <v>523.43100000000004</v>
      </c>
      <c r="C145">
        <v>3431.43</v>
      </c>
      <c r="D145">
        <v>1977.43</v>
      </c>
      <c r="E145" s="34">
        <f t="shared" si="28"/>
        <v>1977.431</v>
      </c>
      <c r="F145" s="34">
        <f t="shared" si="29"/>
        <v>1453.9999999999998</v>
      </c>
    </row>
    <row r="146" spans="1:6" x14ac:dyDescent="0.2">
      <c r="A146" s="32">
        <v>15912.879326010161</v>
      </c>
      <c r="B146">
        <v>501.22300000000001</v>
      </c>
      <c r="C146">
        <v>3409.22</v>
      </c>
      <c r="D146">
        <v>1955.22</v>
      </c>
      <c r="E146" s="34">
        <f t="shared" si="28"/>
        <v>1955.223</v>
      </c>
      <c r="F146" s="34">
        <f t="shared" si="29"/>
        <v>1453.9999999999998</v>
      </c>
    </row>
    <row r="147" spans="1:6" x14ac:dyDescent="0.2">
      <c r="A147" s="32">
        <v>16668.825814226693</v>
      </c>
      <c r="B147">
        <v>479.43900000000002</v>
      </c>
      <c r="C147">
        <v>3387.44</v>
      </c>
      <c r="D147">
        <v>1933.44</v>
      </c>
      <c r="E147" s="34">
        <f t="shared" si="28"/>
        <v>1933.4390000000001</v>
      </c>
      <c r="F147" s="34">
        <f t="shared" si="29"/>
        <v>1454</v>
      </c>
    </row>
    <row r="148" spans="1:6" x14ac:dyDescent="0.2">
      <c r="A148">
        <v>18000</v>
      </c>
      <c r="B148">
        <v>443.57900000000001</v>
      </c>
      <c r="C148">
        <v>3351.58</v>
      </c>
      <c r="D148">
        <v>1897.58</v>
      </c>
      <c r="E148" s="34">
        <f t="shared" si="28"/>
        <v>1897.579</v>
      </c>
      <c r="F148" s="34">
        <f t="shared" si="29"/>
        <v>1454</v>
      </c>
    </row>
  </sheetData>
  <mergeCells count="1">
    <mergeCell ref="A1:C1"/>
  </mergeCells>
  <conditionalFormatting sqref="B3">
    <cfRule type="cellIs" dxfId="27" priority="12" stopIfTrue="1" operator="notEqual">
      <formula>MODE(RA1047691:RA1047694)</formula>
    </cfRule>
  </conditionalFormatting>
  <conditionalFormatting sqref="B4">
    <cfRule type="cellIs" dxfId="26" priority="13" stopIfTrue="1" operator="notEqual">
      <formula>MODE(RA1047691:RA1047694)</formula>
    </cfRule>
  </conditionalFormatting>
  <conditionalFormatting sqref="B5">
    <cfRule type="cellIs" dxfId="25" priority="14" stopIfTrue="1" operator="notEqual">
      <formula>MODE(RA1047691:RA1047694)</formula>
    </cfRule>
  </conditionalFormatting>
  <conditionalFormatting sqref="B6">
    <cfRule type="cellIs" dxfId="24" priority="15" stopIfTrue="1" operator="notEqual">
      <formula>MODE(RA1047691:RA1047694)</formula>
    </cfRule>
  </conditionalFormatting>
  <conditionalFormatting sqref="B7">
    <cfRule type="cellIs" dxfId="23" priority="16" stopIfTrue="1" operator="notEqual">
      <formula>MODE(RA1047691:RA1047694)</formula>
    </cfRule>
  </conditionalFormatting>
  <conditionalFormatting sqref="B8">
    <cfRule type="cellIs" dxfId="22" priority="17" stopIfTrue="1" operator="notEqual">
      <formula>MODE(RA1047691:RA1047694)</formula>
    </cfRule>
  </conditionalFormatting>
  <conditionalFormatting sqref="B9">
    <cfRule type="cellIs" dxfId="21" priority="18" stopIfTrue="1" operator="notEqual">
      <formula>MODE(RA1047691:RA1047694)</formula>
    </cfRule>
  </conditionalFormatting>
  <conditionalFormatting sqref="B10">
    <cfRule type="cellIs" dxfId="20" priority="19" stopIfTrue="1" operator="notEqual">
      <formula>MODE(RA1047691:RA1047694)</formula>
    </cfRule>
  </conditionalFormatting>
  <conditionalFormatting sqref="B11">
    <cfRule type="cellIs" dxfId="19" priority="20" stopIfTrue="1" operator="notEqual">
      <formula>MODE(RA1047691:RA1047694)</formula>
    </cfRule>
  </conditionalFormatting>
  <conditionalFormatting sqref="B12">
    <cfRule type="cellIs" dxfId="18" priority="21" stopIfTrue="1" operator="notEqual">
      <formula>MODE(RA1047691:RA1047694)</formula>
    </cfRule>
  </conditionalFormatting>
  <conditionalFormatting sqref="B13">
    <cfRule type="cellIs" dxfId="17" priority="22" stopIfTrue="1" operator="notEqual">
      <formula>MODE(RA1047691:RA1047694)</formula>
    </cfRule>
  </conditionalFormatting>
  <conditionalFormatting sqref="A3">
    <cfRule type="cellIs" dxfId="16" priority="23" stopIfTrue="1" operator="notEqual">
      <formula>MODE(RA1047691:RA1047694)</formula>
    </cfRule>
  </conditionalFormatting>
  <conditionalFormatting sqref="A4">
    <cfRule type="cellIs" dxfId="15" priority="24" stopIfTrue="1" operator="notEqual">
      <formula>MODE(RA1047691:RA1047694)</formula>
    </cfRule>
  </conditionalFormatting>
  <conditionalFormatting sqref="A5">
    <cfRule type="cellIs" dxfId="14" priority="25" stopIfTrue="1" operator="notEqual">
      <formula>MODE(RA1047691:RA1047694)</formula>
    </cfRule>
  </conditionalFormatting>
  <conditionalFormatting sqref="A6">
    <cfRule type="cellIs" dxfId="13" priority="26" stopIfTrue="1" operator="notEqual">
      <formula>MODE(RA1047691:RA1047694)</formula>
    </cfRule>
  </conditionalFormatting>
  <conditionalFormatting sqref="A7">
    <cfRule type="cellIs" dxfId="12" priority="27" stopIfTrue="1" operator="notEqual">
      <formula>MODE(RA1047691:RA1047694)</formula>
    </cfRule>
  </conditionalFormatting>
  <conditionalFormatting sqref="A8">
    <cfRule type="cellIs" dxfId="11" priority="28" stopIfTrue="1" operator="notEqual">
      <formula>MODE(RA1047691:RA1047694)</formula>
    </cfRule>
  </conditionalFormatting>
  <conditionalFormatting sqref="A9">
    <cfRule type="cellIs" dxfId="10" priority="29" stopIfTrue="1" operator="notEqual">
      <formula>MODE(RA1047691:RA1047694)</formula>
    </cfRule>
  </conditionalFormatting>
  <conditionalFormatting sqref="A10">
    <cfRule type="cellIs" dxfId="9" priority="30" stopIfTrue="1" operator="notEqual">
      <formula>MODE(RA1047691:RA1047694)</formula>
    </cfRule>
  </conditionalFormatting>
  <conditionalFormatting sqref="A11">
    <cfRule type="cellIs" dxfId="8" priority="31" stopIfTrue="1" operator="notEqual">
      <formula>MODE(RA1047691:RA1047694)</formula>
    </cfRule>
  </conditionalFormatting>
  <conditionalFormatting sqref="A12">
    <cfRule type="cellIs" dxfId="7" priority="32" stopIfTrue="1" operator="notEqual">
      <formula>MODE(RA1047691:RA1047694)</formula>
    </cfRule>
  </conditionalFormatting>
  <conditionalFormatting sqref="A13">
    <cfRule type="cellIs" dxfId="6" priority="11" stopIfTrue="1" operator="notEqual">
      <formula>MODE(RA1047691:RA1047694)</formula>
    </cfRule>
  </conditionalFormatting>
  <conditionalFormatting sqref="G3">
    <cfRule type="cellIs" dxfId="5" priority="5" stopIfTrue="1" operator="notEqual">
      <formula>MODE(RD1047804:RD1047808)</formula>
    </cfRule>
  </conditionalFormatting>
  <conditionalFormatting sqref="G4">
    <cfRule type="cellIs" dxfId="4" priority="6" stopIfTrue="1" operator="notEqual">
      <formula>MODE(RD1047804:RD1047808)</formula>
    </cfRule>
  </conditionalFormatting>
  <conditionalFormatting sqref="G6">
    <cfRule type="cellIs" dxfId="3" priority="3" stopIfTrue="1" operator="notEqual">
      <formula>MODE(RD1047809:RD1047813)</formula>
    </cfRule>
  </conditionalFormatting>
  <conditionalFormatting sqref="G7">
    <cfRule type="cellIs" dxfId="2" priority="4" stopIfTrue="1" operator="notEqual">
      <formula>MODE(RD1047809:RD1047813)</formula>
    </cfRule>
  </conditionalFormatting>
  <conditionalFormatting sqref="G12">
    <cfRule type="cellIs" dxfId="1" priority="1" stopIfTrue="1" operator="notEqual">
      <formula>MODE(RD1047811:RD1047815)</formula>
    </cfRule>
  </conditionalFormatting>
  <conditionalFormatting sqref="G13">
    <cfRule type="cellIs" dxfId="0" priority="2" stopIfTrue="1" operator="notEqual">
      <formula>MODE(RD1047811:RD1047815)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AGCO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Bongaerts, Eric</dc:creator>
  <cp:lastModifiedBy>Bongaerts, Eric</cp:lastModifiedBy>
  <dcterms:created xsi:type="dcterms:W3CDTF">2014-12-15T08:11:03Z</dcterms:created>
  <dcterms:modified xsi:type="dcterms:W3CDTF">2015-01-09T14:50:42Z</dcterms:modified>
</cp:coreProperties>
</file>