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radjadhwibowo/Documents/Papa's Files/BMC Medicine/"/>
    </mc:Choice>
  </mc:AlternateContent>
  <xr:revisionPtr revIDLastSave="0" documentId="13_ncr:1_{F0E2AEE7-FF28-B948-AF77-ECDC4FDF7C08}" xr6:coauthVersionLast="45" xr6:coauthVersionMax="45" xr10:uidLastSave="{00000000-0000-0000-0000-000000000000}"/>
  <bookViews>
    <workbookView xWindow="0" yWindow="460" windowWidth="25600" windowHeight="14820" tabRatio="500" xr2:uid="{00000000-000D-0000-FFFF-FFFF00000000}"/>
  </bookViews>
  <sheets>
    <sheet name="UKCov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1" i="1" l="1"/>
  <c r="E131" i="1"/>
  <c r="D130" i="1"/>
  <c r="E130" i="1"/>
  <c r="D129" i="1"/>
  <c r="E129" i="1"/>
  <c r="D128" i="1"/>
  <c r="E128" i="1"/>
  <c r="D127" i="1"/>
  <c r="E127" i="1"/>
  <c r="D126" i="1"/>
  <c r="E126" i="1"/>
  <c r="D125" i="1"/>
  <c r="E125" i="1"/>
  <c r="D124" i="1"/>
  <c r="E124" i="1"/>
  <c r="D123" i="1"/>
  <c r="E123" i="1"/>
  <c r="D107" i="1"/>
  <c r="E107" i="1"/>
  <c r="F11" i="1"/>
  <c r="F12" i="1" s="1"/>
  <c r="F13" i="1" s="1"/>
  <c r="C136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7" i="1"/>
  <c r="D8" i="1"/>
  <c r="D9" i="1"/>
  <c r="G11" i="1" s="1"/>
  <c r="D10" i="1"/>
  <c r="D11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7" i="1"/>
  <c r="E8" i="1"/>
  <c r="E9" i="1"/>
  <c r="E10" i="1"/>
  <c r="E11" i="1"/>
  <c r="H11" i="1"/>
  <c r="H12" i="1" s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I11" i="1" l="1"/>
  <c r="G12" i="1"/>
  <c r="H13" i="1"/>
  <c r="F14" i="1"/>
  <c r="J13" i="1"/>
  <c r="G13" i="1"/>
  <c r="E137" i="1"/>
  <c r="E138" i="1"/>
  <c r="E139" i="1" s="1"/>
  <c r="G14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D137" i="1"/>
  <c r="D138" i="1"/>
  <c r="D139" i="1" s="1"/>
  <c r="G15" i="1"/>
  <c r="J12" i="1"/>
  <c r="H137" i="1" l="1"/>
  <c r="F15" i="1"/>
  <c r="J14" i="1"/>
  <c r="G16" i="1"/>
  <c r="K13" i="1"/>
  <c r="I13" i="1"/>
  <c r="I12" i="1"/>
  <c r="K12" i="1"/>
  <c r="I15" i="1"/>
  <c r="K15" i="1"/>
  <c r="H138" i="1"/>
  <c r="I14" i="1"/>
  <c r="K14" i="1"/>
  <c r="H139" i="1" l="1"/>
  <c r="F16" i="1"/>
  <c r="J15" i="1"/>
  <c r="I16" i="1"/>
  <c r="K16" i="1"/>
  <c r="G17" i="1"/>
  <c r="F17" i="1" l="1"/>
  <c r="J16" i="1"/>
  <c r="K17" i="1"/>
  <c r="I17" i="1"/>
  <c r="G18" i="1"/>
  <c r="F18" i="1" l="1"/>
  <c r="J17" i="1"/>
  <c r="I18" i="1"/>
  <c r="K18" i="1"/>
  <c r="G19" i="1"/>
  <c r="I19" i="1" l="1"/>
  <c r="K19" i="1"/>
  <c r="G20" i="1"/>
  <c r="F19" i="1"/>
  <c r="J18" i="1"/>
  <c r="F20" i="1" l="1"/>
  <c r="J19" i="1"/>
  <c r="I20" i="1"/>
  <c r="K20" i="1"/>
  <c r="G21" i="1"/>
  <c r="K21" i="1" l="1"/>
  <c r="I21" i="1"/>
  <c r="G22" i="1"/>
  <c r="F21" i="1"/>
  <c r="J20" i="1"/>
  <c r="F22" i="1" l="1"/>
  <c r="J21" i="1"/>
  <c r="I22" i="1"/>
  <c r="K22" i="1"/>
  <c r="G23" i="1"/>
  <c r="I23" i="1" l="1"/>
  <c r="K23" i="1"/>
  <c r="G24" i="1"/>
  <c r="F23" i="1"/>
  <c r="J22" i="1"/>
  <c r="F24" i="1" l="1"/>
  <c r="J23" i="1"/>
  <c r="I24" i="1"/>
  <c r="K24" i="1"/>
  <c r="G25" i="1"/>
  <c r="I25" i="1" l="1"/>
  <c r="K25" i="1"/>
  <c r="G26" i="1"/>
  <c r="F25" i="1"/>
  <c r="J24" i="1"/>
  <c r="F26" i="1" l="1"/>
  <c r="J25" i="1"/>
  <c r="I26" i="1"/>
  <c r="K26" i="1"/>
  <c r="G27" i="1"/>
  <c r="I27" i="1" l="1"/>
  <c r="K27" i="1"/>
  <c r="G28" i="1"/>
  <c r="F27" i="1"/>
  <c r="J26" i="1"/>
  <c r="F28" i="1" l="1"/>
  <c r="J27" i="1"/>
  <c r="I28" i="1"/>
  <c r="K28" i="1"/>
  <c r="G29" i="1"/>
  <c r="K29" i="1" l="1"/>
  <c r="I29" i="1"/>
  <c r="G30" i="1"/>
  <c r="F29" i="1"/>
  <c r="J28" i="1"/>
  <c r="I30" i="1" l="1"/>
  <c r="K30" i="1"/>
  <c r="G31" i="1"/>
  <c r="F30" i="1"/>
  <c r="J29" i="1"/>
  <c r="F31" i="1" l="1"/>
  <c r="J30" i="1"/>
  <c r="I31" i="1"/>
  <c r="K31" i="1"/>
  <c r="G32" i="1"/>
  <c r="F32" i="1" l="1"/>
  <c r="J31" i="1"/>
  <c r="I32" i="1"/>
  <c r="K32" i="1"/>
  <c r="G33" i="1"/>
  <c r="K33" i="1" l="1"/>
  <c r="I33" i="1"/>
  <c r="G34" i="1"/>
  <c r="F33" i="1"/>
  <c r="J32" i="1"/>
  <c r="I34" i="1" l="1"/>
  <c r="K34" i="1"/>
  <c r="G35" i="1"/>
  <c r="F34" i="1"/>
  <c r="J33" i="1"/>
  <c r="F35" i="1" l="1"/>
  <c r="J34" i="1"/>
  <c r="I35" i="1"/>
  <c r="K35" i="1"/>
  <c r="G36" i="1"/>
  <c r="I36" i="1" l="1"/>
  <c r="K36" i="1"/>
  <c r="G37" i="1"/>
  <c r="F36" i="1"/>
  <c r="J35" i="1"/>
  <c r="F37" i="1" l="1"/>
  <c r="J36" i="1"/>
  <c r="K37" i="1"/>
  <c r="I37" i="1"/>
  <c r="G38" i="1"/>
  <c r="F38" i="1" l="1"/>
  <c r="J37" i="1"/>
  <c r="I38" i="1"/>
  <c r="K38" i="1"/>
  <c r="G39" i="1"/>
  <c r="I39" i="1" l="1"/>
  <c r="K39" i="1"/>
  <c r="G40" i="1"/>
  <c r="F39" i="1"/>
  <c r="J38" i="1"/>
  <c r="I40" i="1" l="1"/>
  <c r="K40" i="1"/>
  <c r="G41" i="1"/>
  <c r="F40" i="1"/>
  <c r="J39" i="1"/>
  <c r="F41" i="1" l="1"/>
  <c r="J40" i="1"/>
  <c r="K41" i="1"/>
  <c r="I41" i="1"/>
  <c r="G42" i="1"/>
  <c r="I42" i="1" l="1"/>
  <c r="K42" i="1"/>
  <c r="G43" i="1"/>
  <c r="F42" i="1"/>
  <c r="J41" i="1"/>
  <c r="F43" i="1" l="1"/>
  <c r="J42" i="1"/>
  <c r="I43" i="1"/>
  <c r="K43" i="1"/>
  <c r="G44" i="1"/>
  <c r="I44" i="1" l="1"/>
  <c r="K44" i="1"/>
  <c r="G45" i="1"/>
  <c r="F44" i="1"/>
  <c r="J43" i="1"/>
  <c r="F45" i="1" l="1"/>
  <c r="J44" i="1"/>
  <c r="I45" i="1"/>
  <c r="K45" i="1"/>
  <c r="G46" i="1"/>
  <c r="I46" i="1" l="1"/>
  <c r="K46" i="1"/>
  <c r="G47" i="1"/>
  <c r="F46" i="1"/>
  <c r="J45" i="1"/>
  <c r="F47" i="1" l="1"/>
  <c r="J46" i="1"/>
  <c r="I47" i="1"/>
  <c r="K47" i="1"/>
  <c r="G48" i="1"/>
  <c r="K48" i="1" l="1"/>
  <c r="I48" i="1"/>
  <c r="G49" i="1"/>
  <c r="F48" i="1"/>
  <c r="J47" i="1"/>
  <c r="F49" i="1" l="1"/>
  <c r="J48" i="1"/>
  <c r="I49" i="1"/>
  <c r="K49" i="1"/>
  <c r="G50" i="1"/>
  <c r="I50" i="1" l="1"/>
  <c r="K50" i="1"/>
  <c r="G51" i="1"/>
  <c r="F50" i="1"/>
  <c r="J49" i="1"/>
  <c r="F51" i="1" l="1"/>
  <c r="J50" i="1"/>
  <c r="I51" i="1"/>
  <c r="K51" i="1"/>
  <c r="G52" i="1"/>
  <c r="K52" i="1" l="1"/>
  <c r="I52" i="1"/>
  <c r="G53" i="1"/>
  <c r="J51" i="1"/>
  <c r="F52" i="1"/>
  <c r="I53" i="1" l="1"/>
  <c r="K53" i="1"/>
  <c r="G54" i="1"/>
  <c r="F53" i="1"/>
  <c r="J52" i="1"/>
  <c r="J53" i="1" l="1"/>
  <c r="F54" i="1"/>
  <c r="K54" i="1"/>
  <c r="I54" i="1"/>
  <c r="G55" i="1"/>
  <c r="F55" i="1" l="1"/>
  <c r="J54" i="1"/>
  <c r="I55" i="1"/>
  <c r="K55" i="1"/>
  <c r="G56" i="1"/>
  <c r="K56" i="1" l="1"/>
  <c r="I56" i="1"/>
  <c r="G57" i="1"/>
  <c r="J55" i="1"/>
  <c r="F56" i="1"/>
  <c r="I57" i="1" l="1"/>
  <c r="K57" i="1"/>
  <c r="G58" i="1"/>
  <c r="F57" i="1"/>
  <c r="J56" i="1"/>
  <c r="K58" i="1" l="1"/>
  <c r="I58" i="1"/>
  <c r="G59" i="1"/>
  <c r="J57" i="1"/>
  <c r="F58" i="1"/>
  <c r="F59" i="1" l="1"/>
  <c r="J58" i="1"/>
  <c r="I59" i="1"/>
  <c r="K59" i="1"/>
  <c r="G60" i="1"/>
  <c r="K60" i="1" l="1"/>
  <c r="I60" i="1"/>
  <c r="G61" i="1"/>
  <c r="J59" i="1"/>
  <c r="F60" i="1"/>
  <c r="I61" i="1" l="1"/>
  <c r="K61" i="1"/>
  <c r="G62" i="1"/>
  <c r="F61" i="1"/>
  <c r="J60" i="1"/>
  <c r="J61" i="1" l="1"/>
  <c r="F62" i="1"/>
  <c r="K62" i="1"/>
  <c r="I62" i="1"/>
  <c r="G63" i="1"/>
  <c r="I63" i="1" l="1"/>
  <c r="K63" i="1"/>
  <c r="G64" i="1"/>
  <c r="F63" i="1"/>
  <c r="J62" i="1"/>
  <c r="J63" i="1" l="1"/>
  <c r="F64" i="1"/>
  <c r="K64" i="1"/>
  <c r="I64" i="1"/>
  <c r="G65" i="1"/>
  <c r="I65" i="1" l="1"/>
  <c r="K65" i="1"/>
  <c r="G66" i="1"/>
  <c r="F65" i="1"/>
  <c r="J64" i="1"/>
  <c r="J65" i="1" l="1"/>
  <c r="F66" i="1"/>
  <c r="K66" i="1"/>
  <c r="I66" i="1"/>
  <c r="G67" i="1"/>
  <c r="I67" i="1" l="1"/>
  <c r="K67" i="1"/>
  <c r="G68" i="1"/>
  <c r="F67" i="1"/>
  <c r="J66" i="1"/>
  <c r="J67" i="1" l="1"/>
  <c r="F68" i="1"/>
  <c r="K68" i="1"/>
  <c r="I68" i="1"/>
  <c r="G69" i="1"/>
  <c r="I69" i="1" l="1"/>
  <c r="K69" i="1"/>
  <c r="G70" i="1"/>
  <c r="F69" i="1"/>
  <c r="J68" i="1"/>
  <c r="J69" i="1" l="1"/>
  <c r="F70" i="1"/>
  <c r="K70" i="1"/>
  <c r="I70" i="1"/>
  <c r="G71" i="1"/>
  <c r="I71" i="1" l="1"/>
  <c r="K71" i="1"/>
  <c r="G72" i="1"/>
  <c r="F71" i="1"/>
  <c r="J70" i="1"/>
  <c r="J71" i="1" l="1"/>
  <c r="F72" i="1"/>
  <c r="K72" i="1"/>
  <c r="I72" i="1"/>
  <c r="G73" i="1"/>
  <c r="I73" i="1" l="1"/>
  <c r="K73" i="1"/>
  <c r="G74" i="1"/>
  <c r="F73" i="1"/>
  <c r="J72" i="1"/>
  <c r="J73" i="1" l="1"/>
  <c r="F74" i="1"/>
  <c r="K74" i="1"/>
  <c r="I74" i="1"/>
  <c r="G75" i="1"/>
  <c r="I75" i="1" l="1"/>
  <c r="K75" i="1"/>
  <c r="G76" i="1"/>
  <c r="F75" i="1"/>
  <c r="J74" i="1"/>
  <c r="K76" i="1" l="1"/>
  <c r="I76" i="1"/>
  <c r="G77" i="1"/>
  <c r="J75" i="1"/>
  <c r="F76" i="1"/>
  <c r="F77" i="1" l="1"/>
  <c r="J76" i="1"/>
  <c r="I77" i="1"/>
  <c r="K77" i="1"/>
  <c r="G78" i="1"/>
  <c r="K78" i="1" l="1"/>
  <c r="I78" i="1"/>
  <c r="G79" i="1"/>
  <c r="J77" i="1"/>
  <c r="F78" i="1"/>
  <c r="I79" i="1" l="1"/>
  <c r="K79" i="1"/>
  <c r="G80" i="1"/>
  <c r="F79" i="1"/>
  <c r="J78" i="1"/>
  <c r="J79" i="1" l="1"/>
  <c r="F80" i="1"/>
  <c r="K80" i="1"/>
  <c r="I80" i="1"/>
  <c r="G81" i="1"/>
  <c r="F81" i="1" l="1"/>
  <c r="J80" i="1"/>
  <c r="I81" i="1"/>
  <c r="K81" i="1"/>
  <c r="G82" i="1"/>
  <c r="K82" i="1" l="1"/>
  <c r="I82" i="1"/>
  <c r="G83" i="1"/>
  <c r="J81" i="1"/>
  <c r="F82" i="1"/>
  <c r="I83" i="1" l="1"/>
  <c r="K83" i="1"/>
  <c r="G84" i="1"/>
  <c r="F83" i="1"/>
  <c r="J82" i="1"/>
  <c r="K84" i="1" l="1"/>
  <c r="I84" i="1"/>
  <c r="G85" i="1"/>
  <c r="J83" i="1"/>
  <c r="F84" i="1"/>
  <c r="I85" i="1" l="1"/>
  <c r="K85" i="1"/>
  <c r="G86" i="1"/>
  <c r="F85" i="1"/>
  <c r="J84" i="1"/>
  <c r="J85" i="1" l="1"/>
  <c r="F86" i="1"/>
  <c r="K86" i="1"/>
  <c r="I86" i="1"/>
  <c r="G87" i="1"/>
  <c r="F87" i="1" l="1"/>
  <c r="J86" i="1"/>
  <c r="I87" i="1"/>
  <c r="K87" i="1"/>
  <c r="G88" i="1"/>
  <c r="K88" i="1" l="1"/>
  <c r="I88" i="1"/>
  <c r="G89" i="1"/>
  <c r="J87" i="1"/>
  <c r="F88" i="1"/>
  <c r="I89" i="1" l="1"/>
  <c r="K89" i="1"/>
  <c r="G90" i="1"/>
  <c r="F89" i="1"/>
  <c r="J88" i="1"/>
  <c r="J89" i="1" l="1"/>
  <c r="F90" i="1"/>
  <c r="K90" i="1"/>
  <c r="I90" i="1"/>
  <c r="G91" i="1"/>
  <c r="I91" i="1" l="1"/>
  <c r="K91" i="1"/>
  <c r="G92" i="1"/>
  <c r="F91" i="1"/>
  <c r="J90" i="1"/>
  <c r="K92" i="1" l="1"/>
  <c r="I92" i="1"/>
  <c r="G93" i="1"/>
  <c r="J91" i="1"/>
  <c r="F92" i="1"/>
  <c r="I93" i="1" l="1"/>
  <c r="K93" i="1"/>
  <c r="G94" i="1"/>
  <c r="F93" i="1"/>
  <c r="J92" i="1"/>
  <c r="K94" i="1" l="1"/>
  <c r="I94" i="1"/>
  <c r="G95" i="1"/>
  <c r="J93" i="1"/>
  <c r="F94" i="1"/>
  <c r="I95" i="1" l="1"/>
  <c r="K95" i="1"/>
  <c r="G96" i="1"/>
  <c r="F95" i="1"/>
  <c r="J94" i="1"/>
  <c r="K96" i="1" l="1"/>
  <c r="I96" i="1"/>
  <c r="G97" i="1"/>
  <c r="J95" i="1"/>
  <c r="F96" i="1"/>
  <c r="I97" i="1" l="1"/>
  <c r="K97" i="1"/>
  <c r="G98" i="1"/>
  <c r="F97" i="1"/>
  <c r="J96" i="1"/>
  <c r="J97" i="1" l="1"/>
  <c r="F98" i="1"/>
  <c r="K98" i="1"/>
  <c r="I98" i="1"/>
  <c r="G99" i="1"/>
  <c r="F99" i="1" l="1"/>
  <c r="J98" i="1"/>
  <c r="I99" i="1"/>
  <c r="K99" i="1"/>
  <c r="G100" i="1"/>
  <c r="K100" i="1" l="1"/>
  <c r="I100" i="1"/>
  <c r="G101" i="1"/>
  <c r="J99" i="1"/>
  <c r="F100" i="1"/>
  <c r="I101" i="1" l="1"/>
  <c r="K101" i="1"/>
  <c r="G102" i="1"/>
  <c r="F101" i="1"/>
  <c r="J100" i="1"/>
  <c r="J101" i="1" l="1"/>
  <c r="F102" i="1"/>
  <c r="K102" i="1"/>
  <c r="I102" i="1"/>
  <c r="G103" i="1"/>
  <c r="F103" i="1" l="1"/>
  <c r="J102" i="1"/>
  <c r="I103" i="1"/>
  <c r="K103" i="1"/>
  <c r="G104" i="1"/>
  <c r="K104" i="1" l="1"/>
  <c r="I104" i="1"/>
  <c r="G105" i="1"/>
  <c r="J103" i="1"/>
  <c r="F104" i="1"/>
  <c r="I105" i="1" l="1"/>
  <c r="K105" i="1"/>
  <c r="G106" i="1"/>
  <c r="F105" i="1"/>
  <c r="J104" i="1"/>
  <c r="J105" i="1" l="1"/>
  <c r="F106" i="1"/>
  <c r="K106" i="1"/>
  <c r="I106" i="1"/>
  <c r="G107" i="1"/>
  <c r="F107" i="1" l="1"/>
  <c r="J106" i="1"/>
  <c r="I107" i="1"/>
  <c r="K107" i="1"/>
  <c r="G108" i="1"/>
  <c r="K108" i="1" l="1"/>
  <c r="I108" i="1"/>
  <c r="G109" i="1"/>
  <c r="J107" i="1"/>
  <c r="F108" i="1"/>
  <c r="I109" i="1" l="1"/>
  <c r="K109" i="1"/>
  <c r="G110" i="1"/>
  <c r="F109" i="1"/>
  <c r="J108" i="1"/>
  <c r="J109" i="1" l="1"/>
  <c r="F110" i="1"/>
  <c r="K110" i="1"/>
  <c r="I110" i="1"/>
  <c r="G111" i="1"/>
  <c r="F111" i="1" l="1"/>
  <c r="J110" i="1"/>
  <c r="I111" i="1"/>
  <c r="K111" i="1"/>
  <c r="G112" i="1"/>
  <c r="K112" i="1" l="1"/>
  <c r="I112" i="1"/>
  <c r="G113" i="1"/>
  <c r="J111" i="1"/>
  <c r="F112" i="1"/>
  <c r="I113" i="1" l="1"/>
  <c r="K113" i="1"/>
  <c r="G114" i="1"/>
  <c r="F113" i="1"/>
  <c r="J112" i="1"/>
  <c r="J113" i="1" l="1"/>
  <c r="F114" i="1"/>
  <c r="K114" i="1"/>
  <c r="I114" i="1"/>
  <c r="G115" i="1"/>
  <c r="F115" i="1" l="1"/>
  <c r="J114" i="1"/>
  <c r="I115" i="1"/>
  <c r="K115" i="1"/>
  <c r="G116" i="1"/>
  <c r="K116" i="1" l="1"/>
  <c r="I116" i="1"/>
  <c r="G117" i="1"/>
  <c r="J115" i="1"/>
  <c r="F116" i="1"/>
  <c r="I117" i="1" l="1"/>
  <c r="K117" i="1"/>
  <c r="G118" i="1"/>
  <c r="F117" i="1"/>
  <c r="J116" i="1"/>
  <c r="J117" i="1" l="1"/>
  <c r="F118" i="1"/>
  <c r="K118" i="1"/>
  <c r="I118" i="1"/>
  <c r="G119" i="1"/>
  <c r="I119" i="1" l="1"/>
  <c r="K119" i="1"/>
  <c r="G120" i="1"/>
  <c r="F119" i="1"/>
  <c r="J118" i="1"/>
  <c r="J119" i="1" l="1"/>
  <c r="F120" i="1"/>
  <c r="K120" i="1"/>
  <c r="I120" i="1"/>
  <c r="G121" i="1"/>
  <c r="F121" i="1" l="1"/>
  <c r="J120" i="1"/>
  <c r="I121" i="1"/>
  <c r="K121" i="1"/>
  <c r="G122" i="1"/>
  <c r="K122" i="1" l="1"/>
  <c r="I122" i="1"/>
  <c r="G123" i="1"/>
  <c r="J121" i="1"/>
  <c r="F122" i="1"/>
  <c r="I123" i="1" l="1"/>
  <c r="K123" i="1"/>
  <c r="G124" i="1"/>
  <c r="F123" i="1"/>
  <c r="J122" i="1"/>
  <c r="J123" i="1" l="1"/>
  <c r="F124" i="1"/>
  <c r="K124" i="1"/>
  <c r="I124" i="1"/>
  <c r="G125" i="1"/>
  <c r="K125" i="1" l="1"/>
  <c r="I125" i="1"/>
  <c r="G126" i="1"/>
  <c r="F125" i="1"/>
  <c r="J124" i="1"/>
  <c r="J125" i="1" l="1"/>
  <c r="F126" i="1"/>
  <c r="I126" i="1"/>
  <c r="K126" i="1"/>
  <c r="G127" i="1"/>
  <c r="F127" i="1" l="1"/>
  <c r="J126" i="1"/>
  <c r="K127" i="1"/>
  <c r="I127" i="1"/>
  <c r="G128" i="1"/>
  <c r="J127" i="1" l="1"/>
  <c r="F128" i="1"/>
  <c r="I128" i="1"/>
  <c r="K128" i="1"/>
  <c r="G129" i="1"/>
  <c r="K129" i="1" l="1"/>
  <c r="I129" i="1"/>
  <c r="G130" i="1"/>
  <c r="F129" i="1"/>
  <c r="J128" i="1"/>
  <c r="J129" i="1" l="1"/>
  <c r="F130" i="1"/>
  <c r="K130" i="1"/>
  <c r="I130" i="1"/>
  <c r="G131" i="1"/>
  <c r="I131" i="1" l="1"/>
  <c r="K131" i="1"/>
  <c r="G138" i="1"/>
  <c r="G139" i="1" s="1"/>
  <c r="G137" i="1"/>
  <c r="P48" i="1"/>
  <c r="P34" i="1"/>
  <c r="P6" i="1"/>
  <c r="P20" i="1"/>
  <c r="F131" i="1"/>
  <c r="J131" i="1" s="1"/>
  <c r="J130" i="1"/>
  <c r="P50" i="1" l="1"/>
  <c r="P49" i="1" s="1"/>
  <c r="S22" i="1"/>
  <c r="N36" i="1"/>
  <c r="S20" i="1"/>
  <c r="P36" i="1"/>
  <c r="P35" i="1" s="1"/>
  <c r="U36" i="1"/>
  <c r="O48" i="1"/>
  <c r="O8" i="1"/>
  <c r="P22" i="1"/>
  <c r="P21" i="1" s="1"/>
  <c r="P8" i="1"/>
  <c r="P7" i="1" s="1"/>
  <c r="U22" i="1"/>
  <c r="O50" i="1"/>
  <c r="O49" i="1" s="1"/>
  <c r="N6" i="1"/>
  <c r="T36" i="1"/>
  <c r="T48" i="1"/>
  <c r="T22" i="1"/>
  <c r="T6" i="1"/>
  <c r="O6" i="1"/>
  <c r="T34" i="1"/>
  <c r="T8" i="1"/>
  <c r="T7" i="1" s="1"/>
  <c r="T50" i="1"/>
  <c r="S36" i="1"/>
  <c r="T20" i="1"/>
  <c r="N20" i="1"/>
  <c r="O36" i="1"/>
  <c r="O34" i="1"/>
  <c r="N50" i="1"/>
  <c r="O22" i="1"/>
  <c r="O21" i="1" s="1"/>
  <c r="N34" i="1"/>
  <c r="S50" i="1"/>
  <c r="N22" i="1"/>
  <c r="S48" i="1"/>
  <c r="O20" i="1"/>
  <c r="U8" i="1"/>
  <c r="S8" i="1"/>
  <c r="U50" i="1"/>
  <c r="N8" i="1"/>
  <c r="N48" i="1"/>
  <c r="S34" i="1"/>
  <c r="O24" i="1"/>
  <c r="O10" i="1"/>
  <c r="O38" i="1"/>
  <c r="U20" i="1"/>
  <c r="T24" i="1" s="1"/>
  <c r="U34" i="1"/>
  <c r="T38" i="1" s="1"/>
  <c r="U6" i="1"/>
  <c r="T10" i="1" s="1"/>
  <c r="U48" i="1"/>
  <c r="T52" i="1" s="1"/>
  <c r="S6" i="1"/>
  <c r="J138" i="1"/>
  <c r="J139" i="1" s="1"/>
  <c r="J137" i="1"/>
  <c r="O52" i="1"/>
  <c r="I137" i="1"/>
  <c r="I138" i="1"/>
  <c r="I139" i="1" l="1"/>
  <c r="U49" i="1"/>
  <c r="T54" i="1"/>
  <c r="T57" i="1"/>
  <c r="O29" i="1"/>
  <c r="O26" i="1"/>
  <c r="T21" i="1"/>
  <c r="O7" i="1"/>
  <c r="T29" i="1"/>
  <c r="T26" i="1"/>
  <c r="T43" i="1"/>
  <c r="T40" i="1"/>
  <c r="N21" i="1"/>
  <c r="O25" i="1"/>
  <c r="N49" i="1"/>
  <c r="O53" i="1"/>
  <c r="U21" i="1"/>
  <c r="N35" i="1"/>
  <c r="O39" i="1"/>
  <c r="T15" i="1"/>
  <c r="T12" i="1"/>
  <c r="S7" i="1"/>
  <c r="T11" i="1"/>
  <c r="O56" i="1"/>
  <c r="O54" i="1"/>
  <c r="O57" i="1"/>
  <c r="U7" i="1"/>
  <c r="S49" i="1"/>
  <c r="T53" i="1"/>
  <c r="T56" i="1" s="1"/>
  <c r="S35" i="1"/>
  <c r="T39" i="1"/>
  <c r="T35" i="1"/>
  <c r="U35" i="1"/>
  <c r="T25" i="1"/>
  <c r="T28" i="1" s="1"/>
  <c r="S21" i="1"/>
  <c r="T14" i="1"/>
  <c r="N7" i="1"/>
  <c r="O11" i="1"/>
  <c r="O14" i="1" s="1"/>
  <c r="O43" i="1"/>
  <c r="O40" i="1"/>
  <c r="O42" i="1" s="1"/>
  <c r="O35" i="1"/>
  <c r="T49" i="1"/>
  <c r="O12" i="1"/>
  <c r="O15" i="1"/>
  <c r="T42" i="1" l="1"/>
  <c r="O28" i="1"/>
</calcChain>
</file>

<file path=xl/sharedStrings.xml><?xml version="1.0" encoding="utf-8"?>
<sst xmlns="http://schemas.openxmlformats.org/spreadsheetml/2006/main" count="113" uniqueCount="38">
  <si>
    <t>Date</t>
  </si>
  <si>
    <t>P(A)</t>
  </si>
  <si>
    <t>sum</t>
  </si>
  <si>
    <t>P(B)</t>
  </si>
  <si>
    <t>P(B|A)</t>
  </si>
  <si>
    <t>P(A|B)</t>
  </si>
  <si>
    <t>Arc Elasticity</t>
  </si>
  <si>
    <t>NonA</t>
  </si>
  <si>
    <t>AY = Y/t</t>
  </si>
  <si>
    <t>No. of days</t>
  </si>
  <si>
    <t>t</t>
  </si>
  <si>
    <t>Cumulative</t>
  </si>
  <si>
    <t>Y(t)</t>
  </si>
  <si>
    <t>Daily</t>
  </si>
  <si>
    <t>MY = I(t)</t>
  </si>
  <si>
    <t>Point Elasticity</t>
  </si>
  <si>
    <t>I(t+1)-I(t)</t>
  </si>
  <si>
    <t>B (Et&gt;1)</t>
  </si>
  <si>
    <t>Et&lt;=1</t>
  </si>
  <si>
    <t>B (Et&lt;=1)</t>
  </si>
  <si>
    <t>Et&gt;0.5</t>
  </si>
  <si>
    <t>Et&gt;1</t>
  </si>
  <si>
    <t>B (Et&lt;= 0.5)</t>
  </si>
  <si>
    <t xml:space="preserve">        Exponential Moving Average (EMA) of</t>
  </si>
  <si>
    <t xml:space="preserve">               Estimations based on EMA</t>
  </si>
  <si>
    <t>Mean</t>
  </si>
  <si>
    <t>Standard Deviation</t>
  </si>
  <si>
    <t>The omega of EMA</t>
  </si>
  <si>
    <t>Coefficent of Variation % (=STDev/Mean)</t>
  </si>
  <si>
    <t>UK - COVID-19</t>
  </si>
  <si>
    <t>BAYESIAN, POLICY TARGET W/OUT A TREND</t>
  </si>
  <si>
    <t>BAYESIAN, POLICY TARGET W/ A TREND</t>
  </si>
  <si>
    <t>B (Et&lt;=0.5)</t>
  </si>
  <si>
    <t>A (I(t+1)&lt;=1100)</t>
  </si>
  <si>
    <t>A (I(t+1)-I(t)&lt;=0, I(t+1)&lt;=1100)</t>
  </si>
  <si>
    <t>B (Et&lt;= 0.4)</t>
  </si>
  <si>
    <t>Et&gt;0.4</t>
  </si>
  <si>
    <t>B (Et&lt;=0.4)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</si>
</sst>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.000_);_(* \(#,##0.000\);_(* &quot;-&quot;??_);_(@_)"/>
    <numFmt numFmtId="167" formatCode="0.000"/>
    <numFmt numFmtId="168" formatCode="_(* #,##0_);_(* \(#,##0\);_(* &quot;-&quot;??_);_(@_)"/>
    <numFmt numFmtId="169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1">
    <border>
      <left/>
      <right/>
      <top/>
      <bottom/>
      <diagonal/>
    </border>
  </borders>
  <cellStyleXfs count="467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43" fontId="0" fillId="0" borderId="0" xfId="1" applyNumberFormat="1" applyFont="1"/>
    <xf numFmtId="43" fontId="0" fillId="0" borderId="0" xfId="0" applyNumberFormat="1"/>
    <xf numFmtId="43" fontId="0" fillId="0" borderId="0" xfId="1" applyFont="1"/>
    <xf numFmtId="0" fontId="0" fillId="2" borderId="0" xfId="0" applyFill="1"/>
    <xf numFmtId="0" fontId="6" fillId="2" borderId="0" xfId="0" applyFont="1" applyFill="1"/>
    <xf numFmtId="2" fontId="0" fillId="2" borderId="0" xfId="1" applyNumberFormat="1" applyFont="1" applyFill="1"/>
    <xf numFmtId="0" fontId="0" fillId="2" borderId="0" xfId="0" quotePrefix="1" applyFill="1"/>
    <xf numFmtId="0" fontId="7" fillId="0" borderId="0" xfId="0" applyFont="1" applyFill="1"/>
    <xf numFmtId="166" fontId="7" fillId="0" borderId="0" xfId="1" applyNumberFormat="1" applyFont="1" applyFill="1"/>
    <xf numFmtId="167" fontId="7" fillId="0" borderId="0" xfId="1" applyNumberFormat="1" applyFont="1" applyFill="1"/>
    <xf numFmtId="0" fontId="6" fillId="3" borderId="0" xfId="0" applyFont="1" applyFill="1"/>
    <xf numFmtId="0" fontId="0" fillId="4" borderId="0" xfId="0" applyFill="1"/>
    <xf numFmtId="2" fontId="0" fillId="4" borderId="0" xfId="1" applyNumberFormat="1" applyFont="1" applyFill="1"/>
    <xf numFmtId="0" fontId="0" fillId="5" borderId="0" xfId="0" applyFill="1"/>
    <xf numFmtId="2" fontId="0" fillId="5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9" fontId="0" fillId="5" borderId="0" xfId="268" applyFont="1" applyFill="1"/>
    <xf numFmtId="43" fontId="0" fillId="5" borderId="0" xfId="1" applyNumberFormat="1" applyFont="1" applyFill="1"/>
    <xf numFmtId="168" fontId="0" fillId="5" borderId="0" xfId="1" applyNumberFormat="1" applyFont="1" applyFill="1"/>
    <xf numFmtId="0" fontId="6" fillId="6" borderId="0" xfId="0" applyFont="1" applyFill="1"/>
    <xf numFmtId="169" fontId="0" fillId="5" borderId="0" xfId="268" applyNumberFormat="1" applyFont="1" applyFill="1"/>
    <xf numFmtId="0" fontId="0" fillId="0" borderId="0" xfId="0" applyFill="1"/>
    <xf numFmtId="43" fontId="0" fillId="0" borderId="0" xfId="1" applyNumberFormat="1" applyFont="1" applyFill="1"/>
    <xf numFmtId="164" fontId="0" fillId="0" borderId="0" xfId="1" applyNumberFormat="1" applyFont="1" applyFill="1"/>
    <xf numFmtId="9" fontId="0" fillId="0" borderId="0" xfId="268" applyFont="1" applyFill="1"/>
    <xf numFmtId="0" fontId="6" fillId="0" borderId="0" xfId="0" applyFont="1" applyFill="1"/>
  </cellXfs>
  <cellStyles count="46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  <cellStyle name="Per cent" xfId="268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/>
          </c:spPr>
          <c:marker>
            <c:symbol val="none"/>
          </c:marker>
          <c:cat>
            <c:numRef>
              <c:f>UKCovid!$A$7:$A$131</c:f>
              <c:numCache>
                <c:formatCode>d\-mmm</c:formatCode>
                <c:ptCount val="125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</c:numCache>
            </c:numRef>
          </c:cat>
          <c:val>
            <c:numRef>
              <c:f>UKCovid!$C$7:$C$131</c:f>
              <c:numCache>
                <c:formatCode>General</c:formatCode>
                <c:ptCount val="125"/>
                <c:pt idx="0">
                  <c:v>13</c:v>
                </c:pt>
                <c:pt idx="1">
                  <c:v>19</c:v>
                </c:pt>
                <c:pt idx="2">
                  <c:v>23</c:v>
                </c:pt>
                <c:pt idx="3">
                  <c:v>35</c:v>
                </c:pt>
                <c:pt idx="4">
                  <c:v>40</c:v>
                </c:pt>
                <c:pt idx="5">
                  <c:v>51</c:v>
                </c:pt>
                <c:pt idx="6">
                  <c:v>85</c:v>
                </c:pt>
                <c:pt idx="7">
                  <c:v>114</c:v>
                </c:pt>
                <c:pt idx="8">
                  <c:v>160</c:v>
                </c:pt>
                <c:pt idx="9">
                  <c:v>206</c:v>
                </c:pt>
                <c:pt idx="10">
                  <c:v>271</c:v>
                </c:pt>
                <c:pt idx="11">
                  <c:v>321</c:v>
                </c:pt>
                <c:pt idx="12">
                  <c:v>373</c:v>
                </c:pt>
                <c:pt idx="13">
                  <c:v>456</c:v>
                </c:pt>
                <c:pt idx="14">
                  <c:v>596</c:v>
                </c:pt>
                <c:pt idx="15">
                  <c:v>798</c:v>
                </c:pt>
                <c:pt idx="16">
                  <c:v>1140</c:v>
                </c:pt>
                <c:pt idx="17">
                  <c:v>1372</c:v>
                </c:pt>
                <c:pt idx="18">
                  <c:v>1543</c:v>
                </c:pt>
                <c:pt idx="19">
                  <c:v>1959</c:v>
                </c:pt>
                <c:pt idx="20">
                  <c:v>2626</c:v>
                </c:pt>
                <c:pt idx="21">
                  <c:v>3229</c:v>
                </c:pt>
                <c:pt idx="22">
                  <c:v>3983</c:v>
                </c:pt>
                <c:pt idx="23">
                  <c:v>5018</c:v>
                </c:pt>
                <c:pt idx="24">
                  <c:v>5683</c:v>
                </c:pt>
                <c:pt idx="25">
                  <c:v>6650</c:v>
                </c:pt>
                <c:pt idx="26">
                  <c:v>8077</c:v>
                </c:pt>
                <c:pt idx="27">
                  <c:v>9529</c:v>
                </c:pt>
                <c:pt idx="28">
                  <c:v>11658</c:v>
                </c:pt>
                <c:pt idx="29">
                  <c:v>14579</c:v>
                </c:pt>
                <c:pt idx="30">
                  <c:v>17089</c:v>
                </c:pt>
                <c:pt idx="31">
                  <c:v>19522</c:v>
                </c:pt>
                <c:pt idx="32">
                  <c:v>22141</c:v>
                </c:pt>
                <c:pt idx="33">
                  <c:v>25150</c:v>
                </c:pt>
                <c:pt idx="34">
                  <c:v>29474</c:v>
                </c:pt>
                <c:pt idx="35">
                  <c:v>33178</c:v>
                </c:pt>
                <c:pt idx="36">
                  <c:v>38168</c:v>
                </c:pt>
                <c:pt idx="37">
                  <c:v>41903</c:v>
                </c:pt>
                <c:pt idx="38">
                  <c:v>47806</c:v>
                </c:pt>
                <c:pt idx="39">
                  <c:v>51608</c:v>
                </c:pt>
                <c:pt idx="40">
                  <c:v>55242</c:v>
                </c:pt>
                <c:pt idx="41">
                  <c:v>60773</c:v>
                </c:pt>
                <c:pt idx="42">
                  <c:v>65077</c:v>
                </c:pt>
                <c:pt idx="43">
                  <c:v>70272</c:v>
                </c:pt>
                <c:pt idx="44">
                  <c:v>78991</c:v>
                </c:pt>
                <c:pt idx="45">
                  <c:v>84279</c:v>
                </c:pt>
                <c:pt idx="46">
                  <c:v>88621</c:v>
                </c:pt>
                <c:pt idx="47">
                  <c:v>93873</c:v>
                </c:pt>
                <c:pt idx="48">
                  <c:v>98476</c:v>
                </c:pt>
                <c:pt idx="49">
                  <c:v>103093</c:v>
                </c:pt>
                <c:pt idx="50">
                  <c:v>108692</c:v>
                </c:pt>
                <c:pt idx="51">
                  <c:v>114217</c:v>
                </c:pt>
                <c:pt idx="52">
                  <c:v>120067</c:v>
                </c:pt>
                <c:pt idx="53">
                  <c:v>124743</c:v>
                </c:pt>
                <c:pt idx="54">
                  <c:v>129044</c:v>
                </c:pt>
                <c:pt idx="55">
                  <c:v>133495</c:v>
                </c:pt>
                <c:pt idx="56">
                  <c:v>138078</c:v>
                </c:pt>
                <c:pt idx="57">
                  <c:v>143464</c:v>
                </c:pt>
                <c:pt idx="58">
                  <c:v>148377</c:v>
                </c:pt>
                <c:pt idx="59">
                  <c:v>152840</c:v>
                </c:pt>
                <c:pt idx="60">
                  <c:v>157149</c:v>
                </c:pt>
                <c:pt idx="61">
                  <c:v>161145</c:v>
                </c:pt>
                <c:pt idx="62">
                  <c:v>165221</c:v>
                </c:pt>
                <c:pt idx="63">
                  <c:v>171253</c:v>
                </c:pt>
                <c:pt idx="64">
                  <c:v>177454</c:v>
                </c:pt>
                <c:pt idx="65">
                  <c:v>182260</c:v>
                </c:pt>
                <c:pt idx="66">
                  <c:v>186599</c:v>
                </c:pt>
                <c:pt idx="67">
                  <c:v>190584</c:v>
                </c:pt>
                <c:pt idx="68">
                  <c:v>194990</c:v>
                </c:pt>
                <c:pt idx="69">
                  <c:v>201101</c:v>
                </c:pt>
                <c:pt idx="70">
                  <c:v>206715</c:v>
                </c:pt>
                <c:pt idx="71">
                  <c:v>211364</c:v>
                </c:pt>
                <c:pt idx="72">
                  <c:v>215260</c:v>
                </c:pt>
                <c:pt idx="73">
                  <c:v>219183</c:v>
                </c:pt>
                <c:pt idx="74">
                  <c:v>223060</c:v>
                </c:pt>
                <c:pt idx="75">
                  <c:v>226463</c:v>
                </c:pt>
                <c:pt idx="76">
                  <c:v>229705</c:v>
                </c:pt>
                <c:pt idx="77">
                  <c:v>233151</c:v>
                </c:pt>
                <c:pt idx="78">
                  <c:v>236711</c:v>
                </c:pt>
                <c:pt idx="79">
                  <c:v>240161</c:v>
                </c:pt>
                <c:pt idx="80">
                  <c:v>243303</c:v>
                </c:pt>
                <c:pt idx="81">
                  <c:v>246406</c:v>
                </c:pt>
                <c:pt idx="82">
                  <c:v>248818</c:v>
                </c:pt>
                <c:pt idx="83">
                  <c:v>248293</c:v>
                </c:pt>
                <c:pt idx="84">
                  <c:v>250908</c:v>
                </c:pt>
                <c:pt idx="85">
                  <c:v>254195</c:v>
                </c:pt>
                <c:pt idx="86">
                  <c:v>257154</c:v>
                </c:pt>
                <c:pt idx="87">
                  <c:v>259559</c:v>
                </c:pt>
                <c:pt idx="88">
                  <c:v>261184</c:v>
                </c:pt>
                <c:pt idx="89">
                  <c:v>265227</c:v>
                </c:pt>
                <c:pt idx="90">
                  <c:v>267240</c:v>
                </c:pt>
                <c:pt idx="91">
                  <c:v>269127</c:v>
                </c:pt>
                <c:pt idx="92">
                  <c:v>271222</c:v>
                </c:pt>
                <c:pt idx="93">
                  <c:v>272826</c:v>
                </c:pt>
                <c:pt idx="94">
                  <c:v>274762</c:v>
                </c:pt>
                <c:pt idx="95">
                  <c:v>276332</c:v>
                </c:pt>
                <c:pt idx="96">
                  <c:v>277985</c:v>
                </c:pt>
                <c:pt idx="97">
                  <c:v>279856</c:v>
                </c:pt>
                <c:pt idx="98">
                  <c:v>281661</c:v>
                </c:pt>
                <c:pt idx="99">
                  <c:v>283311</c:v>
                </c:pt>
                <c:pt idx="100">
                  <c:v>284868</c:v>
                </c:pt>
                <c:pt idx="101">
                  <c:v>286194</c:v>
                </c:pt>
                <c:pt idx="102">
                  <c:v>287399</c:v>
                </c:pt>
                <c:pt idx="103">
                  <c:v>289140</c:v>
                </c:pt>
                <c:pt idx="104">
                  <c:v>290143</c:v>
                </c:pt>
                <c:pt idx="105">
                  <c:v>291409</c:v>
                </c:pt>
                <c:pt idx="106">
                  <c:v>292950</c:v>
                </c:pt>
                <c:pt idx="107">
                  <c:v>294375</c:v>
                </c:pt>
                <c:pt idx="108">
                  <c:v>295889</c:v>
                </c:pt>
                <c:pt idx="109">
                  <c:v>296857</c:v>
                </c:pt>
                <c:pt idx="110">
                  <c:v>298136</c:v>
                </c:pt>
                <c:pt idx="111">
                  <c:v>299251</c:v>
                </c:pt>
                <c:pt idx="112">
                  <c:v>300469</c:v>
                </c:pt>
                <c:pt idx="113">
                  <c:v>301815</c:v>
                </c:pt>
                <c:pt idx="114">
                  <c:v>303110</c:v>
                </c:pt>
                <c:pt idx="115">
                  <c:v>304331</c:v>
                </c:pt>
                <c:pt idx="116">
                  <c:v>305289</c:v>
                </c:pt>
                <c:pt idx="117">
                  <c:v>306210</c:v>
                </c:pt>
                <c:pt idx="118">
                  <c:v>306862</c:v>
                </c:pt>
                <c:pt idx="119">
                  <c:v>307980</c:v>
                </c:pt>
                <c:pt idx="120">
                  <c:v>309360</c:v>
                </c:pt>
                <c:pt idx="121">
                  <c:v>310250</c:v>
                </c:pt>
                <c:pt idx="122">
                  <c:v>311151</c:v>
                </c:pt>
                <c:pt idx="123">
                  <c:v>311965</c:v>
                </c:pt>
                <c:pt idx="124">
                  <c:v>312654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2-5449-B168-B6BED45B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789384"/>
        <c:axId val="-2061660968"/>
      </c:lineChart>
      <c:dateAx>
        <c:axId val="-206278938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-2061660968"/>
        <c:crosses val="autoZero"/>
        <c:auto val="1"/>
        <c:lblOffset val="100"/>
        <c:baseTimeUnit val="days"/>
      </c:dateAx>
      <c:valAx>
        <c:axId val="-2061660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UK Cumulative Number of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627893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MY=I(t)</c:v>
          </c:tx>
          <c:spPr>
            <a:ln w="19050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UKCovid!$A$7:$A$131</c:f>
              <c:numCache>
                <c:formatCode>d\-mmm</c:formatCode>
                <c:ptCount val="125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</c:numCache>
            </c:numRef>
          </c:cat>
          <c:val>
            <c:numRef>
              <c:f>UKCovid!$D$7:$D$131</c:f>
              <c:numCache>
                <c:formatCode>General</c:formatCode>
                <c:ptCount val="125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3">
                  <c:v>12</c:v>
                </c:pt>
                <c:pt idx="4">
                  <c:v>5</c:v>
                </c:pt>
                <c:pt idx="5">
                  <c:v>11</c:v>
                </c:pt>
                <c:pt idx="6">
                  <c:v>34</c:v>
                </c:pt>
                <c:pt idx="7">
                  <c:v>29</c:v>
                </c:pt>
                <c:pt idx="8">
                  <c:v>46</c:v>
                </c:pt>
                <c:pt idx="9">
                  <c:v>46</c:v>
                </c:pt>
                <c:pt idx="10">
                  <c:v>65</c:v>
                </c:pt>
                <c:pt idx="11">
                  <c:v>50</c:v>
                </c:pt>
                <c:pt idx="12">
                  <c:v>52</c:v>
                </c:pt>
                <c:pt idx="13">
                  <c:v>83</c:v>
                </c:pt>
                <c:pt idx="14">
                  <c:v>140</c:v>
                </c:pt>
                <c:pt idx="15">
                  <c:v>202</c:v>
                </c:pt>
                <c:pt idx="16">
                  <c:v>342</c:v>
                </c:pt>
                <c:pt idx="17">
                  <c:v>232</c:v>
                </c:pt>
                <c:pt idx="18">
                  <c:v>171</c:v>
                </c:pt>
                <c:pt idx="19">
                  <c:v>416</c:v>
                </c:pt>
                <c:pt idx="20">
                  <c:v>667</c:v>
                </c:pt>
                <c:pt idx="21">
                  <c:v>603</c:v>
                </c:pt>
                <c:pt idx="22">
                  <c:v>754</c:v>
                </c:pt>
                <c:pt idx="23">
                  <c:v>1035</c:v>
                </c:pt>
                <c:pt idx="24">
                  <c:v>665</c:v>
                </c:pt>
                <c:pt idx="25">
                  <c:v>967</c:v>
                </c:pt>
                <c:pt idx="26">
                  <c:v>1427</c:v>
                </c:pt>
                <c:pt idx="27">
                  <c:v>1452</c:v>
                </c:pt>
                <c:pt idx="28">
                  <c:v>2129</c:v>
                </c:pt>
                <c:pt idx="29">
                  <c:v>2921</c:v>
                </c:pt>
                <c:pt idx="30">
                  <c:v>2510</c:v>
                </c:pt>
                <c:pt idx="31">
                  <c:v>2433</c:v>
                </c:pt>
                <c:pt idx="32">
                  <c:v>2619</c:v>
                </c:pt>
                <c:pt idx="33">
                  <c:v>3009</c:v>
                </c:pt>
                <c:pt idx="34">
                  <c:v>4324</c:v>
                </c:pt>
                <c:pt idx="35">
                  <c:v>3704</c:v>
                </c:pt>
                <c:pt idx="36">
                  <c:v>4990</c:v>
                </c:pt>
                <c:pt idx="37">
                  <c:v>3735</c:v>
                </c:pt>
                <c:pt idx="38">
                  <c:v>5903</c:v>
                </c:pt>
                <c:pt idx="39">
                  <c:v>3802</c:v>
                </c:pt>
                <c:pt idx="40">
                  <c:v>3634</c:v>
                </c:pt>
                <c:pt idx="41">
                  <c:v>5531</c:v>
                </c:pt>
                <c:pt idx="42">
                  <c:v>4304</c:v>
                </c:pt>
                <c:pt idx="43">
                  <c:v>5195</c:v>
                </c:pt>
                <c:pt idx="44">
                  <c:v>8719</c:v>
                </c:pt>
                <c:pt idx="45">
                  <c:v>5288</c:v>
                </c:pt>
                <c:pt idx="46">
                  <c:v>4342</c:v>
                </c:pt>
                <c:pt idx="47">
                  <c:v>5252</c:v>
                </c:pt>
                <c:pt idx="48">
                  <c:v>4603</c:v>
                </c:pt>
                <c:pt idx="49">
                  <c:v>4617</c:v>
                </c:pt>
                <c:pt idx="50">
                  <c:v>5599</c:v>
                </c:pt>
                <c:pt idx="51">
                  <c:v>5525</c:v>
                </c:pt>
                <c:pt idx="52">
                  <c:v>5850</c:v>
                </c:pt>
                <c:pt idx="53">
                  <c:v>4676</c:v>
                </c:pt>
                <c:pt idx="54">
                  <c:v>4301</c:v>
                </c:pt>
                <c:pt idx="55">
                  <c:v>4451</c:v>
                </c:pt>
                <c:pt idx="56">
                  <c:v>4583</c:v>
                </c:pt>
                <c:pt idx="57">
                  <c:v>5386</c:v>
                </c:pt>
                <c:pt idx="58">
                  <c:v>4913</c:v>
                </c:pt>
                <c:pt idx="59">
                  <c:v>4463</c:v>
                </c:pt>
                <c:pt idx="60">
                  <c:v>4309</c:v>
                </c:pt>
                <c:pt idx="61">
                  <c:v>3996</c:v>
                </c:pt>
                <c:pt idx="62">
                  <c:v>4076</c:v>
                </c:pt>
                <c:pt idx="63">
                  <c:v>6032</c:v>
                </c:pt>
                <c:pt idx="64">
                  <c:v>6201</c:v>
                </c:pt>
                <c:pt idx="65">
                  <c:v>4806</c:v>
                </c:pt>
                <c:pt idx="66">
                  <c:v>4339</c:v>
                </c:pt>
                <c:pt idx="67">
                  <c:v>3985</c:v>
                </c:pt>
                <c:pt idx="68">
                  <c:v>4406</c:v>
                </c:pt>
                <c:pt idx="69">
                  <c:v>6111</c:v>
                </c:pt>
                <c:pt idx="70">
                  <c:v>5614</c:v>
                </c:pt>
                <c:pt idx="71">
                  <c:v>4649</c:v>
                </c:pt>
                <c:pt idx="72">
                  <c:v>3896</c:v>
                </c:pt>
                <c:pt idx="73">
                  <c:v>3923</c:v>
                </c:pt>
                <c:pt idx="74">
                  <c:v>3877</c:v>
                </c:pt>
                <c:pt idx="75">
                  <c:v>3403</c:v>
                </c:pt>
                <c:pt idx="76">
                  <c:v>3242</c:v>
                </c:pt>
                <c:pt idx="77">
                  <c:v>3446</c:v>
                </c:pt>
                <c:pt idx="78">
                  <c:v>3560</c:v>
                </c:pt>
                <c:pt idx="79">
                  <c:v>3450</c:v>
                </c:pt>
                <c:pt idx="80">
                  <c:v>3142</c:v>
                </c:pt>
                <c:pt idx="81">
                  <c:v>3103</c:v>
                </c:pt>
                <c:pt idx="82">
                  <c:v>2412</c:v>
                </c:pt>
                <c:pt idx="83">
                  <c:v>-525</c:v>
                </c:pt>
                <c:pt idx="84">
                  <c:v>2615</c:v>
                </c:pt>
                <c:pt idx="85">
                  <c:v>3287</c:v>
                </c:pt>
                <c:pt idx="86">
                  <c:v>2959</c:v>
                </c:pt>
                <c:pt idx="87">
                  <c:v>2405</c:v>
                </c:pt>
                <c:pt idx="88">
                  <c:v>1625</c:v>
                </c:pt>
                <c:pt idx="89">
                  <c:v>4043</c:v>
                </c:pt>
                <c:pt idx="90">
                  <c:v>2013</c:v>
                </c:pt>
                <c:pt idx="91">
                  <c:v>1887</c:v>
                </c:pt>
                <c:pt idx="92">
                  <c:v>2095</c:v>
                </c:pt>
                <c:pt idx="93">
                  <c:v>1604</c:v>
                </c:pt>
                <c:pt idx="94">
                  <c:v>1936</c:v>
                </c:pt>
                <c:pt idx="95">
                  <c:v>1570</c:v>
                </c:pt>
                <c:pt idx="96">
                  <c:v>1653</c:v>
                </c:pt>
                <c:pt idx="97">
                  <c:v>1871</c:v>
                </c:pt>
                <c:pt idx="98">
                  <c:v>1805</c:v>
                </c:pt>
                <c:pt idx="99">
                  <c:v>1650</c:v>
                </c:pt>
                <c:pt idx="100">
                  <c:v>1557</c:v>
                </c:pt>
                <c:pt idx="101">
                  <c:v>1326</c:v>
                </c:pt>
                <c:pt idx="102">
                  <c:v>1205</c:v>
                </c:pt>
                <c:pt idx="103">
                  <c:v>1741</c:v>
                </c:pt>
                <c:pt idx="104">
                  <c:v>1003</c:v>
                </c:pt>
                <c:pt idx="105">
                  <c:v>1266</c:v>
                </c:pt>
                <c:pt idx="106">
                  <c:v>1541</c:v>
                </c:pt>
                <c:pt idx="107">
                  <c:v>1425</c:v>
                </c:pt>
                <c:pt idx="108">
                  <c:v>1514</c:v>
                </c:pt>
                <c:pt idx="109">
                  <c:v>968</c:v>
                </c:pt>
                <c:pt idx="110">
                  <c:v>1279</c:v>
                </c:pt>
                <c:pt idx="111">
                  <c:v>1115</c:v>
                </c:pt>
                <c:pt idx="112">
                  <c:v>1218</c:v>
                </c:pt>
                <c:pt idx="113">
                  <c:v>1346</c:v>
                </c:pt>
                <c:pt idx="114">
                  <c:v>1295</c:v>
                </c:pt>
                <c:pt idx="115">
                  <c:v>1221</c:v>
                </c:pt>
                <c:pt idx="116">
                  <c:v>958</c:v>
                </c:pt>
                <c:pt idx="117">
                  <c:v>921</c:v>
                </c:pt>
                <c:pt idx="118">
                  <c:v>652</c:v>
                </c:pt>
                <c:pt idx="119">
                  <c:v>1118</c:v>
                </c:pt>
                <c:pt idx="120">
                  <c:v>1380</c:v>
                </c:pt>
                <c:pt idx="121">
                  <c:v>890</c:v>
                </c:pt>
                <c:pt idx="122">
                  <c:v>901</c:v>
                </c:pt>
                <c:pt idx="123">
                  <c:v>814</c:v>
                </c:pt>
                <c:pt idx="124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C-5C46-9F2E-6F4CAB9DA98E}"/>
            </c:ext>
          </c:extLst>
        </c:ser>
        <c:ser>
          <c:idx val="1"/>
          <c:order val="1"/>
          <c:tx>
            <c:v>AY</c:v>
          </c:tx>
          <c:spPr>
            <a:ln w="19050" cmpd="sng"/>
          </c:spPr>
          <c:marker>
            <c:symbol val="none"/>
          </c:marker>
          <c:cat>
            <c:numRef>
              <c:f>UKCovid!$A$7:$A$131</c:f>
              <c:numCache>
                <c:formatCode>d\-mmm</c:formatCode>
                <c:ptCount val="125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</c:numCache>
            </c:numRef>
          </c:cat>
          <c:val>
            <c:numRef>
              <c:f>UKCovid!$E$7:$E$131</c:f>
              <c:numCache>
                <c:formatCode>0.0</c:formatCode>
                <c:ptCount val="125"/>
                <c:pt idx="0">
                  <c:v>13</c:v>
                </c:pt>
                <c:pt idx="1">
                  <c:v>9.5</c:v>
                </c:pt>
                <c:pt idx="2">
                  <c:v>7.666666666666667</c:v>
                </c:pt>
                <c:pt idx="3">
                  <c:v>8.75</c:v>
                </c:pt>
                <c:pt idx="4">
                  <c:v>8</c:v>
                </c:pt>
                <c:pt idx="5">
                  <c:v>8.5</c:v>
                </c:pt>
                <c:pt idx="6">
                  <c:v>12.142857142857142</c:v>
                </c:pt>
                <c:pt idx="7">
                  <c:v>14.25</c:v>
                </c:pt>
                <c:pt idx="8">
                  <c:v>17.777777777777779</c:v>
                </c:pt>
                <c:pt idx="9">
                  <c:v>20.6</c:v>
                </c:pt>
                <c:pt idx="10">
                  <c:v>24.636363636363637</c:v>
                </c:pt>
                <c:pt idx="11">
                  <c:v>26.75</c:v>
                </c:pt>
                <c:pt idx="12">
                  <c:v>28.692307692307693</c:v>
                </c:pt>
                <c:pt idx="13">
                  <c:v>32.571428571428569</c:v>
                </c:pt>
                <c:pt idx="14">
                  <c:v>39.733333333333334</c:v>
                </c:pt>
                <c:pt idx="15">
                  <c:v>49.875</c:v>
                </c:pt>
                <c:pt idx="16">
                  <c:v>67.058823529411768</c:v>
                </c:pt>
                <c:pt idx="17">
                  <c:v>76.222222222222229</c:v>
                </c:pt>
                <c:pt idx="18">
                  <c:v>81.21052631578948</c:v>
                </c:pt>
                <c:pt idx="19">
                  <c:v>97.95</c:v>
                </c:pt>
                <c:pt idx="20">
                  <c:v>125.04761904761905</c:v>
                </c:pt>
                <c:pt idx="21">
                  <c:v>146.77272727272728</c:v>
                </c:pt>
                <c:pt idx="22">
                  <c:v>173.17391304347825</c:v>
                </c:pt>
                <c:pt idx="23">
                  <c:v>209.08333333333334</c:v>
                </c:pt>
                <c:pt idx="24">
                  <c:v>227.32</c:v>
                </c:pt>
                <c:pt idx="25">
                  <c:v>255.76923076923077</c:v>
                </c:pt>
                <c:pt idx="26">
                  <c:v>299.14814814814815</c:v>
                </c:pt>
                <c:pt idx="27">
                  <c:v>340.32142857142856</c:v>
                </c:pt>
                <c:pt idx="28">
                  <c:v>402</c:v>
                </c:pt>
                <c:pt idx="29">
                  <c:v>485.96666666666664</c:v>
                </c:pt>
                <c:pt idx="30">
                  <c:v>551.25806451612902</c:v>
                </c:pt>
                <c:pt idx="31">
                  <c:v>610.0625</c:v>
                </c:pt>
                <c:pt idx="32">
                  <c:v>670.93939393939399</c:v>
                </c:pt>
                <c:pt idx="33">
                  <c:v>739.70588235294122</c:v>
                </c:pt>
                <c:pt idx="34">
                  <c:v>842.11428571428576</c:v>
                </c:pt>
                <c:pt idx="35">
                  <c:v>921.61111111111109</c:v>
                </c:pt>
                <c:pt idx="36">
                  <c:v>1031.5675675675675</c:v>
                </c:pt>
                <c:pt idx="37">
                  <c:v>1102.7105263157894</c:v>
                </c:pt>
                <c:pt idx="38">
                  <c:v>1225.7948717948718</c:v>
                </c:pt>
                <c:pt idx="39">
                  <c:v>1290.2</c:v>
                </c:pt>
                <c:pt idx="40">
                  <c:v>1347.3658536585365</c:v>
                </c:pt>
                <c:pt idx="41">
                  <c:v>1446.9761904761904</c:v>
                </c:pt>
                <c:pt idx="42">
                  <c:v>1513.4186046511627</c:v>
                </c:pt>
                <c:pt idx="43">
                  <c:v>1597.090909090909</c:v>
                </c:pt>
                <c:pt idx="44">
                  <c:v>1755.3555555555556</c:v>
                </c:pt>
                <c:pt idx="45">
                  <c:v>1832.1521739130435</c:v>
                </c:pt>
                <c:pt idx="46">
                  <c:v>1885.5531914893618</c:v>
                </c:pt>
                <c:pt idx="47">
                  <c:v>1955.6875</c:v>
                </c:pt>
                <c:pt idx="48">
                  <c:v>2009.7142857142858</c:v>
                </c:pt>
                <c:pt idx="49">
                  <c:v>2061.86</c:v>
                </c:pt>
                <c:pt idx="50">
                  <c:v>2131.2156862745096</c:v>
                </c:pt>
                <c:pt idx="51">
                  <c:v>2196.4807692307691</c:v>
                </c:pt>
                <c:pt idx="52">
                  <c:v>2265.4150943396226</c:v>
                </c:pt>
                <c:pt idx="53">
                  <c:v>2310.0555555555557</c:v>
                </c:pt>
                <c:pt idx="54">
                  <c:v>2346.2545454545457</c:v>
                </c:pt>
                <c:pt idx="55">
                  <c:v>2383.8392857142858</c:v>
                </c:pt>
                <c:pt idx="56">
                  <c:v>2422.4210526315787</c:v>
                </c:pt>
                <c:pt idx="57">
                  <c:v>2473.5172413793102</c:v>
                </c:pt>
                <c:pt idx="58">
                  <c:v>2514.8644067796608</c:v>
                </c:pt>
                <c:pt idx="59">
                  <c:v>2547.3333333333335</c:v>
                </c:pt>
                <c:pt idx="60">
                  <c:v>2576.2131147540986</c:v>
                </c:pt>
                <c:pt idx="61">
                  <c:v>2599.1129032258063</c:v>
                </c:pt>
                <c:pt idx="62">
                  <c:v>2622.5555555555557</c:v>
                </c:pt>
                <c:pt idx="63">
                  <c:v>2675.828125</c:v>
                </c:pt>
                <c:pt idx="64">
                  <c:v>2730.0615384615385</c:v>
                </c:pt>
                <c:pt idx="65">
                  <c:v>2761.5151515151515</c:v>
                </c:pt>
                <c:pt idx="66">
                  <c:v>2785.0597014925374</c:v>
                </c:pt>
                <c:pt idx="67">
                  <c:v>2802.705882352941</c:v>
                </c:pt>
                <c:pt idx="68">
                  <c:v>2825.942028985507</c:v>
                </c:pt>
                <c:pt idx="69">
                  <c:v>2872.8714285714286</c:v>
                </c:pt>
                <c:pt idx="70">
                  <c:v>2911.4788732394368</c:v>
                </c:pt>
                <c:pt idx="71">
                  <c:v>2935.6111111111113</c:v>
                </c:pt>
                <c:pt idx="72">
                  <c:v>2948.7671232876714</c:v>
                </c:pt>
                <c:pt idx="73">
                  <c:v>2961.9324324324325</c:v>
                </c:pt>
                <c:pt idx="74">
                  <c:v>2974.1333333333332</c:v>
                </c:pt>
                <c:pt idx="75">
                  <c:v>2979.7763157894738</c:v>
                </c:pt>
                <c:pt idx="76">
                  <c:v>2983.181818181818</c:v>
                </c:pt>
                <c:pt idx="77">
                  <c:v>2989.1153846153848</c:v>
                </c:pt>
                <c:pt idx="78">
                  <c:v>2996.3417721518986</c:v>
                </c:pt>
                <c:pt idx="79">
                  <c:v>3002.0124999999998</c:v>
                </c:pt>
                <c:pt idx="80">
                  <c:v>3003.7407407407409</c:v>
                </c:pt>
                <c:pt idx="81">
                  <c:v>3004.9512195121952</c:v>
                </c:pt>
                <c:pt idx="82">
                  <c:v>2997.8072289156626</c:v>
                </c:pt>
                <c:pt idx="83">
                  <c:v>2955.8690476190477</c:v>
                </c:pt>
                <c:pt idx="84">
                  <c:v>2951.8588235294119</c:v>
                </c:pt>
                <c:pt idx="85">
                  <c:v>2955.7558139534885</c:v>
                </c:pt>
                <c:pt idx="86">
                  <c:v>2955.7931034482758</c:v>
                </c:pt>
                <c:pt idx="87">
                  <c:v>2949.534090909091</c:v>
                </c:pt>
                <c:pt idx="88">
                  <c:v>2934.6516853932585</c:v>
                </c:pt>
                <c:pt idx="89">
                  <c:v>2946.9666666666667</c:v>
                </c:pt>
                <c:pt idx="90">
                  <c:v>2936.7032967032969</c:v>
                </c:pt>
                <c:pt idx="91">
                  <c:v>2925.2934782608695</c:v>
                </c:pt>
                <c:pt idx="92">
                  <c:v>2916.3655913978496</c:v>
                </c:pt>
                <c:pt idx="93">
                  <c:v>2902.4042553191489</c:v>
                </c:pt>
                <c:pt idx="94">
                  <c:v>2892.2315789473682</c:v>
                </c:pt>
                <c:pt idx="95">
                  <c:v>2878.4583333333335</c:v>
                </c:pt>
                <c:pt idx="96">
                  <c:v>2865.8247422680411</c:v>
                </c:pt>
                <c:pt idx="97">
                  <c:v>2855.6734693877552</c:v>
                </c:pt>
                <c:pt idx="98">
                  <c:v>2845.060606060606</c:v>
                </c:pt>
                <c:pt idx="99">
                  <c:v>2833.11</c:v>
                </c:pt>
                <c:pt idx="100">
                  <c:v>2820.4752475247524</c:v>
                </c:pt>
                <c:pt idx="101">
                  <c:v>2805.8235294117649</c:v>
                </c:pt>
                <c:pt idx="102">
                  <c:v>2790.2815533980583</c:v>
                </c:pt>
                <c:pt idx="103">
                  <c:v>2780.1923076923076</c:v>
                </c:pt>
                <c:pt idx="104">
                  <c:v>2763.2666666666669</c:v>
                </c:pt>
                <c:pt idx="105">
                  <c:v>2749.1415094339623</c:v>
                </c:pt>
                <c:pt idx="106">
                  <c:v>2737.8504672897197</c:v>
                </c:pt>
                <c:pt idx="107">
                  <c:v>2725.6944444444443</c:v>
                </c:pt>
                <c:pt idx="108">
                  <c:v>2714.5779816513759</c:v>
                </c:pt>
                <c:pt idx="109">
                  <c:v>2698.7</c:v>
                </c:pt>
                <c:pt idx="110">
                  <c:v>2685.9099099099099</c:v>
                </c:pt>
                <c:pt idx="111">
                  <c:v>2671.8839285714284</c:v>
                </c:pt>
                <c:pt idx="112">
                  <c:v>2659.0176991150443</c:v>
                </c:pt>
                <c:pt idx="113">
                  <c:v>2647.5</c:v>
                </c:pt>
                <c:pt idx="114">
                  <c:v>2635.7391304347825</c:v>
                </c:pt>
                <c:pt idx="115">
                  <c:v>2623.5431034482758</c:v>
                </c:pt>
                <c:pt idx="116">
                  <c:v>2609.3076923076924</c:v>
                </c:pt>
                <c:pt idx="117">
                  <c:v>2595</c:v>
                </c:pt>
                <c:pt idx="118">
                  <c:v>2578.6722689075632</c:v>
                </c:pt>
                <c:pt idx="119">
                  <c:v>2566.5</c:v>
                </c:pt>
                <c:pt idx="120">
                  <c:v>2556.6942148760331</c:v>
                </c:pt>
                <c:pt idx="121">
                  <c:v>2543.032786885246</c:v>
                </c:pt>
                <c:pt idx="122">
                  <c:v>2529.6829268292681</c:v>
                </c:pt>
                <c:pt idx="123">
                  <c:v>2515.8467741935483</c:v>
                </c:pt>
                <c:pt idx="124">
                  <c:v>2501.232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C-5C46-9F2E-6F4CAB9DA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3479720"/>
        <c:axId val="-2063069416"/>
      </c:lineChart>
      <c:dateAx>
        <c:axId val="-20634797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-2063069416"/>
        <c:crosses val="autoZero"/>
        <c:auto val="1"/>
        <c:lblOffset val="100"/>
        <c:baseTimeUnit val="days"/>
      </c:dateAx>
      <c:valAx>
        <c:axId val="-2063069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63479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MY=I(t)</c:v>
          </c:tx>
          <c:spPr>
            <a:ln w="28575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UKCovid!$A$7:$A$131</c:f>
              <c:numCache>
                <c:formatCode>d\-mmm</c:formatCode>
                <c:ptCount val="125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</c:numCache>
            </c:numRef>
          </c:cat>
          <c:val>
            <c:numRef>
              <c:f>UKCovid!$G$7:$G$131</c:f>
              <c:numCache>
                <c:formatCode>General</c:formatCode>
                <c:ptCount val="125"/>
                <c:pt idx="4" formatCode="_(* #,##0.0_);_(* \(#,##0.0\);_(* &quot;-&quot;??_);_(@_)">
                  <c:v>8</c:v>
                </c:pt>
                <c:pt idx="5" formatCode="_(* #,##0.0_);_(* \(#,##0.0\);_(* &quot;-&quot;??_);_(@_)">
                  <c:v>9</c:v>
                </c:pt>
                <c:pt idx="6" formatCode="_(* #,##0.0_);_(* \(#,##0.0\);_(* &quot;-&quot;??_);_(@_)">
                  <c:v>17.333333333333332</c:v>
                </c:pt>
                <c:pt idx="7" formatCode="_(* #,##0.0_);_(* \(#,##0.0\);_(* &quot;-&quot;??_);_(@_)">
                  <c:v>21.222222222222221</c:v>
                </c:pt>
                <c:pt idx="8" formatCode="_(* #,##0.0_);_(* \(#,##0.0\);_(* &quot;-&quot;??_);_(@_)">
                  <c:v>29.481481481481481</c:v>
                </c:pt>
                <c:pt idx="9" formatCode="_(* #,##0.0_);_(* \(#,##0.0\);_(* &quot;-&quot;??_);_(@_)">
                  <c:v>34.987654320987652</c:v>
                </c:pt>
                <c:pt idx="10" formatCode="_(* #,##0.0_);_(* \(#,##0.0\);_(* &quot;-&quot;??_);_(@_)">
                  <c:v>44.991769547325099</c:v>
                </c:pt>
                <c:pt idx="11" formatCode="_(* #,##0.0_);_(* \(#,##0.0\);_(* &quot;-&quot;??_);_(@_)">
                  <c:v>46.661179698216735</c:v>
                </c:pt>
                <c:pt idx="12" formatCode="_(* #,##0.0_);_(* \(#,##0.0\);_(* &quot;-&quot;??_);_(@_)">
                  <c:v>48.440786465477821</c:v>
                </c:pt>
                <c:pt idx="13" formatCode="_(* #,##0.0_);_(* \(#,##0.0\);_(* &quot;-&quot;??_);_(@_)">
                  <c:v>59.960524310318547</c:v>
                </c:pt>
                <c:pt idx="14" formatCode="_(* #,##0.0_);_(* \(#,##0.0\);_(* &quot;-&quot;??_);_(@_)">
                  <c:v>86.640349540212355</c:v>
                </c:pt>
                <c:pt idx="15" formatCode="_(* #,##0.0_);_(* \(#,##0.0\);_(* &quot;-&quot;??_);_(@_)">
                  <c:v>125.09356636014157</c:v>
                </c:pt>
                <c:pt idx="16" formatCode="_(* #,##0.0_);_(* \(#,##0.0\);_(* &quot;-&quot;??_);_(@_)">
                  <c:v>197.39571090676105</c:v>
                </c:pt>
                <c:pt idx="17" formatCode="_(* #,##0.0_);_(* \(#,##0.0\);_(* &quot;-&quot;??_);_(@_)">
                  <c:v>208.9304739378407</c:v>
                </c:pt>
                <c:pt idx="18" formatCode="_(* #,##0.0_);_(* \(#,##0.0\);_(* &quot;-&quot;??_);_(@_)">
                  <c:v>196.28698262522713</c:v>
                </c:pt>
                <c:pt idx="19" formatCode="_(* #,##0.0_);_(* \(#,##0.0\);_(* &quot;-&quot;??_);_(@_)">
                  <c:v>269.52465508348473</c:v>
                </c:pt>
                <c:pt idx="20" formatCode="_(* #,##0.0_);_(* \(#,##0.0\);_(* &quot;-&quot;??_);_(@_)">
                  <c:v>402.01643672232314</c:v>
                </c:pt>
                <c:pt idx="21" formatCode="_(* #,##0.0_);_(* \(#,##0.0\);_(* &quot;-&quot;??_);_(@_)">
                  <c:v>469.01095781488209</c:v>
                </c:pt>
                <c:pt idx="22" formatCode="_(* #,##0.0_);_(* \(#,##0.0\);_(* &quot;-&quot;??_);_(@_)">
                  <c:v>564.00730520992136</c:v>
                </c:pt>
                <c:pt idx="23" formatCode="_(* #,##0.0_);_(* \(#,##0.0\);_(* &quot;-&quot;??_);_(@_)">
                  <c:v>721.00487013994757</c:v>
                </c:pt>
                <c:pt idx="24" formatCode="_(* #,##0.0_);_(* \(#,##0.0\);_(* &quot;-&quot;??_);_(@_)">
                  <c:v>702.33658009329838</c:v>
                </c:pt>
                <c:pt idx="25" formatCode="_(* #,##0.0_);_(* \(#,##0.0\);_(* &quot;-&quot;??_);_(@_)">
                  <c:v>790.55772006219888</c:v>
                </c:pt>
                <c:pt idx="26" formatCode="_(* #,##0.0_);_(* \(#,##0.0\);_(* &quot;-&quot;??_);_(@_)">
                  <c:v>1002.7051467081326</c:v>
                </c:pt>
                <c:pt idx="27" formatCode="_(* #,##0.0_);_(* \(#,##0.0\);_(* &quot;-&quot;??_);_(@_)">
                  <c:v>1152.4700978054218</c:v>
                </c:pt>
                <c:pt idx="28" formatCode="_(* #,##0.0_);_(* \(#,##0.0\);_(* &quot;-&quot;??_);_(@_)">
                  <c:v>1477.9800652036145</c:v>
                </c:pt>
                <c:pt idx="29" formatCode="_(* #,##0.0_);_(* \(#,##0.0\);_(* &quot;-&quot;??_);_(@_)">
                  <c:v>1958.9867101357429</c:v>
                </c:pt>
                <c:pt idx="30" formatCode="_(* #,##0.0_);_(* \(#,##0.0\);_(* &quot;-&quot;??_);_(@_)">
                  <c:v>2142.6578067571618</c:v>
                </c:pt>
                <c:pt idx="31" formatCode="_(* #,##0.0_);_(* \(#,##0.0\);_(* &quot;-&quot;??_);_(@_)">
                  <c:v>2239.438537838108</c:v>
                </c:pt>
                <c:pt idx="32" formatCode="_(* #,##0.0_);_(* \(#,##0.0\);_(* &quot;-&quot;??_);_(@_)">
                  <c:v>2365.9590252254052</c:v>
                </c:pt>
                <c:pt idx="33" formatCode="_(* #,##0.0_);_(* \(#,##0.0\);_(* &quot;-&quot;??_);_(@_)">
                  <c:v>2580.3060168169368</c:v>
                </c:pt>
                <c:pt idx="34" formatCode="_(* #,##0.0_);_(* \(#,##0.0\);_(* &quot;-&quot;??_);_(@_)">
                  <c:v>3161.5373445446244</c:v>
                </c:pt>
                <c:pt idx="35" formatCode="_(* #,##0.0_);_(* \(#,##0.0\);_(* &quot;-&quot;??_);_(@_)">
                  <c:v>3342.3582296964164</c:v>
                </c:pt>
                <c:pt idx="36" formatCode="_(* #,##0.0_);_(* \(#,##0.0\);_(* &quot;-&quot;??_);_(@_)">
                  <c:v>3891.5721531309441</c:v>
                </c:pt>
                <c:pt idx="37" formatCode="_(* #,##0.0_);_(* \(#,##0.0\);_(* &quot;-&quot;??_);_(@_)">
                  <c:v>3839.3814354206293</c:v>
                </c:pt>
                <c:pt idx="38" formatCode="_(* #,##0.0_);_(* \(#,##0.0\);_(* &quot;-&quot;??_);_(@_)">
                  <c:v>4527.2542902804198</c:v>
                </c:pt>
                <c:pt idx="39" formatCode="_(* #,##0.0_);_(* \(#,##0.0\);_(* &quot;-&quot;??_);_(@_)">
                  <c:v>4285.5028601869462</c:v>
                </c:pt>
                <c:pt idx="40" formatCode="_(* #,##0.0_);_(* \(#,##0.0\);_(* &quot;-&quot;??_);_(@_)">
                  <c:v>4068.3352401246307</c:v>
                </c:pt>
                <c:pt idx="41" formatCode="_(* #,##0.0_);_(* \(#,##0.0\);_(* &quot;-&quot;??_);_(@_)">
                  <c:v>4555.8901600830868</c:v>
                </c:pt>
                <c:pt idx="42" formatCode="_(* #,##0.0_);_(* \(#,##0.0\);_(* &quot;-&quot;??_);_(@_)">
                  <c:v>4471.9267733887245</c:v>
                </c:pt>
                <c:pt idx="43" formatCode="_(* #,##0.0_);_(* \(#,##0.0\);_(* &quot;-&quot;??_);_(@_)">
                  <c:v>4712.9511822591494</c:v>
                </c:pt>
                <c:pt idx="44" formatCode="_(* #,##0.0_);_(* \(#,##0.0\);_(* &quot;-&quot;??_);_(@_)">
                  <c:v>6048.3007881727663</c:v>
                </c:pt>
                <c:pt idx="45" formatCode="_(* #,##0.0_);_(* \(#,##0.0\);_(* &quot;-&quot;??_);_(@_)">
                  <c:v>5794.8671921151772</c:v>
                </c:pt>
                <c:pt idx="46" formatCode="_(* #,##0.0_);_(* \(#,##0.0\);_(* &quot;-&quot;??_);_(@_)">
                  <c:v>5310.5781280767851</c:v>
                </c:pt>
                <c:pt idx="47" formatCode="_(* #,##0.0_);_(* \(#,##0.0\);_(* &quot;-&quot;??_);_(@_)">
                  <c:v>5291.0520853845237</c:v>
                </c:pt>
                <c:pt idx="48" formatCode="_(* #,##0.0_);_(* \(#,##0.0\);_(* &quot;-&quot;??_);_(@_)">
                  <c:v>5061.7013902563494</c:v>
                </c:pt>
                <c:pt idx="49" formatCode="_(* #,##0.0_);_(* \(#,##0.0\);_(* &quot;-&quot;??_);_(@_)">
                  <c:v>4913.4675935042333</c:v>
                </c:pt>
                <c:pt idx="50" formatCode="_(* #,##0.0_);_(* \(#,##0.0\);_(* &quot;-&quot;??_);_(@_)">
                  <c:v>5141.9783956694891</c:v>
                </c:pt>
                <c:pt idx="51" formatCode="_(* #,##0.0_);_(* \(#,##0.0\);_(* &quot;-&quot;??_);_(@_)">
                  <c:v>5269.6522637796597</c:v>
                </c:pt>
                <c:pt idx="52" formatCode="_(* #,##0.0_);_(* \(#,##0.0\);_(* &quot;-&quot;??_);_(@_)">
                  <c:v>5463.1015091864401</c:v>
                </c:pt>
                <c:pt idx="53" formatCode="_(* #,##0.0_);_(* \(#,##0.0\);_(* &quot;-&quot;??_);_(@_)">
                  <c:v>5200.7343394576264</c:v>
                </c:pt>
                <c:pt idx="54" formatCode="_(* #,##0.0_);_(* \(#,##0.0\);_(* &quot;-&quot;??_);_(@_)">
                  <c:v>4900.8228929717507</c:v>
                </c:pt>
                <c:pt idx="55" formatCode="_(* #,##0.0_);_(* \(#,##0.0\);_(* &quot;-&quot;??_);_(@_)">
                  <c:v>4750.8819286478338</c:v>
                </c:pt>
                <c:pt idx="56" formatCode="_(* #,##0.0_);_(* \(#,##0.0\);_(* &quot;-&quot;??_);_(@_)">
                  <c:v>4694.9212857652228</c:v>
                </c:pt>
                <c:pt idx="57" formatCode="_(* #,##0.0_);_(* \(#,##0.0\);_(* &quot;-&quot;??_);_(@_)">
                  <c:v>4925.2808571768155</c:v>
                </c:pt>
                <c:pt idx="58" formatCode="_(* #,##0.0_);_(* \(#,##0.0\);_(* &quot;-&quot;??_);_(@_)">
                  <c:v>4921.1872381178773</c:v>
                </c:pt>
                <c:pt idx="59" formatCode="_(* #,##0.0_);_(* \(#,##0.0\);_(* &quot;-&quot;??_);_(@_)">
                  <c:v>4768.4581587452512</c:v>
                </c:pt>
                <c:pt idx="60" formatCode="_(* #,##0.0_);_(* \(#,##0.0\);_(* &quot;-&quot;??_);_(@_)">
                  <c:v>4615.3054391635005</c:v>
                </c:pt>
                <c:pt idx="61" formatCode="_(* #,##0.0_);_(* \(#,##0.0\);_(* &quot;-&quot;??_);_(@_)">
                  <c:v>4408.8702927756667</c:v>
                </c:pt>
                <c:pt idx="62" formatCode="_(* #,##0.0_);_(* \(#,##0.0\);_(* &quot;-&quot;??_);_(@_)">
                  <c:v>4297.9135285171114</c:v>
                </c:pt>
                <c:pt idx="63" formatCode="_(* #,##0.0_);_(* \(#,##0.0\);_(* &quot;-&quot;??_);_(@_)">
                  <c:v>4875.9423523447413</c:v>
                </c:pt>
                <c:pt idx="64" formatCode="_(* #,##0.0_);_(* \(#,##0.0\);_(* &quot;-&quot;??_);_(@_)">
                  <c:v>5317.6282348964942</c:v>
                </c:pt>
                <c:pt idx="65" formatCode="_(* #,##0.0_);_(* \(#,##0.0\);_(* &quot;-&quot;??_);_(@_)">
                  <c:v>5147.0854899309961</c:v>
                </c:pt>
                <c:pt idx="66" formatCode="_(* #,##0.0_);_(* \(#,##0.0\);_(* &quot;-&quot;??_);_(@_)">
                  <c:v>4877.7236599539974</c:v>
                </c:pt>
                <c:pt idx="67" formatCode="_(* #,##0.0_);_(* \(#,##0.0\);_(* &quot;-&quot;??_);_(@_)">
                  <c:v>4580.1491066359986</c:v>
                </c:pt>
                <c:pt idx="68" formatCode="_(* #,##0.0_);_(* \(#,##0.0\);_(* &quot;-&quot;??_);_(@_)">
                  <c:v>4522.0994044239987</c:v>
                </c:pt>
                <c:pt idx="69" formatCode="_(* #,##0.0_);_(* \(#,##0.0\);_(* &quot;-&quot;??_);_(@_)">
                  <c:v>5051.7329362826658</c:v>
                </c:pt>
                <c:pt idx="70" formatCode="_(* #,##0.0_);_(* \(#,##0.0\);_(* &quot;-&quot;??_);_(@_)">
                  <c:v>5239.1552908551103</c:v>
                </c:pt>
                <c:pt idx="71" formatCode="_(* #,##0.0_);_(* \(#,##0.0\);_(* &quot;-&quot;??_);_(@_)">
                  <c:v>5042.4368605700738</c:v>
                </c:pt>
                <c:pt idx="72" formatCode="_(* #,##0.0_);_(* \(#,##0.0\);_(* &quot;-&quot;??_);_(@_)">
                  <c:v>4660.2912403800492</c:v>
                </c:pt>
                <c:pt idx="73" formatCode="_(* #,##0.0_);_(* \(#,##0.0\);_(* &quot;-&quot;??_);_(@_)">
                  <c:v>4414.5274935866992</c:v>
                </c:pt>
                <c:pt idx="74" formatCode="_(* #,##0.0_);_(* \(#,##0.0\);_(* &quot;-&quot;??_);_(@_)">
                  <c:v>4235.3516623911328</c:v>
                </c:pt>
                <c:pt idx="75" formatCode="_(* #,##0.0_);_(* \(#,##0.0\);_(* &quot;-&quot;??_);_(@_)">
                  <c:v>3957.9011082607553</c:v>
                </c:pt>
                <c:pt idx="76" formatCode="_(* #,##0.0_);_(* \(#,##0.0\);_(* &quot;-&quot;??_);_(@_)">
                  <c:v>3719.2674055071702</c:v>
                </c:pt>
                <c:pt idx="77" formatCode="_(* #,##0.0_);_(* \(#,##0.0\);_(* &quot;-&quot;??_);_(@_)">
                  <c:v>3628.1782703381136</c:v>
                </c:pt>
                <c:pt idx="78" formatCode="_(* #,##0.0_);_(* \(#,##0.0\);_(* &quot;-&quot;??_);_(@_)">
                  <c:v>3605.4521802254089</c:v>
                </c:pt>
                <c:pt idx="79" formatCode="_(* #,##0.0_);_(* \(#,##0.0\);_(* &quot;-&quot;??_);_(@_)">
                  <c:v>3553.6347868169391</c:v>
                </c:pt>
                <c:pt idx="80" formatCode="_(* #,##0.0_);_(* \(#,##0.0\);_(* &quot;-&quot;??_);_(@_)">
                  <c:v>3416.4231912112928</c:v>
                </c:pt>
                <c:pt idx="81" formatCode="_(* #,##0.0_);_(* \(#,##0.0\);_(* &quot;-&quot;??_);_(@_)">
                  <c:v>3311.948794140862</c:v>
                </c:pt>
                <c:pt idx="82" formatCode="_(* #,##0.0_);_(* \(#,##0.0\);_(* &quot;-&quot;??_);_(@_)">
                  <c:v>3011.9658627605745</c:v>
                </c:pt>
                <c:pt idx="83" formatCode="_(* #,##0.0_);_(* \(#,##0.0\);_(* &quot;-&quot;??_);_(@_)">
                  <c:v>1832.9772418403832</c:v>
                </c:pt>
                <c:pt idx="84" formatCode="_(* #,##0.0_);_(* \(#,##0.0\);_(* &quot;-&quot;??_);_(@_)">
                  <c:v>2093.6514945602553</c:v>
                </c:pt>
                <c:pt idx="85" formatCode="_(* #,##0.0_);_(* \(#,##0.0\);_(* &quot;-&quot;??_);_(@_)">
                  <c:v>2491.4343297068367</c:v>
                </c:pt>
                <c:pt idx="86" formatCode="_(* #,##0.0_);_(* \(#,##0.0\);_(* &quot;-&quot;??_);_(@_)">
                  <c:v>2647.2895531378913</c:v>
                </c:pt>
                <c:pt idx="87" formatCode="_(* #,##0.0_);_(* \(#,##0.0\);_(* &quot;-&quot;??_);_(@_)">
                  <c:v>2566.5263687585943</c:v>
                </c:pt>
                <c:pt idx="88" formatCode="_(* #,##0.0_);_(* \(#,##0.0\);_(* &quot;-&quot;??_);_(@_)">
                  <c:v>2252.6842458390629</c:v>
                </c:pt>
                <c:pt idx="89" formatCode="_(* #,##0.0_);_(* \(#,##0.0\);_(* &quot;-&quot;??_);_(@_)">
                  <c:v>2849.4561638927084</c:v>
                </c:pt>
                <c:pt idx="90" formatCode="_(* #,##0.0_);_(* \(#,##0.0\);_(* &quot;-&quot;??_);_(@_)">
                  <c:v>2570.637442595139</c:v>
                </c:pt>
                <c:pt idx="91" formatCode="_(* #,##0.0_);_(* \(#,##0.0\);_(* &quot;-&quot;??_);_(@_)">
                  <c:v>2342.758295063426</c:v>
                </c:pt>
                <c:pt idx="92" formatCode="_(* #,##0.0_);_(* \(#,##0.0\);_(* &quot;-&quot;??_);_(@_)">
                  <c:v>2260.1721967089507</c:v>
                </c:pt>
                <c:pt idx="93" formatCode="_(* #,##0.0_);_(* \(#,##0.0\);_(* &quot;-&quot;??_);_(@_)">
                  <c:v>2041.4481311393004</c:v>
                </c:pt>
                <c:pt idx="94" formatCode="_(* #,##0.0_);_(* \(#,##0.0\);_(* &quot;-&quot;??_);_(@_)">
                  <c:v>2006.2987540928668</c:v>
                </c:pt>
                <c:pt idx="95" formatCode="_(* #,##0.0_);_(* \(#,##0.0\);_(* &quot;-&quot;??_);_(@_)">
                  <c:v>1860.8658360619113</c:v>
                </c:pt>
                <c:pt idx="96" formatCode="_(* #,##0.0_);_(* \(#,##0.0\);_(* &quot;-&quot;??_);_(@_)">
                  <c:v>1791.5772240412741</c:v>
                </c:pt>
                <c:pt idx="97" formatCode="_(* #,##0.0_);_(* \(#,##0.0\);_(* &quot;-&quot;??_);_(@_)">
                  <c:v>1818.0514826941828</c:v>
                </c:pt>
                <c:pt idx="98" formatCode="_(* #,##0.0_);_(* \(#,##0.0\);_(* &quot;-&quot;??_);_(@_)">
                  <c:v>1813.7009884627885</c:v>
                </c:pt>
                <c:pt idx="99" formatCode="_(* #,##0.0_);_(* \(#,##0.0\);_(* &quot;-&quot;??_);_(@_)">
                  <c:v>1759.1339923085256</c:v>
                </c:pt>
                <c:pt idx="100" formatCode="_(* #,##0.0_);_(* \(#,##0.0\);_(* &quot;-&quot;??_);_(@_)">
                  <c:v>1691.7559948723504</c:v>
                </c:pt>
                <c:pt idx="101" formatCode="_(* #,##0.0_);_(* \(#,##0.0\);_(* &quot;-&quot;??_);_(@_)">
                  <c:v>1569.8373299149002</c:v>
                </c:pt>
                <c:pt idx="102" formatCode="_(* #,##0.0_);_(* \(#,##0.0\);_(* &quot;-&quot;??_);_(@_)">
                  <c:v>1448.2248866099335</c:v>
                </c:pt>
                <c:pt idx="103" formatCode="_(* #,##0.0_);_(* \(#,##0.0\);_(* &quot;-&quot;??_);_(@_)">
                  <c:v>1545.8165910732889</c:v>
                </c:pt>
                <c:pt idx="104" formatCode="_(* #,##0.0_);_(* \(#,##0.0\);_(* &quot;-&quot;??_);_(@_)">
                  <c:v>1364.8777273821927</c:v>
                </c:pt>
                <c:pt idx="105" formatCode="_(* #,##0.0_);_(* \(#,##0.0\);_(* &quot;-&quot;??_);_(@_)">
                  <c:v>1331.9184849214619</c:v>
                </c:pt>
                <c:pt idx="106" formatCode="_(* #,##0.0_);_(* \(#,##0.0\);_(* &quot;-&quot;??_);_(@_)">
                  <c:v>1401.6123232809746</c:v>
                </c:pt>
                <c:pt idx="107" formatCode="_(* #,##0.0_);_(* \(#,##0.0\);_(* &quot;-&quot;??_);_(@_)">
                  <c:v>1409.4082155206497</c:v>
                </c:pt>
                <c:pt idx="108" formatCode="_(* #,##0.0_);_(* \(#,##0.0\);_(* &quot;-&quot;??_);_(@_)">
                  <c:v>1444.2721436804331</c:v>
                </c:pt>
                <c:pt idx="109" formatCode="_(* #,##0.0_);_(* \(#,##0.0\);_(* &quot;-&quot;??_);_(@_)">
                  <c:v>1285.5147624536221</c:v>
                </c:pt>
                <c:pt idx="110" formatCode="_(* #,##0.0_);_(* \(#,##0.0\);_(* &quot;-&quot;??_);_(@_)">
                  <c:v>1283.3431749690815</c:v>
                </c:pt>
                <c:pt idx="111" formatCode="_(* #,##0.0_);_(* \(#,##0.0\);_(* &quot;-&quot;??_);_(@_)">
                  <c:v>1227.2287833127209</c:v>
                </c:pt>
                <c:pt idx="112" formatCode="_(* #,##0.0_);_(* \(#,##0.0\);_(* &quot;-&quot;??_);_(@_)">
                  <c:v>1224.1525222084806</c:v>
                </c:pt>
                <c:pt idx="113" formatCode="_(* #,##0.0_);_(* \(#,##0.0\);_(* &quot;-&quot;??_);_(@_)">
                  <c:v>1264.768348138987</c:v>
                </c:pt>
                <c:pt idx="114" formatCode="_(* #,##0.0_);_(* \(#,##0.0\);_(* &quot;-&quot;??_);_(@_)">
                  <c:v>1274.8455654259913</c:v>
                </c:pt>
                <c:pt idx="115" formatCode="_(* #,##0.0_);_(* \(#,##0.0\);_(* &quot;-&quot;??_);_(@_)">
                  <c:v>1256.8970436173274</c:v>
                </c:pt>
                <c:pt idx="116" formatCode="_(* #,##0.0_);_(* \(#,##0.0\);_(* &quot;-&quot;??_);_(@_)">
                  <c:v>1157.2646957448849</c:v>
                </c:pt>
                <c:pt idx="117" formatCode="_(* #,##0.0_);_(* \(#,##0.0\);_(* &quot;-&quot;??_);_(@_)">
                  <c:v>1078.5097971632565</c:v>
                </c:pt>
                <c:pt idx="118" formatCode="_(* #,##0.0_);_(* \(#,##0.0\);_(* &quot;-&quot;??_);_(@_)">
                  <c:v>936.33986477550434</c:v>
                </c:pt>
                <c:pt idx="119" formatCode="_(* #,##0.0_);_(* \(#,##0.0\);_(* &quot;-&quot;??_);_(@_)">
                  <c:v>996.8932431836696</c:v>
                </c:pt>
                <c:pt idx="120" formatCode="_(* #,##0.0_);_(* \(#,##0.0\);_(* &quot;-&quot;??_);_(@_)">
                  <c:v>1124.5954954557797</c:v>
                </c:pt>
                <c:pt idx="121" formatCode="_(* #,##0.0_);_(* \(#,##0.0\);_(* &quot;-&quot;??_);_(@_)">
                  <c:v>1046.3969969705197</c:v>
                </c:pt>
                <c:pt idx="122" formatCode="_(* #,##0.0_);_(* \(#,##0.0\);_(* &quot;-&quot;??_);_(@_)">
                  <c:v>997.93133131367983</c:v>
                </c:pt>
                <c:pt idx="123" formatCode="_(* #,##0.0_);_(* \(#,##0.0\);_(* &quot;-&quot;??_);_(@_)">
                  <c:v>936.62088754245326</c:v>
                </c:pt>
                <c:pt idx="124" formatCode="_(* #,##0.0_);_(* \(#,##0.0\);_(* &quot;-&quot;??_);_(@_)">
                  <c:v>854.0805916949688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C-364A-9DEC-1379CB1379B9}"/>
            </c:ext>
          </c:extLst>
        </c:ser>
        <c:ser>
          <c:idx val="1"/>
          <c:order val="1"/>
          <c:tx>
            <c:v>AY</c:v>
          </c:tx>
          <c:spPr>
            <a:ln w="28575" cmpd="sng"/>
          </c:spPr>
          <c:marker>
            <c:symbol val="none"/>
          </c:marker>
          <c:cat>
            <c:numRef>
              <c:f>UKCovid!$A$7:$A$131</c:f>
              <c:numCache>
                <c:formatCode>d\-mmm</c:formatCode>
                <c:ptCount val="125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</c:numCache>
            </c:numRef>
          </c:cat>
          <c:val>
            <c:numRef>
              <c:f>UKCovid!$H$7:$H$131</c:f>
              <c:numCache>
                <c:formatCode>General</c:formatCode>
                <c:ptCount val="125"/>
                <c:pt idx="4" formatCode="_(* #,##0.0_);_(* \(#,##0.0\);_(* &quot;-&quot;??_);_(@_)">
                  <c:v>9.3833333333333346</c:v>
                </c:pt>
                <c:pt idx="5" formatCode="_(* #,##0.0_);_(* \(#,##0.0\);_(* &quot;-&quot;??_);_(@_)">
                  <c:v>9.0888888888888903</c:v>
                </c:pt>
                <c:pt idx="6" formatCode="_(* #,##0.0_);_(* \(#,##0.0\);_(* &quot;-&quot;??_);_(@_)">
                  <c:v>10.106878306878308</c:v>
                </c:pt>
                <c:pt idx="7" formatCode="_(* #,##0.0_);_(* \(#,##0.0\);_(* &quot;-&quot;??_);_(@_)">
                  <c:v>11.487918871252205</c:v>
                </c:pt>
                <c:pt idx="8" formatCode="_(* #,##0.0_);_(* \(#,##0.0\);_(* &quot;-&quot;??_);_(@_)">
                  <c:v>13.58453850676073</c:v>
                </c:pt>
                <c:pt idx="9" formatCode="_(* #,##0.0_);_(* \(#,##0.0\);_(* &quot;-&quot;??_);_(@_)">
                  <c:v>15.92302567117382</c:v>
                </c:pt>
                <c:pt idx="10" formatCode="_(* #,##0.0_);_(* \(#,##0.0\);_(* &quot;-&quot;??_);_(@_)">
                  <c:v>18.827471659570424</c:v>
                </c:pt>
                <c:pt idx="11" formatCode="_(* #,##0.0_);_(* \(#,##0.0\);_(* &quot;-&quot;??_);_(@_)">
                  <c:v>21.468314439713616</c:v>
                </c:pt>
                <c:pt idx="12" formatCode="_(* #,##0.0_);_(* \(#,##0.0\);_(* &quot;-&quot;??_);_(@_)">
                  <c:v>23.876312190578307</c:v>
                </c:pt>
                <c:pt idx="13" formatCode="_(* #,##0.0_);_(* \(#,##0.0\);_(* &quot;-&quot;??_);_(@_)">
                  <c:v>26.774684317528394</c:v>
                </c:pt>
                <c:pt idx="14" formatCode="_(* #,##0.0_);_(* \(#,##0.0\);_(* &quot;-&quot;??_);_(@_)">
                  <c:v>31.094233989463373</c:v>
                </c:pt>
                <c:pt idx="15" formatCode="_(* #,##0.0_);_(* \(#,##0.0\);_(* &quot;-&quot;??_);_(@_)">
                  <c:v>37.354489326308915</c:v>
                </c:pt>
                <c:pt idx="16" formatCode="_(* #,##0.0_);_(* \(#,##0.0\);_(* &quot;-&quot;??_);_(@_)">
                  <c:v>47.25593406067653</c:v>
                </c:pt>
                <c:pt idx="17" formatCode="_(* #,##0.0_);_(* \(#,##0.0\);_(* &quot;-&quot;??_);_(@_)">
                  <c:v>56.911363447858427</c:v>
                </c:pt>
                <c:pt idx="18" formatCode="_(* #,##0.0_);_(* \(#,##0.0\);_(* &quot;-&quot;??_);_(@_)">
                  <c:v>65.01108440383544</c:v>
                </c:pt>
                <c:pt idx="19" formatCode="_(* #,##0.0_);_(* \(#,##0.0\);_(* &quot;-&quot;??_);_(@_)">
                  <c:v>75.99072293589029</c:v>
                </c:pt>
                <c:pt idx="20" formatCode="_(* #,##0.0_);_(* \(#,##0.0\);_(* &quot;-&quot;??_);_(@_)">
                  <c:v>92.343021639799872</c:v>
                </c:pt>
                <c:pt idx="21" formatCode="_(* #,##0.0_);_(* \(#,##0.0\);_(* &quot;-&quot;??_);_(@_)">
                  <c:v>110.48625685077567</c:v>
                </c:pt>
                <c:pt idx="22" formatCode="_(* #,##0.0_);_(* \(#,##0.0\);_(* &quot;-&quot;??_);_(@_)">
                  <c:v>131.3821422483432</c:v>
                </c:pt>
                <c:pt idx="23" formatCode="_(* #,##0.0_);_(* \(#,##0.0\);_(* &quot;-&quot;??_);_(@_)">
                  <c:v>157.28253927667325</c:v>
                </c:pt>
                <c:pt idx="24" formatCode="_(* #,##0.0_);_(* \(#,##0.0\);_(* &quot;-&quot;??_);_(@_)">
                  <c:v>180.62835951778217</c:v>
                </c:pt>
                <c:pt idx="25" formatCode="_(* #,##0.0_);_(* \(#,##0.0\);_(* &quot;-&quot;??_);_(@_)">
                  <c:v>205.67531660159838</c:v>
                </c:pt>
                <c:pt idx="26" formatCode="_(* #,##0.0_);_(* \(#,##0.0\);_(* &quot;-&quot;??_);_(@_)">
                  <c:v>236.83292711711496</c:v>
                </c:pt>
                <c:pt idx="27" formatCode="_(* #,##0.0_);_(* \(#,##0.0\);_(* &quot;-&quot;??_);_(@_)">
                  <c:v>271.32909426855281</c:v>
                </c:pt>
                <c:pt idx="28" formatCode="_(* #,##0.0_);_(* \(#,##0.0\);_(* &quot;-&quot;??_);_(@_)">
                  <c:v>314.88606284570187</c:v>
                </c:pt>
                <c:pt idx="29" formatCode="_(* #,##0.0_);_(* \(#,##0.0\);_(* &quot;-&quot;??_);_(@_)">
                  <c:v>371.91293078602348</c:v>
                </c:pt>
                <c:pt idx="30" formatCode="_(* #,##0.0_);_(* \(#,##0.0\);_(* &quot;-&quot;??_);_(@_)">
                  <c:v>431.69464202939201</c:v>
                </c:pt>
                <c:pt idx="31" formatCode="_(* #,##0.0_);_(* \(#,##0.0\);_(* &quot;-&quot;??_);_(@_)">
                  <c:v>491.15059468626134</c:v>
                </c:pt>
                <c:pt idx="32" formatCode="_(* #,##0.0_);_(* \(#,##0.0\);_(* &quot;-&quot;??_);_(@_)">
                  <c:v>551.08019443730552</c:v>
                </c:pt>
                <c:pt idx="33" formatCode="_(* #,##0.0_);_(* \(#,##0.0\);_(* &quot;-&quot;??_);_(@_)">
                  <c:v>613.95542374251738</c:v>
                </c:pt>
                <c:pt idx="34" formatCode="_(* #,##0.0_);_(* \(#,##0.0\);_(* &quot;-&quot;??_);_(@_)">
                  <c:v>690.00837773310684</c:v>
                </c:pt>
                <c:pt idx="35" formatCode="_(* #,##0.0_);_(* \(#,##0.0\);_(* &quot;-&quot;??_);_(@_)">
                  <c:v>767.20928885910826</c:v>
                </c:pt>
                <c:pt idx="36" formatCode="_(* #,##0.0_);_(* \(#,##0.0\);_(* &quot;-&quot;??_);_(@_)">
                  <c:v>855.32871509526137</c:v>
                </c:pt>
                <c:pt idx="37" formatCode="_(* #,##0.0_);_(* \(#,##0.0\);_(* &quot;-&quot;??_);_(@_)">
                  <c:v>937.78931883543737</c:v>
                </c:pt>
                <c:pt idx="38" formatCode="_(* #,##0.0_);_(* \(#,##0.0\);_(* &quot;-&quot;??_);_(@_)">
                  <c:v>1033.7911698219154</c:v>
                </c:pt>
                <c:pt idx="39" formatCode="_(* #,##0.0_);_(* \(#,##0.0\);_(* &quot;-&quot;??_);_(@_)">
                  <c:v>1119.2607798812769</c:v>
                </c:pt>
                <c:pt idx="40" formatCode="_(* #,##0.0_);_(* \(#,##0.0\);_(* &quot;-&quot;??_);_(@_)">
                  <c:v>1195.2958044736968</c:v>
                </c:pt>
                <c:pt idx="41" formatCode="_(* #,##0.0_);_(* \(#,##0.0\);_(* &quot;-&quot;??_);_(@_)">
                  <c:v>1279.189266474528</c:v>
                </c:pt>
                <c:pt idx="42" formatCode="_(* #,##0.0_);_(* \(#,##0.0\);_(* &quot;-&quot;??_);_(@_)">
                  <c:v>1357.2657125334063</c:v>
                </c:pt>
                <c:pt idx="43" formatCode="_(* #,##0.0_);_(* \(#,##0.0\);_(* &quot;-&quot;??_);_(@_)">
                  <c:v>1437.2074447192406</c:v>
                </c:pt>
                <c:pt idx="44" formatCode="_(* #,##0.0_);_(* \(#,##0.0\);_(* &quot;-&quot;??_);_(@_)">
                  <c:v>1543.2568149980123</c:v>
                </c:pt>
                <c:pt idx="45" formatCode="_(* #,##0.0_);_(* \(#,##0.0\);_(* &quot;-&quot;??_);_(@_)">
                  <c:v>1639.5552679696893</c:v>
                </c:pt>
                <c:pt idx="46" formatCode="_(* #,##0.0_);_(* \(#,##0.0\);_(* &quot;-&quot;??_);_(@_)">
                  <c:v>1721.5545758095802</c:v>
                </c:pt>
                <c:pt idx="47" formatCode="_(* #,##0.0_);_(* \(#,##0.0\);_(* &quot;-&quot;??_);_(@_)">
                  <c:v>1799.5988838730534</c:v>
                </c:pt>
                <c:pt idx="48" formatCode="_(* #,##0.0_);_(* \(#,##0.0\);_(* &quot;-&quot;??_);_(@_)">
                  <c:v>1869.6373511534641</c:v>
                </c:pt>
                <c:pt idx="49" formatCode="_(* #,##0.0_);_(* \(#,##0.0\);_(* &quot;-&quot;??_);_(@_)">
                  <c:v>1933.7115674356428</c:v>
                </c:pt>
                <c:pt idx="50" formatCode="_(* #,##0.0_);_(* \(#,##0.0\);_(* &quot;-&quot;??_);_(@_)">
                  <c:v>1999.546273715265</c:v>
                </c:pt>
                <c:pt idx="51" formatCode="_(* #,##0.0_);_(* \(#,##0.0\);_(* &quot;-&quot;??_);_(@_)">
                  <c:v>2065.1911055537662</c:v>
                </c:pt>
                <c:pt idx="52" formatCode="_(* #,##0.0_);_(* \(#,##0.0\);_(* &quot;-&quot;??_);_(@_)">
                  <c:v>2131.9324351490518</c:v>
                </c:pt>
                <c:pt idx="53" formatCode="_(* #,##0.0_);_(* \(#,##0.0\);_(* &quot;-&quot;??_);_(@_)">
                  <c:v>2191.3068086178864</c:v>
                </c:pt>
                <c:pt idx="54" formatCode="_(* #,##0.0_);_(* \(#,##0.0\);_(* &quot;-&quot;??_);_(@_)">
                  <c:v>2242.956054230106</c:v>
                </c:pt>
                <c:pt idx="55" formatCode="_(* #,##0.0_);_(* \(#,##0.0\);_(* &quot;-&quot;??_);_(@_)">
                  <c:v>2289.9171313914994</c:v>
                </c:pt>
                <c:pt idx="56" formatCode="_(* #,##0.0_);_(* \(#,##0.0\);_(* &quot;-&quot;??_);_(@_)">
                  <c:v>2334.0851051381924</c:v>
                </c:pt>
                <c:pt idx="57" formatCode="_(* #,##0.0_);_(* \(#,##0.0\);_(* &quot;-&quot;??_);_(@_)">
                  <c:v>2380.5624838852318</c:v>
                </c:pt>
                <c:pt idx="58" formatCode="_(* #,##0.0_);_(* \(#,##0.0\);_(* &quot;-&quot;??_);_(@_)">
                  <c:v>2425.3297915167082</c:v>
                </c:pt>
                <c:pt idx="59" formatCode="_(* #,##0.0_);_(* \(#,##0.0\);_(* &quot;-&quot;??_);_(@_)">
                  <c:v>2465.9976387889164</c:v>
                </c:pt>
                <c:pt idx="60" formatCode="_(* #,##0.0_);_(* \(#,##0.0\);_(* &quot;-&quot;??_);_(@_)">
                  <c:v>2502.7361307773103</c:v>
                </c:pt>
                <c:pt idx="61" formatCode="_(* #,##0.0_);_(* \(#,##0.0\);_(* &quot;-&quot;??_);_(@_)">
                  <c:v>2534.8617215934755</c:v>
                </c:pt>
                <c:pt idx="62" formatCode="_(* #,##0.0_);_(* \(#,##0.0\);_(* &quot;-&quot;??_);_(@_)">
                  <c:v>2564.0929995808356</c:v>
                </c:pt>
                <c:pt idx="63" formatCode="_(* #,##0.0_);_(* \(#,##0.0\);_(* &quot;-&quot;??_);_(@_)">
                  <c:v>2601.3380413872237</c:v>
                </c:pt>
                <c:pt idx="64" formatCode="_(* #,##0.0_);_(* \(#,##0.0\);_(* &quot;-&quot;??_);_(@_)">
                  <c:v>2644.2458737453285</c:v>
                </c:pt>
                <c:pt idx="65" formatCode="_(* #,##0.0_);_(* \(#,##0.0\);_(* &quot;-&quot;??_);_(@_)">
                  <c:v>2683.335633001936</c:v>
                </c:pt>
                <c:pt idx="66" formatCode="_(* #,##0.0_);_(* \(#,##0.0\);_(* &quot;-&quot;??_);_(@_)">
                  <c:v>2717.2436558321365</c:v>
                </c:pt>
                <c:pt idx="67" formatCode="_(* #,##0.0_);_(* \(#,##0.0\);_(* &quot;-&quot;??_);_(@_)">
                  <c:v>2745.7310646724045</c:v>
                </c:pt>
                <c:pt idx="68" formatCode="_(* #,##0.0_);_(* \(#,##0.0\);_(* &quot;-&quot;??_);_(@_)">
                  <c:v>2772.4680527767719</c:v>
                </c:pt>
                <c:pt idx="69" formatCode="_(* #,##0.0_);_(* \(#,##0.0\);_(* &quot;-&quot;??_);_(@_)">
                  <c:v>2805.9358447083241</c:v>
                </c:pt>
                <c:pt idx="70" formatCode="_(* #,##0.0_);_(* \(#,##0.0\);_(* &quot;-&quot;??_);_(@_)">
                  <c:v>2841.1168542186952</c:v>
                </c:pt>
                <c:pt idx="71" formatCode="_(* #,##0.0_);_(* \(#,##0.0\);_(* &quot;-&quot;??_);_(@_)">
                  <c:v>2872.6149398495004</c:v>
                </c:pt>
                <c:pt idx="72" formatCode="_(* #,##0.0_);_(* \(#,##0.0\);_(* &quot;-&quot;??_);_(@_)">
                  <c:v>2897.9990009955573</c:v>
                </c:pt>
                <c:pt idx="73" formatCode="_(* #,##0.0_);_(* \(#,##0.0\);_(* &quot;-&quot;??_);_(@_)">
                  <c:v>2919.3101448078492</c:v>
                </c:pt>
                <c:pt idx="74" formatCode="_(* #,##0.0_);_(* \(#,##0.0\);_(* &quot;-&quot;??_);_(@_)">
                  <c:v>2937.5845409830104</c:v>
                </c:pt>
                <c:pt idx="75" formatCode="_(* #,##0.0_);_(* \(#,##0.0\);_(* &quot;-&quot;??_);_(@_)">
                  <c:v>2951.648465918498</c:v>
                </c:pt>
                <c:pt idx="76" formatCode="_(* #,##0.0_);_(* \(#,##0.0\);_(* &quot;-&quot;??_);_(@_)">
                  <c:v>2962.1595833396045</c:v>
                </c:pt>
                <c:pt idx="77" formatCode="_(* #,##0.0_);_(* \(#,##0.0\);_(* &quot;-&quot;??_);_(@_)">
                  <c:v>2971.1448504315313</c:v>
                </c:pt>
                <c:pt idx="78" formatCode="_(* #,##0.0_);_(* \(#,##0.0\);_(* &quot;-&quot;??_);_(@_)">
                  <c:v>2979.5438243383205</c:v>
                </c:pt>
                <c:pt idx="79" formatCode="_(* #,##0.0_);_(* \(#,##0.0\);_(* &quot;-&quot;??_);_(@_)">
                  <c:v>2987.0333828922135</c:v>
                </c:pt>
                <c:pt idx="80" formatCode="_(* #,##0.0_);_(* \(#,##0.0\);_(* &quot;-&quot;??_);_(@_)">
                  <c:v>2992.6025021750561</c:v>
                </c:pt>
                <c:pt idx="81" formatCode="_(* #,##0.0_);_(* \(#,##0.0\);_(* &quot;-&quot;??_);_(@_)">
                  <c:v>2996.7187412874359</c:v>
                </c:pt>
                <c:pt idx="82" formatCode="_(* #,##0.0_);_(* \(#,##0.0\);_(* &quot;-&quot;??_);_(@_)">
                  <c:v>2997.081570496845</c:v>
                </c:pt>
                <c:pt idx="83" formatCode="_(* #,##0.0_);_(* \(#,##0.0\);_(* &quot;-&quot;??_);_(@_)">
                  <c:v>2983.3440628709127</c:v>
                </c:pt>
                <c:pt idx="84" formatCode="_(* #,##0.0_);_(* \(#,##0.0\);_(* &quot;-&quot;??_);_(@_)">
                  <c:v>2972.8489830904123</c:v>
                </c:pt>
                <c:pt idx="85" formatCode="_(* #,##0.0_);_(* \(#,##0.0\);_(* &quot;-&quot;??_);_(@_)">
                  <c:v>2967.1512600447709</c:v>
                </c:pt>
                <c:pt idx="86" formatCode="_(* #,##0.0_);_(* \(#,##0.0\);_(* &quot;-&quot;??_);_(@_)">
                  <c:v>2963.365207845939</c:v>
                </c:pt>
                <c:pt idx="87" formatCode="_(* #,##0.0_);_(* \(#,##0.0\);_(* &quot;-&quot;??_);_(@_)">
                  <c:v>2958.7548355336562</c:v>
                </c:pt>
                <c:pt idx="88" formatCode="_(* #,##0.0_);_(* \(#,##0.0\);_(* &quot;-&quot;??_);_(@_)">
                  <c:v>2950.7204521535236</c:v>
                </c:pt>
                <c:pt idx="89" formatCode="_(* #,##0.0_);_(* \(#,##0.0\);_(* &quot;-&quot;??_);_(@_)">
                  <c:v>2949.4691903245712</c:v>
                </c:pt>
                <c:pt idx="90" formatCode="_(* #,##0.0_);_(* \(#,##0.0\);_(* &quot;-&quot;??_);_(@_)">
                  <c:v>2945.2138924508131</c:v>
                </c:pt>
                <c:pt idx="91" formatCode="_(* #,##0.0_);_(* \(#,##0.0\);_(* &quot;-&quot;??_);_(@_)">
                  <c:v>2938.5737543874984</c:v>
                </c:pt>
                <c:pt idx="92" formatCode="_(* #,##0.0_);_(* \(#,##0.0\);_(* &quot;-&quot;??_);_(@_)">
                  <c:v>2931.1710333909487</c:v>
                </c:pt>
                <c:pt idx="93" formatCode="_(* #,##0.0_);_(* \(#,##0.0\);_(* &quot;-&quot;??_);_(@_)">
                  <c:v>2921.5821073670154</c:v>
                </c:pt>
                <c:pt idx="94" formatCode="_(* #,##0.0_);_(* \(#,##0.0\);_(* &quot;-&quot;??_);_(@_)">
                  <c:v>2911.7985978937995</c:v>
                </c:pt>
                <c:pt idx="95" formatCode="_(* #,##0.0_);_(* \(#,##0.0\);_(* &quot;-&quot;??_);_(@_)">
                  <c:v>2900.685176373644</c:v>
                </c:pt>
                <c:pt idx="96" formatCode="_(* #,##0.0_);_(* \(#,##0.0\);_(* &quot;-&quot;??_);_(@_)">
                  <c:v>2889.0650316717765</c:v>
                </c:pt>
                <c:pt idx="97" formatCode="_(* #,##0.0_);_(* \(#,##0.0\);_(* &quot;-&quot;??_);_(@_)">
                  <c:v>2877.9345109104361</c:v>
                </c:pt>
                <c:pt idx="98" formatCode="_(* #,##0.0_);_(* \(#,##0.0\);_(* &quot;-&quot;??_);_(@_)">
                  <c:v>2866.9765426271592</c:v>
                </c:pt>
                <c:pt idx="99" formatCode="_(* #,##0.0_);_(* \(#,##0.0\);_(* &quot;-&quot;??_);_(@_)">
                  <c:v>2855.6876950847727</c:v>
                </c:pt>
                <c:pt idx="100" formatCode="_(* #,##0.0_);_(* \(#,##0.0\);_(* &quot;-&quot;??_);_(@_)">
                  <c:v>2843.9502125647659</c:v>
                </c:pt>
                <c:pt idx="101" formatCode="_(* #,##0.0_);_(* \(#,##0.0\);_(* &quot;-&quot;??_);_(@_)">
                  <c:v>2831.2413181804322</c:v>
                </c:pt>
                <c:pt idx="102" formatCode="_(* #,##0.0_);_(* \(#,##0.0\);_(* &quot;-&quot;??_);_(@_)">
                  <c:v>2817.5880632529743</c:v>
                </c:pt>
                <c:pt idx="103" formatCode="_(* #,##0.0_);_(* \(#,##0.0\);_(* &quot;-&quot;??_);_(@_)">
                  <c:v>2805.1228113994189</c:v>
                </c:pt>
                <c:pt idx="104" formatCode="_(* #,##0.0_);_(* \(#,##0.0\);_(* &quot;-&quot;??_);_(@_)">
                  <c:v>2791.1707631551681</c:v>
                </c:pt>
                <c:pt idx="105" formatCode="_(* #,##0.0_);_(* \(#,##0.0\);_(* &quot;-&quot;??_);_(@_)">
                  <c:v>2777.1610119147663</c:v>
                </c:pt>
                <c:pt idx="106" formatCode="_(* #,##0.0_);_(* \(#,##0.0\);_(* &quot;-&quot;??_);_(@_)">
                  <c:v>2764.0574970397506</c:v>
                </c:pt>
                <c:pt idx="107" formatCode="_(* #,##0.0_);_(* \(#,##0.0\);_(* &quot;-&quot;??_);_(@_)">
                  <c:v>2751.2698128413153</c:v>
                </c:pt>
                <c:pt idx="108" formatCode="_(* #,##0.0_);_(* \(#,##0.0\);_(* &quot;-&quot;??_);_(@_)">
                  <c:v>2739.0392024446687</c:v>
                </c:pt>
                <c:pt idx="109" formatCode="_(* #,##0.0_);_(* \(#,##0.0\);_(* &quot;-&quot;??_);_(@_)">
                  <c:v>2725.5928016297789</c:v>
                </c:pt>
                <c:pt idx="110" formatCode="_(* #,##0.0_);_(* \(#,##0.0\);_(* &quot;-&quot;??_);_(@_)">
                  <c:v>2712.3651710564891</c:v>
                </c:pt>
                <c:pt idx="111" formatCode="_(* #,##0.0_);_(* \(#,##0.0\);_(* &quot;-&quot;??_);_(@_)">
                  <c:v>2698.8714235614689</c:v>
                </c:pt>
                <c:pt idx="112" formatCode="_(* #,##0.0_);_(* \(#,##0.0\);_(* &quot;-&quot;??_);_(@_)">
                  <c:v>2685.5868487459938</c:v>
                </c:pt>
                <c:pt idx="113" formatCode="_(* #,##0.0_);_(* \(#,##0.0\);_(* &quot;-&quot;??_);_(@_)">
                  <c:v>2672.8912324973294</c:v>
                </c:pt>
                <c:pt idx="114" formatCode="_(* #,##0.0_);_(* \(#,##0.0\);_(* &quot;-&quot;??_);_(@_)">
                  <c:v>2660.5071984764804</c:v>
                </c:pt>
                <c:pt idx="115" formatCode="_(* #,##0.0_);_(* \(#,##0.0\);_(* &quot;-&quot;??_);_(@_)">
                  <c:v>2648.1858334670787</c:v>
                </c:pt>
                <c:pt idx="116" formatCode="_(* #,##0.0_);_(* \(#,##0.0\);_(* &quot;-&quot;??_);_(@_)">
                  <c:v>2635.2264530806165</c:v>
                </c:pt>
                <c:pt idx="117" formatCode="_(* #,##0.0_);_(* \(#,##0.0\);_(* &quot;-&quot;??_);_(@_)">
                  <c:v>2621.8176353870776</c:v>
                </c:pt>
                <c:pt idx="118" formatCode="_(* #,##0.0_);_(* \(#,##0.0\);_(* &quot;-&quot;??_);_(@_)">
                  <c:v>2607.4358465605728</c:v>
                </c:pt>
                <c:pt idx="119" formatCode="_(* #,##0.0_);_(* \(#,##0.0\);_(* &quot;-&quot;??_);_(@_)">
                  <c:v>2593.7905643737154</c:v>
                </c:pt>
                <c:pt idx="120" formatCode="_(* #,##0.0_);_(* \(#,##0.0\);_(* &quot;-&quot;??_);_(@_)">
                  <c:v>2581.4251145411545</c:v>
                </c:pt>
                <c:pt idx="121" formatCode="_(* #,##0.0_);_(* \(#,##0.0\);_(* &quot;-&quot;??_);_(@_)">
                  <c:v>2568.6276719891848</c:v>
                </c:pt>
                <c:pt idx="122" formatCode="_(* #,##0.0_);_(* \(#,##0.0\);_(* &quot;-&quot;??_);_(@_)">
                  <c:v>2555.6460902692124</c:v>
                </c:pt>
                <c:pt idx="123" formatCode="_(* #,##0.0_);_(* \(#,##0.0\);_(* &quot;-&quot;??_);_(@_)">
                  <c:v>2542.3796515773242</c:v>
                </c:pt>
                <c:pt idx="124" formatCode="_(* #,##0.0_);_(* \(#,##0.0\);_(* &quot;-&quot;??_);_(@_)">
                  <c:v>2528.6637677182161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C-364A-9DEC-1379CB13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1047464"/>
        <c:axId val="1814266776"/>
      </c:lineChart>
      <c:dateAx>
        <c:axId val="-2061047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14266776"/>
        <c:crosses val="autoZero"/>
        <c:auto val="1"/>
        <c:lblOffset val="100"/>
        <c:baseTimeUnit val="days"/>
      </c:dateAx>
      <c:valAx>
        <c:axId val="1814266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-20610474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/>
          </c:spPr>
          <c:marker>
            <c:symbol val="none"/>
          </c:marker>
          <c:cat>
            <c:numRef>
              <c:f>UKCovid!$A$7:$A$131</c:f>
              <c:numCache>
                <c:formatCode>d\-mmm</c:formatCode>
                <c:ptCount val="125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</c:numCache>
            </c:numRef>
          </c:cat>
          <c:val>
            <c:numRef>
              <c:f>UKCovid!$F$7:$F$131</c:f>
              <c:numCache>
                <c:formatCode>General</c:formatCode>
                <c:ptCount val="125"/>
                <c:pt idx="4" formatCode="_(* #,##0.0_);_(* \(#,##0.0\);_(* &quot;-&quot;??_);_(@_)">
                  <c:v>26</c:v>
                </c:pt>
                <c:pt idx="5" formatCode="_(* #,##0.0_);_(* \(#,##0.0\);_(* &quot;-&quot;??_);_(@_)">
                  <c:v>34.333333333333329</c:v>
                </c:pt>
                <c:pt idx="6" formatCode="_(* #,##0.0_);_(* \(#,##0.0\);_(* &quot;-&quot;??_);_(@_)">
                  <c:v>51.222222222222214</c:v>
                </c:pt>
                <c:pt idx="7" formatCode="_(* #,##0.0_);_(* \(#,##0.0\);_(* &quot;-&quot;??_);_(@_)">
                  <c:v>72.148148148148138</c:v>
                </c:pt>
                <c:pt idx="8" formatCode="_(* #,##0.0_);_(* \(#,##0.0\);_(* &quot;-&quot;??_);_(@_)">
                  <c:v>101.43209876543209</c:v>
                </c:pt>
                <c:pt idx="9" formatCode="_(* #,##0.0_);_(* \(#,##0.0\);_(* &quot;-&quot;??_);_(@_)">
                  <c:v>136.28806584362138</c:v>
                </c:pt>
                <c:pt idx="10" formatCode="_(* #,##0.0_);_(* \(#,##0.0\);_(* &quot;-&quot;??_);_(@_)">
                  <c:v>181.19204389574759</c:v>
                </c:pt>
                <c:pt idx="11" formatCode="_(* #,##0.0_);_(* \(#,##0.0\);_(* &quot;-&quot;??_);_(@_)">
                  <c:v>227.79469593049839</c:v>
                </c:pt>
                <c:pt idx="12" formatCode="_(* #,##0.0_);_(* \(#,##0.0\);_(* &quot;-&quot;??_);_(@_)">
                  <c:v>276.19646395366561</c:v>
                </c:pt>
                <c:pt idx="13" formatCode="_(* #,##0.0_);_(* \(#,##0.0\);_(* &quot;-&quot;??_);_(@_)">
                  <c:v>336.13097596911041</c:v>
                </c:pt>
                <c:pt idx="14" formatCode="_(* #,##0.0_);_(* \(#,##0.0\);_(* &quot;-&quot;??_);_(@_)">
                  <c:v>422.75398397940694</c:v>
                </c:pt>
                <c:pt idx="15" formatCode="_(* #,##0.0_);_(* \(#,##0.0\);_(* &quot;-&quot;??_);_(@_)">
                  <c:v>547.83598931960466</c:v>
                </c:pt>
                <c:pt idx="16" formatCode="_(* #,##0.0_);_(* \(#,##0.0\);_(* &quot;-&quot;??_);_(@_)">
                  <c:v>745.22399287973644</c:v>
                </c:pt>
                <c:pt idx="17" formatCode="_(* #,##0.0_);_(* \(#,##0.0\);_(* &quot;-&quot;??_);_(@_)">
                  <c:v>954.14932858649092</c:v>
                </c:pt>
                <c:pt idx="18" formatCode="_(* #,##0.0_);_(* \(#,##0.0\);_(* &quot;-&quot;??_);_(@_)">
                  <c:v>1150.4328857243272</c:v>
                </c:pt>
                <c:pt idx="19" formatCode="_(* #,##0.0_);_(* \(#,##0.0\);_(* &quot;-&quot;??_);_(@_)">
                  <c:v>1419.9552571495515</c:v>
                </c:pt>
                <c:pt idx="20" formatCode="_(* #,##0.0_);_(* \(#,##0.0\);_(* &quot;-&quot;??_);_(@_)">
                  <c:v>1821.9701714330342</c:v>
                </c:pt>
                <c:pt idx="21" formatCode="_(* #,##0.0_);_(* \(#,##0.0\);_(* &quot;-&quot;??_);_(@_)">
                  <c:v>2290.9801142886895</c:v>
                </c:pt>
                <c:pt idx="22" formatCode="_(* #,##0.0_);_(* \(#,##0.0\);_(* &quot;-&quot;??_);_(@_)">
                  <c:v>2854.986742859126</c:v>
                </c:pt>
                <c:pt idx="23" formatCode="_(* #,##0.0_);_(* \(#,##0.0\);_(* &quot;-&quot;??_);_(@_)">
                  <c:v>3575.991161906084</c:v>
                </c:pt>
                <c:pt idx="24" formatCode="_(* #,##0.0_);_(* \(#,##0.0\);_(* &quot;-&quot;??_);_(@_)">
                  <c:v>4278.3274412707224</c:v>
                </c:pt>
                <c:pt idx="25" formatCode="_(* #,##0.0_);_(* \(#,##0.0\);_(* &quot;-&quot;??_);_(@_)">
                  <c:v>5068.8849608471482</c:v>
                </c:pt>
                <c:pt idx="26" formatCode="_(* #,##0.0_);_(* \(#,##0.0\);_(* &quot;-&quot;??_);_(@_)">
                  <c:v>6071.5899738980988</c:v>
                </c:pt>
                <c:pt idx="27" formatCode="_(* #,##0.0_);_(* \(#,##0.0\);_(* &quot;-&quot;??_);_(@_)">
                  <c:v>7224.0599825987319</c:v>
                </c:pt>
                <c:pt idx="28" formatCode="_(* #,##0.0_);_(* \(#,##0.0\);_(* &quot;-&quot;??_);_(@_)">
                  <c:v>8702.039988399154</c:v>
                </c:pt>
                <c:pt idx="29" formatCode="_(* #,##0.0_);_(* \(#,##0.0\);_(* &quot;-&quot;??_);_(@_)">
                  <c:v>10661.026658932769</c:v>
                </c:pt>
                <c:pt idx="30" formatCode="_(* #,##0.0_);_(* \(#,##0.0\);_(* &quot;-&quot;??_);_(@_)">
                  <c:v>12803.684439288512</c:v>
                </c:pt>
                <c:pt idx="31" formatCode="_(* #,##0.0_);_(* \(#,##0.0\);_(* &quot;-&quot;??_);_(@_)">
                  <c:v>15043.122959525674</c:v>
                </c:pt>
                <c:pt idx="32" formatCode="_(* #,##0.0_);_(* \(#,##0.0\);_(* &quot;-&quot;??_);_(@_)">
                  <c:v>17409.081973017117</c:v>
                </c:pt>
                <c:pt idx="33" formatCode="_(* #,##0.0_);_(* \(#,##0.0\);_(* &quot;-&quot;??_);_(@_)">
                  <c:v>19989.387982011413</c:v>
                </c:pt>
                <c:pt idx="34" formatCode="_(* #,##0.0_);_(* \(#,##0.0\);_(* &quot;-&quot;??_);_(@_)">
                  <c:v>23150.925321340943</c:v>
                </c:pt>
                <c:pt idx="35" formatCode="_(* #,##0.0_);_(* \(#,##0.0\);_(* &quot;-&quot;??_);_(@_)">
                  <c:v>26493.28354756063</c:v>
                </c:pt>
                <c:pt idx="36" formatCode="_(* #,##0.0_);_(* \(#,##0.0\);_(* &quot;-&quot;??_);_(@_)">
                  <c:v>30384.855698373754</c:v>
                </c:pt>
                <c:pt idx="37" formatCode="_(* #,##0.0_);_(* \(#,##0.0\);_(* &quot;-&quot;??_);_(@_)">
                  <c:v>34224.237132249167</c:v>
                </c:pt>
                <c:pt idx="38" formatCode="_(* #,##0.0_);_(* \(#,##0.0\);_(* &quot;-&quot;??_);_(@_)">
                  <c:v>38751.491421499442</c:v>
                </c:pt>
                <c:pt idx="39" formatCode="_(* #,##0.0_);_(* \(#,##0.0\);_(* &quot;-&quot;??_);_(@_)">
                  <c:v>43036.994280999628</c:v>
                </c:pt>
                <c:pt idx="40" formatCode="_(* #,##0.0_);_(* \(#,##0.0\);_(* &quot;-&quot;??_);_(@_)">
                  <c:v>47105.329520666419</c:v>
                </c:pt>
                <c:pt idx="41" formatCode="_(* #,##0.0_);_(* \(#,##0.0\);_(* &quot;-&quot;??_);_(@_)">
                  <c:v>51661.219680444279</c:v>
                </c:pt>
                <c:pt idx="42" formatCode="_(* #,##0.0_);_(* \(#,##0.0\);_(* &quot;-&quot;??_);_(@_)">
                  <c:v>56133.146453629517</c:v>
                </c:pt>
                <c:pt idx="43" formatCode="_(* #,##0.0_);_(* \(#,##0.0\);_(* &quot;-&quot;??_);_(@_)">
                  <c:v>60846.097635753009</c:v>
                </c:pt>
                <c:pt idx="44" formatCode="_(* #,##0.0_);_(* \(#,##0.0\);_(* &quot;-&quot;??_);_(@_)">
                  <c:v>66894.398423835344</c:v>
                </c:pt>
                <c:pt idx="45" formatCode="_(* #,##0.0_);_(* \(#,##0.0\);_(* &quot;-&quot;??_);_(@_)">
                  <c:v>72689.265615890225</c:v>
                </c:pt>
                <c:pt idx="46" formatCode="_(* #,##0.0_);_(* \(#,##0.0\);_(* &quot;-&quot;??_);_(@_)">
                  <c:v>77999.843743926816</c:v>
                </c:pt>
                <c:pt idx="47" formatCode="_(* #,##0.0_);_(* \(#,##0.0\);_(* &quot;-&quot;??_);_(@_)">
                  <c:v>83290.895829284549</c:v>
                </c:pt>
                <c:pt idx="48" formatCode="_(* #,##0.0_);_(* \(#,##0.0\);_(* &quot;-&quot;??_);_(@_)">
                  <c:v>88352.597219523028</c:v>
                </c:pt>
                <c:pt idx="49" formatCode="_(* #,##0.0_);_(* \(#,##0.0\);_(* &quot;-&quot;??_);_(@_)">
                  <c:v>93266.064813015357</c:v>
                </c:pt>
                <c:pt idx="50" formatCode="_(* #,##0.0_);_(* \(#,##0.0\);_(* &quot;-&quot;??_);_(@_)">
                  <c:v>98408.0432086769</c:v>
                </c:pt>
                <c:pt idx="51" formatCode="_(* #,##0.0_);_(* \(#,##0.0\);_(* &quot;-&quot;??_);_(@_)">
                  <c:v>103677.69547245126</c:v>
                </c:pt>
                <c:pt idx="52" formatCode="_(* #,##0.0_);_(* \(#,##0.0\);_(* &quot;-&quot;??_);_(@_)">
                  <c:v>109140.79698163418</c:v>
                </c:pt>
                <c:pt idx="53" formatCode="_(* #,##0.0_);_(* \(#,##0.0\);_(* &quot;-&quot;??_);_(@_)">
                  <c:v>114341.53132108945</c:v>
                </c:pt>
                <c:pt idx="54" formatCode="_(* #,##0.0_);_(* \(#,##0.0\);_(* &quot;-&quot;??_);_(@_)">
                  <c:v>119242.35421405964</c:v>
                </c:pt>
                <c:pt idx="55" formatCode="_(* #,##0.0_);_(* \(#,##0.0\);_(* &quot;-&quot;??_);_(@_)">
                  <c:v>123993.23614270643</c:v>
                </c:pt>
                <c:pt idx="56" formatCode="_(* #,##0.0_);_(* \(#,##0.0\);_(* &quot;-&quot;??_);_(@_)">
                  <c:v>128688.15742847095</c:v>
                </c:pt>
                <c:pt idx="57" formatCode="_(* #,##0.0_);_(* \(#,##0.0\);_(* &quot;-&quot;??_);_(@_)">
                  <c:v>133613.43828564731</c:v>
                </c:pt>
                <c:pt idx="58" formatCode="_(* #,##0.0_);_(* \(#,##0.0\);_(* &quot;-&quot;??_);_(@_)">
                  <c:v>138534.62552376487</c:v>
                </c:pt>
                <c:pt idx="59" formatCode="_(* #,##0.0_);_(* \(#,##0.0\);_(* &quot;-&quot;??_);_(@_)">
                  <c:v>143303.08368250992</c:v>
                </c:pt>
                <c:pt idx="60" formatCode="_(* #,##0.0_);_(* \(#,##0.0\);_(* &quot;-&quot;??_);_(@_)">
                  <c:v>147918.38912167327</c:v>
                </c:pt>
                <c:pt idx="61" formatCode="_(* #,##0.0_);_(* \(#,##0.0\);_(* &quot;-&quot;??_);_(@_)">
                  <c:v>152327.25941444884</c:v>
                </c:pt>
                <c:pt idx="62" formatCode="_(* #,##0.0_);_(* \(#,##0.0\);_(* &quot;-&quot;??_);_(@_)">
                  <c:v>156625.1729429659</c:v>
                </c:pt>
                <c:pt idx="63" formatCode="_(* #,##0.0_);_(* \(#,##0.0\);_(* &quot;-&quot;??_);_(@_)">
                  <c:v>161501.11529531059</c:v>
                </c:pt>
                <c:pt idx="64" formatCode="_(* #,##0.0_);_(* \(#,##0.0\);_(* &quot;-&quot;??_);_(@_)">
                  <c:v>166818.74353020705</c:v>
                </c:pt>
                <c:pt idx="65" formatCode="_(* #,##0.0_);_(* \(#,##0.0\);_(* &quot;-&quot;??_);_(@_)">
                  <c:v>171965.82902013804</c:v>
                </c:pt>
                <c:pt idx="66" formatCode="_(* #,##0.0_);_(* \(#,##0.0\);_(* &quot;-&quot;??_);_(@_)">
                  <c:v>176843.55268009202</c:v>
                </c:pt>
                <c:pt idx="67" formatCode="_(* #,##0.0_);_(* \(#,##0.0\);_(* &quot;-&quot;??_);_(@_)">
                  <c:v>181423.70178672802</c:v>
                </c:pt>
                <c:pt idx="68" formatCode="_(* #,##0.0_);_(* \(#,##0.0\);_(* &quot;-&quot;??_);_(@_)">
                  <c:v>185945.80119115202</c:v>
                </c:pt>
                <c:pt idx="69" formatCode="_(* #,##0.0_);_(* \(#,##0.0\);_(* &quot;-&quot;??_);_(@_)">
                  <c:v>190997.53412743469</c:v>
                </c:pt>
                <c:pt idx="70" formatCode="_(* #,##0.0_);_(* \(#,##0.0\);_(* &quot;-&quot;??_);_(@_)">
                  <c:v>196236.68941828978</c:v>
                </c:pt>
                <c:pt idx="71" formatCode="_(* #,##0.0_);_(* \(#,##0.0\);_(* &quot;-&quot;??_);_(@_)">
                  <c:v>201279.12627885985</c:v>
                </c:pt>
                <c:pt idx="72" formatCode="_(* #,##0.0_);_(* \(#,##0.0\);_(* &quot;-&quot;??_);_(@_)">
                  <c:v>205939.41751923991</c:v>
                </c:pt>
                <c:pt idx="73" formatCode="_(* #,##0.0_);_(* \(#,##0.0\);_(* &quot;-&quot;??_);_(@_)">
                  <c:v>210353.94501282662</c:v>
                </c:pt>
                <c:pt idx="74" formatCode="_(* #,##0.0_);_(* \(#,##0.0\);_(* &quot;-&quot;??_);_(@_)">
                  <c:v>214589.29667521775</c:v>
                </c:pt>
                <c:pt idx="75" formatCode="_(* #,##0.0_);_(* \(#,##0.0\);_(* &quot;-&quot;??_);_(@_)">
                  <c:v>218547.19778347851</c:v>
                </c:pt>
                <c:pt idx="76" formatCode="_(* #,##0.0_);_(* \(#,##0.0\);_(* &quot;-&quot;??_);_(@_)">
                  <c:v>222266.46518898566</c:v>
                </c:pt>
                <c:pt idx="77" formatCode="_(* #,##0.0_);_(* \(#,##0.0\);_(* &quot;-&quot;??_);_(@_)">
                  <c:v>225894.64345932376</c:v>
                </c:pt>
                <c:pt idx="78" formatCode="_(* #,##0.0_);_(* \(#,##0.0\);_(* &quot;-&quot;??_);_(@_)">
                  <c:v>229500.09563954917</c:v>
                </c:pt>
                <c:pt idx="79" formatCode="_(* #,##0.0_);_(* \(#,##0.0\);_(* &quot;-&quot;??_);_(@_)">
                  <c:v>233053.73042636612</c:v>
                </c:pt>
                <c:pt idx="80" formatCode="_(* #,##0.0_);_(* \(#,##0.0\);_(* &quot;-&quot;??_);_(@_)">
                  <c:v>236470.15361757742</c:v>
                </c:pt>
                <c:pt idx="81" formatCode="_(* #,##0.0_);_(* \(#,##0.0\);_(* &quot;-&quot;??_);_(@_)">
                  <c:v>239782.10241171828</c:v>
                </c:pt>
                <c:pt idx="82" formatCode="_(* #,##0.0_);_(* \(#,##0.0\);_(* &quot;-&quot;??_);_(@_)">
                  <c:v>242794.06827447886</c:v>
                </c:pt>
                <c:pt idx="83" formatCode="_(* #,##0.0_);_(* \(#,##0.0\);_(* &quot;-&quot;??_);_(@_)">
                  <c:v>244627.04551631925</c:v>
                </c:pt>
                <c:pt idx="84" formatCode="_(* #,##0.0_);_(* \(#,##0.0\);_(* &quot;-&quot;??_);_(@_)">
                  <c:v>246720.69701087949</c:v>
                </c:pt>
                <c:pt idx="85" formatCode="_(* #,##0.0_);_(* \(#,##0.0\);_(* &quot;-&quot;??_);_(@_)">
                  <c:v>249212.13134058632</c:v>
                </c:pt>
                <c:pt idx="86" formatCode="_(* #,##0.0_);_(* \(#,##0.0\);_(* &quot;-&quot;??_);_(@_)">
                  <c:v>251859.42089372422</c:v>
                </c:pt>
                <c:pt idx="87" formatCode="_(* #,##0.0_);_(* \(#,##0.0\);_(* &quot;-&quot;??_);_(@_)">
                  <c:v>254425.9472624828</c:v>
                </c:pt>
                <c:pt idx="88" formatCode="_(* #,##0.0_);_(* \(#,##0.0\);_(* &quot;-&quot;??_);_(@_)">
                  <c:v>256678.63150832188</c:v>
                </c:pt>
                <c:pt idx="89" formatCode="_(* #,##0.0_);_(* \(#,##0.0\);_(* &quot;-&quot;??_);_(@_)">
                  <c:v>259528.08767221458</c:v>
                </c:pt>
                <c:pt idx="90" formatCode="_(* #,##0.0_);_(* \(#,##0.0\);_(* &quot;-&quot;??_);_(@_)">
                  <c:v>262098.72511480973</c:v>
                </c:pt>
                <c:pt idx="91" formatCode="_(* #,##0.0_);_(* \(#,##0.0\);_(* &quot;-&quot;??_);_(@_)">
                  <c:v>264441.48340987315</c:v>
                </c:pt>
                <c:pt idx="92" formatCode="_(* #,##0.0_);_(* \(#,##0.0\);_(* &quot;-&quot;??_);_(@_)">
                  <c:v>266701.65560658212</c:v>
                </c:pt>
                <c:pt idx="93" formatCode="_(* #,##0.0_);_(* \(#,##0.0\);_(* &quot;-&quot;??_);_(@_)">
                  <c:v>268743.10373772139</c:v>
                </c:pt>
                <c:pt idx="94" formatCode="_(* #,##0.0_);_(* \(#,##0.0\);_(* &quot;-&quot;??_);_(@_)">
                  <c:v>270749.40249181428</c:v>
                </c:pt>
                <c:pt idx="95" formatCode="_(* #,##0.0_);_(* \(#,##0.0\);_(* &quot;-&quot;??_);_(@_)">
                  <c:v>272610.26832787617</c:v>
                </c:pt>
                <c:pt idx="96" formatCode="_(* #,##0.0_);_(* \(#,##0.0\);_(* &quot;-&quot;??_);_(@_)">
                  <c:v>274401.84555191745</c:v>
                </c:pt>
                <c:pt idx="97" formatCode="_(* #,##0.0_);_(* \(#,##0.0\);_(* &quot;-&quot;??_);_(@_)">
                  <c:v>276219.89703461161</c:v>
                </c:pt>
                <c:pt idx="98" formatCode="_(* #,##0.0_);_(* \(#,##0.0\);_(* &quot;-&quot;??_);_(@_)">
                  <c:v>278033.59802307439</c:v>
                </c:pt>
                <c:pt idx="99" formatCode="_(* #,##0.0_);_(* \(#,##0.0\);_(* &quot;-&quot;??_);_(@_)">
                  <c:v>279792.73201538291</c:v>
                </c:pt>
                <c:pt idx="100" formatCode="_(* #,##0.0_);_(* \(#,##0.0\);_(* &quot;-&quot;??_);_(@_)">
                  <c:v>281484.48801025527</c:v>
                </c:pt>
                <c:pt idx="101" formatCode="_(* #,##0.0_);_(* \(#,##0.0\);_(* &quot;-&quot;??_);_(@_)">
                  <c:v>283054.32534017018</c:v>
                </c:pt>
                <c:pt idx="102" formatCode="_(* #,##0.0_);_(* \(#,##0.0\);_(* &quot;-&quot;??_);_(@_)">
                  <c:v>284502.55022678012</c:v>
                </c:pt>
                <c:pt idx="103" formatCode="_(* #,##0.0_);_(* \(#,##0.0\);_(* &quot;-&quot;??_);_(@_)">
                  <c:v>286048.36681785341</c:v>
                </c:pt>
                <c:pt idx="104" formatCode="_(* #,##0.0_);_(* \(#,##0.0\);_(* &quot;-&quot;??_);_(@_)">
                  <c:v>287413.24454523559</c:v>
                </c:pt>
                <c:pt idx="105" formatCode="_(* #,##0.0_);_(* \(#,##0.0\);_(* &quot;-&quot;??_);_(@_)">
                  <c:v>288745.16303015704</c:v>
                </c:pt>
                <c:pt idx="106" formatCode="_(* #,##0.0_);_(* \(#,##0.0\);_(* &quot;-&quot;??_);_(@_)">
                  <c:v>290146.77535343805</c:v>
                </c:pt>
                <c:pt idx="107" formatCode="_(* #,##0.0_);_(* \(#,##0.0\);_(* &quot;-&quot;??_);_(@_)">
                  <c:v>291556.18356895872</c:v>
                </c:pt>
                <c:pt idx="108" formatCode="_(* #,##0.0_);_(* \(#,##0.0\);_(* &quot;-&quot;??_);_(@_)">
                  <c:v>293000.45571263914</c:v>
                </c:pt>
                <c:pt idx="109" formatCode="_(* #,##0.0_);_(* \(#,##0.0\);_(* &quot;-&quot;??_);_(@_)">
                  <c:v>294285.97047509276</c:v>
                </c:pt>
                <c:pt idx="110" formatCode="_(* #,##0.0_);_(* \(#,##0.0\);_(* &quot;-&quot;??_);_(@_)">
                  <c:v>295569.31365006184</c:v>
                </c:pt>
                <c:pt idx="111" formatCode="_(* #,##0.0_);_(* \(#,##0.0\);_(* &quot;-&quot;??_);_(@_)">
                  <c:v>296796.54243337456</c:v>
                </c:pt>
                <c:pt idx="112" formatCode="_(* #,##0.0_);_(* \(#,##0.0\);_(* &quot;-&quot;??_);_(@_)">
                  <c:v>298020.69495558302</c:v>
                </c:pt>
                <c:pt idx="113" formatCode="_(* #,##0.0_);_(* \(#,##0.0\);_(* &quot;-&quot;??_);_(@_)">
                  <c:v>299285.46330372203</c:v>
                </c:pt>
                <c:pt idx="114" formatCode="_(* #,##0.0_);_(* \(#,##0.0\);_(* &quot;-&quot;??_);_(@_)">
                  <c:v>300560.30886914802</c:v>
                </c:pt>
                <c:pt idx="115" formatCode="_(* #,##0.0_);_(* \(#,##0.0\);_(* &quot;-&quot;??_);_(@_)">
                  <c:v>301817.20591276535</c:v>
                </c:pt>
                <c:pt idx="116" formatCode="_(* #,##0.0_);_(* \(#,##0.0\);_(* &quot;-&quot;??_);_(@_)">
                  <c:v>302974.47060851025</c:v>
                </c:pt>
                <c:pt idx="117" formatCode="_(* #,##0.0_);_(* \(#,##0.0\);_(* &quot;-&quot;??_);_(@_)">
                  <c:v>304052.9804056735</c:v>
                </c:pt>
                <c:pt idx="118" formatCode="_(* #,##0.0_);_(* \(#,##0.0\);_(* &quot;-&quot;??_);_(@_)">
                  <c:v>304989.32027044898</c:v>
                </c:pt>
                <c:pt idx="119" formatCode="_(* #,##0.0_);_(* \(#,##0.0\);_(* &quot;-&quot;??_);_(@_)">
                  <c:v>305986.21351363265</c:v>
                </c:pt>
                <c:pt idx="120" formatCode="_(* #,##0.0_);_(* \(#,##0.0\);_(* &quot;-&quot;??_);_(@_)">
                  <c:v>307110.80900908844</c:v>
                </c:pt>
                <c:pt idx="121" formatCode="_(* #,##0.0_);_(* \(#,##0.0\);_(* &quot;-&quot;??_);_(@_)">
                  <c:v>308157.20600605896</c:v>
                </c:pt>
                <c:pt idx="122" formatCode="_(* #,##0.0_);_(* \(#,##0.0\);_(* &quot;-&quot;??_);_(@_)">
                  <c:v>309155.13733737264</c:v>
                </c:pt>
                <c:pt idx="123" formatCode="_(* #,##0.0_);_(* \(#,##0.0\);_(* &quot;-&quot;??_);_(@_)">
                  <c:v>310091.75822491507</c:v>
                </c:pt>
                <c:pt idx="124" formatCode="_(* #,##0.0_);_(* \(#,##0.0\);_(* &quot;-&quot;??_);_(@_)">
                  <c:v>310945.83881661005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4-4841-8E93-76392956D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0254968"/>
        <c:axId val="-2061030280"/>
      </c:lineChart>
      <c:dateAx>
        <c:axId val="-20302549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ln>
            <a:noFill/>
          </a:ln>
        </c:spPr>
        <c:crossAx val="-2061030280"/>
        <c:crosses val="autoZero"/>
        <c:auto val="1"/>
        <c:lblOffset val="100"/>
        <c:baseTimeUnit val="days"/>
      </c:dateAx>
      <c:valAx>
        <c:axId val="-2061030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UK Cumulative Number of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302549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143</xdr:row>
      <xdr:rowOff>139700</xdr:rowOff>
    </xdr:from>
    <xdr:to>
      <xdr:col>9</xdr:col>
      <xdr:colOff>114300</xdr:colOff>
      <xdr:row>167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171</xdr:row>
      <xdr:rowOff>139700</xdr:rowOff>
    </xdr:from>
    <xdr:to>
      <xdr:col>9</xdr:col>
      <xdr:colOff>25400</xdr:colOff>
      <xdr:row>192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762000</xdr:colOff>
      <xdr:row>167</xdr:row>
      <xdr:rowOff>101600</xdr:rowOff>
    </xdr:from>
    <xdr:to>
      <xdr:col>18</xdr:col>
      <xdr:colOff>495300</xdr:colOff>
      <xdr:row>187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762000</xdr:colOff>
      <xdr:row>143</xdr:row>
      <xdr:rowOff>152400</xdr:rowOff>
    </xdr:from>
    <xdr:to>
      <xdr:col>18</xdr:col>
      <xdr:colOff>444500</xdr:colOff>
      <xdr:row>167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workbookViewId="0"/>
  </sheetViews>
  <sheetFormatPr baseColWidth="10" defaultRowHeight="16" x14ac:dyDescent="0.2"/>
  <cols>
    <col min="2" max="2" width="13.1640625" customWidth="1"/>
    <col min="3" max="3" width="13.83203125" customWidth="1"/>
    <col min="4" max="4" width="12.5" customWidth="1"/>
    <col min="5" max="5" width="12.83203125" customWidth="1"/>
    <col min="6" max="6" width="13.83203125" customWidth="1"/>
    <col min="7" max="7" width="14.6640625" customWidth="1"/>
    <col min="8" max="8" width="12.33203125" bestFit="1" customWidth="1"/>
    <col min="9" max="9" width="13.1640625" customWidth="1"/>
    <col min="10" max="10" width="12.83203125" customWidth="1"/>
    <col min="11" max="11" width="13.1640625" customWidth="1"/>
    <col min="12" max="12" width="13" customWidth="1"/>
    <col min="13" max="13" width="16.5" customWidth="1"/>
    <col min="14" max="14" width="11.83203125" customWidth="1"/>
    <col min="15" max="15" width="14.1640625" customWidth="1"/>
    <col min="16" max="16" width="14" customWidth="1"/>
    <col min="17" max="17" width="13.1640625" customWidth="1"/>
    <col min="18" max="18" width="26.6640625" customWidth="1"/>
    <col min="19" max="19" width="13.6640625" customWidth="1"/>
    <col min="20" max="20" width="14.1640625" customWidth="1"/>
    <col min="21" max="21" width="25.6640625" customWidth="1"/>
    <col min="22" max="22" width="14.83203125" customWidth="1"/>
    <col min="23" max="23" width="12.83203125" customWidth="1"/>
    <col min="24" max="24" width="13.6640625" customWidth="1"/>
  </cols>
  <sheetData>
    <row r="1" spans="1:21" x14ac:dyDescent="0.2">
      <c r="A1" t="s">
        <v>29</v>
      </c>
    </row>
    <row r="3" spans="1:21" x14ac:dyDescent="0.2">
      <c r="A3" t="s">
        <v>0</v>
      </c>
      <c r="B3" s="19" t="s">
        <v>9</v>
      </c>
      <c r="C3" s="19" t="s">
        <v>11</v>
      </c>
      <c r="D3" s="19" t="s">
        <v>13</v>
      </c>
      <c r="E3" s="19" t="s">
        <v>8</v>
      </c>
      <c r="F3" s="20" t="s">
        <v>23</v>
      </c>
      <c r="G3" s="19"/>
      <c r="H3" s="19"/>
      <c r="I3" s="20" t="s">
        <v>24</v>
      </c>
      <c r="L3" s="20"/>
      <c r="M3" t="s">
        <v>30</v>
      </c>
      <c r="R3" t="s">
        <v>31</v>
      </c>
    </row>
    <row r="4" spans="1:21" x14ac:dyDescent="0.2">
      <c r="B4" s="19" t="s">
        <v>10</v>
      </c>
      <c r="C4" s="19" t="s">
        <v>12</v>
      </c>
      <c r="D4" s="19" t="s">
        <v>14</v>
      </c>
      <c r="F4" s="19" t="s">
        <v>11</v>
      </c>
      <c r="G4" s="19" t="s">
        <v>13</v>
      </c>
      <c r="H4" s="19" t="s">
        <v>8</v>
      </c>
      <c r="I4" s="19" t="s">
        <v>15</v>
      </c>
      <c r="J4" s="19" t="s">
        <v>6</v>
      </c>
      <c r="K4" s="19" t="s">
        <v>16</v>
      </c>
      <c r="L4" s="19"/>
      <c r="M4" s="7"/>
      <c r="N4" s="7" t="s">
        <v>17</v>
      </c>
      <c r="O4" s="7" t="s">
        <v>18</v>
      </c>
      <c r="P4" s="7" t="s">
        <v>2</v>
      </c>
      <c r="R4" s="14"/>
      <c r="S4" s="14" t="s">
        <v>17</v>
      </c>
      <c r="T4" s="14" t="s">
        <v>18</v>
      </c>
      <c r="U4" s="14" t="s">
        <v>2</v>
      </c>
    </row>
    <row r="5" spans="1:21" x14ac:dyDescent="0.2">
      <c r="F5" s="19" t="s">
        <v>12</v>
      </c>
      <c r="G5" s="19" t="s">
        <v>14</v>
      </c>
      <c r="M5" s="7"/>
      <c r="N5" s="7"/>
      <c r="O5" s="7"/>
      <c r="P5" s="7"/>
      <c r="R5" s="14"/>
      <c r="S5" s="14"/>
      <c r="T5" s="14"/>
      <c r="U5" s="14"/>
    </row>
    <row r="6" spans="1:21" x14ac:dyDescent="0.2">
      <c r="M6" s="7" t="s">
        <v>33</v>
      </c>
      <c r="N6" s="7">
        <f>COUNTIFS(J$50:J$130,"&gt;1",G$51:G$131,"&lt;=1100")</f>
        <v>0</v>
      </c>
      <c r="O6" s="7">
        <f>COUNTIFS(J$50:J$130,"&lt;=1",G$51:G$131,"&lt;=1100")</f>
        <v>7</v>
      </c>
      <c r="P6" s="7">
        <f>COUNTIF(G$51:G$131,"&lt;=1100")</f>
        <v>7</v>
      </c>
      <c r="R6" s="14" t="s">
        <v>34</v>
      </c>
      <c r="S6" s="15">
        <f>COUNTIFS(J$50:J$130,"&gt;1",K$51:K$131,"&lt;=0",G$51:G$131,"&lt;=1100")</f>
        <v>0</v>
      </c>
      <c r="T6" s="15">
        <f>COUNTIFS(J$50:J$130,"&lt;=1",K$51:K$131,"&lt;=0",G$51:G$131,"&lt;=1100")</f>
        <v>6</v>
      </c>
      <c r="U6" s="15">
        <f>COUNTIFS(K$51:K$131,"&lt;=0",G$51:G$131,"&lt;=1100")</f>
        <v>6</v>
      </c>
    </row>
    <row r="7" spans="1:21" x14ac:dyDescent="0.2">
      <c r="A7" s="1">
        <v>43888</v>
      </c>
      <c r="B7">
        <v>1</v>
      </c>
      <c r="C7">
        <v>13</v>
      </c>
      <c r="D7">
        <f>C7</f>
        <v>13</v>
      </c>
      <c r="E7" s="3">
        <f t="shared" ref="E7:E38" si="0">C7/B7</f>
        <v>13</v>
      </c>
      <c r="I7" s="19"/>
      <c r="K7" s="19"/>
      <c r="L7" s="6"/>
      <c r="M7" s="7" t="s">
        <v>7</v>
      </c>
      <c r="N7" s="7">
        <f>+N8-N6</f>
        <v>40</v>
      </c>
      <c r="O7" s="7">
        <f>+O8-O6</f>
        <v>34</v>
      </c>
      <c r="P7" s="7">
        <f>+P8-P6</f>
        <v>74</v>
      </c>
      <c r="R7" s="14" t="s">
        <v>7</v>
      </c>
      <c r="S7" s="15">
        <f>+S8-S6</f>
        <v>40</v>
      </c>
      <c r="T7" s="15">
        <f>+T8-T6</f>
        <v>35</v>
      </c>
      <c r="U7" s="15">
        <f>+U8-U6</f>
        <v>75</v>
      </c>
    </row>
    <row r="8" spans="1:21" x14ac:dyDescent="0.2">
      <c r="A8" s="1">
        <v>43889</v>
      </c>
      <c r="B8">
        <v>2</v>
      </c>
      <c r="C8">
        <v>19</v>
      </c>
      <c r="D8">
        <f>C8-C7</f>
        <v>6</v>
      </c>
      <c r="E8" s="3">
        <f t="shared" si="0"/>
        <v>9.5</v>
      </c>
      <c r="L8" s="6"/>
      <c r="M8" s="7" t="s">
        <v>2</v>
      </c>
      <c r="N8" s="7">
        <f>COUNTIF(J$50:J$130,"&gt;1")</f>
        <v>40</v>
      </c>
      <c r="O8" s="7">
        <f>COUNTIF(J$50:J$130,"&lt;=1")</f>
        <v>41</v>
      </c>
      <c r="P8" s="7">
        <f>COUNT(J$50:J$130)</f>
        <v>81</v>
      </c>
      <c r="R8" s="14" t="s">
        <v>2</v>
      </c>
      <c r="S8" s="15">
        <f>COUNTIF(J$50:J$130,"&gt;1")</f>
        <v>40</v>
      </c>
      <c r="T8" s="15">
        <f>COUNTIF(J$50:J$130,"&lt;=1")</f>
        <v>41</v>
      </c>
      <c r="U8" s="15">
        <f>COUNT(J$50:J$130)</f>
        <v>81</v>
      </c>
    </row>
    <row r="9" spans="1:21" x14ac:dyDescent="0.2">
      <c r="A9" s="1">
        <v>43890</v>
      </c>
      <c r="B9">
        <v>3</v>
      </c>
      <c r="C9">
        <v>23</v>
      </c>
      <c r="D9">
        <f t="shared" ref="D9:D72" si="1">C9-C8</f>
        <v>4</v>
      </c>
      <c r="E9" s="3">
        <f t="shared" si="0"/>
        <v>7.666666666666667</v>
      </c>
      <c r="L9" s="6"/>
      <c r="M9" s="7"/>
      <c r="N9" s="8"/>
      <c r="O9" s="7"/>
      <c r="P9" s="7"/>
      <c r="R9" s="14"/>
      <c r="S9" s="14"/>
      <c r="T9" s="14"/>
      <c r="U9" s="14"/>
    </row>
    <row r="10" spans="1:21" x14ac:dyDescent="0.2">
      <c r="A10" s="1">
        <v>43891</v>
      </c>
      <c r="B10">
        <v>4</v>
      </c>
      <c r="C10">
        <v>35</v>
      </c>
      <c r="D10">
        <f t="shared" si="1"/>
        <v>12</v>
      </c>
      <c r="E10" s="3">
        <f t="shared" si="0"/>
        <v>8.75</v>
      </c>
      <c r="L10" s="6"/>
      <c r="M10" s="7" t="s">
        <v>1</v>
      </c>
      <c r="N10" s="7"/>
      <c r="O10" s="9">
        <f>+P6/P8</f>
        <v>8.6419753086419748E-2</v>
      </c>
      <c r="P10" s="7"/>
      <c r="R10" s="14" t="s">
        <v>1</v>
      </c>
      <c r="S10" s="14"/>
      <c r="T10" s="16">
        <f>+U6/U8</f>
        <v>7.407407407407407E-2</v>
      </c>
      <c r="U10" s="14"/>
    </row>
    <row r="11" spans="1:21" x14ac:dyDescent="0.2">
      <c r="A11" s="1">
        <v>43892</v>
      </c>
      <c r="B11">
        <v>5</v>
      </c>
      <c r="C11">
        <v>40</v>
      </c>
      <c r="D11">
        <f t="shared" si="1"/>
        <v>5</v>
      </c>
      <c r="E11" s="3">
        <f t="shared" si="0"/>
        <v>8</v>
      </c>
      <c r="F11" s="2">
        <f>AVERAGE(C7:C11)</f>
        <v>26</v>
      </c>
      <c r="G11" s="21">
        <f>AVERAGE(D7:D11)</f>
        <v>8</v>
      </c>
      <c r="H11" s="21">
        <f>AVERAGE(E7:E11)</f>
        <v>9.3833333333333346</v>
      </c>
      <c r="I11" s="5">
        <f t="shared" ref="I11:I42" si="2">+G11/H11</f>
        <v>0.85257548845470676</v>
      </c>
      <c r="L11" s="6"/>
      <c r="M11" s="7" t="s">
        <v>3</v>
      </c>
      <c r="N11" s="7"/>
      <c r="O11" s="9">
        <f>+N8/P8</f>
        <v>0.49382716049382713</v>
      </c>
      <c r="P11" s="7"/>
      <c r="R11" s="14" t="s">
        <v>3</v>
      </c>
      <c r="S11" s="14"/>
      <c r="T11" s="16">
        <f>+S8/U8</f>
        <v>0.49382716049382713</v>
      </c>
      <c r="U11" s="14"/>
    </row>
    <row r="12" spans="1:21" x14ac:dyDescent="0.2">
      <c r="A12" s="1">
        <v>43893</v>
      </c>
      <c r="B12">
        <v>6</v>
      </c>
      <c r="C12">
        <v>51</v>
      </c>
      <c r="D12">
        <f t="shared" si="1"/>
        <v>11</v>
      </c>
      <c r="E12" s="3">
        <f t="shared" si="0"/>
        <v>8.5</v>
      </c>
      <c r="F12" s="2">
        <f t="shared" ref="F12:F43" si="3">((C12-F11)*$C$136)+F11</f>
        <v>34.333333333333329</v>
      </c>
      <c r="G12" s="2">
        <f t="shared" ref="G12:G43" si="4">((D12-G11)*$C$136)+G11</f>
        <v>9</v>
      </c>
      <c r="H12" s="2">
        <f t="shared" ref="H12:H43" si="5">((E12-H11)*$C$136)+H11</f>
        <v>9.0888888888888903</v>
      </c>
      <c r="I12" s="4">
        <f t="shared" si="2"/>
        <v>0.99022004889975535</v>
      </c>
      <c r="J12" s="6">
        <f>((F12-F11)*(B12+B11))/((F12+F11)*(B12-B11))</f>
        <v>1.519337016574585</v>
      </c>
      <c r="K12" s="5">
        <f t="shared" ref="K12:K43" si="6">+G12-G11</f>
        <v>1</v>
      </c>
      <c r="L12" s="6"/>
      <c r="M12" s="7" t="s">
        <v>4</v>
      </c>
      <c r="N12" s="7"/>
      <c r="O12" s="9">
        <f>N6/P6</f>
        <v>0</v>
      </c>
      <c r="P12" s="10"/>
      <c r="R12" s="14" t="s">
        <v>4</v>
      </c>
      <c r="S12" s="14"/>
      <c r="T12" s="16">
        <f>S6/U6</f>
        <v>0</v>
      </c>
      <c r="U12" s="14"/>
    </row>
    <row r="13" spans="1:21" x14ac:dyDescent="0.2">
      <c r="A13" s="1">
        <v>43894</v>
      </c>
      <c r="B13">
        <v>7</v>
      </c>
      <c r="C13">
        <v>85</v>
      </c>
      <c r="D13">
        <f t="shared" si="1"/>
        <v>34</v>
      </c>
      <c r="E13" s="3">
        <f t="shared" si="0"/>
        <v>12.142857142857142</v>
      </c>
      <c r="F13" s="2">
        <f t="shared" si="3"/>
        <v>51.222222222222214</v>
      </c>
      <c r="G13" s="2">
        <f t="shared" si="4"/>
        <v>17.333333333333332</v>
      </c>
      <c r="H13" s="2">
        <f t="shared" si="5"/>
        <v>10.106878306878308</v>
      </c>
      <c r="I13" s="4">
        <f t="shared" si="2"/>
        <v>1.7150036645377444</v>
      </c>
      <c r="J13" s="6">
        <f t="shared" ref="J13:J76" si="7">((F13-F12)*(B13+B12))/((F13+F12)*(B13-B12))</f>
        <v>2.5662337662337662</v>
      </c>
      <c r="K13" s="5">
        <f t="shared" si="6"/>
        <v>8.3333333333333321</v>
      </c>
      <c r="L13" s="6"/>
      <c r="M13" s="7"/>
      <c r="N13" s="7"/>
      <c r="O13" s="9"/>
      <c r="P13" s="7"/>
      <c r="R13" s="14"/>
      <c r="S13" s="14"/>
      <c r="T13" s="16"/>
      <c r="U13" s="14"/>
    </row>
    <row r="14" spans="1:21" x14ac:dyDescent="0.2">
      <c r="A14" s="1">
        <v>43895</v>
      </c>
      <c r="B14">
        <v>8</v>
      </c>
      <c r="C14">
        <v>114</v>
      </c>
      <c r="D14">
        <f t="shared" si="1"/>
        <v>29</v>
      </c>
      <c r="E14" s="3">
        <f t="shared" si="0"/>
        <v>14.25</v>
      </c>
      <c r="F14" s="2">
        <f t="shared" si="3"/>
        <v>72.148148148148138</v>
      </c>
      <c r="G14" s="2">
        <f t="shared" si="4"/>
        <v>21.222222222222221</v>
      </c>
      <c r="H14" s="2">
        <f t="shared" si="5"/>
        <v>11.487918871252205</v>
      </c>
      <c r="I14" s="4">
        <f t="shared" si="2"/>
        <v>1.847351331434756</v>
      </c>
      <c r="J14" s="6">
        <f t="shared" si="7"/>
        <v>2.5442809966976885</v>
      </c>
      <c r="K14" s="5">
        <f t="shared" si="6"/>
        <v>3.8888888888888893</v>
      </c>
      <c r="L14" s="6"/>
      <c r="M14" s="7" t="s">
        <v>5</v>
      </c>
      <c r="N14" s="7"/>
      <c r="O14" s="9">
        <f>O10*O12/O11</f>
        <v>0</v>
      </c>
      <c r="P14" s="7"/>
      <c r="R14" s="14" t="s">
        <v>5</v>
      </c>
      <c r="S14" s="14"/>
      <c r="T14" s="16">
        <f>T10*T12/T11</f>
        <v>0</v>
      </c>
      <c r="U14" s="14"/>
    </row>
    <row r="15" spans="1:21" x14ac:dyDescent="0.2">
      <c r="A15" s="1">
        <v>43896</v>
      </c>
      <c r="B15">
        <v>9</v>
      </c>
      <c r="C15">
        <v>160</v>
      </c>
      <c r="D15">
        <f t="shared" si="1"/>
        <v>46</v>
      </c>
      <c r="E15" s="3">
        <f t="shared" si="0"/>
        <v>17.777777777777779</v>
      </c>
      <c r="F15" s="2">
        <f t="shared" si="3"/>
        <v>101.43209876543209</v>
      </c>
      <c r="G15" s="2">
        <f t="shared" si="4"/>
        <v>29.481481481481481</v>
      </c>
      <c r="H15" s="2">
        <f t="shared" si="5"/>
        <v>13.58453850676073</v>
      </c>
      <c r="I15" s="4">
        <f t="shared" si="2"/>
        <v>2.1702232627784293</v>
      </c>
      <c r="J15" s="6">
        <f t="shared" si="7"/>
        <v>2.8679943100995735</v>
      </c>
      <c r="K15" s="5">
        <f t="shared" si="6"/>
        <v>8.2592592592592595</v>
      </c>
      <c r="L15" s="6"/>
      <c r="M15" s="7" t="s">
        <v>5</v>
      </c>
      <c r="N15" s="7"/>
      <c r="O15" s="9">
        <f>+N6/N8</f>
        <v>0</v>
      </c>
      <c r="P15" s="7"/>
      <c r="R15" s="14" t="s">
        <v>5</v>
      </c>
      <c r="S15" s="14"/>
      <c r="T15" s="16">
        <f>+S6/S8</f>
        <v>0</v>
      </c>
      <c r="U15" s="14"/>
    </row>
    <row r="16" spans="1:21" x14ac:dyDescent="0.2">
      <c r="A16" s="1">
        <v>43897</v>
      </c>
      <c r="B16">
        <v>10</v>
      </c>
      <c r="C16">
        <v>206</v>
      </c>
      <c r="D16">
        <f t="shared" si="1"/>
        <v>46</v>
      </c>
      <c r="E16" s="3">
        <f t="shared" si="0"/>
        <v>20.6</v>
      </c>
      <c r="F16" s="2">
        <f t="shared" si="3"/>
        <v>136.28806584362138</v>
      </c>
      <c r="G16" s="2">
        <f t="shared" si="4"/>
        <v>34.987654320987652</v>
      </c>
      <c r="H16" s="2">
        <f t="shared" si="5"/>
        <v>15.92302567117382</v>
      </c>
      <c r="I16" s="4">
        <f t="shared" si="2"/>
        <v>2.197299372840138</v>
      </c>
      <c r="J16" s="6">
        <f t="shared" si="7"/>
        <v>2.7858948170203925</v>
      </c>
      <c r="K16" s="5">
        <f t="shared" si="6"/>
        <v>5.5061728395061706</v>
      </c>
      <c r="L16" s="6"/>
      <c r="M16" s="7"/>
      <c r="N16" s="7"/>
      <c r="O16" s="7"/>
      <c r="P16" s="7"/>
      <c r="R16" s="14"/>
      <c r="S16" s="14"/>
      <c r="T16" s="14"/>
      <c r="U16" s="14"/>
    </row>
    <row r="17" spans="1:21" x14ac:dyDescent="0.2">
      <c r="A17" s="1">
        <v>43898</v>
      </c>
      <c r="B17">
        <v>11</v>
      </c>
      <c r="C17">
        <v>271</v>
      </c>
      <c r="D17">
        <f t="shared" si="1"/>
        <v>65</v>
      </c>
      <c r="E17" s="3">
        <f t="shared" si="0"/>
        <v>24.636363636363637</v>
      </c>
      <c r="F17" s="2">
        <f t="shared" si="3"/>
        <v>181.19204389574759</v>
      </c>
      <c r="G17" s="2">
        <f t="shared" si="4"/>
        <v>44.991769547325099</v>
      </c>
      <c r="H17" s="2">
        <f t="shared" si="5"/>
        <v>18.827471659570424</v>
      </c>
      <c r="I17" s="4">
        <f t="shared" si="2"/>
        <v>2.3896872804190243</v>
      </c>
      <c r="J17" s="6">
        <f t="shared" si="7"/>
        <v>2.9702129682038345</v>
      </c>
      <c r="K17" s="5">
        <f t="shared" si="6"/>
        <v>10.004115226337447</v>
      </c>
      <c r="L17" s="6"/>
      <c r="M17" s="7"/>
      <c r="N17" s="7"/>
      <c r="O17" s="7"/>
      <c r="P17" s="7"/>
      <c r="R17" s="14"/>
      <c r="S17" s="14"/>
      <c r="T17" s="14"/>
      <c r="U17" s="14"/>
    </row>
    <row r="18" spans="1:21" x14ac:dyDescent="0.2">
      <c r="A18" s="1">
        <v>43899</v>
      </c>
      <c r="B18">
        <v>12</v>
      </c>
      <c r="C18">
        <v>321</v>
      </c>
      <c r="D18">
        <f t="shared" si="1"/>
        <v>50</v>
      </c>
      <c r="E18" s="3">
        <f t="shared" si="0"/>
        <v>26.75</v>
      </c>
      <c r="F18" s="2">
        <f t="shared" si="3"/>
        <v>227.79469593049839</v>
      </c>
      <c r="G18" s="2">
        <f t="shared" si="4"/>
        <v>46.661179698216735</v>
      </c>
      <c r="H18" s="2">
        <f t="shared" si="5"/>
        <v>21.468314439713616</v>
      </c>
      <c r="I18" s="4">
        <f t="shared" si="2"/>
        <v>2.1734906030582244</v>
      </c>
      <c r="J18" s="6">
        <f t="shared" si="7"/>
        <v>2.6207720016904168</v>
      </c>
      <c r="K18" s="5">
        <f t="shared" si="6"/>
        <v>1.6694101508916361</v>
      </c>
      <c r="L18" s="6"/>
      <c r="M18" s="7"/>
      <c r="N18" s="7" t="s">
        <v>19</v>
      </c>
      <c r="O18" s="7" t="s">
        <v>21</v>
      </c>
      <c r="P18" s="7" t="s">
        <v>2</v>
      </c>
      <c r="R18" s="14"/>
      <c r="S18" s="14" t="s">
        <v>19</v>
      </c>
      <c r="T18" s="14" t="s">
        <v>21</v>
      </c>
      <c r="U18" s="14" t="s">
        <v>2</v>
      </c>
    </row>
    <row r="19" spans="1:21" x14ac:dyDescent="0.2">
      <c r="A19" s="1">
        <v>43900</v>
      </c>
      <c r="B19">
        <v>13</v>
      </c>
      <c r="C19">
        <v>373</v>
      </c>
      <c r="D19">
        <f t="shared" si="1"/>
        <v>52</v>
      </c>
      <c r="E19" s="3">
        <f t="shared" si="0"/>
        <v>28.692307692307693</v>
      </c>
      <c r="F19" s="2">
        <f t="shared" si="3"/>
        <v>276.19646395366561</v>
      </c>
      <c r="G19" s="2">
        <f t="shared" si="4"/>
        <v>48.440786465477821</v>
      </c>
      <c r="H19" s="2">
        <f t="shared" si="5"/>
        <v>23.876312190578307</v>
      </c>
      <c r="I19" s="4">
        <f t="shared" si="2"/>
        <v>2.0288219587191008</v>
      </c>
      <c r="J19" s="6">
        <f t="shared" si="7"/>
        <v>2.4009234623426607</v>
      </c>
      <c r="K19" s="5">
        <f t="shared" si="6"/>
        <v>1.779606767261086</v>
      </c>
      <c r="L19" s="6"/>
      <c r="M19" s="7"/>
      <c r="N19" s="7"/>
      <c r="O19" s="7"/>
      <c r="P19" s="7"/>
      <c r="R19" s="14"/>
      <c r="S19" s="14"/>
      <c r="T19" s="14"/>
      <c r="U19" s="14"/>
    </row>
    <row r="20" spans="1:21" x14ac:dyDescent="0.2">
      <c r="A20" s="1">
        <v>43901</v>
      </c>
      <c r="B20">
        <v>14</v>
      </c>
      <c r="C20">
        <v>456</v>
      </c>
      <c r="D20">
        <f t="shared" si="1"/>
        <v>83</v>
      </c>
      <c r="E20" s="3">
        <f t="shared" si="0"/>
        <v>32.571428571428569</v>
      </c>
      <c r="F20" s="2">
        <f t="shared" si="3"/>
        <v>336.13097596911041</v>
      </c>
      <c r="G20" s="2">
        <f t="shared" si="4"/>
        <v>59.960524310318547</v>
      </c>
      <c r="H20" s="2">
        <f t="shared" si="5"/>
        <v>26.774684317528394</v>
      </c>
      <c r="I20" s="4">
        <f t="shared" si="2"/>
        <v>2.2394484132559729</v>
      </c>
      <c r="J20" s="6">
        <f t="shared" si="7"/>
        <v>2.6427556874163498</v>
      </c>
      <c r="K20" s="5">
        <f t="shared" si="6"/>
        <v>11.519737844840726</v>
      </c>
      <c r="L20" s="6"/>
      <c r="M20" s="7" t="s">
        <v>33</v>
      </c>
      <c r="N20" s="7">
        <f>COUNTIFS(J$50:J$130,"&lt;=1",G$51:G$131,"&lt;=1100")</f>
        <v>7</v>
      </c>
      <c r="O20" s="7">
        <f>COUNTIFS(J$50:J$130,"&gt;1",G$51:G$131,"&lt;=1100")</f>
        <v>0</v>
      </c>
      <c r="P20" s="7">
        <f>COUNTIF(G$51:G$131,"&lt;=1100")</f>
        <v>7</v>
      </c>
      <c r="R20" s="14" t="s">
        <v>34</v>
      </c>
      <c r="S20" s="15">
        <f>COUNTIFS(J$50:J$130,"&lt;=1",K$51:K$131,"&lt;=0",G$51:G$131,"&lt;=1100")</f>
        <v>6</v>
      </c>
      <c r="T20" s="15">
        <f>COUNTIFS(J$50:J$130,"&gt;1",K$51:K$131,"&lt;=0",G$51:G$131,"&lt;=1100")</f>
        <v>0</v>
      </c>
      <c r="U20" s="15">
        <f>COUNTIFS(K$51:K$131,"&lt;=0",G$51:G$131,"&lt;=1100")</f>
        <v>6</v>
      </c>
    </row>
    <row r="21" spans="1:21" x14ac:dyDescent="0.2">
      <c r="A21" s="1">
        <v>43902</v>
      </c>
      <c r="B21">
        <v>15</v>
      </c>
      <c r="C21">
        <v>596</v>
      </c>
      <c r="D21">
        <f t="shared" si="1"/>
        <v>140</v>
      </c>
      <c r="E21" s="3">
        <f t="shared" si="0"/>
        <v>39.733333333333334</v>
      </c>
      <c r="F21" s="2">
        <f t="shared" si="3"/>
        <v>422.75398397940694</v>
      </c>
      <c r="G21" s="2">
        <f t="shared" si="4"/>
        <v>86.640349540212355</v>
      </c>
      <c r="H21" s="2">
        <f t="shared" si="5"/>
        <v>31.094233989463373</v>
      </c>
      <c r="I21" s="4">
        <f t="shared" si="2"/>
        <v>2.7863799304260528</v>
      </c>
      <c r="J21" s="6">
        <f t="shared" si="7"/>
        <v>3.3102082197926515</v>
      </c>
      <c r="K21" s="5">
        <f t="shared" si="6"/>
        <v>26.679825229893808</v>
      </c>
      <c r="L21" s="6"/>
      <c r="M21" s="7" t="s">
        <v>7</v>
      </c>
      <c r="N21" s="7">
        <f>+N22-N20</f>
        <v>34</v>
      </c>
      <c r="O21" s="7">
        <f>+O22-O20</f>
        <v>40</v>
      </c>
      <c r="P21" s="7">
        <f>+P22-P20</f>
        <v>74</v>
      </c>
      <c r="R21" s="14" t="s">
        <v>7</v>
      </c>
      <c r="S21" s="15">
        <f>+S22-S20</f>
        <v>35</v>
      </c>
      <c r="T21" s="15">
        <f>+T22-T20</f>
        <v>40</v>
      </c>
      <c r="U21" s="15">
        <f>+U22-U20</f>
        <v>75</v>
      </c>
    </row>
    <row r="22" spans="1:21" x14ac:dyDescent="0.2">
      <c r="A22" s="1">
        <v>43903</v>
      </c>
      <c r="B22">
        <v>16</v>
      </c>
      <c r="C22">
        <v>798</v>
      </c>
      <c r="D22">
        <f t="shared" si="1"/>
        <v>202</v>
      </c>
      <c r="E22" s="3">
        <f t="shared" si="0"/>
        <v>49.875</v>
      </c>
      <c r="F22" s="2">
        <f t="shared" si="3"/>
        <v>547.83598931960466</v>
      </c>
      <c r="G22" s="2">
        <f t="shared" si="4"/>
        <v>125.09356636014157</v>
      </c>
      <c r="H22" s="2">
        <f t="shared" si="5"/>
        <v>37.354489326308915</v>
      </c>
      <c r="I22" s="4">
        <f t="shared" si="2"/>
        <v>3.3488228220011473</v>
      </c>
      <c r="J22" s="6">
        <f t="shared" si="7"/>
        <v>3.9950362894914919</v>
      </c>
      <c r="K22" s="5">
        <f t="shared" si="6"/>
        <v>38.45321681992921</v>
      </c>
      <c r="L22" s="6"/>
      <c r="M22" s="7" t="s">
        <v>2</v>
      </c>
      <c r="N22" s="7">
        <f>COUNTIF(J$50:J$130,"&lt;=1")</f>
        <v>41</v>
      </c>
      <c r="O22" s="7">
        <f>COUNTIF(J$50:J$130,"&gt;1")</f>
        <v>40</v>
      </c>
      <c r="P22" s="7">
        <f>COUNT(J$50:J$130)</f>
        <v>81</v>
      </c>
      <c r="R22" s="14" t="s">
        <v>2</v>
      </c>
      <c r="S22" s="15">
        <f>COUNTIF(J$50:J$130,"&lt;=1")</f>
        <v>41</v>
      </c>
      <c r="T22" s="15">
        <f>COUNTIF(J$50:J$130,"&gt;1")</f>
        <v>40</v>
      </c>
      <c r="U22" s="15">
        <f>COUNT(J$50:J$130)</f>
        <v>81</v>
      </c>
    </row>
    <row r="23" spans="1:21" x14ac:dyDescent="0.2">
      <c r="A23" s="1">
        <v>43904</v>
      </c>
      <c r="B23">
        <v>17</v>
      </c>
      <c r="C23">
        <v>1140</v>
      </c>
      <c r="D23">
        <f t="shared" si="1"/>
        <v>342</v>
      </c>
      <c r="E23" s="3">
        <f t="shared" si="0"/>
        <v>67.058823529411768</v>
      </c>
      <c r="F23" s="2">
        <f t="shared" si="3"/>
        <v>745.22399287973644</v>
      </c>
      <c r="G23" s="2">
        <f t="shared" si="4"/>
        <v>197.39571090676105</v>
      </c>
      <c r="H23" s="2">
        <f t="shared" si="5"/>
        <v>47.25593406067653</v>
      </c>
      <c r="I23" s="4">
        <f t="shared" si="2"/>
        <v>4.1771623993995197</v>
      </c>
      <c r="J23" s="6">
        <f t="shared" si="7"/>
        <v>5.0375111805758177</v>
      </c>
      <c r="K23" s="5">
        <f t="shared" si="6"/>
        <v>72.302144546619488</v>
      </c>
      <c r="L23" s="6"/>
      <c r="M23" s="7"/>
      <c r="N23" s="8"/>
      <c r="O23" s="7"/>
      <c r="P23" s="7"/>
      <c r="R23" s="14"/>
      <c r="S23" s="14"/>
      <c r="T23" s="14"/>
      <c r="U23" s="14"/>
    </row>
    <row r="24" spans="1:21" x14ac:dyDescent="0.2">
      <c r="A24" s="1">
        <v>43905</v>
      </c>
      <c r="B24">
        <v>18</v>
      </c>
      <c r="C24">
        <v>1372</v>
      </c>
      <c r="D24">
        <f t="shared" si="1"/>
        <v>232</v>
      </c>
      <c r="E24" s="3">
        <f t="shared" si="0"/>
        <v>76.222222222222229</v>
      </c>
      <c r="F24" s="2">
        <f t="shared" si="3"/>
        <v>954.14932858649092</v>
      </c>
      <c r="G24" s="2">
        <f t="shared" si="4"/>
        <v>208.9304739378407</v>
      </c>
      <c r="H24" s="2">
        <f t="shared" si="5"/>
        <v>56.911363447858427</v>
      </c>
      <c r="I24" s="4">
        <f t="shared" si="2"/>
        <v>3.6711556582063007</v>
      </c>
      <c r="J24" s="6">
        <f t="shared" si="7"/>
        <v>4.302990200780159</v>
      </c>
      <c r="K24" s="5">
        <f t="shared" si="6"/>
        <v>11.534763031079649</v>
      </c>
      <c r="L24" s="6"/>
      <c r="M24" s="7" t="s">
        <v>1</v>
      </c>
      <c r="N24" s="7"/>
      <c r="O24" s="9">
        <f>+P20/P22</f>
        <v>8.6419753086419748E-2</v>
      </c>
      <c r="P24" s="7"/>
      <c r="R24" s="14" t="s">
        <v>1</v>
      </c>
      <c r="S24" s="14"/>
      <c r="T24" s="16">
        <f>+U20/U22</f>
        <v>7.407407407407407E-2</v>
      </c>
      <c r="U24" s="14"/>
    </row>
    <row r="25" spans="1:21" x14ac:dyDescent="0.2">
      <c r="A25" s="1">
        <v>43906</v>
      </c>
      <c r="B25">
        <v>19</v>
      </c>
      <c r="C25">
        <v>1543</v>
      </c>
      <c r="D25">
        <f t="shared" si="1"/>
        <v>171</v>
      </c>
      <c r="E25" s="3">
        <f t="shared" si="0"/>
        <v>81.21052631578948</v>
      </c>
      <c r="F25" s="2">
        <f t="shared" si="3"/>
        <v>1150.4328857243272</v>
      </c>
      <c r="G25" s="2">
        <f t="shared" si="4"/>
        <v>196.28698262522713</v>
      </c>
      <c r="H25" s="2">
        <f t="shared" si="5"/>
        <v>65.01108440383544</v>
      </c>
      <c r="I25" s="4">
        <f t="shared" si="2"/>
        <v>3.0192848561936438</v>
      </c>
      <c r="J25" s="6">
        <f t="shared" si="7"/>
        <v>3.4507996716479763</v>
      </c>
      <c r="K25" s="5">
        <f t="shared" si="6"/>
        <v>-12.643491312613577</v>
      </c>
      <c r="L25" s="6"/>
      <c r="M25" s="7" t="s">
        <v>3</v>
      </c>
      <c r="N25" s="7"/>
      <c r="O25" s="9">
        <f>+N22/P22</f>
        <v>0.50617283950617287</v>
      </c>
      <c r="P25" s="7"/>
      <c r="R25" s="14" t="s">
        <v>3</v>
      </c>
      <c r="S25" s="14"/>
      <c r="T25" s="16">
        <f>+S22/U22</f>
        <v>0.50617283950617287</v>
      </c>
      <c r="U25" s="14"/>
    </row>
    <row r="26" spans="1:21" x14ac:dyDescent="0.2">
      <c r="A26" s="1">
        <v>43907</v>
      </c>
      <c r="B26">
        <v>20</v>
      </c>
      <c r="C26">
        <v>1959</v>
      </c>
      <c r="D26">
        <f t="shared" si="1"/>
        <v>416</v>
      </c>
      <c r="E26" s="3">
        <f t="shared" si="0"/>
        <v>97.95</v>
      </c>
      <c r="F26" s="2">
        <f t="shared" si="3"/>
        <v>1419.9552571495515</v>
      </c>
      <c r="G26" s="2">
        <f t="shared" si="4"/>
        <v>269.52465508348473</v>
      </c>
      <c r="H26" s="2">
        <f t="shared" si="5"/>
        <v>75.99072293589029</v>
      </c>
      <c r="I26" s="4">
        <f t="shared" si="2"/>
        <v>3.5468099877253398</v>
      </c>
      <c r="J26" s="6">
        <f t="shared" si="7"/>
        <v>4.0894105875509048</v>
      </c>
      <c r="K26" s="5">
        <f t="shared" si="6"/>
        <v>73.237672458257606</v>
      </c>
      <c r="L26" s="6"/>
      <c r="M26" s="7" t="s">
        <v>4</v>
      </c>
      <c r="N26" s="7"/>
      <c r="O26" s="9">
        <f>N20/P20</f>
        <v>1</v>
      </c>
      <c r="P26" s="10"/>
      <c r="R26" s="14" t="s">
        <v>4</v>
      </c>
      <c r="S26" s="14"/>
      <c r="T26" s="16">
        <f>S20/U20</f>
        <v>1</v>
      </c>
      <c r="U26" s="14"/>
    </row>
    <row r="27" spans="1:21" x14ac:dyDescent="0.2">
      <c r="A27" s="1">
        <v>43908</v>
      </c>
      <c r="B27">
        <v>21</v>
      </c>
      <c r="C27">
        <v>2626</v>
      </c>
      <c r="D27">
        <f t="shared" si="1"/>
        <v>667</v>
      </c>
      <c r="E27" s="3">
        <f t="shared" si="0"/>
        <v>125.04761904761905</v>
      </c>
      <c r="F27" s="2">
        <f t="shared" si="3"/>
        <v>1821.9701714330342</v>
      </c>
      <c r="G27" s="2">
        <f t="shared" si="4"/>
        <v>402.01643672232314</v>
      </c>
      <c r="H27" s="2">
        <f t="shared" si="5"/>
        <v>92.343021639799872</v>
      </c>
      <c r="I27" s="4">
        <f t="shared" si="2"/>
        <v>4.3535118256196839</v>
      </c>
      <c r="J27" s="6">
        <f t="shared" si="7"/>
        <v>5.0842043867829556</v>
      </c>
      <c r="K27" s="5">
        <f t="shared" si="6"/>
        <v>132.4917816388384</v>
      </c>
      <c r="L27" s="6"/>
      <c r="M27" s="7"/>
      <c r="N27" s="7"/>
      <c r="O27" s="9"/>
      <c r="P27" s="7"/>
      <c r="R27" s="14"/>
      <c r="S27" s="14"/>
      <c r="T27" s="16"/>
      <c r="U27" s="14"/>
    </row>
    <row r="28" spans="1:21" x14ac:dyDescent="0.2">
      <c r="A28" s="1">
        <v>43909</v>
      </c>
      <c r="B28">
        <v>22</v>
      </c>
      <c r="C28">
        <v>3229</v>
      </c>
      <c r="D28">
        <f t="shared" si="1"/>
        <v>603</v>
      </c>
      <c r="E28" s="3">
        <f t="shared" si="0"/>
        <v>146.77272727272728</v>
      </c>
      <c r="F28" s="2">
        <f t="shared" si="3"/>
        <v>2290.9801142886895</v>
      </c>
      <c r="G28" s="2">
        <f t="shared" si="4"/>
        <v>469.01095781488209</v>
      </c>
      <c r="H28" s="2">
        <f t="shared" si="5"/>
        <v>110.48625685077567</v>
      </c>
      <c r="I28" s="4">
        <f t="shared" si="2"/>
        <v>4.2449710143437569</v>
      </c>
      <c r="J28" s="6">
        <f t="shared" si="7"/>
        <v>4.9033968664307057</v>
      </c>
      <c r="K28" s="5">
        <f t="shared" si="6"/>
        <v>66.994521092558955</v>
      </c>
      <c r="L28" s="6"/>
      <c r="M28" s="7" t="s">
        <v>5</v>
      </c>
      <c r="N28" s="7"/>
      <c r="O28" s="9">
        <f>O24*O26/O25</f>
        <v>0.17073170731707316</v>
      </c>
      <c r="P28" s="7"/>
      <c r="R28" s="14" t="s">
        <v>5</v>
      </c>
      <c r="S28" s="14"/>
      <c r="T28" s="16">
        <f>T24*T26/T25</f>
        <v>0.14634146341463414</v>
      </c>
      <c r="U28" s="14"/>
    </row>
    <row r="29" spans="1:21" x14ac:dyDescent="0.2">
      <c r="A29" s="1">
        <v>43910</v>
      </c>
      <c r="B29">
        <v>23</v>
      </c>
      <c r="C29">
        <v>3983</v>
      </c>
      <c r="D29">
        <f t="shared" si="1"/>
        <v>754</v>
      </c>
      <c r="E29" s="3">
        <f t="shared" si="0"/>
        <v>173.17391304347825</v>
      </c>
      <c r="F29" s="2">
        <f t="shared" si="3"/>
        <v>2854.986742859126</v>
      </c>
      <c r="G29" s="2">
        <f t="shared" si="4"/>
        <v>564.00730520992136</v>
      </c>
      <c r="H29" s="2">
        <f t="shared" si="5"/>
        <v>131.3821422483432</v>
      </c>
      <c r="I29" s="4">
        <f t="shared" si="2"/>
        <v>4.2928764561002106</v>
      </c>
      <c r="J29" s="6">
        <f t="shared" si="7"/>
        <v>4.9320757381902052</v>
      </c>
      <c r="K29" s="5">
        <f t="shared" si="6"/>
        <v>94.996347395039265</v>
      </c>
      <c r="L29" s="6"/>
      <c r="M29" s="7" t="s">
        <v>5</v>
      </c>
      <c r="N29" s="7"/>
      <c r="O29" s="9">
        <f>+N20/N22</f>
        <v>0.17073170731707318</v>
      </c>
      <c r="P29" s="7"/>
      <c r="R29" s="14" t="s">
        <v>5</v>
      </c>
      <c r="S29" s="14"/>
      <c r="T29" s="16">
        <f>+S20/S22</f>
        <v>0.14634146341463414</v>
      </c>
      <c r="U29" s="14"/>
    </row>
    <row r="30" spans="1:21" x14ac:dyDescent="0.2">
      <c r="A30" s="1">
        <v>43911</v>
      </c>
      <c r="B30">
        <v>24</v>
      </c>
      <c r="C30">
        <v>5018</v>
      </c>
      <c r="D30">
        <f t="shared" si="1"/>
        <v>1035</v>
      </c>
      <c r="E30" s="3">
        <f t="shared" si="0"/>
        <v>209.08333333333334</v>
      </c>
      <c r="F30" s="2">
        <f t="shared" si="3"/>
        <v>3575.991161906084</v>
      </c>
      <c r="G30" s="2">
        <f t="shared" si="4"/>
        <v>721.00487013994757</v>
      </c>
      <c r="H30" s="2">
        <f t="shared" si="5"/>
        <v>157.28253927667325</v>
      </c>
      <c r="I30" s="4">
        <f t="shared" si="2"/>
        <v>4.5841380324591476</v>
      </c>
      <c r="J30" s="6">
        <f t="shared" si="7"/>
        <v>5.2693708790536142</v>
      </c>
      <c r="K30" s="5">
        <f t="shared" si="6"/>
        <v>156.99756493002621</v>
      </c>
      <c r="L30" s="6"/>
      <c r="M30" s="7"/>
      <c r="N30" s="7"/>
      <c r="O30" s="7"/>
      <c r="P30" s="7"/>
      <c r="R30" s="14"/>
      <c r="S30" s="14"/>
      <c r="T30" s="14"/>
      <c r="U30" s="14"/>
    </row>
    <row r="31" spans="1:21" x14ac:dyDescent="0.2">
      <c r="A31" s="1">
        <v>43912</v>
      </c>
      <c r="B31">
        <v>25</v>
      </c>
      <c r="C31">
        <v>5683</v>
      </c>
      <c r="D31">
        <f t="shared" si="1"/>
        <v>665</v>
      </c>
      <c r="E31" s="3">
        <f t="shared" si="0"/>
        <v>227.32</v>
      </c>
      <c r="F31" s="2">
        <f t="shared" si="3"/>
        <v>4278.3274412707224</v>
      </c>
      <c r="G31" s="2">
        <f t="shared" si="4"/>
        <v>702.33658009329838</v>
      </c>
      <c r="H31" s="2">
        <f t="shared" si="5"/>
        <v>180.62835951778217</v>
      </c>
      <c r="I31" s="4">
        <f t="shared" si="2"/>
        <v>3.8882962895101532</v>
      </c>
      <c r="J31" s="6">
        <f t="shared" si="7"/>
        <v>4.3815994012450403</v>
      </c>
      <c r="K31" s="5">
        <f t="shared" si="6"/>
        <v>-18.66829004664919</v>
      </c>
      <c r="L31" s="6"/>
      <c r="M31" s="7"/>
      <c r="N31" s="7"/>
      <c r="O31" s="7"/>
      <c r="P31" s="7"/>
      <c r="R31" s="14"/>
      <c r="S31" s="14"/>
      <c r="T31" s="14"/>
      <c r="U31" s="14"/>
    </row>
    <row r="32" spans="1:21" x14ac:dyDescent="0.2">
      <c r="A32" s="1">
        <v>43913</v>
      </c>
      <c r="B32">
        <v>26</v>
      </c>
      <c r="C32">
        <v>6650</v>
      </c>
      <c r="D32">
        <f t="shared" si="1"/>
        <v>967</v>
      </c>
      <c r="E32" s="3">
        <f t="shared" si="0"/>
        <v>255.76923076923077</v>
      </c>
      <c r="F32" s="2">
        <f t="shared" si="3"/>
        <v>5068.8849608471482</v>
      </c>
      <c r="G32" s="2">
        <f t="shared" si="4"/>
        <v>790.55772006219888</v>
      </c>
      <c r="H32" s="2">
        <f t="shared" si="5"/>
        <v>205.67531660159838</v>
      </c>
      <c r="I32" s="4">
        <f t="shared" si="2"/>
        <v>3.8437170445374442</v>
      </c>
      <c r="J32" s="6">
        <f t="shared" si="7"/>
        <v>4.3134179222526763</v>
      </c>
      <c r="K32" s="5">
        <f t="shared" si="6"/>
        <v>88.221139968900502</v>
      </c>
      <c r="L32" s="6"/>
      <c r="M32" s="7"/>
      <c r="N32" s="7" t="s">
        <v>22</v>
      </c>
      <c r="O32" s="7" t="s">
        <v>20</v>
      </c>
      <c r="P32" s="7" t="s">
        <v>2</v>
      </c>
      <c r="R32" s="14"/>
      <c r="S32" s="14" t="s">
        <v>32</v>
      </c>
      <c r="T32" s="14" t="s">
        <v>20</v>
      </c>
      <c r="U32" s="14" t="s">
        <v>2</v>
      </c>
    </row>
    <row r="33" spans="1:21" x14ac:dyDescent="0.2">
      <c r="A33" s="1">
        <v>43914</v>
      </c>
      <c r="B33">
        <v>27</v>
      </c>
      <c r="C33">
        <v>8077</v>
      </c>
      <c r="D33">
        <f t="shared" si="1"/>
        <v>1427</v>
      </c>
      <c r="E33" s="3">
        <f t="shared" si="0"/>
        <v>299.14814814814815</v>
      </c>
      <c r="F33" s="2">
        <f t="shared" si="3"/>
        <v>6071.5899738980988</v>
      </c>
      <c r="G33" s="2">
        <f t="shared" si="4"/>
        <v>1002.7051467081326</v>
      </c>
      <c r="H33" s="2">
        <f t="shared" si="5"/>
        <v>236.83292711711496</v>
      </c>
      <c r="I33" s="4">
        <f t="shared" si="2"/>
        <v>4.2338080220251229</v>
      </c>
      <c r="J33" s="6">
        <f t="shared" si="7"/>
        <v>4.770296239880695</v>
      </c>
      <c r="K33" s="5">
        <f t="shared" si="6"/>
        <v>212.14742664593371</v>
      </c>
      <c r="L33" s="6"/>
      <c r="M33" s="7"/>
      <c r="N33" s="7"/>
      <c r="O33" s="7"/>
      <c r="P33" s="7"/>
      <c r="R33" s="14"/>
      <c r="S33" s="14"/>
      <c r="T33" s="14"/>
      <c r="U33" s="14"/>
    </row>
    <row r="34" spans="1:21" x14ac:dyDescent="0.2">
      <c r="A34" s="1">
        <v>43915</v>
      </c>
      <c r="B34">
        <v>28</v>
      </c>
      <c r="C34">
        <v>9529</v>
      </c>
      <c r="D34">
        <f t="shared" si="1"/>
        <v>1452</v>
      </c>
      <c r="E34" s="3">
        <f t="shared" si="0"/>
        <v>340.32142857142856</v>
      </c>
      <c r="F34" s="2">
        <f t="shared" si="3"/>
        <v>7224.0599825987319</v>
      </c>
      <c r="G34" s="2">
        <f t="shared" si="4"/>
        <v>1152.4700978054218</v>
      </c>
      <c r="H34" s="2">
        <f t="shared" si="5"/>
        <v>271.32909426855281</v>
      </c>
      <c r="I34" s="4">
        <f t="shared" si="2"/>
        <v>4.2474991519514083</v>
      </c>
      <c r="J34" s="6">
        <f t="shared" si="7"/>
        <v>4.7674127015928054</v>
      </c>
      <c r="K34" s="5">
        <f t="shared" si="6"/>
        <v>149.76495109728921</v>
      </c>
      <c r="L34" s="6"/>
      <c r="M34" s="7" t="s">
        <v>33</v>
      </c>
      <c r="N34" s="7">
        <f>COUNTIFS(J$50:J$130,"&lt;=0.5",G$51:G$131,"&lt;=1100")</f>
        <v>7</v>
      </c>
      <c r="O34" s="7">
        <f>COUNTIFS(J$50:J$130,"&gt;0.5",G$51:G$131,"&lt;=1100")</f>
        <v>0</v>
      </c>
      <c r="P34" s="7">
        <f>COUNTIF(G$51:G$131,"&lt;=1100")</f>
        <v>7</v>
      </c>
      <c r="R34" s="14" t="s">
        <v>34</v>
      </c>
      <c r="S34" s="15">
        <f>COUNTIFS(J$50:J$130,"&lt;=0.5",K$51:K$131,"&lt;=0",G$51:G$131,"&lt;=1100")</f>
        <v>6</v>
      </c>
      <c r="T34" s="15">
        <f>COUNTIFS(J$50:J$130,"&gt;0.5",K$51:K$131,"&lt;=0",G$51:G$131,"&lt;=1100")</f>
        <v>0</v>
      </c>
      <c r="U34" s="15">
        <f>COUNTIFS(K$51:K$131,"&lt;=0",G$51:G$131,"&lt;=1100")</f>
        <v>6</v>
      </c>
    </row>
    <row r="35" spans="1:21" x14ac:dyDescent="0.2">
      <c r="A35" s="1">
        <v>43916</v>
      </c>
      <c r="B35">
        <v>29</v>
      </c>
      <c r="C35">
        <v>11658</v>
      </c>
      <c r="D35">
        <f t="shared" si="1"/>
        <v>2129</v>
      </c>
      <c r="E35" s="3">
        <f t="shared" si="0"/>
        <v>402</v>
      </c>
      <c r="F35" s="2">
        <f t="shared" si="3"/>
        <v>8702.039988399154</v>
      </c>
      <c r="G35" s="2">
        <f t="shared" si="4"/>
        <v>1477.9800652036145</v>
      </c>
      <c r="H35" s="2">
        <f t="shared" si="5"/>
        <v>314.88606284570187</v>
      </c>
      <c r="I35" s="4">
        <f t="shared" si="2"/>
        <v>4.693697942191374</v>
      </c>
      <c r="J35" s="6">
        <f t="shared" si="7"/>
        <v>5.2897357472348894</v>
      </c>
      <c r="K35" s="5">
        <f t="shared" si="6"/>
        <v>325.50996739819266</v>
      </c>
      <c r="L35" s="6"/>
      <c r="M35" s="7" t="s">
        <v>7</v>
      </c>
      <c r="N35" s="7">
        <f>+N36-N34</f>
        <v>10</v>
      </c>
      <c r="O35" s="7">
        <f>+O36-O34</f>
        <v>64</v>
      </c>
      <c r="P35" s="7">
        <f>+P36-P34</f>
        <v>74</v>
      </c>
      <c r="R35" s="14" t="s">
        <v>7</v>
      </c>
      <c r="S35" s="15">
        <f>+S36-S34</f>
        <v>11</v>
      </c>
      <c r="T35" s="15">
        <f>+T36-T34</f>
        <v>64</v>
      </c>
      <c r="U35" s="15">
        <f>+U36-U34</f>
        <v>75</v>
      </c>
    </row>
    <row r="36" spans="1:21" x14ac:dyDescent="0.2">
      <c r="A36" s="1">
        <v>43917</v>
      </c>
      <c r="B36">
        <v>30</v>
      </c>
      <c r="C36">
        <v>14579</v>
      </c>
      <c r="D36">
        <f t="shared" si="1"/>
        <v>2921</v>
      </c>
      <c r="E36" s="3">
        <f t="shared" si="0"/>
        <v>485.96666666666664</v>
      </c>
      <c r="F36" s="2">
        <f t="shared" si="3"/>
        <v>10661.026658932769</v>
      </c>
      <c r="G36" s="2">
        <f t="shared" si="4"/>
        <v>1958.9867101357429</v>
      </c>
      <c r="H36" s="2">
        <f t="shared" si="5"/>
        <v>371.91293078602348</v>
      </c>
      <c r="I36" s="4">
        <f t="shared" si="2"/>
        <v>5.267326161517162</v>
      </c>
      <c r="J36" s="6">
        <f t="shared" si="7"/>
        <v>5.9691068396652636</v>
      </c>
      <c r="K36" s="5">
        <f t="shared" si="6"/>
        <v>481.00664493212844</v>
      </c>
      <c r="L36" s="6"/>
      <c r="M36" s="7" t="s">
        <v>2</v>
      </c>
      <c r="N36" s="7">
        <f>COUNTIF(J$50:J$130,"&lt;=0.5")</f>
        <v>17</v>
      </c>
      <c r="O36" s="7">
        <f>COUNTIF(J$50:J$130,"&gt;0.5")</f>
        <v>64</v>
      </c>
      <c r="P36" s="7">
        <f>COUNT(J$50:J$130)</f>
        <v>81</v>
      </c>
      <c r="R36" s="14" t="s">
        <v>2</v>
      </c>
      <c r="S36" s="15">
        <f>COUNTIF(J$50:J$130,"&lt;=0.5")</f>
        <v>17</v>
      </c>
      <c r="T36" s="15">
        <f>COUNTIF(J$50:J$130,"&gt;0.5")</f>
        <v>64</v>
      </c>
      <c r="U36" s="15">
        <f>COUNT(J$50:J$130)</f>
        <v>81</v>
      </c>
    </row>
    <row r="37" spans="1:21" x14ac:dyDescent="0.2">
      <c r="A37" s="1">
        <v>43918</v>
      </c>
      <c r="B37">
        <v>31</v>
      </c>
      <c r="C37">
        <v>17089</v>
      </c>
      <c r="D37">
        <f t="shared" si="1"/>
        <v>2510</v>
      </c>
      <c r="E37" s="3">
        <f t="shared" si="0"/>
        <v>551.25806451612902</v>
      </c>
      <c r="F37" s="2">
        <f t="shared" si="3"/>
        <v>12803.684439288512</v>
      </c>
      <c r="G37" s="2">
        <f t="shared" si="4"/>
        <v>2142.6578067571618</v>
      </c>
      <c r="H37" s="2">
        <f t="shared" si="5"/>
        <v>431.69464202939201</v>
      </c>
      <c r="I37" s="4">
        <f t="shared" si="2"/>
        <v>4.9633643741431435</v>
      </c>
      <c r="J37" s="6">
        <f t="shared" si="7"/>
        <v>5.5701569925405154</v>
      </c>
      <c r="K37" s="5">
        <f t="shared" si="6"/>
        <v>183.67109662141888</v>
      </c>
      <c r="L37" s="6"/>
      <c r="M37" s="7"/>
      <c r="N37" s="8"/>
      <c r="O37" s="7"/>
      <c r="P37" s="7"/>
      <c r="R37" s="14"/>
      <c r="S37" s="14"/>
      <c r="T37" s="14"/>
      <c r="U37" s="14"/>
    </row>
    <row r="38" spans="1:21" x14ac:dyDescent="0.2">
      <c r="A38" s="1">
        <v>43919</v>
      </c>
      <c r="B38">
        <v>32</v>
      </c>
      <c r="C38">
        <v>19522</v>
      </c>
      <c r="D38">
        <f t="shared" si="1"/>
        <v>2433</v>
      </c>
      <c r="E38" s="3">
        <f t="shared" si="0"/>
        <v>610.0625</v>
      </c>
      <c r="F38" s="2">
        <f t="shared" si="3"/>
        <v>15043.122959525674</v>
      </c>
      <c r="G38" s="2">
        <f t="shared" si="4"/>
        <v>2239.438537838108</v>
      </c>
      <c r="H38" s="2">
        <f t="shared" si="5"/>
        <v>491.15059468626134</v>
      </c>
      <c r="I38" s="4">
        <f t="shared" si="2"/>
        <v>4.5595761505055759</v>
      </c>
      <c r="J38" s="6">
        <f t="shared" si="7"/>
        <v>5.0664560843319171</v>
      </c>
      <c r="K38" s="5">
        <f t="shared" si="6"/>
        <v>96.780731080946225</v>
      </c>
      <c r="L38" s="6"/>
      <c r="M38" s="7" t="s">
        <v>1</v>
      </c>
      <c r="N38" s="7"/>
      <c r="O38" s="9">
        <f>+P34/P36</f>
        <v>8.6419753086419748E-2</v>
      </c>
      <c r="P38" s="7"/>
      <c r="R38" s="14" t="s">
        <v>1</v>
      </c>
      <c r="S38" s="14"/>
      <c r="T38" s="16">
        <f>+U34/U36</f>
        <v>7.407407407407407E-2</v>
      </c>
      <c r="U38" s="14"/>
    </row>
    <row r="39" spans="1:21" x14ac:dyDescent="0.2">
      <c r="A39" s="1">
        <v>43920</v>
      </c>
      <c r="B39">
        <v>33</v>
      </c>
      <c r="C39">
        <v>22141</v>
      </c>
      <c r="D39">
        <f t="shared" si="1"/>
        <v>2619</v>
      </c>
      <c r="E39" s="3">
        <f t="shared" ref="E39:E70" si="8">C39/B39</f>
        <v>670.93939393939399</v>
      </c>
      <c r="F39" s="2">
        <f t="shared" si="3"/>
        <v>17409.081973017117</v>
      </c>
      <c r="G39" s="2">
        <f t="shared" si="4"/>
        <v>2365.9590252254052</v>
      </c>
      <c r="H39" s="2">
        <f t="shared" si="5"/>
        <v>551.08019443730552</v>
      </c>
      <c r="I39" s="4">
        <f t="shared" si="2"/>
        <v>4.293311661547242</v>
      </c>
      <c r="J39" s="6">
        <f t="shared" si="7"/>
        <v>4.7388871171193427</v>
      </c>
      <c r="K39" s="5">
        <f t="shared" si="6"/>
        <v>126.52048738729718</v>
      </c>
      <c r="L39" s="6"/>
      <c r="M39" s="7" t="s">
        <v>3</v>
      </c>
      <c r="N39" s="7"/>
      <c r="O39" s="9">
        <f>+N36/P36</f>
        <v>0.20987654320987653</v>
      </c>
      <c r="P39" s="7"/>
      <c r="R39" s="14" t="s">
        <v>3</v>
      </c>
      <c r="S39" s="14"/>
      <c r="T39" s="16">
        <f>+S36/U36</f>
        <v>0.20987654320987653</v>
      </c>
      <c r="U39" s="14"/>
    </row>
    <row r="40" spans="1:21" x14ac:dyDescent="0.2">
      <c r="A40" s="1">
        <v>43921</v>
      </c>
      <c r="B40">
        <v>34</v>
      </c>
      <c r="C40">
        <v>25150</v>
      </c>
      <c r="D40">
        <f t="shared" si="1"/>
        <v>3009</v>
      </c>
      <c r="E40" s="3">
        <f t="shared" si="8"/>
        <v>739.70588235294122</v>
      </c>
      <c r="F40" s="2">
        <f t="shared" si="3"/>
        <v>19989.387982011413</v>
      </c>
      <c r="G40" s="2">
        <f t="shared" si="4"/>
        <v>2580.3060168169368</v>
      </c>
      <c r="H40" s="2">
        <f t="shared" si="5"/>
        <v>613.95542374251738</v>
      </c>
      <c r="I40" s="4">
        <f t="shared" si="2"/>
        <v>4.2027579153679309</v>
      </c>
      <c r="J40" s="6">
        <f t="shared" si="7"/>
        <v>4.6226624460975474</v>
      </c>
      <c r="K40" s="5">
        <f t="shared" si="6"/>
        <v>214.34699159153161</v>
      </c>
      <c r="L40" s="6"/>
      <c r="M40" s="7" t="s">
        <v>4</v>
      </c>
      <c r="N40" s="7"/>
      <c r="O40" s="9">
        <f>N34/P34</f>
        <v>1</v>
      </c>
      <c r="P40" s="7"/>
      <c r="R40" s="14" t="s">
        <v>4</v>
      </c>
      <c r="S40" s="14"/>
      <c r="T40" s="16">
        <f>S34/U34</f>
        <v>1</v>
      </c>
      <c r="U40" s="14"/>
    </row>
    <row r="41" spans="1:21" x14ac:dyDescent="0.2">
      <c r="A41" s="1">
        <v>43922</v>
      </c>
      <c r="B41">
        <v>35</v>
      </c>
      <c r="C41">
        <v>29474</v>
      </c>
      <c r="D41">
        <f t="shared" si="1"/>
        <v>4324</v>
      </c>
      <c r="E41" s="3">
        <f t="shared" si="8"/>
        <v>842.11428571428576</v>
      </c>
      <c r="F41" s="2">
        <f t="shared" si="3"/>
        <v>23150.925321340943</v>
      </c>
      <c r="G41" s="2">
        <f t="shared" si="4"/>
        <v>3161.5373445446244</v>
      </c>
      <c r="H41" s="2">
        <f t="shared" si="5"/>
        <v>690.00837773310684</v>
      </c>
      <c r="I41" s="4">
        <f t="shared" si="2"/>
        <v>4.5818825489210182</v>
      </c>
      <c r="J41" s="6">
        <f t="shared" si="7"/>
        <v>5.0566641665253247</v>
      </c>
      <c r="K41" s="5">
        <f t="shared" si="6"/>
        <v>581.23132772768759</v>
      </c>
      <c r="L41" s="6"/>
      <c r="M41" s="7"/>
      <c r="N41" s="7"/>
      <c r="O41" s="9"/>
      <c r="P41" s="7"/>
      <c r="R41" s="14"/>
      <c r="S41" s="14"/>
      <c r="T41" s="16"/>
      <c r="U41" s="14"/>
    </row>
    <row r="42" spans="1:21" x14ac:dyDescent="0.2">
      <c r="A42" s="1">
        <v>43923</v>
      </c>
      <c r="B42">
        <v>36</v>
      </c>
      <c r="C42">
        <v>33178</v>
      </c>
      <c r="D42">
        <f t="shared" si="1"/>
        <v>3704</v>
      </c>
      <c r="E42" s="3">
        <f t="shared" si="8"/>
        <v>921.61111111111109</v>
      </c>
      <c r="F42" s="2">
        <f t="shared" si="3"/>
        <v>26493.28354756063</v>
      </c>
      <c r="G42" s="2">
        <f t="shared" si="4"/>
        <v>3342.3582296964164</v>
      </c>
      <c r="H42" s="2">
        <f t="shared" si="5"/>
        <v>767.20928885910826</v>
      </c>
      <c r="I42" s="4">
        <f t="shared" si="2"/>
        <v>4.3565142891670767</v>
      </c>
      <c r="J42" s="6">
        <f t="shared" si="7"/>
        <v>4.7801634766357077</v>
      </c>
      <c r="K42" s="5">
        <f t="shared" si="6"/>
        <v>180.82088515179203</v>
      </c>
      <c r="L42" s="6"/>
      <c r="M42" s="7" t="s">
        <v>5</v>
      </c>
      <c r="N42" s="7"/>
      <c r="O42" s="9">
        <f>O38*O40/O39</f>
        <v>0.41176470588235292</v>
      </c>
      <c r="P42" s="7"/>
      <c r="R42" s="14" t="s">
        <v>5</v>
      </c>
      <c r="S42" s="14"/>
      <c r="T42" s="16">
        <f>T38*T40/T39</f>
        <v>0.35294117647058826</v>
      </c>
      <c r="U42" s="14"/>
    </row>
    <row r="43" spans="1:21" x14ac:dyDescent="0.2">
      <c r="A43" s="1">
        <v>43924</v>
      </c>
      <c r="B43">
        <v>37</v>
      </c>
      <c r="C43">
        <v>38168</v>
      </c>
      <c r="D43">
        <f t="shared" si="1"/>
        <v>4990</v>
      </c>
      <c r="E43" s="3">
        <f t="shared" si="8"/>
        <v>1031.5675675675675</v>
      </c>
      <c r="F43" s="2">
        <f t="shared" si="3"/>
        <v>30384.855698373754</v>
      </c>
      <c r="G43" s="2">
        <f t="shared" si="4"/>
        <v>3891.5721531309441</v>
      </c>
      <c r="H43" s="2">
        <f t="shared" si="5"/>
        <v>855.32871509526137</v>
      </c>
      <c r="I43" s="4">
        <f t="shared" ref="I43:I74" si="9">+G43/H43</f>
        <v>4.5497971533640422</v>
      </c>
      <c r="J43" s="6">
        <f t="shared" si="7"/>
        <v>4.9946213215768012</v>
      </c>
      <c r="K43" s="5">
        <f t="shared" si="6"/>
        <v>549.21392343452771</v>
      </c>
      <c r="L43" s="6"/>
      <c r="M43" s="7" t="s">
        <v>5</v>
      </c>
      <c r="N43" s="7"/>
      <c r="O43" s="9">
        <f>+N34/N36</f>
        <v>0.41176470588235292</v>
      </c>
      <c r="P43" s="7"/>
      <c r="R43" s="14" t="s">
        <v>5</v>
      </c>
      <c r="S43" s="14"/>
      <c r="T43" s="16">
        <f>+S34/S36</f>
        <v>0.35294117647058826</v>
      </c>
      <c r="U43" s="14"/>
    </row>
    <row r="44" spans="1:21" x14ac:dyDescent="0.2">
      <c r="A44" s="1">
        <v>43925</v>
      </c>
      <c r="B44">
        <v>38</v>
      </c>
      <c r="C44">
        <v>41903</v>
      </c>
      <c r="D44">
        <f t="shared" si="1"/>
        <v>3735</v>
      </c>
      <c r="E44" s="3">
        <f t="shared" si="8"/>
        <v>1102.7105263157894</v>
      </c>
      <c r="F44" s="2">
        <f t="shared" ref="F44:F75" si="10">((C44-F43)*$C$136)+F43</f>
        <v>34224.237132249167</v>
      </c>
      <c r="G44" s="2">
        <f t="shared" ref="G44:G75" si="11">((D44-G43)*$C$136)+G43</f>
        <v>3839.3814354206293</v>
      </c>
      <c r="H44" s="2">
        <f t="shared" ref="H44:H75" si="12">((E44-H43)*$C$136)+H43</f>
        <v>937.78931883543737</v>
      </c>
      <c r="I44" s="4">
        <f t="shared" si="9"/>
        <v>4.0940767380336958</v>
      </c>
      <c r="J44" s="6">
        <f t="shared" si="7"/>
        <v>4.4568588556961428</v>
      </c>
      <c r="K44" s="5">
        <f t="shared" ref="K44:K75" si="13">+G44-G43</f>
        <v>-52.190717710314857</v>
      </c>
      <c r="L44" s="6"/>
      <c r="M44" s="7"/>
      <c r="N44" s="7"/>
      <c r="O44" s="7"/>
      <c r="P44" s="7"/>
      <c r="R44" s="14"/>
      <c r="S44" s="14"/>
      <c r="T44" s="14"/>
      <c r="U44" s="14"/>
    </row>
    <row r="45" spans="1:21" x14ac:dyDescent="0.2">
      <c r="A45" s="1">
        <v>43926</v>
      </c>
      <c r="B45">
        <v>39</v>
      </c>
      <c r="C45">
        <v>47806</v>
      </c>
      <c r="D45">
        <f t="shared" si="1"/>
        <v>5903</v>
      </c>
      <c r="E45" s="3">
        <f t="shared" si="8"/>
        <v>1225.7948717948718</v>
      </c>
      <c r="F45" s="2">
        <f t="shared" si="10"/>
        <v>38751.491421499442</v>
      </c>
      <c r="G45" s="2">
        <f t="shared" si="11"/>
        <v>4527.2542902804198</v>
      </c>
      <c r="H45" s="2">
        <f t="shared" si="12"/>
        <v>1033.7911698219154</v>
      </c>
      <c r="I45" s="4">
        <f t="shared" si="9"/>
        <v>4.3792735152306443</v>
      </c>
      <c r="J45" s="6">
        <f t="shared" si="7"/>
        <v>4.7769112714718416</v>
      </c>
      <c r="K45" s="5">
        <f t="shared" si="13"/>
        <v>687.87285485979055</v>
      </c>
      <c r="L45" s="6"/>
      <c r="M45" s="7"/>
      <c r="N45" s="7"/>
      <c r="O45" s="7"/>
      <c r="P45" s="7"/>
      <c r="R45" s="14"/>
      <c r="S45" s="14"/>
      <c r="T45" s="14"/>
      <c r="U45" s="14"/>
    </row>
    <row r="46" spans="1:21" x14ac:dyDescent="0.2">
      <c r="A46" s="1">
        <v>43927</v>
      </c>
      <c r="B46">
        <v>40</v>
      </c>
      <c r="C46">
        <v>51608</v>
      </c>
      <c r="D46">
        <f t="shared" si="1"/>
        <v>3802</v>
      </c>
      <c r="E46" s="3">
        <f t="shared" si="8"/>
        <v>1290.2</v>
      </c>
      <c r="F46" s="2">
        <f t="shared" si="10"/>
        <v>43036.994280999628</v>
      </c>
      <c r="G46" s="2">
        <f t="shared" si="11"/>
        <v>4285.5028601869462</v>
      </c>
      <c r="H46" s="2">
        <f t="shared" si="12"/>
        <v>1119.2607798812769</v>
      </c>
      <c r="I46" s="4">
        <f t="shared" si="9"/>
        <v>3.8288689617459135</v>
      </c>
      <c r="J46" s="6">
        <f t="shared" si="7"/>
        <v>4.1393934976616151</v>
      </c>
      <c r="K46" s="5">
        <f t="shared" si="13"/>
        <v>-241.75143009347357</v>
      </c>
      <c r="L46" s="6"/>
      <c r="M46" s="7"/>
      <c r="N46" s="7" t="s">
        <v>35</v>
      </c>
      <c r="O46" s="7" t="s">
        <v>36</v>
      </c>
      <c r="P46" s="7" t="s">
        <v>2</v>
      </c>
      <c r="R46" s="14"/>
      <c r="S46" s="14" t="s">
        <v>37</v>
      </c>
      <c r="T46" s="14" t="s">
        <v>36</v>
      </c>
      <c r="U46" s="14" t="s">
        <v>2</v>
      </c>
    </row>
    <row r="47" spans="1:21" x14ac:dyDescent="0.2">
      <c r="A47" s="1">
        <v>43928</v>
      </c>
      <c r="B47">
        <v>41</v>
      </c>
      <c r="C47">
        <v>55242</v>
      </c>
      <c r="D47">
        <f t="shared" si="1"/>
        <v>3634</v>
      </c>
      <c r="E47" s="3">
        <f t="shared" si="8"/>
        <v>1347.3658536585365</v>
      </c>
      <c r="F47" s="2">
        <f t="shared" si="10"/>
        <v>47105.329520666419</v>
      </c>
      <c r="G47" s="2">
        <f t="shared" si="11"/>
        <v>4068.3352401246307</v>
      </c>
      <c r="H47" s="2">
        <f t="shared" si="12"/>
        <v>1195.2958044736968</v>
      </c>
      <c r="I47" s="4">
        <f t="shared" si="9"/>
        <v>3.4036221200625465</v>
      </c>
      <c r="J47" s="6">
        <f t="shared" si="7"/>
        <v>3.6557206483611804</v>
      </c>
      <c r="K47" s="5">
        <f t="shared" si="13"/>
        <v>-217.16762006231556</v>
      </c>
      <c r="L47" s="6"/>
      <c r="M47" s="7"/>
      <c r="N47" s="7"/>
      <c r="O47" s="7"/>
      <c r="P47" s="7"/>
      <c r="R47" s="14"/>
      <c r="S47" s="14"/>
      <c r="T47" s="14"/>
      <c r="U47" s="14"/>
    </row>
    <row r="48" spans="1:21" x14ac:dyDescent="0.2">
      <c r="A48" s="1">
        <v>43929</v>
      </c>
      <c r="B48">
        <v>42</v>
      </c>
      <c r="C48">
        <v>60773</v>
      </c>
      <c r="D48">
        <f t="shared" si="1"/>
        <v>5531</v>
      </c>
      <c r="E48" s="3">
        <f t="shared" si="8"/>
        <v>1446.9761904761904</v>
      </c>
      <c r="F48" s="2">
        <f t="shared" si="10"/>
        <v>51661.219680444279</v>
      </c>
      <c r="G48" s="2">
        <f t="shared" si="11"/>
        <v>4555.8901600830868</v>
      </c>
      <c r="H48" s="2">
        <f t="shared" si="12"/>
        <v>1279.189266474528</v>
      </c>
      <c r="I48" s="4">
        <f t="shared" si="9"/>
        <v>3.5615450187752229</v>
      </c>
      <c r="J48" s="6">
        <f t="shared" si="7"/>
        <v>3.828612888879892</v>
      </c>
      <c r="K48" s="5">
        <f t="shared" si="13"/>
        <v>487.55491995845614</v>
      </c>
      <c r="L48" s="6"/>
      <c r="M48" s="7" t="s">
        <v>33</v>
      </c>
      <c r="N48" s="7">
        <f>COUNTIFS(J$50:J$130,"&lt;=0.4",G$51:G$131,"&lt;=1100")</f>
        <v>3</v>
      </c>
      <c r="O48" s="7">
        <f>COUNTIFS(J$50:J$130,"&gt;0.4",G$51:G$131,"&lt;=1100")</f>
        <v>4</v>
      </c>
      <c r="P48" s="7">
        <f>COUNTIF(G$51:G$131,"&lt;=1100")</f>
        <v>7</v>
      </c>
      <c r="R48" s="14" t="s">
        <v>34</v>
      </c>
      <c r="S48" s="15">
        <f>COUNTIFS(J$50:J$130,"&lt;=0.4",K$51:K$131,"&lt;=0",G$51:G$131,"&lt;=1100")</f>
        <v>2</v>
      </c>
      <c r="T48" s="15">
        <f>COUNTIFS(J$50:J$130,"&gt;0.4",K$51:K$131,"&lt;=0",G$51:G$131,"&lt;=1100")</f>
        <v>4</v>
      </c>
      <c r="U48" s="15">
        <f>COUNTIFS(K$51:K$131,"&lt;=0",G$51:G$131,"&lt;=1100")</f>
        <v>6</v>
      </c>
    </row>
    <row r="49" spans="1:21" x14ac:dyDescent="0.2">
      <c r="A49" s="1">
        <v>43930</v>
      </c>
      <c r="B49">
        <v>43</v>
      </c>
      <c r="C49">
        <v>65077</v>
      </c>
      <c r="D49">
        <f t="shared" si="1"/>
        <v>4304</v>
      </c>
      <c r="E49" s="3">
        <f t="shared" si="8"/>
        <v>1513.4186046511627</v>
      </c>
      <c r="F49" s="2">
        <f t="shared" si="10"/>
        <v>56133.146453629517</v>
      </c>
      <c r="G49" s="2">
        <f t="shared" si="11"/>
        <v>4471.9267733887245</v>
      </c>
      <c r="H49" s="2">
        <f t="shared" si="12"/>
        <v>1357.2657125334063</v>
      </c>
      <c r="I49" s="4">
        <f t="shared" si="9"/>
        <v>3.2948056759215136</v>
      </c>
      <c r="J49" s="6">
        <f t="shared" si="7"/>
        <v>3.526286107086178</v>
      </c>
      <c r="K49" s="5">
        <f t="shared" si="13"/>
        <v>-83.963386694362271</v>
      </c>
      <c r="L49" s="6"/>
      <c r="M49" s="7" t="s">
        <v>7</v>
      </c>
      <c r="N49" s="7">
        <f>+N50-N48</f>
        <v>1</v>
      </c>
      <c r="O49" s="7">
        <f>+O50-O48</f>
        <v>73</v>
      </c>
      <c r="P49" s="7">
        <f>+P50-P48</f>
        <v>74</v>
      </c>
      <c r="R49" s="14" t="s">
        <v>7</v>
      </c>
      <c r="S49" s="15">
        <f>+S50-S48</f>
        <v>2</v>
      </c>
      <c r="T49" s="15">
        <f>+T50-T48</f>
        <v>73</v>
      </c>
      <c r="U49" s="15">
        <f>+U50-U48</f>
        <v>75</v>
      </c>
    </row>
    <row r="50" spans="1:21" x14ac:dyDescent="0.2">
      <c r="A50" s="1">
        <v>43931</v>
      </c>
      <c r="B50">
        <v>44</v>
      </c>
      <c r="C50">
        <v>70272</v>
      </c>
      <c r="D50">
        <f t="shared" si="1"/>
        <v>5195</v>
      </c>
      <c r="E50" s="3">
        <f t="shared" si="8"/>
        <v>1597.090909090909</v>
      </c>
      <c r="F50" s="2">
        <f t="shared" si="10"/>
        <v>60846.097635753009</v>
      </c>
      <c r="G50" s="2">
        <f t="shared" si="11"/>
        <v>4712.9511822591494</v>
      </c>
      <c r="H50" s="2">
        <f t="shared" si="12"/>
        <v>1437.2074447192406</v>
      </c>
      <c r="I50" s="4">
        <f t="shared" si="9"/>
        <v>3.2792421160745011</v>
      </c>
      <c r="J50" s="6">
        <f t="shared" si="7"/>
        <v>3.5051239733729767</v>
      </c>
      <c r="K50" s="5">
        <f t="shared" si="13"/>
        <v>241.02440887042485</v>
      </c>
      <c r="L50" s="6"/>
      <c r="M50" s="7" t="s">
        <v>2</v>
      </c>
      <c r="N50" s="7">
        <f>COUNTIF(J$50:J$130,"&lt;=0.4")</f>
        <v>4</v>
      </c>
      <c r="O50" s="7">
        <f>COUNTIF(J$50:J$130,"&gt;0.4")</f>
        <v>77</v>
      </c>
      <c r="P50" s="7">
        <f>COUNT(J$50:J$130)</f>
        <v>81</v>
      </c>
      <c r="R50" s="14" t="s">
        <v>2</v>
      </c>
      <c r="S50" s="15">
        <f>COUNTIF(J$50:J$130,"&lt;=0.4")</f>
        <v>4</v>
      </c>
      <c r="T50" s="15">
        <f>COUNTIF(J$50:J$130,"&gt;0.4")</f>
        <v>77</v>
      </c>
      <c r="U50" s="15">
        <f>COUNT(J$50:J$130)</f>
        <v>81</v>
      </c>
    </row>
    <row r="51" spans="1:21" x14ac:dyDescent="0.2">
      <c r="A51" s="1">
        <v>43932</v>
      </c>
      <c r="B51">
        <v>45</v>
      </c>
      <c r="C51">
        <v>78991</v>
      </c>
      <c r="D51">
        <f t="shared" si="1"/>
        <v>8719</v>
      </c>
      <c r="E51" s="3">
        <f t="shared" si="8"/>
        <v>1755.3555555555556</v>
      </c>
      <c r="F51" s="2">
        <f t="shared" si="10"/>
        <v>66894.398423835344</v>
      </c>
      <c r="G51" s="2">
        <f t="shared" si="11"/>
        <v>6048.3007881727663</v>
      </c>
      <c r="H51" s="2">
        <f t="shared" si="12"/>
        <v>1543.2568149980123</v>
      </c>
      <c r="I51" s="4">
        <f t="shared" si="9"/>
        <v>3.9191797045008072</v>
      </c>
      <c r="J51" s="6">
        <f t="shared" si="7"/>
        <v>4.2140025030764114</v>
      </c>
      <c r="K51" s="5">
        <f t="shared" si="13"/>
        <v>1335.3496059136169</v>
      </c>
      <c r="L51" s="6"/>
      <c r="M51" s="7"/>
      <c r="N51" s="8"/>
      <c r="O51" s="7"/>
      <c r="P51" s="7"/>
      <c r="R51" s="14"/>
      <c r="S51" s="14"/>
      <c r="T51" s="14"/>
      <c r="U51" s="14"/>
    </row>
    <row r="52" spans="1:21" x14ac:dyDescent="0.2">
      <c r="A52" s="1">
        <v>43933</v>
      </c>
      <c r="B52">
        <v>46</v>
      </c>
      <c r="C52">
        <v>84279</v>
      </c>
      <c r="D52">
        <f t="shared" si="1"/>
        <v>5288</v>
      </c>
      <c r="E52" s="3">
        <f t="shared" si="8"/>
        <v>1832.1521739130435</v>
      </c>
      <c r="F52" s="2">
        <f t="shared" si="10"/>
        <v>72689.265615890225</v>
      </c>
      <c r="G52" s="2">
        <f t="shared" si="11"/>
        <v>5794.8671921151772</v>
      </c>
      <c r="H52" s="2">
        <f t="shared" si="12"/>
        <v>1639.5552679696893</v>
      </c>
      <c r="I52" s="4">
        <f t="shared" si="9"/>
        <v>3.534414060522117</v>
      </c>
      <c r="J52" s="6">
        <f t="shared" si="7"/>
        <v>3.777898496251789</v>
      </c>
      <c r="K52" s="5">
        <f t="shared" si="13"/>
        <v>-253.43359605758906</v>
      </c>
      <c r="L52" s="6"/>
      <c r="M52" s="7" t="s">
        <v>1</v>
      </c>
      <c r="N52" s="7"/>
      <c r="O52" s="9">
        <f>+P48/P50</f>
        <v>8.6419753086419748E-2</v>
      </c>
      <c r="P52" s="7"/>
      <c r="R52" s="14" t="s">
        <v>1</v>
      </c>
      <c r="S52" s="14"/>
      <c r="T52" s="16">
        <f>+U48/U50</f>
        <v>7.407407407407407E-2</v>
      </c>
      <c r="U52" s="14"/>
    </row>
    <row r="53" spans="1:21" x14ac:dyDescent="0.2">
      <c r="A53" s="1">
        <v>43934</v>
      </c>
      <c r="B53">
        <v>47</v>
      </c>
      <c r="C53">
        <v>88621</v>
      </c>
      <c r="D53">
        <f t="shared" si="1"/>
        <v>4342</v>
      </c>
      <c r="E53" s="3">
        <f t="shared" si="8"/>
        <v>1885.5531914893618</v>
      </c>
      <c r="F53" s="2">
        <f t="shared" si="10"/>
        <v>77999.843743926816</v>
      </c>
      <c r="G53" s="2">
        <f t="shared" si="11"/>
        <v>5310.5781280767851</v>
      </c>
      <c r="H53" s="2">
        <f t="shared" si="12"/>
        <v>1721.5545758095802</v>
      </c>
      <c r="I53" s="4">
        <f t="shared" si="9"/>
        <v>3.0847573482121105</v>
      </c>
      <c r="J53" s="6">
        <f t="shared" si="7"/>
        <v>3.2775013934690005</v>
      </c>
      <c r="K53" s="5">
        <f t="shared" si="13"/>
        <v>-484.2890640383921</v>
      </c>
      <c r="L53" s="6"/>
      <c r="M53" s="7" t="s">
        <v>3</v>
      </c>
      <c r="N53" s="7"/>
      <c r="O53" s="9">
        <f>+N50/P50</f>
        <v>4.9382716049382713E-2</v>
      </c>
      <c r="P53" s="7"/>
      <c r="R53" s="14" t="s">
        <v>3</v>
      </c>
      <c r="S53" s="14"/>
      <c r="T53" s="16">
        <f>+S50/U50</f>
        <v>4.9382716049382713E-2</v>
      </c>
      <c r="U53" s="14"/>
    </row>
    <row r="54" spans="1:21" x14ac:dyDescent="0.2">
      <c r="A54" s="1">
        <v>43935</v>
      </c>
      <c r="B54">
        <v>48</v>
      </c>
      <c r="C54">
        <v>93873</v>
      </c>
      <c r="D54">
        <f t="shared" si="1"/>
        <v>5252</v>
      </c>
      <c r="E54" s="3">
        <f t="shared" si="8"/>
        <v>1955.6875</v>
      </c>
      <c r="F54" s="2">
        <f t="shared" si="10"/>
        <v>83290.895829284549</v>
      </c>
      <c r="G54" s="2">
        <f t="shared" si="11"/>
        <v>5291.0520853845237</v>
      </c>
      <c r="H54" s="2">
        <f t="shared" si="12"/>
        <v>1799.5988838730534</v>
      </c>
      <c r="I54" s="4">
        <f t="shared" si="9"/>
        <v>2.940128565759748</v>
      </c>
      <c r="J54" s="6">
        <f t="shared" si="7"/>
        <v>3.1164216212228797</v>
      </c>
      <c r="K54" s="5">
        <f t="shared" si="13"/>
        <v>-19.526042692261399</v>
      </c>
      <c r="L54" s="6"/>
      <c r="M54" s="7" t="s">
        <v>4</v>
      </c>
      <c r="N54" s="7"/>
      <c r="O54" s="9">
        <f>N48/P48</f>
        <v>0.42857142857142855</v>
      </c>
      <c r="P54" s="7"/>
      <c r="R54" s="14" t="s">
        <v>4</v>
      </c>
      <c r="S54" s="14"/>
      <c r="T54" s="16">
        <f>S48/U48</f>
        <v>0.33333333333333331</v>
      </c>
      <c r="U54" s="14"/>
    </row>
    <row r="55" spans="1:21" x14ac:dyDescent="0.2">
      <c r="A55" s="1">
        <v>43936</v>
      </c>
      <c r="B55">
        <v>49</v>
      </c>
      <c r="C55">
        <v>98476</v>
      </c>
      <c r="D55">
        <f t="shared" si="1"/>
        <v>4603</v>
      </c>
      <c r="E55" s="3">
        <f t="shared" si="8"/>
        <v>2009.7142857142858</v>
      </c>
      <c r="F55" s="2">
        <f t="shared" si="10"/>
        <v>88352.597219523028</v>
      </c>
      <c r="G55" s="2">
        <f t="shared" si="11"/>
        <v>5061.7013902563494</v>
      </c>
      <c r="H55" s="2">
        <f t="shared" si="12"/>
        <v>1869.6373511534641</v>
      </c>
      <c r="I55" s="4">
        <f t="shared" si="9"/>
        <v>2.7073172169637902</v>
      </c>
      <c r="J55" s="6">
        <f t="shared" si="7"/>
        <v>2.8604931426880174</v>
      </c>
      <c r="K55" s="5">
        <f t="shared" si="13"/>
        <v>-229.35069512817427</v>
      </c>
      <c r="L55" s="6"/>
      <c r="M55" s="7"/>
      <c r="N55" s="7"/>
      <c r="O55" s="9"/>
      <c r="P55" s="7"/>
      <c r="R55" s="14"/>
      <c r="S55" s="14"/>
      <c r="T55" s="16"/>
      <c r="U55" s="14"/>
    </row>
    <row r="56" spans="1:21" x14ac:dyDescent="0.2">
      <c r="A56" s="1">
        <v>43937</v>
      </c>
      <c r="B56">
        <v>50</v>
      </c>
      <c r="C56">
        <v>103093</v>
      </c>
      <c r="D56">
        <f t="shared" si="1"/>
        <v>4617</v>
      </c>
      <c r="E56" s="3">
        <f t="shared" si="8"/>
        <v>2061.86</v>
      </c>
      <c r="F56" s="2">
        <f t="shared" si="10"/>
        <v>93266.064813015357</v>
      </c>
      <c r="G56" s="2">
        <f t="shared" si="11"/>
        <v>4913.4675935042333</v>
      </c>
      <c r="H56" s="2">
        <f t="shared" si="12"/>
        <v>1933.7115674356428</v>
      </c>
      <c r="I56" s="4">
        <f t="shared" si="9"/>
        <v>2.5409516477269363</v>
      </c>
      <c r="J56" s="6">
        <f t="shared" si="7"/>
        <v>2.6783221851320116</v>
      </c>
      <c r="K56" s="5">
        <f t="shared" si="13"/>
        <v>-148.23379675211618</v>
      </c>
      <c r="L56" s="6"/>
      <c r="M56" s="7" t="s">
        <v>5</v>
      </c>
      <c r="N56" s="7"/>
      <c r="O56" s="9">
        <f>O52*O54/O53</f>
        <v>0.75</v>
      </c>
      <c r="P56" s="7"/>
      <c r="R56" s="14" t="s">
        <v>5</v>
      </c>
      <c r="S56" s="14"/>
      <c r="T56" s="16">
        <f>T52*T54/T53</f>
        <v>0.5</v>
      </c>
      <c r="U56" s="14"/>
    </row>
    <row r="57" spans="1:21" x14ac:dyDescent="0.2">
      <c r="A57" s="1">
        <v>43938</v>
      </c>
      <c r="B57">
        <v>51</v>
      </c>
      <c r="C57">
        <v>108692</v>
      </c>
      <c r="D57">
        <f t="shared" si="1"/>
        <v>5599</v>
      </c>
      <c r="E57" s="3">
        <f t="shared" si="8"/>
        <v>2131.2156862745096</v>
      </c>
      <c r="F57" s="2">
        <f t="shared" si="10"/>
        <v>98408.0432086769</v>
      </c>
      <c r="G57" s="2">
        <f t="shared" si="11"/>
        <v>5141.9783956694891</v>
      </c>
      <c r="H57" s="2">
        <f t="shared" si="12"/>
        <v>1999.546273715265</v>
      </c>
      <c r="I57" s="4">
        <f t="shared" si="9"/>
        <v>2.5715725928739901</v>
      </c>
      <c r="J57" s="6">
        <f t="shared" si="7"/>
        <v>2.7094938555970263</v>
      </c>
      <c r="K57" s="5">
        <f t="shared" si="13"/>
        <v>228.51080216525588</v>
      </c>
      <c r="L57" s="6"/>
      <c r="M57" s="7" t="s">
        <v>5</v>
      </c>
      <c r="N57" s="7"/>
      <c r="O57" s="9">
        <f>+N48/N50</f>
        <v>0.75</v>
      </c>
      <c r="P57" s="7"/>
      <c r="R57" s="14" t="s">
        <v>5</v>
      </c>
      <c r="S57" s="14"/>
      <c r="T57" s="16">
        <f>+S48/S50</f>
        <v>0.5</v>
      </c>
      <c r="U57" s="14"/>
    </row>
    <row r="58" spans="1:21" x14ac:dyDescent="0.2">
      <c r="A58" s="1">
        <v>43939</v>
      </c>
      <c r="B58">
        <v>52</v>
      </c>
      <c r="C58">
        <v>114217</v>
      </c>
      <c r="D58">
        <f t="shared" si="1"/>
        <v>5525</v>
      </c>
      <c r="E58" s="3">
        <f t="shared" si="8"/>
        <v>2196.4807692307691</v>
      </c>
      <c r="F58" s="2">
        <f t="shared" si="10"/>
        <v>103677.69547245126</v>
      </c>
      <c r="G58" s="2">
        <f t="shared" si="11"/>
        <v>5269.6522637796597</v>
      </c>
      <c r="H58" s="2">
        <f t="shared" si="12"/>
        <v>2065.1911055537662</v>
      </c>
      <c r="I58" s="4">
        <f t="shared" si="9"/>
        <v>2.551653573177016</v>
      </c>
      <c r="J58" s="6">
        <f t="shared" si="7"/>
        <v>2.6858608960289114</v>
      </c>
      <c r="K58" s="5">
        <f t="shared" si="13"/>
        <v>127.67386811017059</v>
      </c>
      <c r="L58" s="6"/>
      <c r="M58" s="7"/>
      <c r="N58" s="7"/>
      <c r="O58" s="7"/>
      <c r="P58" s="7"/>
      <c r="R58" s="14"/>
      <c r="S58" s="14"/>
      <c r="T58" s="14"/>
      <c r="U58" s="14"/>
    </row>
    <row r="59" spans="1:21" x14ac:dyDescent="0.2">
      <c r="A59" s="1">
        <v>43940</v>
      </c>
      <c r="B59">
        <v>53</v>
      </c>
      <c r="C59">
        <v>120067</v>
      </c>
      <c r="D59">
        <f t="shared" si="1"/>
        <v>5850</v>
      </c>
      <c r="E59" s="3">
        <f t="shared" si="8"/>
        <v>2265.4150943396226</v>
      </c>
      <c r="F59" s="2">
        <f t="shared" si="10"/>
        <v>109140.79698163418</v>
      </c>
      <c r="G59" s="2">
        <f t="shared" si="11"/>
        <v>5463.1015091864401</v>
      </c>
      <c r="H59" s="2">
        <f t="shared" si="12"/>
        <v>2131.9324351490518</v>
      </c>
      <c r="I59" s="4">
        <f t="shared" si="9"/>
        <v>2.5625115595206438</v>
      </c>
      <c r="J59" s="6">
        <f t="shared" si="7"/>
        <v>2.695375067502479</v>
      </c>
      <c r="K59" s="5">
        <f t="shared" si="13"/>
        <v>193.44924540678039</v>
      </c>
      <c r="L59" s="6"/>
      <c r="M59" s="6"/>
    </row>
    <row r="60" spans="1:21" x14ac:dyDescent="0.2">
      <c r="A60" s="1">
        <v>43941</v>
      </c>
      <c r="B60">
        <v>54</v>
      </c>
      <c r="C60">
        <v>124743</v>
      </c>
      <c r="D60">
        <f t="shared" si="1"/>
        <v>4676</v>
      </c>
      <c r="E60" s="3">
        <f t="shared" si="8"/>
        <v>2310.0555555555557</v>
      </c>
      <c r="F60" s="2">
        <f t="shared" si="10"/>
        <v>114341.53132108945</v>
      </c>
      <c r="G60" s="2">
        <f t="shared" si="11"/>
        <v>5200.7343394576264</v>
      </c>
      <c r="H60" s="2">
        <f t="shared" si="12"/>
        <v>2191.3068086178864</v>
      </c>
      <c r="I60" s="4">
        <f t="shared" si="9"/>
        <v>2.3733483230209389</v>
      </c>
      <c r="J60" s="6">
        <f t="shared" si="7"/>
        <v>2.4900339035662906</v>
      </c>
      <c r="K60" s="5">
        <f t="shared" si="13"/>
        <v>-262.36716972881368</v>
      </c>
      <c r="L60" s="6"/>
      <c r="M60" s="6"/>
    </row>
    <row r="61" spans="1:21" x14ac:dyDescent="0.2">
      <c r="A61" s="1">
        <v>43942</v>
      </c>
      <c r="B61">
        <v>55</v>
      </c>
      <c r="C61">
        <v>129044</v>
      </c>
      <c r="D61">
        <f t="shared" si="1"/>
        <v>4301</v>
      </c>
      <c r="E61" s="3">
        <f t="shared" si="8"/>
        <v>2346.2545454545457</v>
      </c>
      <c r="F61" s="2">
        <f t="shared" si="10"/>
        <v>119242.35421405964</v>
      </c>
      <c r="G61" s="2">
        <f t="shared" si="11"/>
        <v>4900.8228929717507</v>
      </c>
      <c r="H61" s="2">
        <f t="shared" si="12"/>
        <v>2242.956054230106</v>
      </c>
      <c r="I61" s="4">
        <f t="shared" si="9"/>
        <v>2.1849839116236973</v>
      </c>
      <c r="J61" s="6">
        <f t="shared" si="7"/>
        <v>2.2869287156085387</v>
      </c>
      <c r="K61" s="5">
        <f t="shared" si="13"/>
        <v>-299.91144648587579</v>
      </c>
      <c r="L61" s="6"/>
      <c r="M61" s="6"/>
    </row>
    <row r="62" spans="1:21" x14ac:dyDescent="0.2">
      <c r="A62" s="1">
        <v>43943</v>
      </c>
      <c r="B62">
        <v>56</v>
      </c>
      <c r="C62">
        <v>133495</v>
      </c>
      <c r="D62">
        <f t="shared" si="1"/>
        <v>4451</v>
      </c>
      <c r="E62" s="3">
        <f t="shared" si="8"/>
        <v>2383.8392857142858</v>
      </c>
      <c r="F62" s="2">
        <f t="shared" si="10"/>
        <v>123993.23614270643</v>
      </c>
      <c r="G62" s="2">
        <f t="shared" si="11"/>
        <v>4750.8819286478338</v>
      </c>
      <c r="H62" s="2">
        <f t="shared" si="12"/>
        <v>2289.9171313914994</v>
      </c>
      <c r="I62" s="4">
        <f t="shared" si="9"/>
        <v>2.0746960069078551</v>
      </c>
      <c r="J62" s="6">
        <f t="shared" si="7"/>
        <v>2.1680539977982076</v>
      </c>
      <c r="K62" s="5">
        <f t="shared" si="13"/>
        <v>-149.94096432391689</v>
      </c>
      <c r="L62" s="6"/>
      <c r="M62" s="6"/>
    </row>
    <row r="63" spans="1:21" x14ac:dyDescent="0.2">
      <c r="A63" s="1">
        <v>43944</v>
      </c>
      <c r="B63">
        <v>57</v>
      </c>
      <c r="C63">
        <v>138078</v>
      </c>
      <c r="D63">
        <f t="shared" si="1"/>
        <v>4583</v>
      </c>
      <c r="E63" s="3">
        <f t="shared" si="8"/>
        <v>2422.4210526315787</v>
      </c>
      <c r="F63" s="2">
        <f t="shared" si="10"/>
        <v>128688.15742847095</v>
      </c>
      <c r="G63" s="2">
        <f t="shared" si="11"/>
        <v>4694.9212857652228</v>
      </c>
      <c r="H63" s="2">
        <f t="shared" si="12"/>
        <v>2334.0851051381924</v>
      </c>
      <c r="I63" s="4">
        <f t="shared" si="9"/>
        <v>2.0114610540249576</v>
      </c>
      <c r="J63" s="6">
        <f t="shared" si="7"/>
        <v>2.0995851645164669</v>
      </c>
      <c r="K63" s="5">
        <f t="shared" si="13"/>
        <v>-55.960642882610955</v>
      </c>
      <c r="L63" s="6"/>
      <c r="M63" s="6"/>
    </row>
    <row r="64" spans="1:21" x14ac:dyDescent="0.2">
      <c r="A64" s="1">
        <v>43945</v>
      </c>
      <c r="B64">
        <v>58</v>
      </c>
      <c r="C64">
        <v>143464</v>
      </c>
      <c r="D64">
        <f t="shared" si="1"/>
        <v>5386</v>
      </c>
      <c r="E64" s="3">
        <f t="shared" si="8"/>
        <v>2473.5172413793102</v>
      </c>
      <c r="F64" s="2">
        <f t="shared" si="10"/>
        <v>133613.43828564731</v>
      </c>
      <c r="G64" s="2">
        <f t="shared" si="11"/>
        <v>4925.2808571768155</v>
      </c>
      <c r="H64" s="2">
        <f t="shared" si="12"/>
        <v>2380.5624838852318</v>
      </c>
      <c r="I64" s="4">
        <f t="shared" si="9"/>
        <v>2.0689567656877625</v>
      </c>
      <c r="J64" s="6">
        <f t="shared" si="7"/>
        <v>2.1593742006533847</v>
      </c>
      <c r="K64" s="5">
        <f t="shared" si="13"/>
        <v>230.3595714115927</v>
      </c>
      <c r="L64" s="6"/>
      <c r="M64" s="6"/>
    </row>
    <row r="65" spans="1:13" x14ac:dyDescent="0.2">
      <c r="A65" s="1">
        <v>43946</v>
      </c>
      <c r="B65">
        <v>59</v>
      </c>
      <c r="C65">
        <v>148377</v>
      </c>
      <c r="D65">
        <f t="shared" si="1"/>
        <v>4913</v>
      </c>
      <c r="E65" s="3">
        <f t="shared" si="8"/>
        <v>2514.8644067796608</v>
      </c>
      <c r="F65" s="2">
        <f t="shared" si="10"/>
        <v>138534.62552376487</v>
      </c>
      <c r="G65" s="2">
        <f t="shared" si="11"/>
        <v>4921.1872381178773</v>
      </c>
      <c r="H65" s="2">
        <f t="shared" si="12"/>
        <v>2425.3297915167082</v>
      </c>
      <c r="I65" s="4">
        <f t="shared" si="9"/>
        <v>2.0290796143811667</v>
      </c>
      <c r="J65" s="6">
        <f t="shared" si="7"/>
        <v>2.1156825398654249</v>
      </c>
      <c r="K65" s="5">
        <f t="shared" si="13"/>
        <v>-4.0936190589382022</v>
      </c>
      <c r="L65" s="6"/>
      <c r="M65" s="6"/>
    </row>
    <row r="66" spans="1:13" x14ac:dyDescent="0.2">
      <c r="A66" s="1">
        <v>43947</v>
      </c>
      <c r="B66">
        <v>60</v>
      </c>
      <c r="C66">
        <v>152840</v>
      </c>
      <c r="D66">
        <f t="shared" si="1"/>
        <v>4463</v>
      </c>
      <c r="E66" s="3">
        <f t="shared" si="8"/>
        <v>2547.3333333333335</v>
      </c>
      <c r="F66" s="2">
        <f t="shared" si="10"/>
        <v>143303.08368250992</v>
      </c>
      <c r="G66" s="2">
        <f t="shared" si="11"/>
        <v>4768.4581587452512</v>
      </c>
      <c r="H66" s="2">
        <f t="shared" si="12"/>
        <v>2465.9976387889164</v>
      </c>
      <c r="I66" s="4">
        <f t="shared" si="9"/>
        <v>1.9336831810946515</v>
      </c>
      <c r="J66" s="6">
        <f t="shared" si="7"/>
        <v>2.0133804042359409</v>
      </c>
      <c r="K66" s="5">
        <f t="shared" si="13"/>
        <v>-152.72907937262607</v>
      </c>
      <c r="L66" s="6"/>
      <c r="M66" s="6"/>
    </row>
    <row r="67" spans="1:13" x14ac:dyDescent="0.2">
      <c r="A67" s="1">
        <v>43948</v>
      </c>
      <c r="B67">
        <v>61</v>
      </c>
      <c r="C67">
        <v>157149</v>
      </c>
      <c r="D67">
        <f t="shared" si="1"/>
        <v>4309</v>
      </c>
      <c r="E67" s="3">
        <f t="shared" si="8"/>
        <v>2576.2131147540986</v>
      </c>
      <c r="F67" s="2">
        <f t="shared" si="10"/>
        <v>147918.38912167327</v>
      </c>
      <c r="G67" s="2">
        <f t="shared" si="11"/>
        <v>4615.3054391635005</v>
      </c>
      <c r="H67" s="2">
        <f t="shared" si="12"/>
        <v>2502.7361307773103</v>
      </c>
      <c r="I67" s="4">
        <f t="shared" si="9"/>
        <v>1.8441038918993269</v>
      </c>
      <c r="J67" s="6">
        <f t="shared" si="7"/>
        <v>1.9176194418681045</v>
      </c>
      <c r="K67" s="5">
        <f t="shared" si="13"/>
        <v>-153.15271958175072</v>
      </c>
      <c r="L67" s="6"/>
      <c r="M67" s="6"/>
    </row>
    <row r="68" spans="1:13" x14ac:dyDescent="0.2">
      <c r="A68" s="1">
        <v>43949</v>
      </c>
      <c r="B68">
        <v>62</v>
      </c>
      <c r="C68">
        <v>161145</v>
      </c>
      <c r="D68">
        <f t="shared" si="1"/>
        <v>3996</v>
      </c>
      <c r="E68" s="3">
        <f t="shared" si="8"/>
        <v>2599.1129032258063</v>
      </c>
      <c r="F68" s="2">
        <f t="shared" si="10"/>
        <v>152327.25941444884</v>
      </c>
      <c r="G68" s="2">
        <f t="shared" si="11"/>
        <v>4408.8702927756667</v>
      </c>
      <c r="H68" s="2">
        <f t="shared" si="12"/>
        <v>2534.8617215934755</v>
      </c>
      <c r="I68" s="4">
        <f t="shared" si="9"/>
        <v>1.7392942010281114</v>
      </c>
      <c r="J68" s="6">
        <f t="shared" si="7"/>
        <v>1.8061578865685122</v>
      </c>
      <c r="K68" s="5">
        <f t="shared" si="13"/>
        <v>-206.43514638783381</v>
      </c>
      <c r="L68" s="6"/>
      <c r="M68" s="6"/>
    </row>
    <row r="69" spans="1:13" x14ac:dyDescent="0.2">
      <c r="A69" s="1">
        <v>43950</v>
      </c>
      <c r="B69">
        <v>63</v>
      </c>
      <c r="C69">
        <v>165221</v>
      </c>
      <c r="D69">
        <f t="shared" si="1"/>
        <v>4076</v>
      </c>
      <c r="E69" s="3">
        <f t="shared" si="8"/>
        <v>2622.5555555555557</v>
      </c>
      <c r="F69" s="2">
        <f t="shared" si="10"/>
        <v>156625.1729429659</v>
      </c>
      <c r="G69" s="2">
        <f t="shared" si="11"/>
        <v>4297.9135285171114</v>
      </c>
      <c r="H69" s="2">
        <f t="shared" si="12"/>
        <v>2564.0929995808356</v>
      </c>
      <c r="I69" s="4">
        <f t="shared" si="9"/>
        <v>1.6761925285938193</v>
      </c>
      <c r="J69" s="6">
        <f t="shared" si="7"/>
        <v>1.7389058469788072</v>
      </c>
      <c r="K69" s="5">
        <f t="shared" si="13"/>
        <v>-110.95676425855527</v>
      </c>
      <c r="L69" s="6"/>
      <c r="M69" s="6"/>
    </row>
    <row r="70" spans="1:13" x14ac:dyDescent="0.2">
      <c r="A70" s="1">
        <v>43951</v>
      </c>
      <c r="B70">
        <v>64</v>
      </c>
      <c r="C70">
        <v>171253</v>
      </c>
      <c r="D70">
        <f t="shared" si="1"/>
        <v>6032</v>
      </c>
      <c r="E70" s="3">
        <f t="shared" si="8"/>
        <v>2675.828125</v>
      </c>
      <c r="F70" s="2">
        <f t="shared" si="10"/>
        <v>161501.11529531059</v>
      </c>
      <c r="G70" s="2">
        <f t="shared" si="11"/>
        <v>4875.9423523447413</v>
      </c>
      <c r="H70" s="2">
        <f t="shared" si="12"/>
        <v>2601.3380413872237</v>
      </c>
      <c r="I70" s="4">
        <f t="shared" si="9"/>
        <v>1.8743978194177839</v>
      </c>
      <c r="J70" s="6">
        <f t="shared" si="7"/>
        <v>1.9465372766803899</v>
      </c>
      <c r="K70" s="5">
        <f t="shared" si="13"/>
        <v>578.02882382762982</v>
      </c>
      <c r="L70" s="6"/>
      <c r="M70" s="6"/>
    </row>
    <row r="71" spans="1:13" x14ac:dyDescent="0.2">
      <c r="A71" s="1">
        <v>43952</v>
      </c>
      <c r="B71">
        <v>65</v>
      </c>
      <c r="C71">
        <v>177454</v>
      </c>
      <c r="D71">
        <f t="shared" si="1"/>
        <v>6201</v>
      </c>
      <c r="E71" s="3">
        <f t="shared" ref="E71:E102" si="14">C71/B71</f>
        <v>2730.0615384615385</v>
      </c>
      <c r="F71" s="2">
        <f t="shared" si="10"/>
        <v>166818.74353020705</v>
      </c>
      <c r="G71" s="2">
        <f t="shared" si="11"/>
        <v>5317.6282348964942</v>
      </c>
      <c r="H71" s="2">
        <f t="shared" si="12"/>
        <v>2644.2458737453285</v>
      </c>
      <c r="I71" s="4">
        <f t="shared" si="9"/>
        <v>2.0110188268402469</v>
      </c>
      <c r="J71" s="6">
        <f t="shared" si="7"/>
        <v>2.0893467874759213</v>
      </c>
      <c r="K71" s="5">
        <f t="shared" si="13"/>
        <v>441.68588255175291</v>
      </c>
      <c r="L71" s="6"/>
      <c r="M71" s="6"/>
    </row>
    <row r="72" spans="1:13" x14ac:dyDescent="0.2">
      <c r="A72" s="1">
        <v>43953</v>
      </c>
      <c r="B72">
        <v>66</v>
      </c>
      <c r="C72">
        <v>182260</v>
      </c>
      <c r="D72">
        <f t="shared" si="1"/>
        <v>4806</v>
      </c>
      <c r="E72" s="3">
        <f t="shared" si="14"/>
        <v>2761.5151515151515</v>
      </c>
      <c r="F72" s="2">
        <f t="shared" si="10"/>
        <v>171965.82902013804</v>
      </c>
      <c r="G72" s="2">
        <f t="shared" si="11"/>
        <v>5147.0854899309961</v>
      </c>
      <c r="H72" s="2">
        <f t="shared" si="12"/>
        <v>2683.335633001936</v>
      </c>
      <c r="I72" s="4">
        <f t="shared" si="9"/>
        <v>1.9181668616582197</v>
      </c>
      <c r="J72" s="6">
        <f t="shared" si="7"/>
        <v>1.9902565046132976</v>
      </c>
      <c r="K72" s="5">
        <f t="shared" si="13"/>
        <v>-170.54274496549806</v>
      </c>
      <c r="L72" s="6"/>
      <c r="M72" s="6"/>
    </row>
    <row r="73" spans="1:13" x14ac:dyDescent="0.2">
      <c r="A73" s="1">
        <v>43954</v>
      </c>
      <c r="B73">
        <v>67</v>
      </c>
      <c r="C73">
        <v>186599</v>
      </c>
      <c r="D73">
        <f t="shared" ref="D73:D106" si="15">C73-C72</f>
        <v>4339</v>
      </c>
      <c r="E73" s="3">
        <f t="shared" si="14"/>
        <v>2785.0597014925374</v>
      </c>
      <c r="F73" s="2">
        <f t="shared" si="10"/>
        <v>176843.55268009202</v>
      </c>
      <c r="G73" s="2">
        <f t="shared" si="11"/>
        <v>4877.7236599539974</v>
      </c>
      <c r="H73" s="2">
        <f t="shared" si="12"/>
        <v>2717.2436558321365</v>
      </c>
      <c r="I73" s="4">
        <f t="shared" si="9"/>
        <v>1.7950998429915292</v>
      </c>
      <c r="J73" s="6">
        <f t="shared" si="7"/>
        <v>1.859861806502124</v>
      </c>
      <c r="K73" s="5">
        <f t="shared" si="13"/>
        <v>-269.36182997699871</v>
      </c>
      <c r="L73" s="6"/>
      <c r="M73" s="6"/>
    </row>
    <row r="74" spans="1:13" x14ac:dyDescent="0.2">
      <c r="A74" s="1">
        <v>43955</v>
      </c>
      <c r="B74">
        <v>68</v>
      </c>
      <c r="C74">
        <v>190584</v>
      </c>
      <c r="D74">
        <f t="shared" si="15"/>
        <v>3985</v>
      </c>
      <c r="E74" s="3">
        <f t="shared" si="14"/>
        <v>2802.705882352941</v>
      </c>
      <c r="F74" s="2">
        <f t="shared" si="10"/>
        <v>181423.70178672802</v>
      </c>
      <c r="G74" s="2">
        <f t="shared" si="11"/>
        <v>4580.1491066359986</v>
      </c>
      <c r="H74" s="2">
        <f t="shared" si="12"/>
        <v>2745.7310646724045</v>
      </c>
      <c r="I74" s="4">
        <f t="shared" si="9"/>
        <v>1.6680982218418612</v>
      </c>
      <c r="J74" s="6">
        <f t="shared" si="7"/>
        <v>1.7258628068480775</v>
      </c>
      <c r="K74" s="5">
        <f t="shared" si="13"/>
        <v>-297.57455331799883</v>
      </c>
      <c r="L74" s="6"/>
      <c r="M74" s="6"/>
    </row>
    <row r="75" spans="1:13" x14ac:dyDescent="0.2">
      <c r="A75" s="1">
        <v>43956</v>
      </c>
      <c r="B75">
        <v>69</v>
      </c>
      <c r="C75">
        <v>194990</v>
      </c>
      <c r="D75">
        <f t="shared" si="15"/>
        <v>4406</v>
      </c>
      <c r="E75" s="3">
        <f t="shared" si="14"/>
        <v>2825.942028985507</v>
      </c>
      <c r="F75" s="2">
        <f t="shared" si="10"/>
        <v>185945.80119115202</v>
      </c>
      <c r="G75" s="2">
        <f t="shared" si="11"/>
        <v>4522.0994044239987</v>
      </c>
      <c r="H75" s="2">
        <f t="shared" si="12"/>
        <v>2772.4680527767719</v>
      </c>
      <c r="I75" s="4">
        <f t="shared" ref="I75:I106" si="16">+G75/H75</f>
        <v>1.6310735843808477</v>
      </c>
      <c r="J75" s="6">
        <f t="shared" si="7"/>
        <v>1.6863882640889485</v>
      </c>
      <c r="K75" s="5">
        <f t="shared" si="13"/>
        <v>-58.049702211999829</v>
      </c>
      <c r="L75" s="6"/>
      <c r="M75" s="6"/>
    </row>
    <row r="76" spans="1:13" x14ac:dyDescent="0.2">
      <c r="A76" s="1">
        <v>43957</v>
      </c>
      <c r="B76">
        <v>70</v>
      </c>
      <c r="C76">
        <v>201101</v>
      </c>
      <c r="D76">
        <f t="shared" si="15"/>
        <v>6111</v>
      </c>
      <c r="E76" s="3">
        <f t="shared" si="14"/>
        <v>2872.8714285714286</v>
      </c>
      <c r="F76" s="2">
        <f t="shared" ref="F76:F107" si="17">((C76-F75)*$C$136)+F75</f>
        <v>190997.53412743469</v>
      </c>
      <c r="G76" s="2">
        <f t="shared" ref="G76:G107" si="18">((D76-G75)*$C$136)+G75</f>
        <v>5051.7329362826658</v>
      </c>
      <c r="H76" s="2">
        <f t="shared" ref="H76:H107" si="19">((E76-H75)*$C$136)+H75</f>
        <v>2805.9358447083241</v>
      </c>
      <c r="I76" s="4">
        <f t="shared" si="16"/>
        <v>1.8003736421164651</v>
      </c>
      <c r="J76" s="6">
        <f t="shared" si="7"/>
        <v>1.8628552685506707</v>
      </c>
      <c r="K76" s="5">
        <f t="shared" ref="K76:K106" si="20">+G76-G75</f>
        <v>529.63353185866708</v>
      </c>
      <c r="L76" s="6"/>
      <c r="M76" s="6"/>
    </row>
    <row r="77" spans="1:13" x14ac:dyDescent="0.2">
      <c r="A77" s="1">
        <v>43958</v>
      </c>
      <c r="B77">
        <v>71</v>
      </c>
      <c r="C77">
        <v>206715</v>
      </c>
      <c r="D77">
        <f t="shared" si="15"/>
        <v>5614</v>
      </c>
      <c r="E77" s="3">
        <f t="shared" si="14"/>
        <v>2911.4788732394368</v>
      </c>
      <c r="F77" s="2">
        <f t="shared" si="17"/>
        <v>196236.68941828978</v>
      </c>
      <c r="G77" s="2">
        <f t="shared" si="18"/>
        <v>5239.1552908551103</v>
      </c>
      <c r="H77" s="2">
        <f t="shared" si="19"/>
        <v>2841.1168542186952</v>
      </c>
      <c r="I77" s="4">
        <f t="shared" si="16"/>
        <v>1.8440478022139901</v>
      </c>
      <c r="J77" s="6">
        <f t="shared" ref="J77:J106" si="21">((F77-F76)*(B77+B76))/((F77+F76)*(B77-B76))</f>
        <v>1.9076849387082659</v>
      </c>
      <c r="K77" s="5">
        <f t="shared" si="20"/>
        <v>187.42235457244442</v>
      </c>
      <c r="L77" s="6"/>
      <c r="M77" s="6"/>
    </row>
    <row r="78" spans="1:13" x14ac:dyDescent="0.2">
      <c r="A78" s="1">
        <v>43959</v>
      </c>
      <c r="B78">
        <v>72</v>
      </c>
      <c r="C78">
        <v>211364</v>
      </c>
      <c r="D78">
        <f t="shared" si="15"/>
        <v>4649</v>
      </c>
      <c r="E78" s="3">
        <f t="shared" si="14"/>
        <v>2935.6111111111113</v>
      </c>
      <c r="F78" s="2">
        <f t="shared" si="17"/>
        <v>201279.12627885985</v>
      </c>
      <c r="G78" s="2">
        <f t="shared" si="18"/>
        <v>5042.4368605700738</v>
      </c>
      <c r="H78" s="2">
        <f t="shared" si="19"/>
        <v>2872.6149398495004</v>
      </c>
      <c r="I78" s="4">
        <f t="shared" si="16"/>
        <v>1.7553472937219539</v>
      </c>
      <c r="J78" s="6">
        <f t="shared" si="21"/>
        <v>1.81393655947232</v>
      </c>
      <c r="K78" s="5">
        <f t="shared" si="20"/>
        <v>-196.71843028503645</v>
      </c>
      <c r="L78" s="6"/>
      <c r="M78" s="6"/>
    </row>
    <row r="79" spans="1:13" x14ac:dyDescent="0.2">
      <c r="A79" s="1">
        <v>43960</v>
      </c>
      <c r="B79">
        <v>73</v>
      </c>
      <c r="C79">
        <v>215260</v>
      </c>
      <c r="D79">
        <f t="shared" si="15"/>
        <v>3896</v>
      </c>
      <c r="E79" s="3">
        <f t="shared" si="14"/>
        <v>2948.7671232876714</v>
      </c>
      <c r="F79" s="2">
        <f t="shared" si="17"/>
        <v>205939.41751923991</v>
      </c>
      <c r="G79" s="2">
        <f t="shared" si="18"/>
        <v>4660.2912403800492</v>
      </c>
      <c r="H79" s="2">
        <f t="shared" si="19"/>
        <v>2897.9990009955573</v>
      </c>
      <c r="I79" s="4">
        <f t="shared" si="16"/>
        <v>1.6081065724243131</v>
      </c>
      <c r="J79" s="6">
        <f t="shared" si="21"/>
        <v>1.659409278252671</v>
      </c>
      <c r="K79" s="5">
        <f t="shared" si="20"/>
        <v>-382.1456201900246</v>
      </c>
      <c r="L79" s="6"/>
      <c r="M79" s="6"/>
    </row>
    <row r="80" spans="1:13" x14ac:dyDescent="0.2">
      <c r="A80" s="1">
        <v>43961</v>
      </c>
      <c r="B80">
        <v>74</v>
      </c>
      <c r="C80">
        <v>219183</v>
      </c>
      <c r="D80">
        <f t="shared" si="15"/>
        <v>3923</v>
      </c>
      <c r="E80" s="3">
        <f t="shared" si="14"/>
        <v>2961.9324324324325</v>
      </c>
      <c r="F80" s="2">
        <f t="shared" si="17"/>
        <v>210353.94501282662</v>
      </c>
      <c r="G80" s="2">
        <f t="shared" si="18"/>
        <v>4414.5274935866992</v>
      </c>
      <c r="H80" s="2">
        <f t="shared" si="19"/>
        <v>2919.3101448078492</v>
      </c>
      <c r="I80" s="4">
        <f t="shared" si="16"/>
        <v>1.5121817397299067</v>
      </c>
      <c r="J80" s="6">
        <f t="shared" si="21"/>
        <v>1.5588419128524034</v>
      </c>
      <c r="K80" s="5">
        <f t="shared" si="20"/>
        <v>-245.76374679335004</v>
      </c>
      <c r="L80" s="6"/>
      <c r="M80" s="6"/>
    </row>
    <row r="81" spans="1:18" x14ac:dyDescent="0.2">
      <c r="A81" s="1">
        <v>43962</v>
      </c>
      <c r="B81">
        <v>75</v>
      </c>
      <c r="C81">
        <v>223060</v>
      </c>
      <c r="D81">
        <f t="shared" si="15"/>
        <v>3877</v>
      </c>
      <c r="E81" s="3">
        <f t="shared" si="14"/>
        <v>2974.1333333333332</v>
      </c>
      <c r="F81" s="2">
        <f t="shared" si="17"/>
        <v>214589.29667521775</v>
      </c>
      <c r="G81" s="2">
        <f t="shared" si="18"/>
        <v>4235.3516623911328</v>
      </c>
      <c r="H81" s="2">
        <f t="shared" si="19"/>
        <v>2937.5845409830104</v>
      </c>
      <c r="I81" s="4">
        <f t="shared" si="16"/>
        <v>1.4417803482087523</v>
      </c>
      <c r="J81" s="6">
        <f t="shared" si="21"/>
        <v>1.485062793773178</v>
      </c>
      <c r="K81" s="5">
        <f t="shared" si="20"/>
        <v>-179.17583119556639</v>
      </c>
      <c r="L81" s="6"/>
      <c r="M81" s="6"/>
    </row>
    <row r="82" spans="1:18" x14ac:dyDescent="0.2">
      <c r="A82" s="1">
        <v>43963</v>
      </c>
      <c r="B82">
        <v>76</v>
      </c>
      <c r="C82">
        <v>226463</v>
      </c>
      <c r="D82">
        <f t="shared" si="15"/>
        <v>3403</v>
      </c>
      <c r="E82" s="3">
        <f t="shared" si="14"/>
        <v>2979.7763157894738</v>
      </c>
      <c r="F82" s="2">
        <f t="shared" si="17"/>
        <v>218547.19778347851</v>
      </c>
      <c r="G82" s="2">
        <f t="shared" si="18"/>
        <v>3957.9011082607553</v>
      </c>
      <c r="H82" s="2">
        <f t="shared" si="19"/>
        <v>2951.648465918498</v>
      </c>
      <c r="I82" s="4">
        <f t="shared" si="16"/>
        <v>1.3409120882656094</v>
      </c>
      <c r="J82" s="6">
        <f t="shared" si="21"/>
        <v>1.3798030759201383</v>
      </c>
      <c r="K82" s="5">
        <f t="shared" si="20"/>
        <v>-277.45055413037744</v>
      </c>
      <c r="L82" s="6"/>
      <c r="M82" s="6"/>
    </row>
    <row r="83" spans="1:18" x14ac:dyDescent="0.2">
      <c r="A83" s="1">
        <v>43964</v>
      </c>
      <c r="B83">
        <v>77</v>
      </c>
      <c r="C83">
        <v>229705</v>
      </c>
      <c r="D83">
        <f t="shared" si="15"/>
        <v>3242</v>
      </c>
      <c r="E83" s="3">
        <f t="shared" si="14"/>
        <v>2983.181818181818</v>
      </c>
      <c r="F83" s="2">
        <f t="shared" si="17"/>
        <v>222266.46518898566</v>
      </c>
      <c r="G83" s="2">
        <f t="shared" si="18"/>
        <v>3719.2674055071702</v>
      </c>
      <c r="H83" s="2">
        <f t="shared" si="19"/>
        <v>2962.1595833396045</v>
      </c>
      <c r="I83" s="4">
        <f t="shared" si="16"/>
        <v>1.2555931916787499</v>
      </c>
      <c r="J83" s="6">
        <f t="shared" si="21"/>
        <v>1.2909035287278308</v>
      </c>
      <c r="K83" s="5">
        <f t="shared" si="20"/>
        <v>-238.63370275358511</v>
      </c>
      <c r="L83" s="6"/>
      <c r="M83" s="6"/>
    </row>
    <row r="84" spans="1:18" x14ac:dyDescent="0.2">
      <c r="A84" s="1">
        <v>43965</v>
      </c>
      <c r="B84">
        <v>78</v>
      </c>
      <c r="C84">
        <v>233151</v>
      </c>
      <c r="D84">
        <f t="shared" si="15"/>
        <v>3446</v>
      </c>
      <c r="E84" s="3">
        <f t="shared" si="14"/>
        <v>2989.1153846153848</v>
      </c>
      <c r="F84" s="2">
        <f t="shared" si="17"/>
        <v>225894.64345932376</v>
      </c>
      <c r="G84" s="2">
        <f t="shared" si="18"/>
        <v>3628.1782703381136</v>
      </c>
      <c r="H84" s="2">
        <f t="shared" si="19"/>
        <v>2971.1448504315313</v>
      </c>
      <c r="I84" s="4">
        <f t="shared" si="16"/>
        <v>1.2211381312530603</v>
      </c>
      <c r="J84" s="6">
        <f t="shared" si="21"/>
        <v>1.2548336324821956</v>
      </c>
      <c r="K84" s="5">
        <f t="shared" si="20"/>
        <v>-91.08913516905659</v>
      </c>
      <c r="L84" s="6"/>
      <c r="M84" s="6"/>
    </row>
    <row r="85" spans="1:18" x14ac:dyDescent="0.2">
      <c r="A85" s="1">
        <v>43966</v>
      </c>
      <c r="B85">
        <v>79</v>
      </c>
      <c r="C85">
        <v>236711</v>
      </c>
      <c r="D85">
        <f t="shared" si="15"/>
        <v>3560</v>
      </c>
      <c r="E85" s="3">
        <f t="shared" si="14"/>
        <v>2996.3417721518986</v>
      </c>
      <c r="F85" s="2">
        <f t="shared" si="17"/>
        <v>229500.09563954917</v>
      </c>
      <c r="G85" s="2">
        <f t="shared" si="18"/>
        <v>3605.4521802254089</v>
      </c>
      <c r="H85" s="2">
        <f t="shared" si="19"/>
        <v>2979.5438243383205</v>
      </c>
      <c r="I85" s="4">
        <f t="shared" si="16"/>
        <v>1.2100685181316595</v>
      </c>
      <c r="J85" s="6">
        <f t="shared" si="21"/>
        <v>1.2430007281495823</v>
      </c>
      <c r="K85" s="5">
        <f t="shared" si="20"/>
        <v>-22.726090112704696</v>
      </c>
      <c r="L85" s="6"/>
      <c r="M85" s="6"/>
    </row>
    <row r="86" spans="1:18" x14ac:dyDescent="0.2">
      <c r="A86" s="1">
        <v>43967</v>
      </c>
      <c r="B86">
        <v>80</v>
      </c>
      <c r="C86">
        <v>240161</v>
      </c>
      <c r="D86">
        <f t="shared" si="15"/>
        <v>3450</v>
      </c>
      <c r="E86" s="3">
        <f t="shared" si="14"/>
        <v>3002.0124999999998</v>
      </c>
      <c r="F86" s="2">
        <f t="shared" si="17"/>
        <v>233053.73042636612</v>
      </c>
      <c r="G86" s="2">
        <f t="shared" si="18"/>
        <v>3553.6347868169391</v>
      </c>
      <c r="H86" s="2">
        <f t="shared" si="19"/>
        <v>2987.0333828922135</v>
      </c>
      <c r="I86" s="4">
        <f t="shared" si="16"/>
        <v>1.1896870008784803</v>
      </c>
      <c r="J86" s="6">
        <f t="shared" si="21"/>
        <v>1.2215398495555359</v>
      </c>
      <c r="K86" s="5">
        <f t="shared" si="20"/>
        <v>-51.817393408469798</v>
      </c>
      <c r="L86" s="6"/>
      <c r="M86" s="6"/>
    </row>
    <row r="87" spans="1:18" x14ac:dyDescent="0.2">
      <c r="A87" s="1">
        <v>43968</v>
      </c>
      <c r="B87">
        <v>81</v>
      </c>
      <c r="C87">
        <v>243303</v>
      </c>
      <c r="D87">
        <f t="shared" si="15"/>
        <v>3142</v>
      </c>
      <c r="E87" s="3">
        <f t="shared" si="14"/>
        <v>3003.7407407407409</v>
      </c>
      <c r="F87" s="2">
        <f t="shared" si="17"/>
        <v>236470.15361757742</v>
      </c>
      <c r="G87" s="2">
        <f t="shared" si="18"/>
        <v>3416.4231912112928</v>
      </c>
      <c r="H87" s="2">
        <f t="shared" si="19"/>
        <v>2992.6025021750561</v>
      </c>
      <c r="I87" s="4">
        <f t="shared" si="16"/>
        <v>1.1416227810837554</v>
      </c>
      <c r="J87" s="6">
        <f t="shared" si="21"/>
        <v>1.1714934052929673</v>
      </c>
      <c r="K87" s="5">
        <f t="shared" si="20"/>
        <v>-137.21159560564638</v>
      </c>
      <c r="L87" s="6"/>
      <c r="M87" s="6"/>
    </row>
    <row r="88" spans="1:18" x14ac:dyDescent="0.2">
      <c r="A88" s="1">
        <v>43969</v>
      </c>
      <c r="B88">
        <v>82</v>
      </c>
      <c r="C88">
        <v>246406</v>
      </c>
      <c r="D88">
        <f t="shared" si="15"/>
        <v>3103</v>
      </c>
      <c r="E88" s="3">
        <f t="shared" si="14"/>
        <v>3004.9512195121952</v>
      </c>
      <c r="F88" s="2">
        <f t="shared" si="17"/>
        <v>239782.10241171828</v>
      </c>
      <c r="G88" s="2">
        <f t="shared" si="18"/>
        <v>3311.948794140862</v>
      </c>
      <c r="H88" s="2">
        <f t="shared" si="19"/>
        <v>2996.7187412874359</v>
      </c>
      <c r="I88" s="4">
        <f t="shared" si="16"/>
        <v>1.1051917380534679</v>
      </c>
      <c r="J88" s="6">
        <f t="shared" si="21"/>
        <v>1.1335330103124013</v>
      </c>
      <c r="K88" s="5">
        <f t="shared" si="20"/>
        <v>-104.47439707043077</v>
      </c>
      <c r="L88" s="6"/>
      <c r="M88" s="6"/>
    </row>
    <row r="89" spans="1:18" x14ac:dyDescent="0.2">
      <c r="A89" s="1">
        <v>43970</v>
      </c>
      <c r="B89">
        <v>83</v>
      </c>
      <c r="C89">
        <v>248818</v>
      </c>
      <c r="D89">
        <f t="shared" si="15"/>
        <v>2412</v>
      </c>
      <c r="E89" s="3">
        <f t="shared" si="14"/>
        <v>2997.8072289156626</v>
      </c>
      <c r="F89" s="2">
        <f t="shared" si="17"/>
        <v>242794.06827447886</v>
      </c>
      <c r="G89" s="2">
        <f t="shared" si="18"/>
        <v>3011.9658627605745</v>
      </c>
      <c r="H89" s="2">
        <f t="shared" si="19"/>
        <v>2997.081570496845</v>
      </c>
      <c r="I89" s="4">
        <f t="shared" si="16"/>
        <v>1.0049662619830737</v>
      </c>
      <c r="J89" s="6">
        <f t="shared" si="21"/>
        <v>1.0298361119837838</v>
      </c>
      <c r="K89" s="5">
        <f t="shared" si="20"/>
        <v>-299.98293138028748</v>
      </c>
      <c r="L89" s="6"/>
      <c r="M89" s="6"/>
    </row>
    <row r="90" spans="1:18" x14ac:dyDescent="0.2">
      <c r="A90" s="1">
        <v>43971</v>
      </c>
      <c r="B90">
        <v>84</v>
      </c>
      <c r="C90">
        <v>248293</v>
      </c>
      <c r="D90">
        <f t="shared" si="15"/>
        <v>-525</v>
      </c>
      <c r="E90" s="3">
        <f t="shared" si="14"/>
        <v>2955.8690476190477</v>
      </c>
      <c r="F90" s="2">
        <f t="shared" si="17"/>
        <v>244627.04551631925</v>
      </c>
      <c r="G90" s="2">
        <f t="shared" si="18"/>
        <v>1832.9772418403832</v>
      </c>
      <c r="H90" s="2">
        <f t="shared" si="19"/>
        <v>2983.3440628709127</v>
      </c>
      <c r="I90" s="4">
        <f t="shared" si="16"/>
        <v>0.61440356968967369</v>
      </c>
      <c r="J90" s="6">
        <f t="shared" si="21"/>
        <v>0.62801382772828851</v>
      </c>
      <c r="K90" s="5">
        <f t="shared" si="20"/>
        <v>-1178.9886209201914</v>
      </c>
      <c r="L90" s="6"/>
      <c r="M90" s="6"/>
    </row>
    <row r="91" spans="1:18" x14ac:dyDescent="0.2">
      <c r="A91" s="1">
        <v>43972</v>
      </c>
      <c r="B91">
        <v>85</v>
      </c>
      <c r="C91">
        <v>250908</v>
      </c>
      <c r="D91">
        <f t="shared" si="15"/>
        <v>2615</v>
      </c>
      <c r="E91" s="3">
        <f t="shared" si="14"/>
        <v>2951.8588235294119</v>
      </c>
      <c r="F91" s="2">
        <f t="shared" si="17"/>
        <v>246720.69701087949</v>
      </c>
      <c r="G91" s="2">
        <f t="shared" si="18"/>
        <v>2093.6514945602553</v>
      </c>
      <c r="H91" s="2">
        <f t="shared" si="19"/>
        <v>2972.8489830904123</v>
      </c>
      <c r="I91" s="4">
        <f t="shared" si="16"/>
        <v>0.70425760153608907</v>
      </c>
      <c r="J91" s="6">
        <f t="shared" si="21"/>
        <v>0.72011545379410025</v>
      </c>
      <c r="K91" s="5">
        <f t="shared" si="20"/>
        <v>260.67425271987213</v>
      </c>
      <c r="L91" s="6"/>
      <c r="M91" s="6"/>
      <c r="Q91" s="12"/>
      <c r="R91" s="11"/>
    </row>
    <row r="92" spans="1:18" x14ac:dyDescent="0.2">
      <c r="A92" s="1">
        <v>43973</v>
      </c>
      <c r="B92">
        <v>86</v>
      </c>
      <c r="C92">
        <v>254195</v>
      </c>
      <c r="D92">
        <f t="shared" si="15"/>
        <v>3287</v>
      </c>
      <c r="E92" s="3">
        <f t="shared" si="14"/>
        <v>2955.7558139534885</v>
      </c>
      <c r="F92" s="2">
        <f t="shared" si="17"/>
        <v>249212.13134058632</v>
      </c>
      <c r="G92" s="2">
        <f t="shared" si="18"/>
        <v>2491.4343297068367</v>
      </c>
      <c r="H92" s="2">
        <f t="shared" si="19"/>
        <v>2967.1512600447709</v>
      </c>
      <c r="I92" s="4">
        <f t="shared" si="16"/>
        <v>0.83967216746113704</v>
      </c>
      <c r="J92" s="6">
        <f t="shared" si="21"/>
        <v>0.85905841683450246</v>
      </c>
      <c r="K92" s="5">
        <f t="shared" si="20"/>
        <v>397.78283514658142</v>
      </c>
      <c r="L92" s="6"/>
      <c r="M92" s="6"/>
      <c r="Q92" s="12"/>
      <c r="R92" s="11"/>
    </row>
    <row r="93" spans="1:18" x14ac:dyDescent="0.2">
      <c r="A93" s="1">
        <v>43974</v>
      </c>
      <c r="B93">
        <v>87</v>
      </c>
      <c r="C93">
        <v>257154</v>
      </c>
      <c r="D93">
        <f t="shared" si="15"/>
        <v>2959</v>
      </c>
      <c r="E93" s="3">
        <f t="shared" si="14"/>
        <v>2955.7931034482758</v>
      </c>
      <c r="F93" s="2">
        <f t="shared" si="17"/>
        <v>251859.42089372422</v>
      </c>
      <c r="G93" s="2">
        <f t="shared" si="18"/>
        <v>2647.2895531378913</v>
      </c>
      <c r="H93" s="2">
        <f t="shared" si="19"/>
        <v>2963.365207845939</v>
      </c>
      <c r="I93" s="4">
        <f t="shared" si="16"/>
        <v>0.89333894658977853</v>
      </c>
      <c r="J93" s="6">
        <f t="shared" si="21"/>
        <v>0.91400338065629538</v>
      </c>
      <c r="K93" s="5">
        <f t="shared" si="20"/>
        <v>155.85522343105458</v>
      </c>
      <c r="L93" s="6"/>
      <c r="M93" s="6"/>
      <c r="Q93" s="12"/>
      <c r="R93" s="11"/>
    </row>
    <row r="94" spans="1:18" x14ac:dyDescent="0.2">
      <c r="A94" s="1">
        <v>43975</v>
      </c>
      <c r="B94">
        <v>88</v>
      </c>
      <c r="C94">
        <v>259559</v>
      </c>
      <c r="D94">
        <f t="shared" si="15"/>
        <v>2405</v>
      </c>
      <c r="E94" s="3">
        <f t="shared" si="14"/>
        <v>2949.534090909091</v>
      </c>
      <c r="F94" s="2">
        <f t="shared" si="17"/>
        <v>254425.9472624828</v>
      </c>
      <c r="G94" s="2">
        <f t="shared" si="18"/>
        <v>2566.5263687585943</v>
      </c>
      <c r="H94" s="2">
        <f t="shared" si="19"/>
        <v>2958.7548355336562</v>
      </c>
      <c r="I94" s="4">
        <f t="shared" si="16"/>
        <v>0.867434617405765</v>
      </c>
      <c r="J94" s="6">
        <f t="shared" si="21"/>
        <v>0.88713232256432839</v>
      </c>
      <c r="K94" s="5">
        <f t="shared" si="20"/>
        <v>-80.763184379296945</v>
      </c>
      <c r="L94" s="6"/>
      <c r="M94" s="6"/>
      <c r="Q94" s="12"/>
      <c r="R94" s="11"/>
    </row>
    <row r="95" spans="1:18" x14ac:dyDescent="0.2">
      <c r="A95" s="1">
        <v>43976</v>
      </c>
      <c r="B95">
        <v>89</v>
      </c>
      <c r="C95">
        <v>261184</v>
      </c>
      <c r="D95">
        <f t="shared" si="15"/>
        <v>1625</v>
      </c>
      <c r="E95" s="3">
        <f t="shared" si="14"/>
        <v>2934.6516853932585</v>
      </c>
      <c r="F95" s="2">
        <f t="shared" si="17"/>
        <v>256678.63150832188</v>
      </c>
      <c r="G95" s="2">
        <f t="shared" si="18"/>
        <v>2252.6842458390629</v>
      </c>
      <c r="H95" s="2">
        <f t="shared" si="19"/>
        <v>2950.7204521535236</v>
      </c>
      <c r="I95" s="4">
        <f t="shared" si="16"/>
        <v>0.76343533125782448</v>
      </c>
      <c r="J95" s="6">
        <f t="shared" si="21"/>
        <v>0.78012431912161961</v>
      </c>
      <c r="K95" s="5">
        <f t="shared" si="20"/>
        <v>-313.84212291953145</v>
      </c>
      <c r="L95" s="6"/>
      <c r="M95" s="6"/>
      <c r="Q95" s="12"/>
      <c r="R95" s="11"/>
    </row>
    <row r="96" spans="1:18" x14ac:dyDescent="0.2">
      <c r="A96" s="1">
        <v>43977</v>
      </c>
      <c r="B96">
        <v>90</v>
      </c>
      <c r="C96">
        <v>265227</v>
      </c>
      <c r="D96">
        <f t="shared" si="15"/>
        <v>4043</v>
      </c>
      <c r="E96" s="3">
        <f t="shared" si="14"/>
        <v>2946.9666666666667</v>
      </c>
      <c r="F96" s="2">
        <f t="shared" si="17"/>
        <v>259528.08767221458</v>
      </c>
      <c r="G96" s="2">
        <f t="shared" si="18"/>
        <v>2849.4561638927084</v>
      </c>
      <c r="H96" s="2">
        <f t="shared" si="19"/>
        <v>2949.4691903245712</v>
      </c>
      <c r="I96" s="4">
        <f t="shared" si="16"/>
        <v>0.96609117777532816</v>
      </c>
      <c r="J96" s="6">
        <f t="shared" si="21"/>
        <v>0.98807829186432694</v>
      </c>
      <c r="K96" s="5">
        <f t="shared" si="20"/>
        <v>596.77191805364555</v>
      </c>
      <c r="L96" s="6"/>
      <c r="M96" s="6"/>
      <c r="Q96" s="11"/>
      <c r="R96" s="11"/>
    </row>
    <row r="97" spans="1:18" x14ac:dyDescent="0.2">
      <c r="A97" s="1">
        <v>43978</v>
      </c>
      <c r="B97">
        <v>91</v>
      </c>
      <c r="C97">
        <v>267240</v>
      </c>
      <c r="D97">
        <f t="shared" si="15"/>
        <v>2013</v>
      </c>
      <c r="E97" s="3">
        <f t="shared" si="14"/>
        <v>2936.7032967032969</v>
      </c>
      <c r="F97" s="2">
        <f t="shared" si="17"/>
        <v>262098.72511480973</v>
      </c>
      <c r="G97" s="2">
        <f t="shared" si="18"/>
        <v>2570.637442595139</v>
      </c>
      <c r="H97" s="2">
        <f t="shared" si="19"/>
        <v>2945.2138924508131</v>
      </c>
      <c r="I97" s="4">
        <f t="shared" si="16"/>
        <v>0.87281859194818068</v>
      </c>
      <c r="J97" s="6">
        <f t="shared" si="21"/>
        <v>0.8919889961632288</v>
      </c>
      <c r="K97" s="5">
        <f t="shared" si="20"/>
        <v>-278.81872129756948</v>
      </c>
      <c r="L97" s="6"/>
      <c r="M97" s="6"/>
      <c r="Q97" s="11"/>
      <c r="R97" s="11"/>
    </row>
    <row r="98" spans="1:18" x14ac:dyDescent="0.2">
      <c r="A98" s="1">
        <v>43979</v>
      </c>
      <c r="B98">
        <v>92</v>
      </c>
      <c r="C98">
        <v>269127</v>
      </c>
      <c r="D98">
        <f t="shared" si="15"/>
        <v>1887</v>
      </c>
      <c r="E98" s="3">
        <f t="shared" si="14"/>
        <v>2925.2934782608695</v>
      </c>
      <c r="F98" s="2">
        <f t="shared" si="17"/>
        <v>264441.48340987315</v>
      </c>
      <c r="G98" s="2">
        <f t="shared" si="18"/>
        <v>2342.758295063426</v>
      </c>
      <c r="H98" s="2">
        <f t="shared" si="19"/>
        <v>2938.5737543874984</v>
      </c>
      <c r="I98" s="4">
        <f t="shared" si="16"/>
        <v>0.79724331967694262</v>
      </c>
      <c r="J98" s="6">
        <f t="shared" si="21"/>
        <v>0.81422987467159236</v>
      </c>
      <c r="K98" s="5">
        <f t="shared" si="20"/>
        <v>-227.87914753171299</v>
      </c>
      <c r="L98" s="6"/>
      <c r="M98" s="6"/>
      <c r="Q98" s="11"/>
      <c r="R98" s="11"/>
    </row>
    <row r="99" spans="1:18" x14ac:dyDescent="0.2">
      <c r="A99" s="1">
        <v>43980</v>
      </c>
      <c r="B99">
        <v>93</v>
      </c>
      <c r="C99">
        <v>271222</v>
      </c>
      <c r="D99">
        <f t="shared" si="15"/>
        <v>2095</v>
      </c>
      <c r="E99" s="3">
        <f t="shared" si="14"/>
        <v>2916.3655913978496</v>
      </c>
      <c r="F99" s="2">
        <f t="shared" si="17"/>
        <v>266701.65560658212</v>
      </c>
      <c r="G99" s="2">
        <f t="shared" si="18"/>
        <v>2260.1721967089507</v>
      </c>
      <c r="H99" s="2">
        <f t="shared" si="19"/>
        <v>2931.1710333909487</v>
      </c>
      <c r="I99" s="4">
        <f t="shared" si="16"/>
        <v>0.77108164994870754</v>
      </c>
      <c r="J99" s="6">
        <f t="shared" si="21"/>
        <v>0.78723008107651593</v>
      </c>
      <c r="K99" s="5">
        <f t="shared" si="20"/>
        <v>-82.586098354475325</v>
      </c>
      <c r="L99" s="6"/>
      <c r="M99" s="6"/>
      <c r="Q99" s="11"/>
      <c r="R99" s="11"/>
    </row>
    <row r="100" spans="1:18" x14ac:dyDescent="0.2">
      <c r="A100" s="1">
        <v>43981</v>
      </c>
      <c r="B100">
        <v>94</v>
      </c>
      <c r="C100">
        <v>272826</v>
      </c>
      <c r="D100">
        <f t="shared" si="15"/>
        <v>1604</v>
      </c>
      <c r="E100" s="3">
        <f t="shared" si="14"/>
        <v>2902.4042553191489</v>
      </c>
      <c r="F100" s="2">
        <f t="shared" si="17"/>
        <v>268743.10373772139</v>
      </c>
      <c r="G100" s="2">
        <f t="shared" si="18"/>
        <v>2041.4481311393004</v>
      </c>
      <c r="H100" s="2">
        <f t="shared" si="19"/>
        <v>2921.5821073670154</v>
      </c>
      <c r="I100" s="4">
        <f t="shared" si="16"/>
        <v>0.69874747863207987</v>
      </c>
      <c r="J100" s="6">
        <f t="shared" si="21"/>
        <v>0.7129601959136358</v>
      </c>
      <c r="K100" s="5">
        <f t="shared" si="20"/>
        <v>-218.72406556965029</v>
      </c>
      <c r="L100" s="6"/>
      <c r="M100" s="6"/>
      <c r="Q100" s="11"/>
      <c r="R100" s="11"/>
    </row>
    <row r="101" spans="1:18" x14ac:dyDescent="0.2">
      <c r="A101" s="1">
        <v>43982</v>
      </c>
      <c r="B101">
        <v>95</v>
      </c>
      <c r="C101">
        <v>274762</v>
      </c>
      <c r="D101">
        <f t="shared" si="15"/>
        <v>1936</v>
      </c>
      <c r="E101" s="3">
        <f t="shared" si="14"/>
        <v>2892.2315789473682</v>
      </c>
      <c r="F101" s="2">
        <f t="shared" si="17"/>
        <v>270749.40249181428</v>
      </c>
      <c r="G101" s="2">
        <f t="shared" si="18"/>
        <v>2006.2987540928668</v>
      </c>
      <c r="H101" s="2">
        <f t="shared" si="19"/>
        <v>2911.7985978937995</v>
      </c>
      <c r="I101" s="4">
        <f t="shared" si="16"/>
        <v>0.68902387532712228</v>
      </c>
      <c r="J101" s="6">
        <f t="shared" si="21"/>
        <v>0.70286511887567016</v>
      </c>
      <c r="K101" s="5">
        <f t="shared" si="20"/>
        <v>-35.149377046433528</v>
      </c>
      <c r="L101" s="6"/>
      <c r="M101" s="6"/>
      <c r="Q101" s="11"/>
      <c r="R101" s="11"/>
    </row>
    <row r="102" spans="1:18" x14ac:dyDescent="0.2">
      <c r="A102" s="1">
        <v>43983</v>
      </c>
      <c r="B102">
        <v>96</v>
      </c>
      <c r="C102">
        <v>276332</v>
      </c>
      <c r="D102">
        <f t="shared" si="15"/>
        <v>1570</v>
      </c>
      <c r="E102" s="3">
        <f t="shared" si="14"/>
        <v>2878.4583333333335</v>
      </c>
      <c r="F102" s="2">
        <f t="shared" si="17"/>
        <v>272610.26832787617</v>
      </c>
      <c r="G102" s="2">
        <f t="shared" si="18"/>
        <v>1860.8658360619113</v>
      </c>
      <c r="H102" s="2">
        <f t="shared" si="19"/>
        <v>2900.685176373644</v>
      </c>
      <c r="I102" s="4">
        <f t="shared" si="16"/>
        <v>0.6415263025504595</v>
      </c>
      <c r="J102" s="6">
        <f t="shared" si="21"/>
        <v>0.65412542331608814</v>
      </c>
      <c r="K102" s="5">
        <f t="shared" si="20"/>
        <v>-145.43291803095553</v>
      </c>
      <c r="L102" s="6"/>
      <c r="M102" s="6"/>
      <c r="Q102" s="11"/>
      <c r="R102" s="11"/>
    </row>
    <row r="103" spans="1:18" x14ac:dyDescent="0.2">
      <c r="A103" s="1">
        <v>43984</v>
      </c>
      <c r="B103">
        <v>97</v>
      </c>
      <c r="C103">
        <v>277985</v>
      </c>
      <c r="D103">
        <f t="shared" si="15"/>
        <v>1653</v>
      </c>
      <c r="E103" s="3">
        <f t="shared" ref="E103:E106" si="22">C103/B103</f>
        <v>2865.8247422680411</v>
      </c>
      <c r="F103" s="2">
        <f t="shared" si="17"/>
        <v>274401.84555191745</v>
      </c>
      <c r="G103" s="2">
        <f t="shared" si="18"/>
        <v>1791.5772240412741</v>
      </c>
      <c r="H103" s="2">
        <f t="shared" si="19"/>
        <v>2889.0650316717765</v>
      </c>
      <c r="I103" s="4">
        <f t="shared" si="16"/>
        <v>0.62012353630010408</v>
      </c>
      <c r="J103" s="6">
        <f t="shared" si="21"/>
        <v>0.63211471092932825</v>
      </c>
      <c r="K103" s="5">
        <f t="shared" si="20"/>
        <v>-69.288612020637174</v>
      </c>
      <c r="L103" s="6"/>
      <c r="M103" s="6"/>
      <c r="Q103" s="11"/>
      <c r="R103" s="11"/>
    </row>
    <row r="104" spans="1:18" x14ac:dyDescent="0.2">
      <c r="A104" s="1">
        <v>43985</v>
      </c>
      <c r="B104">
        <v>98</v>
      </c>
      <c r="C104">
        <v>279856</v>
      </c>
      <c r="D104">
        <f t="shared" si="15"/>
        <v>1871</v>
      </c>
      <c r="E104" s="3">
        <f t="shared" si="22"/>
        <v>2855.6734693877552</v>
      </c>
      <c r="F104" s="2">
        <f t="shared" si="17"/>
        <v>276219.89703461161</v>
      </c>
      <c r="G104" s="2">
        <f t="shared" si="18"/>
        <v>1818.0514826941828</v>
      </c>
      <c r="H104" s="2">
        <f t="shared" si="19"/>
        <v>2877.9345109104361</v>
      </c>
      <c r="I104" s="4">
        <f t="shared" si="16"/>
        <v>0.6317209359010193</v>
      </c>
      <c r="J104" s="6">
        <f t="shared" si="21"/>
        <v>0.64385405025964826</v>
      </c>
      <c r="K104" s="5">
        <f t="shared" si="20"/>
        <v>26.474258652908702</v>
      </c>
      <c r="L104" s="6"/>
      <c r="M104" s="6"/>
      <c r="Q104" s="13"/>
      <c r="R104" s="11"/>
    </row>
    <row r="105" spans="1:18" x14ac:dyDescent="0.2">
      <c r="A105" s="1">
        <v>43986</v>
      </c>
      <c r="B105">
        <v>99</v>
      </c>
      <c r="C105">
        <v>281661</v>
      </c>
      <c r="D105">
        <f t="shared" si="15"/>
        <v>1805</v>
      </c>
      <c r="E105" s="3">
        <f t="shared" si="22"/>
        <v>2845.060606060606</v>
      </c>
      <c r="F105" s="2">
        <f t="shared" si="17"/>
        <v>278033.59802307439</v>
      </c>
      <c r="G105" s="2">
        <f t="shared" si="18"/>
        <v>1813.7009884627885</v>
      </c>
      <c r="H105" s="2">
        <f t="shared" si="19"/>
        <v>2866.9765426271592</v>
      </c>
      <c r="I105" s="4">
        <f t="shared" si="16"/>
        <v>0.63261800768024434</v>
      </c>
      <c r="J105" s="6">
        <f t="shared" si="21"/>
        <v>0.64464924066916318</v>
      </c>
      <c r="K105" s="5">
        <f t="shared" si="20"/>
        <v>-4.3504942313943502</v>
      </c>
      <c r="L105" s="6"/>
      <c r="M105" s="6"/>
      <c r="Q105" s="13"/>
      <c r="R105" s="11"/>
    </row>
    <row r="106" spans="1:18" x14ac:dyDescent="0.2">
      <c r="A106" s="1">
        <v>43987</v>
      </c>
      <c r="B106">
        <v>100</v>
      </c>
      <c r="C106">
        <v>283311</v>
      </c>
      <c r="D106">
        <f t="shared" si="15"/>
        <v>1650</v>
      </c>
      <c r="E106" s="3">
        <f t="shared" si="22"/>
        <v>2833.11</v>
      </c>
      <c r="F106" s="2">
        <f t="shared" si="17"/>
        <v>279792.73201538291</v>
      </c>
      <c r="G106" s="2">
        <f t="shared" si="18"/>
        <v>1759.1339923085256</v>
      </c>
      <c r="H106" s="2">
        <f t="shared" si="19"/>
        <v>2855.6876950847727</v>
      </c>
      <c r="I106" s="4">
        <f t="shared" si="16"/>
        <v>0.61601063566452241</v>
      </c>
      <c r="J106" s="6">
        <f t="shared" si="21"/>
        <v>0.62755672441145061</v>
      </c>
      <c r="K106" s="5">
        <f t="shared" si="20"/>
        <v>-54.566996154262824</v>
      </c>
      <c r="L106" s="6"/>
      <c r="M106" s="6"/>
      <c r="Q106" s="13"/>
      <c r="R106" s="11"/>
    </row>
    <row r="107" spans="1:18" x14ac:dyDescent="0.2">
      <c r="A107" s="1">
        <v>43988</v>
      </c>
      <c r="B107">
        <v>101</v>
      </c>
      <c r="C107">
        <v>284868</v>
      </c>
      <c r="D107">
        <f t="shared" ref="D107:D131" si="23">C107-C106</f>
        <v>1557</v>
      </c>
      <c r="E107" s="3">
        <f t="shared" ref="E107:E131" si="24">C107/B107</f>
        <v>2820.4752475247524</v>
      </c>
      <c r="F107" s="2">
        <f t="shared" si="17"/>
        <v>281484.48801025527</v>
      </c>
      <c r="G107" s="2">
        <f t="shared" si="18"/>
        <v>1691.7559948723504</v>
      </c>
      <c r="H107" s="2">
        <f t="shared" si="19"/>
        <v>2843.9502125647659</v>
      </c>
      <c r="I107" s="4">
        <f t="shared" ref="I107:I122" si="25">+G107/H107</f>
        <v>0.59486132612239728</v>
      </c>
      <c r="J107" s="6">
        <f t="shared" ref="J107:J122" si="26">((F107-F106)*(B107+B106))/((F107+F106)*(B107-B106))</f>
        <v>0.60583779786005343</v>
      </c>
      <c r="K107" s="5">
        <f t="shared" ref="K107:K122" si="27">+G107-G106</f>
        <v>-67.377997436175292</v>
      </c>
      <c r="L107" s="6"/>
      <c r="M107" s="6"/>
      <c r="Q107" s="13"/>
      <c r="R107" s="11"/>
    </row>
    <row r="108" spans="1:18" x14ac:dyDescent="0.2">
      <c r="A108" s="1">
        <v>43989</v>
      </c>
      <c r="B108">
        <v>102</v>
      </c>
      <c r="C108">
        <v>286194</v>
      </c>
      <c r="D108">
        <f t="shared" si="23"/>
        <v>1326</v>
      </c>
      <c r="E108" s="3">
        <f t="shared" si="24"/>
        <v>2805.8235294117649</v>
      </c>
      <c r="F108" s="2">
        <f t="shared" ref="F108:F124" si="28">((C108-F107)*$C$136)+F107</f>
        <v>283054.32534017018</v>
      </c>
      <c r="G108" s="2">
        <f t="shared" ref="G108:G124" si="29">((D108-G107)*$C$136)+G107</f>
        <v>1569.8373299149002</v>
      </c>
      <c r="H108" s="2">
        <f t="shared" ref="H108:H124" si="30">((E108-H107)*$C$136)+H107</f>
        <v>2831.2413181804322</v>
      </c>
      <c r="I108" s="4">
        <f t="shared" si="25"/>
        <v>0.55446963133605132</v>
      </c>
      <c r="J108" s="6">
        <f t="shared" si="26"/>
        <v>0.5644908205362219</v>
      </c>
      <c r="K108" s="5">
        <f t="shared" si="27"/>
        <v>-121.91866495745012</v>
      </c>
      <c r="L108" s="6"/>
      <c r="M108" s="6"/>
      <c r="Q108" s="13"/>
      <c r="R108" s="11"/>
    </row>
    <row r="109" spans="1:18" x14ac:dyDescent="0.2">
      <c r="A109" s="1">
        <v>43990</v>
      </c>
      <c r="B109">
        <v>103</v>
      </c>
      <c r="C109">
        <v>287399</v>
      </c>
      <c r="D109">
        <f t="shared" si="23"/>
        <v>1205</v>
      </c>
      <c r="E109" s="3">
        <f t="shared" si="24"/>
        <v>2790.2815533980583</v>
      </c>
      <c r="F109" s="2">
        <f t="shared" si="28"/>
        <v>284502.55022678012</v>
      </c>
      <c r="G109" s="2">
        <f t="shared" si="29"/>
        <v>1448.2248866099335</v>
      </c>
      <c r="H109" s="2">
        <f t="shared" si="30"/>
        <v>2817.5880632529743</v>
      </c>
      <c r="I109" s="4">
        <f t="shared" si="25"/>
        <v>0.51399454217516893</v>
      </c>
      <c r="J109" s="6">
        <f t="shared" si="26"/>
        <v>0.523094890637117</v>
      </c>
      <c r="K109" s="5">
        <f t="shared" si="27"/>
        <v>-121.61244330496675</v>
      </c>
      <c r="L109" s="6"/>
      <c r="M109" s="6"/>
      <c r="Q109" s="13"/>
      <c r="R109" s="11"/>
    </row>
    <row r="110" spans="1:18" x14ac:dyDescent="0.2">
      <c r="A110" s="1">
        <v>43991</v>
      </c>
      <c r="B110">
        <v>104</v>
      </c>
      <c r="C110">
        <v>289140</v>
      </c>
      <c r="D110">
        <f t="shared" si="23"/>
        <v>1741</v>
      </c>
      <c r="E110" s="3">
        <f t="shared" si="24"/>
        <v>2780.1923076923076</v>
      </c>
      <c r="F110" s="2">
        <f t="shared" si="28"/>
        <v>286048.36681785341</v>
      </c>
      <c r="G110" s="2">
        <f t="shared" si="29"/>
        <v>1545.8165910732889</v>
      </c>
      <c r="H110" s="2">
        <f t="shared" si="30"/>
        <v>2805.1228113994189</v>
      </c>
      <c r="I110" s="4">
        <f t="shared" si="25"/>
        <v>0.55106913137329361</v>
      </c>
      <c r="J110" s="6">
        <f t="shared" si="26"/>
        <v>0.56083344149132219</v>
      </c>
      <c r="K110" s="5">
        <f t="shared" si="27"/>
        <v>97.591704463355427</v>
      </c>
      <c r="L110" s="6"/>
      <c r="M110" s="6"/>
      <c r="Q110" s="13"/>
      <c r="R110" s="11"/>
    </row>
    <row r="111" spans="1:18" x14ac:dyDescent="0.2">
      <c r="A111" s="1">
        <v>43992</v>
      </c>
      <c r="B111">
        <v>105</v>
      </c>
      <c r="C111">
        <v>290143</v>
      </c>
      <c r="D111">
        <f t="shared" si="23"/>
        <v>1003</v>
      </c>
      <c r="E111" s="3">
        <f t="shared" si="24"/>
        <v>2763.2666666666669</v>
      </c>
      <c r="F111" s="2">
        <f t="shared" si="28"/>
        <v>287413.24454523559</v>
      </c>
      <c r="G111" s="2">
        <f t="shared" si="29"/>
        <v>1364.8777273821927</v>
      </c>
      <c r="H111" s="2">
        <f t="shared" si="30"/>
        <v>2791.1707631551681</v>
      </c>
      <c r="I111" s="4">
        <f t="shared" si="25"/>
        <v>0.48899828896148256</v>
      </c>
      <c r="J111" s="6">
        <f t="shared" si="26"/>
        <v>0.49743424733318709</v>
      </c>
      <c r="K111" s="5">
        <f t="shared" si="27"/>
        <v>-180.93886369109623</v>
      </c>
      <c r="L111" s="6"/>
      <c r="M111" s="6"/>
      <c r="Q111" s="13"/>
      <c r="R111" s="11"/>
    </row>
    <row r="112" spans="1:18" x14ac:dyDescent="0.2">
      <c r="A112" s="1">
        <v>43993</v>
      </c>
      <c r="B112">
        <v>106</v>
      </c>
      <c r="C112">
        <v>291409</v>
      </c>
      <c r="D112">
        <f t="shared" si="23"/>
        <v>1266</v>
      </c>
      <c r="E112" s="3">
        <f t="shared" si="24"/>
        <v>2749.1415094339623</v>
      </c>
      <c r="F112" s="2">
        <f t="shared" si="28"/>
        <v>288745.16303015704</v>
      </c>
      <c r="G112" s="2">
        <f t="shared" si="29"/>
        <v>1331.9184849214619</v>
      </c>
      <c r="H112" s="2">
        <f t="shared" si="30"/>
        <v>2777.1610119147663</v>
      </c>
      <c r="I112" s="4">
        <f t="shared" si="25"/>
        <v>0.47959714226405098</v>
      </c>
      <c r="J112" s="6">
        <f t="shared" si="26"/>
        <v>0.48777349531543818</v>
      </c>
      <c r="K112" s="5">
        <f t="shared" si="27"/>
        <v>-32.95924246073082</v>
      </c>
      <c r="L112" s="6"/>
      <c r="M112" s="6"/>
      <c r="Q112" s="13"/>
      <c r="R112" s="11"/>
    </row>
    <row r="113" spans="1:18" x14ac:dyDescent="0.2">
      <c r="A113" s="1">
        <v>43994</v>
      </c>
      <c r="B113">
        <v>107</v>
      </c>
      <c r="C113">
        <v>292950</v>
      </c>
      <c r="D113">
        <f t="shared" si="23"/>
        <v>1541</v>
      </c>
      <c r="E113" s="3">
        <f t="shared" si="24"/>
        <v>2737.8504672897197</v>
      </c>
      <c r="F113" s="2">
        <f t="shared" si="28"/>
        <v>290146.77535343805</v>
      </c>
      <c r="G113" s="2">
        <f t="shared" si="29"/>
        <v>1401.6123232809746</v>
      </c>
      <c r="H113" s="2">
        <f t="shared" si="30"/>
        <v>2764.0574970397506</v>
      </c>
      <c r="I113" s="4">
        <f t="shared" si="25"/>
        <v>0.50708508226839455</v>
      </c>
      <c r="J113" s="6">
        <f t="shared" si="26"/>
        <v>0.51571529168718255</v>
      </c>
      <c r="K113" s="5">
        <f t="shared" si="27"/>
        <v>69.693838359512711</v>
      </c>
      <c r="L113" s="6"/>
      <c r="M113" s="6"/>
      <c r="Q113" s="13"/>
      <c r="R113" s="11"/>
    </row>
    <row r="114" spans="1:18" x14ac:dyDescent="0.2">
      <c r="A114" s="1">
        <v>43995</v>
      </c>
      <c r="B114">
        <v>108</v>
      </c>
      <c r="C114">
        <v>294375</v>
      </c>
      <c r="D114">
        <f t="shared" si="23"/>
        <v>1425</v>
      </c>
      <c r="E114" s="3">
        <f t="shared" si="24"/>
        <v>2725.6944444444443</v>
      </c>
      <c r="F114" s="2">
        <f t="shared" si="28"/>
        <v>291556.18356895872</v>
      </c>
      <c r="G114" s="2">
        <f t="shared" si="29"/>
        <v>1409.4082155206497</v>
      </c>
      <c r="H114" s="2">
        <f t="shared" si="30"/>
        <v>2751.2698128413153</v>
      </c>
      <c r="I114" s="4">
        <f t="shared" si="25"/>
        <v>0.51227553507924162</v>
      </c>
      <c r="J114" s="6">
        <f t="shared" si="26"/>
        <v>0.52092354300258858</v>
      </c>
      <c r="K114" s="5">
        <f t="shared" si="27"/>
        <v>7.7958922396751404</v>
      </c>
      <c r="L114" s="6"/>
      <c r="M114" s="6"/>
      <c r="Q114" s="13"/>
      <c r="R114" s="11"/>
    </row>
    <row r="115" spans="1:18" x14ac:dyDescent="0.2">
      <c r="A115" s="1">
        <v>43996</v>
      </c>
      <c r="B115">
        <v>109</v>
      </c>
      <c r="C115">
        <v>295889</v>
      </c>
      <c r="D115">
        <f t="shared" si="23"/>
        <v>1514</v>
      </c>
      <c r="E115" s="3">
        <f t="shared" si="24"/>
        <v>2714.5779816513759</v>
      </c>
      <c r="F115" s="2">
        <f t="shared" si="28"/>
        <v>293000.45571263914</v>
      </c>
      <c r="G115" s="2">
        <f t="shared" si="29"/>
        <v>1444.2721436804331</v>
      </c>
      <c r="H115" s="2">
        <f t="shared" si="30"/>
        <v>2739.0392024446687</v>
      </c>
      <c r="I115" s="4">
        <f t="shared" si="25"/>
        <v>0.52729151973852006</v>
      </c>
      <c r="J115" s="6">
        <f t="shared" si="26"/>
        <v>0.53614489019202727</v>
      </c>
      <c r="K115" s="5">
        <f t="shared" si="27"/>
        <v>34.863928159783427</v>
      </c>
      <c r="L115" s="6"/>
      <c r="M115" s="6"/>
      <c r="Q115" s="13"/>
      <c r="R115" s="11"/>
    </row>
    <row r="116" spans="1:18" x14ac:dyDescent="0.2">
      <c r="A116" s="1">
        <v>43997</v>
      </c>
      <c r="B116">
        <v>110</v>
      </c>
      <c r="C116">
        <v>296857</v>
      </c>
      <c r="D116">
        <f t="shared" si="23"/>
        <v>968</v>
      </c>
      <c r="E116" s="3">
        <f t="shared" si="24"/>
        <v>2698.7</v>
      </c>
      <c r="F116" s="2">
        <f t="shared" si="28"/>
        <v>294285.97047509276</v>
      </c>
      <c r="G116" s="2">
        <f t="shared" si="29"/>
        <v>1285.5147624536221</v>
      </c>
      <c r="H116" s="2">
        <f t="shared" si="30"/>
        <v>2725.5928016297789</v>
      </c>
      <c r="I116" s="4">
        <f t="shared" si="25"/>
        <v>0.47164593393589221</v>
      </c>
      <c r="J116" s="6">
        <f t="shared" si="26"/>
        <v>0.47937040671079517</v>
      </c>
      <c r="K116" s="5">
        <f t="shared" si="27"/>
        <v>-158.75738122681105</v>
      </c>
      <c r="L116" s="6"/>
      <c r="M116" s="6"/>
      <c r="Q116" s="13"/>
      <c r="R116" s="11"/>
    </row>
    <row r="117" spans="1:18" x14ac:dyDescent="0.2">
      <c r="A117" s="1">
        <v>43998</v>
      </c>
      <c r="B117">
        <v>111</v>
      </c>
      <c r="C117">
        <v>298136</v>
      </c>
      <c r="D117">
        <f t="shared" si="23"/>
        <v>1279</v>
      </c>
      <c r="E117" s="3">
        <f t="shared" si="24"/>
        <v>2685.9099099099099</v>
      </c>
      <c r="F117" s="2">
        <f t="shared" si="28"/>
        <v>295569.31365006184</v>
      </c>
      <c r="G117" s="2">
        <f t="shared" si="29"/>
        <v>1283.3431749690815</v>
      </c>
      <c r="H117" s="2">
        <f t="shared" si="30"/>
        <v>2712.3651710564891</v>
      </c>
      <c r="I117" s="4">
        <f t="shared" si="25"/>
        <v>0.47314542623669237</v>
      </c>
      <c r="J117" s="6">
        <f t="shared" si="26"/>
        <v>0.48082783913484217</v>
      </c>
      <c r="K117" s="5">
        <f t="shared" si="27"/>
        <v>-2.1715874845406233</v>
      </c>
      <c r="L117" s="6"/>
      <c r="M117" s="6"/>
      <c r="Q117" s="13"/>
      <c r="R117" s="11"/>
    </row>
    <row r="118" spans="1:18" x14ac:dyDescent="0.2">
      <c r="A118" s="1">
        <v>43999</v>
      </c>
      <c r="B118">
        <v>112</v>
      </c>
      <c r="C118">
        <v>299251</v>
      </c>
      <c r="D118">
        <f t="shared" si="23"/>
        <v>1115</v>
      </c>
      <c r="E118" s="3">
        <f t="shared" si="24"/>
        <v>2671.8839285714284</v>
      </c>
      <c r="F118" s="2">
        <f t="shared" si="28"/>
        <v>296796.54243337456</v>
      </c>
      <c r="G118" s="2">
        <f t="shared" si="29"/>
        <v>1227.2287833127209</v>
      </c>
      <c r="H118" s="2">
        <f t="shared" si="30"/>
        <v>2698.8714235614689</v>
      </c>
      <c r="I118" s="4">
        <f t="shared" si="25"/>
        <v>0.45471924768214872</v>
      </c>
      <c r="J118" s="6">
        <f t="shared" si="26"/>
        <v>0.46199830032099104</v>
      </c>
      <c r="K118" s="5">
        <f t="shared" si="27"/>
        <v>-56.114391656360567</v>
      </c>
      <c r="L118" s="6"/>
      <c r="M118" s="6"/>
      <c r="Q118" s="13"/>
      <c r="R118" s="11"/>
    </row>
    <row r="119" spans="1:18" x14ac:dyDescent="0.2">
      <c r="A119" s="1">
        <v>44000</v>
      </c>
      <c r="B119">
        <v>113</v>
      </c>
      <c r="C119">
        <v>300469</v>
      </c>
      <c r="D119">
        <f t="shared" si="23"/>
        <v>1218</v>
      </c>
      <c r="E119" s="3">
        <f t="shared" si="24"/>
        <v>2659.0176991150443</v>
      </c>
      <c r="F119" s="2">
        <f t="shared" si="28"/>
        <v>298020.69495558302</v>
      </c>
      <c r="G119" s="2">
        <f t="shared" si="29"/>
        <v>1224.1525222084806</v>
      </c>
      <c r="H119" s="2">
        <f t="shared" si="30"/>
        <v>2685.5868487459938</v>
      </c>
      <c r="I119" s="4">
        <f t="shared" si="25"/>
        <v>0.45582309981153118</v>
      </c>
      <c r="J119" s="6">
        <f t="shared" si="26"/>
        <v>0.46305705380356016</v>
      </c>
      <c r="K119" s="5">
        <f t="shared" si="27"/>
        <v>-3.0762611042403023</v>
      </c>
      <c r="L119" s="6"/>
      <c r="M119" s="6"/>
      <c r="Q119" s="13"/>
      <c r="R119" s="11"/>
    </row>
    <row r="120" spans="1:18" x14ac:dyDescent="0.2">
      <c r="A120" s="1">
        <v>44001</v>
      </c>
      <c r="B120">
        <v>114</v>
      </c>
      <c r="C120">
        <v>301815</v>
      </c>
      <c r="D120">
        <f t="shared" si="23"/>
        <v>1346</v>
      </c>
      <c r="E120" s="3">
        <f t="shared" si="24"/>
        <v>2647.5</v>
      </c>
      <c r="F120" s="2">
        <f t="shared" si="28"/>
        <v>299285.46330372203</v>
      </c>
      <c r="G120" s="2">
        <f t="shared" si="29"/>
        <v>1264.768348138987</v>
      </c>
      <c r="H120" s="2">
        <f t="shared" si="30"/>
        <v>2672.8912324973294</v>
      </c>
      <c r="I120" s="4">
        <f t="shared" si="25"/>
        <v>0.47318361958084304</v>
      </c>
      <c r="J120" s="6">
        <f t="shared" si="26"/>
        <v>0.48066207096247227</v>
      </c>
      <c r="K120" s="5">
        <f t="shared" si="27"/>
        <v>40.615825930506389</v>
      </c>
      <c r="L120" s="6"/>
      <c r="M120" s="6"/>
      <c r="O120" s="11"/>
      <c r="P120" s="11"/>
      <c r="Q120" s="11"/>
      <c r="R120" s="11"/>
    </row>
    <row r="121" spans="1:18" x14ac:dyDescent="0.2">
      <c r="A121" s="1">
        <v>44002</v>
      </c>
      <c r="B121">
        <v>115</v>
      </c>
      <c r="C121">
        <v>303110</v>
      </c>
      <c r="D121">
        <f t="shared" si="23"/>
        <v>1295</v>
      </c>
      <c r="E121" s="3">
        <f t="shared" si="24"/>
        <v>2635.7391304347825</v>
      </c>
      <c r="F121" s="2">
        <f t="shared" si="28"/>
        <v>300560.30886914802</v>
      </c>
      <c r="G121" s="2">
        <f t="shared" si="29"/>
        <v>1274.8455654259913</v>
      </c>
      <c r="H121" s="2">
        <f t="shared" si="30"/>
        <v>2660.5071984764804</v>
      </c>
      <c r="I121" s="4">
        <f t="shared" si="25"/>
        <v>0.47917388314379378</v>
      </c>
      <c r="J121" s="6">
        <f t="shared" si="26"/>
        <v>0.4866911596709847</v>
      </c>
      <c r="K121" s="5">
        <f t="shared" si="27"/>
        <v>10.07721728700426</v>
      </c>
      <c r="L121" s="6"/>
      <c r="M121" s="6"/>
      <c r="O121" s="11"/>
      <c r="P121" s="11"/>
      <c r="Q121" s="11"/>
      <c r="R121" s="11"/>
    </row>
    <row r="122" spans="1:18" x14ac:dyDescent="0.2">
      <c r="A122" s="1">
        <v>44003</v>
      </c>
      <c r="B122">
        <v>116</v>
      </c>
      <c r="C122">
        <v>304331</v>
      </c>
      <c r="D122">
        <f t="shared" si="23"/>
        <v>1221</v>
      </c>
      <c r="E122" s="3">
        <f t="shared" si="24"/>
        <v>2623.5431034482758</v>
      </c>
      <c r="F122" s="2">
        <f t="shared" si="28"/>
        <v>301817.20591276535</v>
      </c>
      <c r="G122" s="2">
        <f t="shared" si="29"/>
        <v>1256.8970436173274</v>
      </c>
      <c r="H122" s="2">
        <f t="shared" si="30"/>
        <v>2648.1858334670787</v>
      </c>
      <c r="I122" s="4">
        <f t="shared" si="25"/>
        <v>0.47462569572459451</v>
      </c>
      <c r="J122" s="6">
        <f t="shared" si="26"/>
        <v>0.48199544297518976</v>
      </c>
      <c r="K122" s="5">
        <f t="shared" si="27"/>
        <v>-17.948521808663827</v>
      </c>
      <c r="L122" s="6"/>
      <c r="M122" s="6"/>
    </row>
    <row r="123" spans="1:18" x14ac:dyDescent="0.2">
      <c r="A123" s="1">
        <v>44004</v>
      </c>
      <c r="B123">
        <v>117</v>
      </c>
      <c r="C123">
        <v>305289</v>
      </c>
      <c r="D123">
        <f t="shared" si="23"/>
        <v>958</v>
      </c>
      <c r="E123" s="3">
        <f t="shared" si="24"/>
        <v>2609.3076923076924</v>
      </c>
      <c r="F123" s="2">
        <f t="shared" si="28"/>
        <v>302974.47060851025</v>
      </c>
      <c r="G123" s="2">
        <f t="shared" si="29"/>
        <v>1157.2646957448849</v>
      </c>
      <c r="H123" s="2">
        <f t="shared" si="30"/>
        <v>2635.2264530806165</v>
      </c>
      <c r="I123" s="4">
        <f t="shared" ref="I123:I124" si="31">+G123/H123</f>
        <v>0.43915189694306017</v>
      </c>
      <c r="J123" s="6">
        <f t="shared" ref="J123:J124" si="32">((F123-F122)*(B123+B122))/((F123+F122)*(B123-B122))</f>
        <v>0.44584389067576202</v>
      </c>
      <c r="K123" s="5">
        <f t="shared" ref="K123:K124" si="33">+G123-G122</f>
        <v>-99.632347872442551</v>
      </c>
      <c r="L123" s="6"/>
      <c r="M123" s="6"/>
    </row>
    <row r="124" spans="1:18" x14ac:dyDescent="0.2">
      <c r="A124" s="1">
        <v>44005</v>
      </c>
      <c r="B124">
        <v>118</v>
      </c>
      <c r="C124">
        <v>306210</v>
      </c>
      <c r="D124">
        <f t="shared" si="23"/>
        <v>921</v>
      </c>
      <c r="E124" s="3">
        <f t="shared" si="24"/>
        <v>2595</v>
      </c>
      <c r="F124" s="2">
        <f t="shared" si="28"/>
        <v>304052.9804056735</v>
      </c>
      <c r="G124" s="2">
        <f t="shared" si="29"/>
        <v>1078.5097971632565</v>
      </c>
      <c r="H124" s="2">
        <f t="shared" si="30"/>
        <v>2621.8176353870776</v>
      </c>
      <c r="I124" s="4">
        <f t="shared" si="31"/>
        <v>0.41135957841096316</v>
      </c>
      <c r="J124" s="6">
        <f t="shared" si="32"/>
        <v>0.41752609690042097</v>
      </c>
      <c r="K124" s="5">
        <f t="shared" si="33"/>
        <v>-78.754898581628368</v>
      </c>
      <c r="L124" s="6"/>
      <c r="M124" s="6"/>
    </row>
    <row r="125" spans="1:18" x14ac:dyDescent="0.2">
      <c r="A125" s="1">
        <v>44006</v>
      </c>
      <c r="B125">
        <v>119</v>
      </c>
      <c r="C125">
        <v>306862</v>
      </c>
      <c r="D125">
        <f t="shared" si="23"/>
        <v>652</v>
      </c>
      <c r="E125" s="3">
        <f t="shared" si="24"/>
        <v>2578.6722689075632</v>
      </c>
      <c r="F125" s="2">
        <f t="shared" ref="F125:F129" si="34">((C125-F124)*$C$136)+F124</f>
        <v>304989.32027044898</v>
      </c>
      <c r="G125" s="2">
        <f t="shared" ref="G125:G129" si="35">((D125-G124)*$C$136)+G124</f>
        <v>936.33986477550434</v>
      </c>
      <c r="H125" s="2">
        <f t="shared" ref="H125:H129" si="36">((E125-H124)*$C$136)+H124</f>
        <v>2607.4358465605728</v>
      </c>
      <c r="I125" s="4">
        <f t="shared" ref="I125:I129" si="37">+G125/H125</f>
        <v>0.35910370182668744</v>
      </c>
      <c r="J125" s="6">
        <f t="shared" ref="J125:J129" si="38">((F125-F124)*(B125+B124))/((F125+F124)*(B125-B124))</f>
        <v>0.36436311189786769</v>
      </c>
      <c r="K125" s="5">
        <f t="shared" ref="K125:K129" si="39">+G125-G124</f>
        <v>-142.16993238775217</v>
      </c>
      <c r="L125" s="6"/>
      <c r="M125" s="6"/>
    </row>
    <row r="126" spans="1:18" x14ac:dyDescent="0.2">
      <c r="A126" s="1">
        <v>44007</v>
      </c>
      <c r="B126">
        <v>120</v>
      </c>
      <c r="C126">
        <v>307980</v>
      </c>
      <c r="D126">
        <f t="shared" si="23"/>
        <v>1118</v>
      </c>
      <c r="E126" s="3">
        <f t="shared" si="24"/>
        <v>2566.5</v>
      </c>
      <c r="F126" s="2">
        <f t="shared" si="34"/>
        <v>305986.21351363265</v>
      </c>
      <c r="G126" s="2">
        <f t="shared" si="35"/>
        <v>996.8932431836696</v>
      </c>
      <c r="H126" s="2">
        <f t="shared" si="36"/>
        <v>2593.7905643737154</v>
      </c>
      <c r="I126" s="4">
        <f t="shared" si="37"/>
        <v>0.38433837214007094</v>
      </c>
      <c r="J126" s="6">
        <f t="shared" si="38"/>
        <v>0.38996239938651595</v>
      </c>
      <c r="K126" s="5">
        <f t="shared" si="39"/>
        <v>60.553378408165258</v>
      </c>
      <c r="L126" s="6"/>
      <c r="M126" s="6"/>
    </row>
    <row r="127" spans="1:18" x14ac:dyDescent="0.2">
      <c r="A127" s="1">
        <v>44008</v>
      </c>
      <c r="B127">
        <v>121</v>
      </c>
      <c r="C127">
        <v>309360</v>
      </c>
      <c r="D127">
        <f t="shared" si="23"/>
        <v>1380</v>
      </c>
      <c r="E127" s="3">
        <f t="shared" si="24"/>
        <v>2556.6942148760331</v>
      </c>
      <c r="F127" s="2">
        <f t="shared" si="34"/>
        <v>307110.80900908844</v>
      </c>
      <c r="G127" s="2">
        <f t="shared" si="35"/>
        <v>1124.5954954557797</v>
      </c>
      <c r="H127" s="2">
        <f t="shared" si="36"/>
        <v>2581.4251145411545</v>
      </c>
      <c r="I127" s="4">
        <f t="shared" si="37"/>
        <v>0.4356490874443496</v>
      </c>
      <c r="J127" s="6">
        <f t="shared" si="38"/>
        <v>0.44206300870560711</v>
      </c>
      <c r="K127" s="5">
        <f t="shared" si="39"/>
        <v>127.70225227211006</v>
      </c>
      <c r="L127" s="6"/>
      <c r="M127" s="6"/>
    </row>
    <row r="128" spans="1:18" x14ac:dyDescent="0.2">
      <c r="A128" s="1">
        <v>44009</v>
      </c>
      <c r="B128">
        <v>122</v>
      </c>
      <c r="C128">
        <v>310250</v>
      </c>
      <c r="D128">
        <f t="shared" si="23"/>
        <v>890</v>
      </c>
      <c r="E128" s="3">
        <f t="shared" si="24"/>
        <v>2543.032786885246</v>
      </c>
      <c r="F128" s="2">
        <f t="shared" si="34"/>
        <v>308157.20600605896</v>
      </c>
      <c r="G128" s="2">
        <f t="shared" si="35"/>
        <v>1046.3969969705197</v>
      </c>
      <c r="H128" s="2">
        <f t="shared" si="36"/>
        <v>2568.6276719891848</v>
      </c>
      <c r="I128" s="4">
        <f t="shared" si="37"/>
        <v>0.40737589506702376</v>
      </c>
      <c r="J128" s="6">
        <f t="shared" si="38"/>
        <v>0.41327431957856064</v>
      </c>
      <c r="K128" s="5">
        <f t="shared" si="39"/>
        <v>-78.198498485259961</v>
      </c>
      <c r="L128" s="6"/>
      <c r="M128" s="6"/>
    </row>
    <row r="129" spans="1:14" x14ac:dyDescent="0.2">
      <c r="A129" s="1">
        <v>44010</v>
      </c>
      <c r="B129">
        <v>123</v>
      </c>
      <c r="C129">
        <v>311151</v>
      </c>
      <c r="D129">
        <f t="shared" si="23"/>
        <v>901</v>
      </c>
      <c r="E129" s="3">
        <f t="shared" si="24"/>
        <v>2529.6829268292681</v>
      </c>
      <c r="F129" s="2">
        <f t="shared" si="34"/>
        <v>309155.13733737264</v>
      </c>
      <c r="G129" s="2">
        <f t="shared" si="35"/>
        <v>997.93133131367983</v>
      </c>
      <c r="H129" s="2">
        <f t="shared" si="36"/>
        <v>2555.6460902692124</v>
      </c>
      <c r="I129" s="4">
        <f t="shared" si="37"/>
        <v>0.39048103534889583</v>
      </c>
      <c r="J129" s="6">
        <f t="shared" si="38"/>
        <v>0.39606072810345871</v>
      </c>
      <c r="K129" s="5">
        <f t="shared" si="39"/>
        <v>-48.46566565683986</v>
      </c>
      <c r="L129" s="6"/>
      <c r="M129" s="6"/>
    </row>
    <row r="130" spans="1:14" x14ac:dyDescent="0.2">
      <c r="A130" s="1">
        <v>44011</v>
      </c>
      <c r="B130">
        <v>124</v>
      </c>
      <c r="C130">
        <v>311965</v>
      </c>
      <c r="D130">
        <f t="shared" si="23"/>
        <v>814</v>
      </c>
      <c r="E130" s="3">
        <f t="shared" si="24"/>
        <v>2515.8467741935483</v>
      </c>
      <c r="F130" s="2">
        <f t="shared" ref="F130:F131" si="40">((C130-F129)*$C$136)+F129</f>
        <v>310091.75822491507</v>
      </c>
      <c r="G130" s="2">
        <f t="shared" ref="G130:G131" si="41">((D130-G129)*$C$136)+G129</f>
        <v>936.62088754245326</v>
      </c>
      <c r="H130" s="2">
        <f t="shared" ref="H130:H131" si="42">((E130-H129)*$C$136)+H129</f>
        <v>2542.3796515773242</v>
      </c>
      <c r="I130" s="4">
        <f t="shared" ref="I130:I131" si="43">+G130/H130</f>
        <v>0.36840323472592379</v>
      </c>
      <c r="J130" s="6">
        <f t="shared" ref="J130:J131" si="44">((F130-F129)*(B130+B129))/((F130+F129)*(B130-B129))</f>
        <v>0.37359147196517706</v>
      </c>
      <c r="K130" s="5">
        <f t="shared" ref="K130:K131" si="45">+G130-G129</f>
        <v>-61.310443771226574</v>
      </c>
      <c r="L130" s="6"/>
      <c r="M130" s="6"/>
    </row>
    <row r="131" spans="1:14" x14ac:dyDescent="0.2">
      <c r="A131" s="1">
        <v>44012</v>
      </c>
      <c r="B131">
        <v>125</v>
      </c>
      <c r="C131">
        <v>312654</v>
      </c>
      <c r="D131">
        <f t="shared" si="23"/>
        <v>689</v>
      </c>
      <c r="E131" s="3">
        <f t="shared" si="24"/>
        <v>2501.232</v>
      </c>
      <c r="F131" s="2">
        <f t="shared" si="40"/>
        <v>310945.83881661005</v>
      </c>
      <c r="G131" s="2">
        <f t="shared" si="41"/>
        <v>854.0805916949688</v>
      </c>
      <c r="H131" s="2">
        <f t="shared" si="42"/>
        <v>2528.6637677182161</v>
      </c>
      <c r="I131" s="4">
        <f t="shared" si="43"/>
        <v>0.33775965100558358</v>
      </c>
      <c r="J131" s="6">
        <f t="shared" si="44"/>
        <v>0.34243670326102532</v>
      </c>
      <c r="K131" s="5">
        <f t="shared" si="45"/>
        <v>-82.540295847484458</v>
      </c>
      <c r="L131" s="6"/>
      <c r="M131" s="6"/>
    </row>
    <row r="136" spans="1:14" x14ac:dyDescent="0.2">
      <c r="A136" s="17" t="s">
        <v>27</v>
      </c>
      <c r="B136" s="17"/>
      <c r="C136" s="18">
        <f>2/6</f>
        <v>0.33333333333333331</v>
      </c>
      <c r="D136" s="17"/>
      <c r="E136" s="17"/>
      <c r="F136" s="17"/>
      <c r="G136" s="17"/>
      <c r="H136" s="17"/>
      <c r="I136" s="17"/>
      <c r="J136" s="17"/>
      <c r="K136" s="17"/>
      <c r="L136" s="27"/>
      <c r="M136" s="27"/>
      <c r="N136" s="27"/>
    </row>
    <row r="137" spans="1:14" x14ac:dyDescent="0.2">
      <c r="A137" s="17" t="s">
        <v>25</v>
      </c>
      <c r="B137" s="17"/>
      <c r="C137" s="17"/>
      <c r="D137" s="24">
        <f>AVERAGE(D7:D131)</f>
        <v>2501.232</v>
      </c>
      <c r="E137" s="24">
        <f>AVERAGE(E7:E131)</f>
        <v>1881.9188945736819</v>
      </c>
      <c r="F137" s="24"/>
      <c r="G137" s="24">
        <f>AVERAGE(G11:G131)</f>
        <v>2569.6680893934713</v>
      </c>
      <c r="H137" s="24">
        <f t="shared" ref="H137:I137" si="46">AVERAGE(H11:H131)</f>
        <v>1902.1798976827033</v>
      </c>
      <c r="I137" s="23">
        <f t="shared" si="46"/>
        <v>1.9916901204590922</v>
      </c>
      <c r="J137" s="23">
        <f>AVERAGE(J12:J131)</f>
        <v>2.2020470699969437</v>
      </c>
      <c r="K137" s="23"/>
      <c r="L137" s="28"/>
      <c r="M137" s="28"/>
      <c r="N137" s="29"/>
    </row>
    <row r="138" spans="1:14" x14ac:dyDescent="0.2">
      <c r="A138" s="17" t="s">
        <v>26</v>
      </c>
      <c r="B138" s="17"/>
      <c r="C138" s="17"/>
      <c r="D138" s="24">
        <f>STDEV(D7:D131)</f>
        <v>1935.8049302551121</v>
      </c>
      <c r="E138" s="24">
        <f>STDEV(E7:E131)</f>
        <v>1151.2604045701817</v>
      </c>
      <c r="F138" s="24"/>
      <c r="G138" s="24">
        <f>STDEV(G11:G131)</f>
        <v>1810.2671222373524</v>
      </c>
      <c r="H138" s="24">
        <f t="shared" ref="H138:I138" si="47">STDEV(H11:H131)</f>
        <v>1137.7251718273687</v>
      </c>
      <c r="I138" s="23">
        <f t="shared" si="47"/>
        <v>1.4200491375274336</v>
      </c>
      <c r="J138" s="23">
        <f>STDEV(J12:J131)</f>
        <v>1.6210985601804007</v>
      </c>
      <c r="K138" s="23"/>
      <c r="L138" s="28"/>
      <c r="M138" s="28"/>
      <c r="N138" s="29"/>
    </row>
    <row r="139" spans="1:14" x14ac:dyDescent="0.2">
      <c r="A139" s="17" t="s">
        <v>28</v>
      </c>
      <c r="B139" s="17"/>
      <c r="C139" s="17"/>
      <c r="D139" s="22">
        <f>+D138/D137</f>
        <v>0.77394057418708551</v>
      </c>
      <c r="E139" s="22">
        <f>+E138/E137</f>
        <v>0.61174815125652959</v>
      </c>
      <c r="F139" s="17"/>
      <c r="G139" s="22">
        <f>+G138/G137</f>
        <v>0.70447507587045488</v>
      </c>
      <c r="H139" s="22">
        <f>+H138/H137</f>
        <v>0.59811649424609215</v>
      </c>
      <c r="I139" s="22">
        <f>+I138/I137</f>
        <v>0.71298698675078365</v>
      </c>
      <c r="J139" s="22">
        <f>+J138/J137</f>
        <v>0.73617797833115828</v>
      </c>
      <c r="K139" s="17"/>
      <c r="L139" s="30"/>
      <c r="M139" s="30"/>
      <c r="N139" s="27"/>
    </row>
    <row r="140" spans="1:14" x14ac:dyDescent="0.2">
      <c r="A140" s="25"/>
      <c r="B140" s="25"/>
      <c r="C140" s="25"/>
      <c r="D140" s="25"/>
      <c r="E140" s="25"/>
      <c r="F140" s="25"/>
      <c r="G140" s="25"/>
      <c r="H140" s="26"/>
      <c r="I140" s="25"/>
      <c r="J140" s="25"/>
      <c r="K140" s="25"/>
      <c r="L140" s="31"/>
      <c r="M140" s="31"/>
      <c r="N140" s="31"/>
    </row>
  </sheetData>
  <phoneticPr fontId="5" type="noConversion"/>
  <pageMargins left="0.75" right="0.75" top="1" bottom="1" header="0.5" footer="0.5"/>
  <pageSetup paperSize="9" scale="48" orientation="portrait" horizontalDpi="4294967292" verticalDpi="4294967292"/>
  <colBreaks count="1" manualBreakCount="1">
    <brk id="7" max="1048575" man="1"/>
  </colBreaks>
  <ignoredErrors>
    <ignoredError sqref="F11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ridzki wibowo</dc:creator>
  <cp:lastModifiedBy>Microsoft Office User</cp:lastModifiedBy>
  <cp:lastPrinted>2020-06-04T06:38:51Z</cp:lastPrinted>
  <dcterms:created xsi:type="dcterms:W3CDTF">2020-06-02T10:21:33Z</dcterms:created>
  <dcterms:modified xsi:type="dcterms:W3CDTF">2020-07-15T08:25:08Z</dcterms:modified>
</cp:coreProperties>
</file>