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aabouelnaga\OneDrive - Skydio Inc\Documents\EE 230\HW2\"/>
    </mc:Choice>
  </mc:AlternateContent>
  <xr:revisionPtr revIDLastSave="0" documentId="8_{A4E1E413-0E4F-4AB5-9CFD-C8177F976216}" xr6:coauthVersionLast="47" xr6:coauthVersionMax="47" xr10:uidLastSave="{00000000-0000-0000-0000-000000000000}"/>
  <bookViews>
    <workbookView xWindow="-108" yWindow="-108" windowWidth="23256" windowHeight="13896" activeTab="1" xr2:uid="{A8FBFAFD-6808-47B3-8578-6DF956FC5D3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D15" i="1"/>
  <c r="D25" i="1"/>
  <c r="D30" i="1"/>
  <c r="D13" i="1"/>
  <c r="D7" i="2" l="1"/>
  <c r="D6" i="2"/>
  <c r="D5" i="2"/>
  <c r="D4" i="2"/>
  <c r="C35" i="1"/>
  <c r="C14" i="1"/>
  <c r="C5" i="1"/>
  <c r="C16" i="1" l="1"/>
  <c r="C36" i="1"/>
  <c r="C26" i="1"/>
  <c r="D26" i="1" s="1"/>
  <c r="C32" i="1"/>
  <c r="C17" i="1" l="1"/>
  <c r="C18" i="1" s="1"/>
  <c r="D18" i="1" s="1"/>
  <c r="D16" i="1"/>
  <c r="C37" i="1"/>
  <c r="C33" i="1"/>
  <c r="C38" i="1"/>
  <c r="C20" i="1" l="1"/>
  <c r="C21" i="1" s="1"/>
  <c r="C19" i="1"/>
  <c r="C22" i="1" s="1"/>
  <c r="C34" i="1"/>
  <c r="D33" i="1"/>
  <c r="C39" i="1"/>
  <c r="C40" i="1" s="1"/>
  <c r="C41" i="1" s="1"/>
  <c r="D41" i="1" s="1"/>
  <c r="C27" i="1"/>
  <c r="D27" i="1" s="1"/>
  <c r="D19" i="1" l="1"/>
</calcChain>
</file>

<file path=xl/sharedStrings.xml><?xml version="1.0" encoding="utf-8"?>
<sst xmlns="http://schemas.openxmlformats.org/spreadsheetml/2006/main" count="119" uniqueCount="109">
  <si>
    <t>LNA design procedure</t>
  </si>
  <si>
    <t>gm</t>
  </si>
  <si>
    <t>L</t>
  </si>
  <si>
    <t>W</t>
  </si>
  <si>
    <t>Vdsat</t>
  </si>
  <si>
    <t>Cox</t>
  </si>
  <si>
    <t>g</t>
  </si>
  <si>
    <t>fo</t>
  </si>
  <si>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o</t>
    </r>
  </si>
  <si>
    <t>Rs</t>
  </si>
  <si>
    <t>2 pi fo</t>
  </si>
  <si>
    <t>F</t>
  </si>
  <si>
    <t>NF</t>
  </si>
  <si>
    <t>KP</t>
  </si>
  <si>
    <t>Id</t>
  </si>
  <si>
    <t>W/L</t>
  </si>
  <si>
    <t>Rs = gm Ls / Cgs</t>
  </si>
  <si>
    <r>
      <rPr>
        <sz val="11"/>
        <color theme="1"/>
        <rFont val="Calibri"/>
        <family val="2"/>
        <scheme val="minor"/>
      </rPr>
      <t xml:space="preserve">KP =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Cox</t>
    </r>
  </si>
  <si>
    <t>Vdsat = Vgs-Vth</t>
  </si>
  <si>
    <t>(W/L)*L in um unit</t>
  </si>
  <si>
    <t>NF=10 log F in dB</t>
  </si>
  <si>
    <t>1.5 GHz</t>
  </si>
  <si>
    <t>Qin</t>
  </si>
  <si>
    <t>Qin = wo(Ls+Lg)/Rs</t>
  </si>
  <si>
    <t>Av</t>
  </si>
  <si>
    <t>Av = 20 dB</t>
  </si>
  <si>
    <t>L2</t>
  </si>
  <si>
    <t>Let inductor Q2 = 10</t>
  </si>
  <si>
    <t>Q2</t>
  </si>
  <si>
    <t>L3</t>
  </si>
  <si>
    <t>Q3</t>
  </si>
  <si>
    <t>b2_4ac</t>
  </si>
  <si>
    <t>RL</t>
  </si>
  <si>
    <t>Load impedance</t>
  </si>
  <si>
    <t>gm1</t>
  </si>
  <si>
    <t>gm2</t>
  </si>
  <si>
    <t>(woL)^4 - 4 Req^2*(woL)^2</t>
  </si>
  <si>
    <t>Lf</t>
  </si>
  <si>
    <t>Let the output inductor = 20 nH</t>
  </si>
  <si>
    <t>Output port components</t>
  </si>
  <si>
    <t>Load components</t>
  </si>
  <si>
    <t>Input port components</t>
  </si>
  <si>
    <t>woL2</t>
  </si>
  <si>
    <t>wo*L2</t>
  </si>
  <si>
    <t>Rp2</t>
  </si>
  <si>
    <t>From series to parallel of L2</t>
  </si>
  <si>
    <t>Q3 = (1/gm1)/(woL3)</t>
  </si>
  <si>
    <t>Lf = L *Q3^2 / (1+Q3^2)</t>
  </si>
  <si>
    <t>LD</t>
  </si>
  <si>
    <t>CD</t>
  </si>
  <si>
    <t>From wo = 1/sqrt(LD CD)</t>
  </si>
  <si>
    <t>Transistor noise coefficient</t>
  </si>
  <si>
    <t>Current 2 mA</t>
  </si>
  <si>
    <t>From gm = 2Id / Vdsat</t>
  </si>
  <si>
    <t>From gm = KP W/L Vdsat</t>
  </si>
  <si>
    <t>C3</t>
  </si>
  <si>
    <t>C3 = 1/(Lf wo^2)</t>
  </si>
  <si>
    <t>LNA Design requirement and Transistor data</t>
  </si>
  <si>
    <t>R2</t>
  </si>
  <si>
    <t>From Q2 = woL2/R2</t>
  </si>
  <si>
    <t>Rp2 = R2 (1 + Q2^2)</t>
  </si>
  <si>
    <t>0.25 um for M1 &amp; M2</t>
  </si>
  <si>
    <t>bias</t>
  </si>
  <si>
    <t>vout</t>
  </si>
  <si>
    <t>Cgg</t>
  </si>
  <si>
    <t>Cgg = WL Cox</t>
  </si>
  <si>
    <t>Ls = 50 Cgg / gm</t>
  </si>
  <si>
    <t>Lg = 1/(wo^2 Cgg) - Ls</t>
  </si>
  <si>
    <r>
      <t xml:space="preserve">F = 1 + 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Ls Cgg wo^2</t>
    </r>
  </si>
  <si>
    <t>LS</t>
  </si>
  <si>
    <t>LG</t>
  </si>
  <si>
    <t>RD</t>
  </si>
  <si>
    <t>QL</t>
  </si>
  <si>
    <t>From QL= (woLD)/RD</t>
  </si>
  <si>
    <t>Let Load Inductor LD = 6nH</t>
  </si>
  <si>
    <t>Let Load Inductor QL = 5</t>
  </si>
  <si>
    <t>1. If the S21 max gain point is lower than the target 1.5GHz, reduce CD value</t>
  </si>
  <si>
    <t>2. If the input match (S11) is not good due to low Rs, increase LS because Rs=gm LS / Cgg</t>
  </si>
  <si>
    <t>Cox for nmos2v = 7 fF/um2</t>
  </si>
  <si>
    <t>pF</t>
  </si>
  <si>
    <t>nH</t>
  </si>
  <si>
    <t>pf</t>
  </si>
  <si>
    <t>um</t>
  </si>
  <si>
    <t>ohms</t>
  </si>
  <si>
    <t>ms</t>
  </si>
  <si>
    <t>Name</t>
  </si>
  <si>
    <t>Value</t>
  </si>
  <si>
    <t>W3</t>
  </si>
  <si>
    <t>2.2u</t>
  </si>
  <si>
    <t>W2</t>
  </si>
  <si>
    <t>1.7u</t>
  </si>
  <si>
    <t>W1</t>
  </si>
  <si>
    <t>Vdc</t>
  </si>
  <si>
    <t>300m</t>
  </si>
  <si>
    <t>Lg</t>
  </si>
  <si>
    <t>30n</t>
  </si>
  <si>
    <t>Ls</t>
  </si>
  <si>
    <t>950p</t>
  </si>
  <si>
    <t>Ld</t>
  </si>
  <si>
    <t>4.9n</t>
  </si>
  <si>
    <t>Cd</t>
  </si>
  <si>
    <t>1.27p</t>
  </si>
  <si>
    <t>Rd</t>
  </si>
  <si>
    <t>20n</t>
  </si>
  <si>
    <t>V1</t>
  </si>
  <si>
    <t>V2</t>
  </si>
  <si>
    <t>800m</t>
  </si>
  <si>
    <t>4.39p</t>
  </si>
  <si>
    <t>PRF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</si>
</sst>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charset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11" fontId="0" fillId="0" borderId="0" xfId="0" applyNumberFormat="1"/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12130</xdr:colOff>
      <xdr:row>14</xdr:row>
      <xdr:rowOff>152837</xdr:rowOff>
    </xdr:from>
    <xdr:to>
      <xdr:col>13</xdr:col>
      <xdr:colOff>219331</xdr:colOff>
      <xdr:row>29</xdr:row>
      <xdr:rowOff>34092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B6F2B-E5C0-4F95-8092-54BFB2F6E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2130" y="2727871"/>
          <a:ext cx="4468270" cy="2640221"/>
        </a:xfrm>
        <a:prstGeom prst="rect">
          <a:avLst/>
        </a:prstGeom>
      </xdr:spPr>
    </xdr:pic>
    <xdr:clientData/>
  </xdr:twoCellAnchor>
  <xdr:twoCellAnchor editAs="oneCell">
    <xdr:from>
      <xdr:col>6</xdr:col>
      <xdr:colOff>389491</xdr:colOff>
      <xdr:row>1</xdr:row>
      <xdr:rowOff>129738</xdr:rowOff>
    </xdr:from>
    <xdr:to>
      <xdr:col>12</xdr:col>
      <xdr:colOff>226081</xdr:colOff>
      <xdr:row>12</xdr:row>
      <xdr:rowOff>119799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CC2809-3AA7-47CA-986D-C175214A7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9491" y="313669"/>
          <a:ext cx="3488935" cy="2013302"/>
        </a:xfrm>
        <a:prstGeom prst="rect">
          <a:avLst/>
        </a:prstGeom>
      </xdr:spPr>
    </xdr:pic>
    <xdr:clientData/>
  </xdr:twoCellAnchor>
  <xdr:twoCellAnchor editAs="oneCell">
    <xdr:from>
      <xdr:col>12</xdr:col>
      <xdr:colOff>272022</xdr:colOff>
      <xdr:row>0</xdr:row>
      <xdr:rowOff>0</xdr:rowOff>
    </xdr:from>
    <xdr:to>
      <xdr:col>20</xdr:col>
      <xdr:colOff>161369</xdr:colOff>
      <xdr:row>13</xdr:row>
      <xdr:rowOff>12699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A78709-A4E4-49C1-912D-02926650F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4367" y="0"/>
          <a:ext cx="4759140" cy="2403802"/>
        </a:xfrm>
        <a:prstGeom prst="rect">
          <a:avLst/>
        </a:prstGeom>
      </xdr:spPr>
    </xdr:pic>
    <xdr:clientData/>
  </xdr:twoCellAnchor>
  <xdr:twoCellAnchor editAs="oneCell">
    <xdr:from>
      <xdr:col>14</xdr:col>
      <xdr:colOff>321222</xdr:colOff>
      <xdr:row>16</xdr:row>
      <xdr:rowOff>19728</xdr:rowOff>
    </xdr:from>
    <xdr:to>
      <xdr:col>21</xdr:col>
      <xdr:colOff>215779</xdr:colOff>
      <xdr:row>31</xdr:row>
      <xdr:rowOff>43859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D143A1-27DF-4193-8C05-C573AE72D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71015" y="2962625"/>
          <a:ext cx="4155626" cy="2783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5861-0A2A-492F-8342-33EB84B013FC}">
  <dimension ref="A1:E41"/>
  <sheetViews>
    <sheetView zoomScale="145" zoomScaleNormal="145" workbookViewId="0">
      <selection activeCell="C14" sqref="C14"/>
    </sheetView>
  </sheetViews>
  <sheetFormatPr defaultRowHeight="14.4"/>
  <cols>
    <col min="1" max="1" width="27.109375" customWidth="1"/>
    <col min="2" max="2" width="10.44140625" bestFit="1" customWidth="1"/>
    <col min="3" max="3" width="9" style="2" bestFit="1" customWidth="1"/>
  </cols>
  <sheetData>
    <row r="1" spans="1:5">
      <c r="A1" t="s">
        <v>0</v>
      </c>
      <c r="B1" s="9">
        <v>44852</v>
      </c>
    </row>
    <row r="2" spans="1:5">
      <c r="A2" t="s">
        <v>57</v>
      </c>
    </row>
    <row r="3" spans="1:5">
      <c r="A3" t="s">
        <v>25</v>
      </c>
      <c r="B3" t="s">
        <v>24</v>
      </c>
      <c r="C3" s="2">
        <v>10</v>
      </c>
    </row>
    <row r="4" spans="1:5">
      <c r="A4" t="s">
        <v>21</v>
      </c>
      <c r="B4" t="s">
        <v>7</v>
      </c>
      <c r="C4" s="3">
        <v>1500000000</v>
      </c>
    </row>
    <row r="5" spans="1:5">
      <c r="A5" t="s">
        <v>10</v>
      </c>
      <c r="B5" s="4" t="s">
        <v>8</v>
      </c>
      <c r="C5" s="3">
        <f>2*PI()*C4</f>
        <v>9424777960.7693787</v>
      </c>
    </row>
    <row r="6" spans="1:5">
      <c r="A6" t="s">
        <v>16</v>
      </c>
      <c r="B6" t="s">
        <v>9</v>
      </c>
      <c r="C6" s="2">
        <v>50</v>
      </c>
    </row>
    <row r="7" spans="1:5">
      <c r="A7" t="s">
        <v>51</v>
      </c>
      <c r="B7" s="1" t="s">
        <v>6</v>
      </c>
      <c r="C7" s="2">
        <v>3</v>
      </c>
    </row>
    <row r="8" spans="1:5">
      <c r="A8" t="s">
        <v>78</v>
      </c>
      <c r="B8" t="s">
        <v>5</v>
      </c>
      <c r="C8" s="3">
        <v>7.0000000000000001E-15</v>
      </c>
    </row>
    <row r="9" spans="1:5">
      <c r="A9" s="6" t="s">
        <v>17</v>
      </c>
      <c r="B9" t="s">
        <v>13</v>
      </c>
      <c r="C9" s="3">
        <v>2.9999999999999997E-4</v>
      </c>
    </row>
    <row r="10" spans="1:5">
      <c r="A10" t="s">
        <v>18</v>
      </c>
      <c r="B10" t="s">
        <v>4</v>
      </c>
      <c r="C10" s="11">
        <v>0.1</v>
      </c>
      <c r="D10" s="10"/>
    </row>
    <row r="11" spans="1:5">
      <c r="A11" t="s">
        <v>52</v>
      </c>
      <c r="B11" t="s">
        <v>14</v>
      </c>
      <c r="C11" s="12">
        <v>1E-3</v>
      </c>
    </row>
    <row r="12" spans="1:5">
      <c r="A12" s="8" t="s">
        <v>41</v>
      </c>
      <c r="C12" s="3">
        <f>2*C11/C10</f>
        <v>0.02</v>
      </c>
      <c r="D12">
        <f>C12*1000</f>
        <v>20</v>
      </c>
    </row>
    <row r="13" spans="1:5">
      <c r="A13" t="s">
        <v>53</v>
      </c>
      <c r="B13" t="s">
        <v>1</v>
      </c>
      <c r="C13" s="3">
        <v>0.02</v>
      </c>
      <c r="D13">
        <f>C13*1000</f>
        <v>20</v>
      </c>
      <c r="E13" t="s">
        <v>84</v>
      </c>
    </row>
    <row r="14" spans="1:5">
      <c r="A14" t="s">
        <v>54</v>
      </c>
      <c r="B14" t="s">
        <v>15</v>
      </c>
      <c r="C14" s="3">
        <f>C13/(C9*C10)</f>
        <v>666.66666666666674</v>
      </c>
    </row>
    <row r="15" spans="1:5">
      <c r="A15" t="s">
        <v>61</v>
      </c>
      <c r="B15" s="7" t="s">
        <v>2</v>
      </c>
      <c r="C15" s="2">
        <v>0.25</v>
      </c>
      <c r="D15">
        <f>C15</f>
        <v>0.25</v>
      </c>
      <c r="E15" t="s">
        <v>82</v>
      </c>
    </row>
    <row r="16" spans="1:5">
      <c r="A16" t="s">
        <v>19</v>
      </c>
      <c r="B16" s="7" t="s">
        <v>3</v>
      </c>
      <c r="C16" s="2">
        <f>C14*C15</f>
        <v>166.66666666666669</v>
      </c>
      <c r="D16">
        <f>C16</f>
        <v>166.66666666666669</v>
      </c>
      <c r="E16" t="s">
        <v>82</v>
      </c>
    </row>
    <row r="17" spans="1:5">
      <c r="A17" t="s">
        <v>65</v>
      </c>
      <c r="B17" t="s">
        <v>64</v>
      </c>
      <c r="C17" s="3">
        <f>C16*C15*C8</f>
        <v>2.9166666666666672E-13</v>
      </c>
    </row>
    <row r="18" spans="1:5">
      <c r="A18" t="s">
        <v>66</v>
      </c>
      <c r="B18" s="7" t="s">
        <v>69</v>
      </c>
      <c r="C18" s="3">
        <f>50*C17/C13</f>
        <v>7.2916666666666668E-10</v>
      </c>
      <c r="D18">
        <f>C18*10^9</f>
        <v>0.72916666666666663</v>
      </c>
      <c r="E18" t="s">
        <v>80</v>
      </c>
    </row>
    <row r="19" spans="1:5">
      <c r="A19" t="s">
        <v>67</v>
      </c>
      <c r="B19" s="7" t="s">
        <v>70</v>
      </c>
      <c r="C19" s="3">
        <f>1/(C5^2*C17)-C18</f>
        <v>3.7869379482795345E-8</v>
      </c>
      <c r="D19">
        <f>C19*10^9</f>
        <v>37.869379482795345</v>
      </c>
      <c r="E19" t="s">
        <v>80</v>
      </c>
    </row>
    <row r="20" spans="1:5">
      <c r="A20" t="s">
        <v>68</v>
      </c>
      <c r="B20" t="s">
        <v>11</v>
      </c>
      <c r="C20" s="3">
        <f>1+C7*C18*C17*C5^2</f>
        <v>1.0566731190218803</v>
      </c>
    </row>
    <row r="21" spans="1:5">
      <c r="A21" t="s">
        <v>20</v>
      </c>
      <c r="B21" t="s">
        <v>12</v>
      </c>
      <c r="C21" s="5">
        <f>10*LOG10(C20)</f>
        <v>0.23940659435353057</v>
      </c>
    </row>
    <row r="22" spans="1:5">
      <c r="A22" t="s">
        <v>23</v>
      </c>
      <c r="B22" t="s">
        <v>22</v>
      </c>
      <c r="C22" s="3">
        <f>C5*(C18+C19)/C6</f>
        <v>7.2756545413437861</v>
      </c>
    </row>
    <row r="23" spans="1:5">
      <c r="A23" s="8" t="s">
        <v>40</v>
      </c>
      <c r="C23" s="3"/>
    </row>
    <row r="24" spans="1:5">
      <c r="A24" t="s">
        <v>75</v>
      </c>
      <c r="B24" t="s">
        <v>72</v>
      </c>
      <c r="C24" s="2">
        <v>5</v>
      </c>
    </row>
    <row r="25" spans="1:5">
      <c r="A25" t="s">
        <v>74</v>
      </c>
      <c r="B25" s="7" t="s">
        <v>48</v>
      </c>
      <c r="C25" s="3">
        <v>6E-9</v>
      </c>
      <c r="D25">
        <f>C25*10^9</f>
        <v>6</v>
      </c>
      <c r="E25" t="s">
        <v>80</v>
      </c>
    </row>
    <row r="26" spans="1:5">
      <c r="A26" t="s">
        <v>73</v>
      </c>
      <c r="B26" s="7" t="s">
        <v>71</v>
      </c>
      <c r="C26" s="2">
        <f>C5*C25/C24</f>
        <v>11.309733552923253</v>
      </c>
      <c r="D26">
        <f>C26</f>
        <v>11.309733552923253</v>
      </c>
      <c r="E26" t="s">
        <v>83</v>
      </c>
    </row>
    <row r="27" spans="1:5">
      <c r="A27" t="s">
        <v>50</v>
      </c>
      <c r="B27" s="7" t="s">
        <v>49</v>
      </c>
      <c r="C27" s="3">
        <f>1/(C25*C5^2)</f>
        <v>1.876318215598848E-12</v>
      </c>
      <c r="D27">
        <f>C27*10^12</f>
        <v>1.876318215598848</v>
      </c>
      <c r="E27" t="s">
        <v>79</v>
      </c>
    </row>
    <row r="28" spans="1:5">
      <c r="A28" s="8" t="s">
        <v>39</v>
      </c>
    </row>
    <row r="29" spans="1:5">
      <c r="A29" t="s">
        <v>33</v>
      </c>
      <c r="B29" t="s">
        <v>32</v>
      </c>
      <c r="C29" s="2">
        <v>50</v>
      </c>
    </row>
    <row r="30" spans="1:5">
      <c r="A30" t="s">
        <v>38</v>
      </c>
      <c r="B30" s="7" t="s">
        <v>26</v>
      </c>
      <c r="C30" s="3">
        <v>2E-8</v>
      </c>
      <c r="D30">
        <f>C30*10^9</f>
        <v>20</v>
      </c>
      <c r="E30" t="s">
        <v>80</v>
      </c>
    </row>
    <row r="31" spans="1:5">
      <c r="A31" t="s">
        <v>27</v>
      </c>
      <c r="B31" t="s">
        <v>28</v>
      </c>
      <c r="C31" s="3">
        <v>10</v>
      </c>
    </row>
    <row r="32" spans="1:5">
      <c r="A32" t="s">
        <v>43</v>
      </c>
      <c r="B32" t="s">
        <v>42</v>
      </c>
      <c r="C32" s="3">
        <f>C5*C30</f>
        <v>188.49555921538757</v>
      </c>
      <c r="E32" s="8" t="s">
        <v>76</v>
      </c>
    </row>
    <row r="33" spans="1:5">
      <c r="A33" t="s">
        <v>59</v>
      </c>
      <c r="B33" s="7" t="s">
        <v>58</v>
      </c>
      <c r="C33" s="2">
        <f>C32/C31</f>
        <v>18.849555921538759</v>
      </c>
      <c r="D33">
        <f>C33</f>
        <v>18.849555921538759</v>
      </c>
      <c r="E33" s="8" t="s">
        <v>77</v>
      </c>
    </row>
    <row r="34" spans="1:5">
      <c r="A34" t="s">
        <v>60</v>
      </c>
      <c r="B34" t="s">
        <v>44</v>
      </c>
      <c r="C34" s="3">
        <f>C33*(1+C31^2)</f>
        <v>1903.8051480754145</v>
      </c>
    </row>
    <row r="35" spans="1:5">
      <c r="A35" t="s">
        <v>45</v>
      </c>
      <c r="B35" t="s">
        <v>29</v>
      </c>
      <c r="C35" s="3">
        <f>C30</f>
        <v>2E-8</v>
      </c>
    </row>
    <row r="36" spans="1:5">
      <c r="A36" t="s">
        <v>36</v>
      </c>
      <c r="B36" t="s">
        <v>31</v>
      </c>
      <c r="C36" s="3">
        <f>(C5*C35)^4-4*C29^2*(C5*C35)^2</f>
        <v>907116061.36145401</v>
      </c>
    </row>
    <row r="37" spans="1:5">
      <c r="B37" t="s">
        <v>34</v>
      </c>
      <c r="C37" s="3">
        <f>(C32^2+SQRT(C36))/(2*C29*C32^2)</f>
        <v>1.8476746236971899E-2</v>
      </c>
    </row>
    <row r="38" spans="1:5">
      <c r="B38" t="s">
        <v>35</v>
      </c>
      <c r="C38" s="3">
        <f>(C32^2-SQRT(C36))/(2*C29*C32^2)</f>
        <v>1.5232537630280991E-3</v>
      </c>
    </row>
    <row r="39" spans="1:5">
      <c r="A39" t="s">
        <v>46</v>
      </c>
      <c r="B39" t="s">
        <v>30</v>
      </c>
      <c r="C39" s="3">
        <f>(1/C37)/(C5*C35)</f>
        <v>0.28712656988892504</v>
      </c>
    </row>
    <row r="40" spans="1:5">
      <c r="A40" t="s">
        <v>47</v>
      </c>
      <c r="B40" t="s">
        <v>37</v>
      </c>
      <c r="C40" s="3">
        <f>C35*C39^2/(1+C39^2)</f>
        <v>1.5232537630280992E-9</v>
      </c>
    </row>
    <row r="41" spans="1:5">
      <c r="A41" t="s">
        <v>56</v>
      </c>
      <c r="B41" s="7" t="s">
        <v>55</v>
      </c>
      <c r="C41" s="3">
        <f>1/(C40*C5^2)</f>
        <v>7.3906984947887597E-12</v>
      </c>
      <c r="D41">
        <f>C41*10^12</f>
        <v>7.3906984947887597</v>
      </c>
      <c r="E41" t="s">
        <v>81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1F1F-6DBA-42A9-B606-84413473A5CC}">
  <dimension ref="A1:B16"/>
  <sheetViews>
    <sheetView tabSelected="1" workbookViewId="0">
      <selection activeCell="F7" sqref="F7"/>
    </sheetView>
  </sheetViews>
  <sheetFormatPr defaultRowHeight="14.4"/>
  <sheetData>
    <row r="1" spans="1:2">
      <c r="A1" s="13" t="s">
        <v>85</v>
      </c>
      <c r="B1" s="13" t="s">
        <v>86</v>
      </c>
    </row>
    <row r="2" spans="1:2">
      <c r="A2" s="14" t="s">
        <v>87</v>
      </c>
      <c r="B2" s="15" t="s">
        <v>88</v>
      </c>
    </row>
    <row r="3" spans="1:2">
      <c r="A3" s="14" t="s">
        <v>89</v>
      </c>
      <c r="B3" s="15" t="s">
        <v>90</v>
      </c>
    </row>
    <row r="4" spans="1:2">
      <c r="A4" s="14" t="s">
        <v>91</v>
      </c>
      <c r="B4" s="15" t="s">
        <v>90</v>
      </c>
    </row>
    <row r="5" spans="1:2">
      <c r="A5" s="14" t="s">
        <v>92</v>
      </c>
      <c r="B5" s="15" t="s">
        <v>93</v>
      </c>
    </row>
    <row r="6" spans="1:2">
      <c r="A6" s="14" t="s">
        <v>94</v>
      </c>
      <c r="B6" s="15" t="s">
        <v>95</v>
      </c>
    </row>
    <row r="7" spans="1:2">
      <c r="A7" s="14" t="s">
        <v>96</v>
      </c>
      <c r="B7" s="15" t="s">
        <v>97</v>
      </c>
    </row>
    <row r="8" spans="1:2">
      <c r="A8" s="14" t="s">
        <v>98</v>
      </c>
      <c r="B8" s="15" t="s">
        <v>99</v>
      </c>
    </row>
    <row r="9" spans="1:2">
      <c r="A9" s="14" t="s">
        <v>100</v>
      </c>
      <c r="B9" s="15" t="s">
        <v>101</v>
      </c>
    </row>
    <row r="10" spans="1:2">
      <c r="A10" s="14" t="s">
        <v>102</v>
      </c>
      <c r="B10" s="15">
        <v>9.5</v>
      </c>
    </row>
    <row r="11" spans="1:2">
      <c r="A11" s="14" t="s">
        <v>26</v>
      </c>
      <c r="B11" s="15" t="s">
        <v>103</v>
      </c>
    </row>
    <row r="12" spans="1:2">
      <c r="A12" s="14" t="s">
        <v>58</v>
      </c>
      <c r="B12" s="15">
        <v>18.850000000000001</v>
      </c>
    </row>
    <row r="13" spans="1:2">
      <c r="A13" s="14" t="s">
        <v>104</v>
      </c>
      <c r="B13" s="15">
        <v>2.8</v>
      </c>
    </row>
    <row r="14" spans="1:2">
      <c r="A14" s="14" t="s">
        <v>105</v>
      </c>
      <c r="B14" s="15" t="s">
        <v>106</v>
      </c>
    </row>
    <row r="15" spans="1:2">
      <c r="A15" s="14" t="s">
        <v>55</v>
      </c>
      <c r="B15" s="15" t="s">
        <v>107</v>
      </c>
    </row>
    <row r="16" spans="1:2">
      <c r="A16" s="14" t="s">
        <v>108</v>
      </c>
      <c r="B16" s="15">
        <v>-20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7E6E-37E6-4903-AA76-D6B124985191}">
  <dimension ref="A3:D7"/>
  <sheetViews>
    <sheetView workbookViewId="0">
      <selection activeCell="A4" sqref="A4"/>
    </sheetView>
  </sheetViews>
  <sheetFormatPr defaultRowHeight="14.4"/>
  <cols>
    <col min="1" max="4" width="8.77734375" style="2"/>
  </cols>
  <sheetData>
    <row r="3" spans="1:4">
      <c r="A3" s="2" t="s">
        <v>62</v>
      </c>
      <c r="B3" s="2" t="s">
        <v>9</v>
      </c>
      <c r="C3" s="2" t="s">
        <v>32</v>
      </c>
      <c r="D3" s="2" t="s">
        <v>63</v>
      </c>
    </row>
    <row r="4" spans="1:4">
      <c r="A4" s="2">
        <v>0.3</v>
      </c>
      <c r="B4" s="2">
        <v>50</v>
      </c>
      <c r="C4" s="2">
        <v>1000</v>
      </c>
      <c r="D4" s="2">
        <f>2*A4*C4/(B4+C4)</f>
        <v>0.5714285714285714</v>
      </c>
    </row>
    <row r="5" spans="1:4">
      <c r="A5" s="2">
        <v>0.3</v>
      </c>
      <c r="B5" s="2">
        <v>50</v>
      </c>
      <c r="C5" s="3">
        <v>1000000000</v>
      </c>
      <c r="D5" s="2">
        <f>2*A5*C5/(B5+C5)</f>
        <v>0.59999997000000149</v>
      </c>
    </row>
    <row r="6" spans="1:4">
      <c r="A6" s="2">
        <v>0.3</v>
      </c>
      <c r="B6" s="2">
        <v>50</v>
      </c>
      <c r="C6" s="2">
        <v>50</v>
      </c>
      <c r="D6" s="2">
        <f>2*A6*C6/(B6+C6)</f>
        <v>0.3</v>
      </c>
    </row>
    <row r="7" spans="1:4">
      <c r="A7" s="2">
        <v>0.3</v>
      </c>
      <c r="B7" s="2">
        <v>50</v>
      </c>
      <c r="C7" s="2">
        <v>250</v>
      </c>
      <c r="D7" s="2">
        <f>2*A7*C7/(B7+C7)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Sang-Soo Lee</dc:creator>
  <cp:lastModifiedBy>Diaa Abouelnaga</cp:lastModifiedBy>
  <dcterms:created xsi:type="dcterms:W3CDTF">2021-10-13T16:15:46Z</dcterms:created>
  <dcterms:modified xsi:type="dcterms:W3CDTF">2024-10-16T21:42:50Z</dcterms:modified>
</cp:coreProperties>
</file>