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home desktop PC\Downloads\"/>
    </mc:Choice>
  </mc:AlternateContent>
  <xr:revisionPtr revIDLastSave="0" documentId="13_ncr:1_{527E4E94-6FA1-46DF-8B01-C9DDE6931E53}" xr6:coauthVersionLast="45" xr6:coauthVersionMax="45" xr10:uidLastSave="{00000000-0000-0000-0000-000000000000}"/>
  <bookViews>
    <workbookView xWindow="-38510" yWindow="-1320" windowWidth="38620" windowHeight="21220" activeTab="1" xr2:uid="{00000000-000D-0000-FFFF-FFFF00000000}"/>
  </bookViews>
  <sheets>
    <sheet name="PIC32MX Osc Config" sheetId="5" r:id="rId1"/>
    <sheet name="PIC32MZ Osc Config" sheetId="2" r:id="rId2"/>
    <sheet name="MX OSC Block Diag" sheetId="6" r:id="rId3"/>
    <sheet name="MZ Osc Block Diag" sheetId="3" r:id="rId4"/>
    <sheet name="MZ Clock to Periph Table" sheetId="4" r:id="rId5"/>
    <sheet name="Sheet1" sheetId="1" r:id="rId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1" i="5" l="1"/>
  <c r="F250" i="5"/>
  <c r="F248" i="5"/>
  <c r="G245" i="5"/>
  <c r="H245" i="5" s="1"/>
  <c r="F245" i="5"/>
  <c r="G244" i="5"/>
  <c r="F244" i="5"/>
  <c r="G243" i="5"/>
  <c r="F243" i="5"/>
  <c r="G242" i="5"/>
  <c r="F242" i="5"/>
  <c r="F229" i="5"/>
  <c r="T220" i="5"/>
  <c r="U198" i="5"/>
  <c r="T198" i="5"/>
  <c r="U197" i="5"/>
  <c r="U196" i="5"/>
  <c r="U195" i="5"/>
  <c r="U194" i="5"/>
  <c r="U193" i="5"/>
  <c r="U192" i="5"/>
  <c r="U191" i="5"/>
  <c r="T190" i="5"/>
  <c r="U190" i="5" s="1"/>
  <c r="J157" i="5"/>
  <c r="J156" i="5"/>
  <c r="J155" i="5"/>
  <c r="J154" i="5"/>
  <c r="J142" i="5"/>
  <c r="J141" i="5"/>
  <c r="J140" i="5"/>
  <c r="J139" i="5"/>
  <c r="J138" i="5"/>
  <c r="J137" i="5"/>
  <c r="J136" i="5"/>
  <c r="J135" i="5"/>
  <c r="K132" i="5"/>
  <c r="K131" i="5"/>
  <c r="K130" i="5"/>
  <c r="J130" i="5"/>
  <c r="K129" i="5"/>
  <c r="K128" i="5"/>
  <c r="K127" i="5"/>
  <c r="R123" i="5"/>
  <c r="K125" i="5"/>
  <c r="R122" i="5"/>
  <c r="R121" i="5"/>
  <c r="R120" i="5"/>
  <c r="J122" i="5"/>
  <c r="R119" i="5"/>
  <c r="J121" i="5"/>
  <c r="R118" i="5"/>
  <c r="J120" i="5"/>
  <c r="R117" i="5"/>
  <c r="J119" i="5"/>
  <c r="R116" i="5"/>
  <c r="J118" i="5"/>
  <c r="J117" i="5"/>
  <c r="J116" i="5"/>
  <c r="J115" i="5"/>
  <c r="J112" i="5"/>
  <c r="J111" i="5"/>
  <c r="J110" i="5"/>
  <c r="J109" i="5"/>
  <c r="J108" i="5"/>
  <c r="J107" i="5"/>
  <c r="J106" i="5"/>
  <c r="J105" i="5"/>
  <c r="J101" i="5"/>
  <c r="J100" i="5"/>
  <c r="J99" i="5"/>
  <c r="J98" i="5"/>
  <c r="J97" i="5"/>
  <c r="J96" i="5"/>
  <c r="J95" i="5"/>
  <c r="J94" i="5"/>
  <c r="J91" i="5"/>
  <c r="K90" i="5"/>
  <c r="J90" i="5"/>
  <c r="K89" i="5"/>
  <c r="J89" i="5"/>
  <c r="K88" i="5"/>
  <c r="J88" i="5"/>
  <c r="H73" i="5"/>
  <c r="H72" i="5"/>
  <c r="H71" i="5"/>
  <c r="H70" i="5"/>
  <c r="H69" i="5"/>
  <c r="M67" i="5"/>
  <c r="T194" i="5" s="1"/>
  <c r="H66" i="5"/>
  <c r="H65" i="5"/>
  <c r="H64" i="5"/>
  <c r="H63" i="5"/>
  <c r="H62" i="5"/>
  <c r="M50" i="5"/>
  <c r="G46" i="5"/>
  <c r="J129" i="5" s="1"/>
  <c r="G25" i="5"/>
  <c r="I17" i="5"/>
  <c r="J20" i="5" s="1"/>
  <c r="F239" i="5" s="1"/>
  <c r="K14" i="5"/>
  <c r="F288" i="2"/>
  <c r="F287" i="2"/>
  <c r="F286" i="2"/>
  <c r="G46" i="2"/>
  <c r="M50" i="2" s="1"/>
  <c r="J117" i="2" s="1"/>
  <c r="R241" i="2"/>
  <c r="Q241" i="2"/>
  <c r="S241" i="2" s="1"/>
  <c r="Q240" i="2"/>
  <c r="T230" i="2"/>
  <c r="U209" i="2"/>
  <c r="U207" i="2"/>
  <c r="U206" i="2"/>
  <c r="U205" i="2"/>
  <c r="U204" i="2"/>
  <c r="U203" i="2"/>
  <c r="U201" i="2"/>
  <c r="T209" i="2"/>
  <c r="T205" i="2"/>
  <c r="T204" i="2"/>
  <c r="J116" i="2"/>
  <c r="J115" i="2"/>
  <c r="G274" i="2"/>
  <c r="G272" i="2"/>
  <c r="G268" i="2"/>
  <c r="G267" i="2"/>
  <c r="G266" i="2"/>
  <c r="G265" i="2"/>
  <c r="G264" i="2"/>
  <c r="K116" i="2"/>
  <c r="F262" i="2"/>
  <c r="F25" i="2"/>
  <c r="F257" i="2" s="1"/>
  <c r="F256" i="2"/>
  <c r="F89" i="2"/>
  <c r="K117" i="2"/>
  <c r="K115" i="2"/>
  <c r="K114" i="2"/>
  <c r="H62" i="2"/>
  <c r="H65" i="2"/>
  <c r="H63" i="2"/>
  <c r="H74" i="2"/>
  <c r="H73" i="2"/>
  <c r="R125" i="2"/>
  <c r="R124" i="2"/>
  <c r="R123" i="2"/>
  <c r="R122" i="2"/>
  <c r="R121" i="2"/>
  <c r="R120" i="2"/>
  <c r="R119" i="2"/>
  <c r="R118"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D91" i="2"/>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F216" i="2" s="1"/>
  <c r="F90" i="2"/>
  <c r="H69" i="2"/>
  <c r="H72" i="2"/>
  <c r="H68" i="2"/>
  <c r="H70" i="2"/>
  <c r="H71" i="2"/>
  <c r="H64" i="2"/>
  <c r="J109" i="2"/>
  <c r="J108" i="2"/>
  <c r="J105" i="2"/>
  <c r="J106" i="2"/>
  <c r="J107" i="2"/>
  <c r="J102" i="2"/>
  <c r="J101" i="2"/>
  <c r="J100" i="2"/>
  <c r="J99" i="2"/>
  <c r="J98" i="2"/>
  <c r="J97" i="2"/>
  <c r="J96" i="2"/>
  <c r="J95" i="2"/>
  <c r="G25" i="2"/>
  <c r="M52" i="5" l="1"/>
  <c r="M69" i="5"/>
  <c r="T195" i="5" s="1"/>
  <c r="H243" i="5"/>
  <c r="H244" i="5"/>
  <c r="F252" i="5"/>
  <c r="K92" i="5"/>
  <c r="F25" i="5" s="1"/>
  <c r="M42" i="5" s="1"/>
  <c r="H242" i="5"/>
  <c r="J102" i="5"/>
  <c r="M20" i="5" s="1"/>
  <c r="F238" i="5" s="1"/>
  <c r="J158" i="5"/>
  <c r="J113" i="5"/>
  <c r="J123" i="5"/>
  <c r="R124" i="5"/>
  <c r="K12" i="5" s="1"/>
  <c r="M48" i="5" s="1"/>
  <c r="U199" i="5"/>
  <c r="O69" i="5" s="1"/>
  <c r="W68" i="5" s="1"/>
  <c r="J143" i="5"/>
  <c r="R242" i="2"/>
  <c r="Q242" i="2"/>
  <c r="T206" i="2"/>
  <c r="M69" i="2"/>
  <c r="M63" i="2"/>
  <c r="M44" i="2"/>
  <c r="F138" i="2"/>
  <c r="F217" i="2" s="1"/>
  <c r="J19" i="2"/>
  <c r="F259" i="2"/>
  <c r="F258" i="2"/>
  <c r="R126" i="2"/>
  <c r="L12" i="2" s="1"/>
  <c r="J110" i="2"/>
  <c r="J103" i="2"/>
  <c r="P20" i="5" l="1"/>
  <c r="U19" i="5" s="1"/>
  <c r="H246" i="5"/>
  <c r="F237" i="5"/>
  <c r="F240" i="5" s="1"/>
  <c r="J127" i="5"/>
  <c r="M63" i="5"/>
  <c r="T192" i="5" s="1"/>
  <c r="K33" i="5"/>
  <c r="M33" i="5" s="1"/>
  <c r="F234" i="5" s="1"/>
  <c r="J132" i="5"/>
  <c r="S242" i="2"/>
  <c r="J114" i="2"/>
  <c r="T203" i="2"/>
  <c r="K112" i="2"/>
  <c r="M40" i="2"/>
  <c r="F260" i="2"/>
  <c r="M19" i="2"/>
  <c r="M61" i="5" l="1"/>
  <c r="T191" i="5" s="1"/>
  <c r="O33" i="5"/>
  <c r="Q33" i="5" s="1"/>
  <c r="R32" i="5" s="1"/>
  <c r="V31" i="5" s="1"/>
  <c r="F233" i="5"/>
  <c r="F235" i="5" s="1"/>
  <c r="M40" i="5"/>
  <c r="J128" i="5"/>
  <c r="J126" i="5"/>
  <c r="K126" i="5" s="1"/>
  <c r="K133" i="5" s="1"/>
  <c r="R49" i="5" s="1"/>
  <c r="T201" i="2"/>
  <c r="J112" i="2"/>
  <c r="F267" i="2"/>
  <c r="H267" i="2" s="1"/>
  <c r="F264" i="2"/>
  <c r="H264" i="2" s="1"/>
  <c r="F266" i="2"/>
  <c r="H266" i="2" s="1"/>
  <c r="F268" i="2"/>
  <c r="H268" i="2" s="1"/>
  <c r="F265" i="2"/>
  <c r="H265" i="2" s="1"/>
  <c r="P19" i="2"/>
  <c r="M65" i="5" l="1"/>
  <c r="T193" i="5" s="1"/>
  <c r="M73" i="5"/>
  <c r="T197" i="5" s="1"/>
  <c r="S46" i="5"/>
  <c r="M71" i="5" s="1"/>
  <c r="T196" i="5" s="1"/>
  <c r="F231" i="5"/>
  <c r="U18" i="2"/>
  <c r="F272" i="2"/>
  <c r="H272" i="2" s="1"/>
  <c r="H270" i="2"/>
  <c r="M42" i="2" l="1"/>
  <c r="M61" i="2"/>
  <c r="F274" i="2"/>
  <c r="H274" i="2" s="1"/>
  <c r="J113" i="2" l="1"/>
  <c r="K113" i="2" s="1"/>
  <c r="K118" i="2" s="1"/>
  <c r="R49" i="2" s="1"/>
  <c r="V31" i="2" s="1"/>
  <c r="F279" i="2" s="1"/>
  <c r="T202" i="2"/>
  <c r="U202" i="2" s="1"/>
  <c r="V34" i="2" l="1"/>
  <c r="F280" i="2" s="1"/>
  <c r="V37" i="2"/>
  <c r="F281" i="2" s="1"/>
  <c r="V28" i="2"/>
  <c r="M71" i="2" s="1"/>
  <c r="T207" i="2" s="1"/>
  <c r="V46" i="2"/>
  <c r="F284" i="2" s="1"/>
  <c r="F276" i="2"/>
  <c r="M73" i="2"/>
  <c r="T208" i="2" s="1"/>
  <c r="U208" i="2" s="1"/>
  <c r="U210" i="2" s="1"/>
  <c r="O69" i="2" s="1"/>
  <c r="W68" i="2" s="1"/>
  <c r="V43" i="2"/>
  <c r="F283" i="2" s="1"/>
  <c r="V40" i="2"/>
  <c r="F282" i="2" s="1"/>
  <c r="I33" i="2" l="1"/>
  <c r="F2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Smith - C13193</author>
  </authors>
  <commentList>
    <comment ref="F11" authorId="0" shapeId="0" xr:uid="{00000000-0006-0000-0000-000001000000}">
      <text>
        <r>
          <rPr>
            <b/>
            <sz val="9"/>
            <color indexed="81"/>
            <rFont val="Tahoma"/>
            <family val="2"/>
          </rPr>
          <t>Typical:
+/- 0.9% (-40 to 85C)</t>
        </r>
      </text>
    </comment>
    <comment ref="I17" authorId="0" shapeId="0" xr:uid="{00000000-0006-0000-0000-000002000000}">
      <text>
        <r>
          <rPr>
            <b/>
            <sz val="9"/>
            <color indexed="81"/>
            <rFont val="Tahoma"/>
            <family val="2"/>
          </rPr>
          <t>On reset the FNOSC setting is copied to the Current Oscillator (COSC) setting.  COSC can be changed at run-time, but the PLL input divide can not.  If you want to change COSC at run-time, POSC must be 8 to 10 MHz to satisfy PLL multiplier input requirements.</t>
        </r>
      </text>
    </comment>
    <comment ref="U19" authorId="0" shapeId="0" xr:uid="{00000000-0006-0000-0000-000003000000}">
      <text>
        <r>
          <rPr>
            <b/>
            <sz val="9"/>
            <color indexed="81"/>
            <rFont val="Tahoma"/>
            <family val="2"/>
          </rPr>
          <t>Ensure this frequency does not exceed the maximum clock frequency for the device.</t>
        </r>
      </text>
    </comment>
    <comment ref="J20" authorId="0" shapeId="0" xr:uid="{00000000-0006-0000-0000-000004000000}">
      <text>
        <r>
          <rPr>
            <b/>
            <sz val="9"/>
            <color indexed="81"/>
            <rFont val="Tahoma"/>
            <family val="2"/>
          </rPr>
          <t>Input to the PLL is determined by the current SYSCLK selection (COSC).  If COSC is not equal to PRIPLL or FRCPLL, the input is invalid.</t>
        </r>
      </text>
    </comment>
    <comment ref="M20" authorId="0" shapeId="0" xr:uid="{00000000-0006-0000-0000-000005000000}">
      <text>
        <r>
          <rPr>
            <b/>
            <sz val="9"/>
            <color indexed="81"/>
            <rFont val="Tahoma"/>
            <family val="2"/>
          </rPr>
          <t>Must be between 4 and 5 MHz</t>
        </r>
      </text>
    </comment>
    <comment ref="E22" authorId="0" shapeId="0" xr:uid="{00000000-0006-0000-0000-000006000000}">
      <text>
        <r>
          <rPr>
            <b/>
            <sz val="9"/>
            <color indexed="81"/>
            <rFont val="Tahoma"/>
            <family val="2"/>
          </rPr>
          <t>Max external clock frequency is 40 to 100 MHz depending on device (see data sheet).</t>
        </r>
      </text>
    </comment>
    <comment ref="E23" authorId="0" shapeId="0" xr:uid="{00000000-0006-0000-0000-000007000000}">
      <text>
        <r>
          <rPr>
            <b/>
            <sz val="9"/>
            <color indexed="81"/>
            <rFont val="Tahoma"/>
            <family val="2"/>
          </rPr>
          <t>External oscillator frequency range:
XT:           3 - 10 MHz
XTPLL:    4 - 10 MHz
HS:        10 - 25 MHz
HSPLL: 10 - 25 MHz</t>
        </r>
      </text>
    </comment>
    <comment ref="E31" authorId="0" shapeId="0" xr:uid="{00000000-0006-0000-0000-000008000000}">
      <text>
        <r>
          <rPr>
            <b/>
            <sz val="9"/>
            <color indexed="81"/>
            <rFont val="Tahoma"/>
            <family val="2"/>
          </rPr>
          <t>Can not use this pin for clock output if it is needed for oscillator input (HS mode).</t>
        </r>
      </text>
    </comment>
    <comment ref="G42" authorId="0" shapeId="0" xr:uid="{00000000-0006-0000-0000-000009000000}">
      <text>
        <r>
          <rPr>
            <b/>
            <sz val="9"/>
            <color indexed="81"/>
            <rFont val="Tahoma"/>
            <family val="2"/>
          </rPr>
          <t>Typical:
31.25 KHz +/- 15% (-40 to 85)</t>
        </r>
      </text>
    </comment>
    <comment ref="E46" authorId="0" shapeId="0" xr:uid="{00000000-0006-0000-0000-00000A000000}">
      <text>
        <r>
          <rPr>
            <b/>
            <sz val="9"/>
            <color indexed="81"/>
            <rFont val="Tahoma"/>
            <family val="2"/>
          </rPr>
          <t>SOSC must be between 32KHz and 100KHz.</t>
        </r>
      </text>
    </comment>
    <comment ref="R49" authorId="0" shapeId="0" xr:uid="{00000000-0006-0000-0000-00000B000000}">
      <text>
        <r>
          <rPr>
            <b/>
            <sz val="9"/>
            <color indexed="81"/>
            <rFont val="Tahoma"/>
            <family val="2"/>
          </rPr>
          <t>Ensure this frequency does not exceed the maximum clock frequency for the device.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Smith - C13193</author>
  </authors>
  <commentList>
    <comment ref="F11" authorId="0" shapeId="0" xr:uid="{00000000-0006-0000-0100-000001000000}">
      <text>
        <r>
          <rPr>
            <b/>
            <sz val="9"/>
            <color indexed="81"/>
            <rFont val="Tahoma"/>
            <family val="2"/>
          </rPr>
          <t>Typical:
+/- 0.9% (0 to 70C)
+/- 3% (-40 to 85C)
+/- 5% (-40 to 125C)</t>
        </r>
      </text>
    </comment>
    <comment ref="U18" authorId="0" shapeId="0" xr:uid="{00000000-0006-0000-0100-000002000000}">
      <text>
        <r>
          <rPr>
            <b/>
            <sz val="9"/>
            <color indexed="81"/>
            <rFont val="Tahoma"/>
            <family val="2"/>
          </rPr>
          <t>PLL output must be between 10 and 200 MHz unless PLL bypassed.</t>
        </r>
      </text>
    </comment>
    <comment ref="M19" authorId="0" shapeId="0" xr:uid="{00000000-0006-0000-0100-000003000000}">
      <text>
        <r>
          <rPr>
            <b/>
            <sz val="9"/>
            <color indexed="81"/>
            <rFont val="Tahoma"/>
            <family val="2"/>
          </rPr>
          <t>Must be within PLL input range unless PLL bypassed (see FPLLRNG options).</t>
        </r>
      </text>
    </comment>
    <comment ref="P19" authorId="0" shapeId="0" xr:uid="{00000000-0006-0000-0100-000004000000}">
      <text>
        <r>
          <rPr>
            <b/>
            <sz val="9"/>
            <color indexed="81"/>
            <rFont val="Tahoma"/>
            <family val="2"/>
          </rPr>
          <t>PLL multiplier output must be between 350 and 700 MHz unless PLL bypassed.</t>
        </r>
      </text>
    </comment>
    <comment ref="E22" authorId="0" shapeId="0" xr:uid="{00000000-0006-0000-0100-000005000000}">
      <text>
        <r>
          <rPr>
            <b/>
            <sz val="9"/>
            <color indexed="81"/>
            <rFont val="Tahoma"/>
            <family val="2"/>
          </rPr>
          <t>Max external clock frequency is 64 MHz.</t>
        </r>
      </text>
    </comment>
    <comment ref="E23" authorId="0" shapeId="0" xr:uid="{00000000-0006-0000-0100-000006000000}">
      <text>
        <r>
          <rPr>
            <b/>
            <sz val="9"/>
            <color indexed="81"/>
            <rFont val="Tahoma"/>
            <family val="2"/>
          </rPr>
          <t>External oscillator frequency must be between 4 and 32 MHz.</t>
        </r>
      </text>
    </comment>
    <comment ref="F25" authorId="0" shapeId="0" xr:uid="{00000000-0006-0000-0100-000007000000}">
      <text>
        <r>
          <rPr>
            <b/>
            <sz val="9"/>
            <color indexed="81"/>
            <rFont val="Tahoma"/>
            <family val="2"/>
          </rPr>
          <t>If using the USB peripheral, this frequency must be 12 or 24 MHz (determined by "UPLLFSEL").</t>
        </r>
      </text>
    </comment>
    <comment ref="V28" authorId="0" shapeId="0" xr:uid="{00000000-0006-0000-0100-000008000000}">
      <text>
        <r>
          <rPr>
            <b/>
            <sz val="9"/>
            <color indexed="81"/>
            <rFont val="Tahoma"/>
            <family val="2"/>
          </rPr>
          <t>Peripheral Clock 1-5, and 8 must not be more than 100 MHz.</t>
        </r>
      </text>
    </comment>
    <comment ref="E31" authorId="0" shapeId="0" xr:uid="{00000000-0006-0000-0100-000009000000}">
      <text>
        <r>
          <rPr>
            <b/>
            <sz val="9"/>
            <color indexed="81"/>
            <rFont val="Tahoma"/>
            <family val="2"/>
          </rPr>
          <t>Can not use this pin for clock output if it is needed for oscillator input (HS mode).</t>
        </r>
      </text>
    </comment>
    <comment ref="V31" authorId="0" shapeId="0" xr:uid="{00000000-0006-0000-0100-00000A000000}">
      <text>
        <r>
          <rPr>
            <b/>
            <sz val="9"/>
            <color indexed="81"/>
            <rFont val="Tahoma"/>
            <family val="2"/>
          </rPr>
          <t>Peripheral Clock 1-5, and 8 must not be more than 100 MHz.</t>
        </r>
      </text>
    </comment>
    <comment ref="V34" authorId="0" shapeId="0" xr:uid="{00000000-0006-0000-0100-00000B000000}">
      <text>
        <r>
          <rPr>
            <b/>
            <sz val="9"/>
            <color indexed="81"/>
            <rFont val="Tahoma"/>
            <family val="2"/>
          </rPr>
          <t>Peripheral Clock 1-5, and 8 must not be more than 100 MHz.</t>
        </r>
      </text>
    </comment>
    <comment ref="V37" authorId="0" shapeId="0" xr:uid="{00000000-0006-0000-0100-00000C000000}">
      <text>
        <r>
          <rPr>
            <b/>
            <sz val="9"/>
            <color indexed="81"/>
            <rFont val="Tahoma"/>
            <family val="2"/>
          </rPr>
          <t>Peripheral Clock 1-5, and 8 must not be more than 100 MHz.</t>
        </r>
      </text>
    </comment>
    <comment ref="F38" authorId="0" shapeId="0" xr:uid="{00000000-0006-0000-0100-00000D000000}">
      <text>
        <r>
          <rPr>
            <b/>
            <sz val="9"/>
            <color indexed="81"/>
            <rFont val="Tahoma"/>
            <family val="2"/>
          </rPr>
          <t>Typical:
+/- 5% (-40 to 125C)</t>
        </r>
      </text>
    </comment>
    <comment ref="V40" authorId="0" shapeId="0" xr:uid="{00000000-0006-0000-0100-00000E000000}">
      <text>
        <r>
          <rPr>
            <b/>
            <sz val="9"/>
            <color indexed="81"/>
            <rFont val="Tahoma"/>
            <family val="2"/>
          </rPr>
          <t>Peripheral Clock 1-5, and 8 must not be more than 100 MHz.</t>
        </r>
      </text>
    </comment>
    <comment ref="F42" authorId="0" shapeId="0" xr:uid="{00000000-0006-0000-0100-00000F000000}">
      <text>
        <r>
          <rPr>
            <b/>
            <sz val="9"/>
            <color indexed="81"/>
            <rFont val="Tahoma"/>
            <family val="2"/>
          </rPr>
          <t>Typical:
32.768 KHz +/- 5% (-40 to 125)</t>
        </r>
      </text>
    </comment>
    <comment ref="V43" authorId="0" shapeId="0" xr:uid="{00000000-0006-0000-0100-000010000000}">
      <text>
        <r>
          <rPr>
            <b/>
            <sz val="9"/>
            <color indexed="81"/>
            <rFont val="Tahoma"/>
            <family val="2"/>
          </rPr>
          <t>Peripheral Clock 7 must not be more than 200 MHz.</t>
        </r>
      </text>
    </comment>
    <comment ref="E46" authorId="0" shapeId="0" xr:uid="{00000000-0006-0000-0100-000011000000}">
      <text>
        <r>
          <rPr>
            <b/>
            <sz val="9"/>
            <color indexed="81"/>
            <rFont val="Tahoma"/>
            <family val="2"/>
          </rPr>
          <t>SOSC must be between 32KHz and 100KHz.</t>
        </r>
      </text>
    </comment>
    <comment ref="V46" authorId="0" shapeId="0" xr:uid="{00000000-0006-0000-0100-000012000000}">
      <text>
        <r>
          <rPr>
            <b/>
            <sz val="9"/>
            <color indexed="81"/>
            <rFont val="Tahoma"/>
            <family val="2"/>
          </rPr>
          <t>Peripheral Clock 1-5, and 8 must not be more than 100 MHz.</t>
        </r>
      </text>
    </comment>
    <comment ref="R49" authorId="0" shapeId="0" xr:uid="{00000000-0006-0000-0100-000013000000}">
      <text>
        <r>
          <rPr>
            <b/>
            <sz val="9"/>
            <color indexed="81"/>
            <rFont val="Tahoma"/>
            <family val="2"/>
          </rPr>
          <t>System Clock must not be more than 200 MHz.</t>
        </r>
      </text>
    </comment>
    <comment ref="W68" authorId="0" shapeId="0" xr:uid="{00000000-0006-0000-0100-000014000000}">
      <text>
        <r>
          <rPr>
            <b/>
            <sz val="9"/>
            <color indexed="81"/>
            <rFont val="Tahoma"/>
            <family val="2"/>
          </rPr>
          <t>REFCLK output = 50 MHz max</t>
        </r>
      </text>
    </comment>
  </commentList>
</comments>
</file>

<file path=xl/sharedStrings.xml><?xml version="1.0" encoding="utf-8"?>
<sst xmlns="http://schemas.openxmlformats.org/spreadsheetml/2006/main" count="977" uniqueCount="461">
  <si>
    <t>ON</t>
  </si>
  <si>
    <t>DIV_8</t>
  </si>
  <si>
    <t>PLL_FRC</t>
  </si>
  <si>
    <t>MUL_128</t>
  </si>
  <si>
    <t>DIV_2</t>
  </si>
  <si>
    <t>FREQ_24MHZ</t>
  </si>
  <si>
    <t>FRCDIV</t>
  </si>
  <si>
    <t>OFF</t>
  </si>
  <si>
    <t>#pragma config FNOSC =</t>
  </si>
  <si>
    <t>#pragma config FSOSCEN =</t>
  </si>
  <si>
    <t>#pragma config POSCMOD =</t>
  </si>
  <si>
    <t>#pragma config OSCIOFNC =</t>
  </si>
  <si>
    <t>#pragma config FPLLODIV =</t>
  </si>
  <si>
    <t>// Device Config Bits in  DEVCFG1:</t>
  </si>
  <si>
    <t>// Device Config Bits in  DEVCFG2:</t>
  </si>
  <si>
    <t>#pragma config FPLLMULT =</t>
  </si>
  <si>
    <t>#pragma config FPLLICLK =</t>
  </si>
  <si>
    <t>#pragma config FPLLRNG =</t>
  </si>
  <si>
    <t>#pragma config FPLLIDIV =</t>
  </si>
  <si>
    <t>DIV_32</t>
  </si>
  <si>
    <t>RANGE_8_16_MHZ</t>
  </si>
  <si>
    <t>Oscillator Selection Bits (Fast RC Osc w/Div-by-N (FRCDIV))</t>
  </si>
  <si>
    <t>Secondary Oscillator Enable (Enable SOSC)</t>
  </si>
  <si>
    <t>Primary Oscillator Configuration (Primary osc disabled)</t>
  </si>
  <si>
    <t>CLKO Output Signal Active on the OSCO Pin (Disabled)</t>
  </si>
  <si>
    <t>System PLL Input Divider (8x Divider)</t>
  </si>
  <si>
    <t>System PLL Input Range (8-16 MHz Input)</t>
  </si>
  <si>
    <t>System PLL Input Clock Selection (FRC is input to the System PLL)</t>
  </si>
  <si>
    <t>System PLL Multiplier (PLL Multiply by 128)</t>
  </si>
  <si>
    <t>System PLL Output Clock Divider (32x Divider)</t>
  </si>
  <si>
    <t>POSC</t>
  </si>
  <si>
    <t>MHz</t>
  </si>
  <si>
    <t>POSCMOD =</t>
  </si>
  <si>
    <t>FPLLICLK =</t>
  </si>
  <si>
    <t>FPLLIDIV =</t>
  </si>
  <si>
    <t>FPLLMULT =</t>
  </si>
  <si>
    <t>FPLLODIV =</t>
  </si>
  <si>
    <t>SPLL</t>
  </si>
  <si>
    <t>EC</t>
  </si>
  <si>
    <t>HS</t>
  </si>
  <si>
    <t>PLL_POSC</t>
  </si>
  <si>
    <t>DIV_1</t>
  </si>
  <si>
    <t>DIV_3</t>
  </si>
  <si>
    <t>DIV_4</t>
  </si>
  <si>
    <t>DIV_5</t>
  </si>
  <si>
    <t>DIV_6</t>
  </si>
  <si>
    <t>DIV_7</t>
  </si>
  <si>
    <t>MUL_1</t>
  </si>
  <si>
    <t>MUL_2</t>
  </si>
  <si>
    <t>DIV_16</t>
  </si>
  <si>
    <t>FNOSC =</t>
  </si>
  <si>
    <t>SOSC</t>
  </si>
  <si>
    <t>LPRC</t>
  </si>
  <si>
    <t>OSC1/</t>
  </si>
  <si>
    <t>CLKI</t>
  </si>
  <si>
    <t>OSC2/</t>
  </si>
  <si>
    <t>CLKO</t>
  </si>
  <si>
    <t>KHz</t>
  </si>
  <si>
    <t>FPLLRNG =</t>
  </si>
  <si>
    <t>Bypass</t>
  </si>
  <si>
    <t>MUL_3</t>
  </si>
  <si>
    <t>MUL_4</t>
  </si>
  <si>
    <t>MUL_5</t>
  </si>
  <si>
    <t>MUL_6</t>
  </si>
  <si>
    <t>MUL_7</t>
  </si>
  <si>
    <t>MUL_8</t>
  </si>
  <si>
    <t>MUL_9</t>
  </si>
  <si>
    <t>MUL_10</t>
  </si>
  <si>
    <t>MUL_11</t>
  </si>
  <si>
    <t>MUL_12</t>
  </si>
  <si>
    <t>MUL_13</t>
  </si>
  <si>
    <t>MUL_14</t>
  </si>
  <si>
    <t>MUL_15</t>
  </si>
  <si>
    <t>MUL_16</t>
  </si>
  <si>
    <t>MUL_17</t>
  </si>
  <si>
    <t>MUL_18</t>
  </si>
  <si>
    <t>MUL_19</t>
  </si>
  <si>
    <t>MUL_20</t>
  </si>
  <si>
    <t>MUL_21</t>
  </si>
  <si>
    <t>MUL_22</t>
  </si>
  <si>
    <t>MUL_23</t>
  </si>
  <si>
    <t>MUL_24</t>
  </si>
  <si>
    <t>MUL_25</t>
  </si>
  <si>
    <t>MUL_26</t>
  </si>
  <si>
    <t>MUL_27</t>
  </si>
  <si>
    <t>MUL_28</t>
  </si>
  <si>
    <t>MUL_29</t>
  </si>
  <si>
    <t>MUL_30</t>
  </si>
  <si>
    <t>MUL_31</t>
  </si>
  <si>
    <t>MUL_32</t>
  </si>
  <si>
    <t>MUL_34</t>
  </si>
  <si>
    <t>MUL_33</t>
  </si>
  <si>
    <t>MUL_39</t>
  </si>
  <si>
    <t>MUL_35</t>
  </si>
  <si>
    <t>MUL_36</t>
  </si>
  <si>
    <t>MUL_37</t>
  </si>
  <si>
    <t>MUL_38</t>
  </si>
  <si>
    <t>MUL_40</t>
  </si>
  <si>
    <t>MUL_41</t>
  </si>
  <si>
    <t>MUL_42</t>
  </si>
  <si>
    <t>MUL_43</t>
  </si>
  <si>
    <t>MUL_44</t>
  </si>
  <si>
    <t>MUL_45</t>
  </si>
  <si>
    <t>MUL_46</t>
  </si>
  <si>
    <t>MUL_47</t>
  </si>
  <si>
    <t>MUL_48</t>
  </si>
  <si>
    <t>MUL_49</t>
  </si>
  <si>
    <t>MUL_50</t>
  </si>
  <si>
    <t>MUL_51</t>
  </si>
  <si>
    <t>MUL_52</t>
  </si>
  <si>
    <t>MUL_53</t>
  </si>
  <si>
    <t>MUL_54</t>
  </si>
  <si>
    <t>MUL_55</t>
  </si>
  <si>
    <t>MUL_56</t>
  </si>
  <si>
    <t>MUL_57</t>
  </si>
  <si>
    <t>MUL_58</t>
  </si>
  <si>
    <t>MUL_59</t>
  </si>
  <si>
    <t>MUL_60</t>
  </si>
  <si>
    <t>MUL_61</t>
  </si>
  <si>
    <t>MUL_62</t>
  </si>
  <si>
    <t>MUL_63</t>
  </si>
  <si>
    <t>MUL_64</t>
  </si>
  <si>
    <t>MUL_65</t>
  </si>
  <si>
    <t>MUL_66</t>
  </si>
  <si>
    <t>MUL_67</t>
  </si>
  <si>
    <t>MUL_68</t>
  </si>
  <si>
    <t>MUL_69</t>
  </si>
  <si>
    <t>MUL_70</t>
  </si>
  <si>
    <t>MUL_71</t>
  </si>
  <si>
    <t>MUL_72</t>
  </si>
  <si>
    <t>MUL_73</t>
  </si>
  <si>
    <t>MUL_74</t>
  </si>
  <si>
    <t>MUL_75</t>
  </si>
  <si>
    <t>MUL_76</t>
  </si>
  <si>
    <t>MUL_77</t>
  </si>
  <si>
    <t>MUL_78</t>
  </si>
  <si>
    <t>MUL_79</t>
  </si>
  <si>
    <t>MUL_80</t>
  </si>
  <si>
    <t>MUL_81</t>
  </si>
  <si>
    <t>MUL_82</t>
  </si>
  <si>
    <t>MUL_83</t>
  </si>
  <si>
    <t>MUL_84</t>
  </si>
  <si>
    <t>MUL_85</t>
  </si>
  <si>
    <t>MUL_86</t>
  </si>
  <si>
    <t>MUL_87</t>
  </si>
  <si>
    <t>MUL_88</t>
  </si>
  <si>
    <t>MUL_89</t>
  </si>
  <si>
    <t>MUL_90</t>
  </si>
  <si>
    <t>MUL_91</t>
  </si>
  <si>
    <t>MUL_92</t>
  </si>
  <si>
    <t>MUL_93</t>
  </si>
  <si>
    <t>MUL_94</t>
  </si>
  <si>
    <t>MUL_95</t>
  </si>
  <si>
    <t>MUL_96</t>
  </si>
  <si>
    <t>MUL_97</t>
  </si>
  <si>
    <t>MUL_98</t>
  </si>
  <si>
    <t>MUL_99</t>
  </si>
  <si>
    <t>MUL_100</t>
  </si>
  <si>
    <t>MUL_101</t>
  </si>
  <si>
    <t>MUL_102</t>
  </si>
  <si>
    <t>MUL_103</t>
  </si>
  <si>
    <t>MUL_104</t>
  </si>
  <si>
    <t>MUL_105</t>
  </si>
  <si>
    <t>MUL_106</t>
  </si>
  <si>
    <t>MUL_107</t>
  </si>
  <si>
    <t>MUL_108</t>
  </si>
  <si>
    <t>MUL_109</t>
  </si>
  <si>
    <t>MUL_110</t>
  </si>
  <si>
    <t>MUL_111</t>
  </si>
  <si>
    <t>MUL_112</t>
  </si>
  <si>
    <t>MUL_113</t>
  </si>
  <si>
    <t>MUL_114</t>
  </si>
  <si>
    <t>MUL_115</t>
  </si>
  <si>
    <t>MUL_116</t>
  </si>
  <si>
    <t>MUL_117</t>
  </si>
  <si>
    <t>MUL_118</t>
  </si>
  <si>
    <t>MUL_119</t>
  </si>
  <si>
    <t>MUL_120</t>
  </si>
  <si>
    <t>MUL_121</t>
  </si>
  <si>
    <t>MUL_122</t>
  </si>
  <si>
    <t>MUL_123</t>
  </si>
  <si>
    <t>MUL_124</t>
  </si>
  <si>
    <t>MUL_125</t>
  </si>
  <si>
    <t>MUL_126</t>
  </si>
  <si>
    <t>MUL_127</t>
  </si>
  <si>
    <t>OSC_FRC_DIV_1</t>
  </si>
  <si>
    <t>OSC_FRC_DIV_2</t>
  </si>
  <si>
    <t>OSC_FRC_DIV_4</t>
  </si>
  <si>
    <t>OSC_FRC_DIV_8</t>
  </si>
  <si>
    <t>OSC_FRC_DIV_16</t>
  </si>
  <si>
    <t>OSC_FRC_DIV_32</t>
  </si>
  <si>
    <t>OSC_FRC_DIV_64</t>
  </si>
  <si>
    <t>OSC_FRC_DIV_256</t>
  </si>
  <si>
    <t>divisorFRC =</t>
  </si>
  <si>
    <t>tuningValue = +\- 12.5%</t>
  </si>
  <si>
    <t>UPLLFSEL =</t>
  </si>
  <si>
    <t>UPLLEN =</t>
  </si>
  <si>
    <t>#pragma config UPLLEN =</t>
  </si>
  <si>
    <t>#pragma config UPLLFSEL =</t>
  </si>
  <si>
    <t>FREQ_12MHZ</t>
  </si>
  <si>
    <t>SOSCO</t>
  </si>
  <si>
    <t>SOSCI</t>
  </si>
  <si>
    <t>FSOSCEN =</t>
  </si>
  <si>
    <t>OSCIOFNC =</t>
  </si>
  <si>
    <t>BFRC</t>
  </si>
  <si>
    <t>PLIB_OSC_PBClockDivisorSet (OSC_ID_0, OSC_PERIPHERAL_BUS_x, peripheralBusClkDiv);</t>
  </si>
  <si>
    <t>PLIB_OSC_FRCTuningSelect(OSC_ID_0, tuningValue);</t>
  </si>
  <si>
    <t>peripheralBusClkDiv =</t>
  </si>
  <si>
    <t>PIC32MZ Oscillator Configuration</t>
  </si>
  <si>
    <t>Notes:</t>
  </si>
  <si>
    <t>1)  Settings that produce red cells are invalid</t>
  </si>
  <si>
    <t>2)  See device data sheet for details.</t>
  </si>
  <si>
    <t>Oscillator specs per MZ data sheet:</t>
  </si>
  <si>
    <t>Symbol</t>
  </si>
  <si>
    <t>Minimum</t>
  </si>
  <si>
    <t>Maximum</t>
  </si>
  <si>
    <t>Units</t>
  </si>
  <si>
    <t>Param. #</t>
  </si>
  <si>
    <t>OS10</t>
  </si>
  <si>
    <t>FOSC</t>
  </si>
  <si>
    <t>External CLKI Frequency</t>
  </si>
  <si>
    <t>Conditions</t>
  </si>
  <si>
    <t>OS13</t>
  </si>
  <si>
    <t>OS15</t>
  </si>
  <si>
    <t>Sosc</t>
  </si>
  <si>
    <t>OS51</t>
  </si>
  <si>
    <t>FSYS</t>
  </si>
  <si>
    <t>System Frequency</t>
  </si>
  <si>
    <t>OS55a</t>
  </si>
  <si>
    <t>FPB</t>
  </si>
  <si>
    <t>Peripheral Bus Frequency</t>
  </si>
  <si>
    <t>OS55b</t>
  </si>
  <si>
    <t>For PBCLK7</t>
  </si>
  <si>
    <t>OS56</t>
  </si>
  <si>
    <t>FREF</t>
  </si>
  <si>
    <t>Reference Clock Frequency</t>
  </si>
  <si>
    <t>For PBCLKx, ‘x’ not = 7</t>
  </si>
  <si>
    <t>--</t>
  </si>
  <si>
    <t>Oscillator Crystal Frequency</t>
  </si>
  <si>
    <t>OS50</t>
  </si>
  <si>
    <t>FIN</t>
  </si>
  <si>
    <t>PLL Input Frequency Range</t>
  </si>
  <si>
    <t>ECPLL, HSPLL, FRCPLL modes</t>
  </si>
  <si>
    <t>OS54</t>
  </si>
  <si>
    <t>FVCO</t>
  </si>
  <si>
    <t>PLL VCO Frequency Range</t>
  </si>
  <si>
    <t>OS54a</t>
  </si>
  <si>
    <t>FPLL</t>
  </si>
  <si>
    <t>PLL Output Frequency Range</t>
  </si>
  <si>
    <t>F25</t>
  </si>
  <si>
    <t>cell #:</t>
  </si>
  <si>
    <t>Cell formatting logic to find invalid input (false = no problem):</t>
  </si>
  <si>
    <t>E31</t>
  </si>
  <si>
    <t>M19</t>
  </si>
  <si>
    <t>Is USB being used?</t>
  </si>
  <si>
    <t>Is input freq not equal to 12 or 24 MHz?</t>
  </si>
  <si>
    <t>Is usb PLL configured for 24 MHz?</t>
  </si>
  <si>
    <t>Is usb PLL configured for 12 MHz?</t>
  </si>
  <si>
    <t>Is there a problem?</t>
  </si>
  <si>
    <t>Is OSC2 needed for crystal input (can't be used as clock out)?</t>
  </si>
  <si>
    <t>P19</t>
  </si>
  <si>
    <t>U18</t>
  </si>
  <si>
    <t>Is PLL multiplier output not between 350 and 700 MHz?</t>
  </si>
  <si>
    <t>Is PLL output not between 10 and 200 MHz?</t>
  </si>
  <si>
    <t>Device configuration bit options:</t>
  </si>
  <si>
    <t>Bit Name</t>
  </si>
  <si>
    <t>Setting Options</t>
  </si>
  <si>
    <t>Symbol Name</t>
  </si>
  <si>
    <t>V28</t>
  </si>
  <si>
    <t>V34</t>
  </si>
  <si>
    <t>V40</t>
  </si>
  <si>
    <t>Is PBCLK1 &gt;100?</t>
  </si>
  <si>
    <t>Is PBCLK2 &gt;100?</t>
  </si>
  <si>
    <t>Is PBCLK3 &gt;100?</t>
  </si>
  <si>
    <t>Is PBCLK4 &gt;100?</t>
  </si>
  <si>
    <t>Is PBCLK5 &gt;100?</t>
  </si>
  <si>
    <t>Is PBCLK7 &gt;200?</t>
  </si>
  <si>
    <t>Is PBCLK8 &gt;100?</t>
  </si>
  <si>
    <t>V31</t>
  </si>
  <si>
    <t>V37</t>
  </si>
  <si>
    <t>V43</t>
  </si>
  <si>
    <t>V46</t>
  </si>
  <si>
    <t>R49</t>
  </si>
  <si>
    <t>Is SYSCLK &gt;200?</t>
  </si>
  <si>
    <t>Harmony Function Parameters</t>
  </si>
  <si>
    <t>divisorFRC (used in PLIB_OSC_FRCDivisorSelect) (controls OSCCON: FRCDIV&lt;2:0&gt;)</t>
  </si>
  <si>
    <t>OSC_FRC_BY_FRCDIV</t>
  </si>
  <si>
    <t>newOsc</t>
  </si>
  <si>
    <t>peripheralBusNumber</t>
  </si>
  <si>
    <t>OSC_PERIPHERAL_BUS_1</t>
  </si>
  <si>
    <t>OSC_PERIPHERAL_BUS_2</t>
  </si>
  <si>
    <t>OSC_PERIPHERAL_BUS_3</t>
  </si>
  <si>
    <t>OSC_PERIPHERAL_BUS_4</t>
  </si>
  <si>
    <t>OSC_PERIPHERAL_BUS_5</t>
  </si>
  <si>
    <t>OSC_PERIPHERAL_BUS_7</t>
  </si>
  <si>
    <t>OSC_PERIPHERAL_BUS_8</t>
  </si>
  <si>
    <t>OSC_PLL_USB</t>
  </si>
  <si>
    <t>OSC_PLL_SYSTEM</t>
  </si>
  <si>
    <t>OSC_FRC</t>
  </si>
  <si>
    <t>OSC_FRC_WITH_PLL</t>
  </si>
  <si>
    <t>OSC_PRIMARY</t>
  </si>
  <si>
    <t>OSC_PRIMARY_WITH_PLL</t>
  </si>
  <si>
    <t>OSC_SECONDARY</t>
  </si>
  <si>
    <t>OSC_LPRC</t>
  </si>
  <si>
    <t>OSC_FRC_DIV_BY_16</t>
  </si>
  <si>
    <t>selectPLL</t>
  </si>
  <si>
    <t>PLLFrequencyRange</t>
  </si>
  <si>
    <t>OSC_SYSPLL_FREQ_RANGE_BYPASS,</t>
  </si>
  <si>
    <t>OSC_SYSPLL_FREQ_RANGE_34M_TO_68M</t>
  </si>
  <si>
    <t>OSC_SYSPLL_FREQ_RANGE_5M_TO_10M</t>
  </si>
  <si>
    <t>OSC_SYSPLL_FREQ_RANGE_8M_TO_16M</t>
  </si>
  <si>
    <t>OSC_SYSPLL_FREQ_RANGE_13M_TO_26M</t>
  </si>
  <si>
    <t>OSC_SYSPLL_FREQ_RANGE_21M_TO_42M</t>
  </si>
  <si>
    <t>PLLInClockSource</t>
  </si>
  <si>
    <t>OSC_SYSPLL_IN_CLK_SOURCE_PRIMARY</t>
  </si>
  <si>
    <t>OSC_SYSPLL_IN_CLK_SOURCE_FRC</t>
  </si>
  <si>
    <t>PLLInDiv</t>
  </si>
  <si>
    <t>OSC_SYSPLL_IN_DIV_8</t>
  </si>
  <si>
    <t>OSC_SYSPLL_IN_DIV_1</t>
  </si>
  <si>
    <t>OSC_SYSPLL_IN_DIV_2</t>
  </si>
  <si>
    <t>OSC_SYSPLL_IN_DIV_3</t>
  </si>
  <si>
    <t>OSC_SYSPLL_IN_DIV_4</t>
  </si>
  <si>
    <t>OSC_SYSPLL_IN_DIV_5</t>
  </si>
  <si>
    <t>OSC_SYSPLL_IN_DIV_6</t>
  </si>
  <si>
    <t>OSC_SYSPLL_IN_DIV_7</t>
  </si>
  <si>
    <t>pll_multiplier</t>
  </si>
  <si>
    <t>…</t>
  </si>
  <si>
    <t>OSC_SYSPLL_OUT_DIV_256</t>
  </si>
  <si>
    <t>PLLOutDiv</t>
  </si>
  <si>
    <t>OSC_SYSPLL_OUT_DIV_1</t>
  </si>
  <si>
    <t>OSC_SYSPLL_OUT_DIV_2</t>
  </si>
  <si>
    <t>OSC_SYSPLL_OUT_DIV_4</t>
  </si>
  <si>
    <t>OSC_SYSPLL_OUT_DIV_8</t>
  </si>
  <si>
    <t>OSC_SYSPLL_OUT_DIV_16</t>
  </si>
  <si>
    <t>OSC_SYSPLL_OUT_DIV_32</t>
  </si>
  <si>
    <t>OSC_SYSPLL_OUT_DIV_64</t>
  </si>
  <si>
    <t>peripheralBusClkDiv</t>
  </si>
  <si>
    <t>tuningValue</t>
  </si>
  <si>
    <t>PLIB_OSC_SysPLLFrequencyRangeSet(OSC_ID_0, PLLFrequencyRange);    //default value set by FPLLRNG</t>
  </si>
  <si>
    <t>PLIB_OSC_SysPLLInputClockSourceSet(OSC_ID_0, PLLInClockSource);        //default value set by FPLLICLK</t>
  </si>
  <si>
    <t>PLIB_OSC_SysPLLInputDivisorSet(OSC_ID_0, PLLInDiv);                                 //default value set by FPLLIDIV</t>
  </si>
  <si>
    <t>PLIB_OSC_SysPLLMultiplierSelect(OSC_ID_0, pll_multiplier);                           //default value set by FPLLMULT</t>
  </si>
  <si>
    <t>PLIB_OSC_SysPLLOutputDivisorSet(OSC_ID_0, PLLOutDiv);                           //default value set by FPLLODIV</t>
  </si>
  <si>
    <t>PLIB_OSC_PLLDisable(OSC_ID_0, selectPLL);                                                 //disables USB or System PLL</t>
  </si>
  <si>
    <t>PLIB_OSC_SecondaryEnable(OSC_ID_0);                                                         //default value set by FSOSCEN</t>
  </si>
  <si>
    <t>PLIB_OSC_SecondaryDisable(OSC_ID_0);                                                        //default value set by FSOSCEN</t>
  </si>
  <si>
    <t>PLIB_OSC_SysClockSelect(OSC_ID_0, newOsc);                                              //default value set by FNOSC</t>
  </si>
  <si>
    <t>PLIB_OSC_PBOutputClockEnable (OSC_ID_0, peripheralBusNumber);        //controls "ON" bit in PBxDIV register</t>
  </si>
  <si>
    <t>PLIB_OSC_PBOutputClockDisable (OSC_ID_0, peripheralBusNumber);       //controls "ON" bit in PBxDIV register</t>
  </si>
  <si>
    <t>PLIB_OSC_PLLEnable(OSC_ID_0, selectPLL);                                                  //enables USB or System PLL</t>
  </si>
  <si>
    <t>PLIB_OSC_ReferenceOscBaseClockSelect (OSC_ID_0, OSC_REFERENCE_1, refOscBaseClock);</t>
  </si>
  <si>
    <t>refOscBaseClock</t>
  </si>
  <si>
    <t>OSC_REF_BASECLOCK_EXT</t>
  </si>
  <si>
    <t>OSC_REF_BASECLOCK_SYSCLK</t>
  </si>
  <si>
    <t>OSC_REF_BASECLOCK_PBCLK</t>
  </si>
  <si>
    <t>OSC_REF_BASECLOCK_PRIMARY</t>
  </si>
  <si>
    <t>OSC_REF_BASECLOCK_FRC</t>
  </si>
  <si>
    <t>OSC_REF_BASECLOCK_LPRC</t>
  </si>
  <si>
    <t>OSC_REF_BASECLOCK_SOSC</t>
  </si>
  <si>
    <t>OSC_REF_BASECLOCK_SYSPLLOUT</t>
  </si>
  <si>
    <t>PLIB_OSC_ReferenceOscDisable(OSC_ID_0, OSC_REFERENCE_1);</t>
  </si>
  <si>
    <t>PLIB_OSC_ReferenceOscEnable(OSC_ID_0, OSC_REFERENCE_1);</t>
  </si>
  <si>
    <t>PLIB_OSC_ReferenceOscDivisorValueSet(OSC_ID_0, OSC_REFERENCE_1, refOscDiv);</t>
  </si>
  <si>
    <t>refOscDiv</t>
  </si>
  <si>
    <t>OSC_REF_DIV_32768</t>
  </si>
  <si>
    <t>OSC_REF_DIV_1</t>
  </si>
  <si>
    <t>OSC_REF_DIV_2</t>
  </si>
  <si>
    <t>OSC_REF_DIV_4</t>
  </si>
  <si>
    <t>OSC_REF_DIV_8</t>
  </si>
  <si>
    <t>OSC_REF_DIV_16</t>
  </si>
  <si>
    <t>OSC_REF_DIV_32</t>
  </si>
  <si>
    <t>OSC_REF_DIV_64</t>
  </si>
  <si>
    <t>OSC_REF_DIV_128</t>
  </si>
  <si>
    <t>OSC_REF_DIV_256</t>
  </si>
  <si>
    <t>OSC_REF_DIV_512</t>
  </si>
  <si>
    <t>OSC_REF_DIV_1024</t>
  </si>
  <si>
    <t>OSC_REF_DIV_2048</t>
  </si>
  <si>
    <t>OSC_REF_DIV_4096</t>
  </si>
  <si>
    <t>OSC_REF_DIV_8192</t>
  </si>
  <si>
    <t>OSC_REF_DIV_16384</t>
  </si>
  <si>
    <t>PLIB_OSC_ReferenceOscTrimSet(OSC_ID_0, OSC_REFERENCE_1, trimValue);</t>
  </si>
  <si>
    <t>trimValue</t>
  </si>
  <si>
    <t>PLIB_OSC_ReferenceOutputDisable(OSC_ID_0, OSC_REFERENCE_1);</t>
  </si>
  <si>
    <t>PLIB_OSC_ReferenceOutputEnable(OSC_ID_0, OSC_REFERENCE_1);</t>
  </si>
  <si>
    <t>trimValue =</t>
  </si>
  <si>
    <t>refOscDiv =</t>
  </si>
  <si>
    <t>refOscBaseClock =</t>
  </si>
  <si>
    <t>OSC_REF_BASECLOCK_BFRC</t>
  </si>
  <si>
    <t>refOscDiv + trimValue =</t>
  </si>
  <si>
    <t>(this is a 15 bit field that can hold values from 1 to 32768)</t>
  </si>
  <si>
    <t>x = 1, 3, 4 (REFCLK2 is internal only)</t>
  </si>
  <si>
    <t>Default PIC32MZ Oscillator Configuration Settings:</t>
  </si>
  <si>
    <t xml:space="preserve">External Clock Freq = </t>
  </si>
  <si>
    <t xml:space="preserve">External Crystal Freq = </t>
  </si>
  <si>
    <t>Is input to PLL outside of this range:?</t>
  </si>
  <si>
    <t>PLIB_OSC_FRCDivisorSelect (OSC_ID_0, divisorFRC);</t>
  </si>
  <si>
    <t>RANGE_5_10_MHZ</t>
  </si>
  <si>
    <t>RANGE_34_64_MHZ</t>
  </si>
  <si>
    <t>RANGE_21_42_MHZ</t>
  </si>
  <si>
    <t>RANGE_13_26_MHZ</t>
  </si>
  <si>
    <t>E46</t>
  </si>
  <si>
    <t>Is SOSC &lt; 32KHz?</t>
  </si>
  <si>
    <t>Is SOSC &gt; 100KHz?</t>
  </si>
  <si>
    <t>Is tthere a problem?</t>
  </si>
  <si>
    <t>3)  Password to unprotect = "microchip"</t>
  </si>
  <si>
    <t>PIC32MX Oscillator Configuration</t>
  </si>
  <si>
    <t>1)  Settings that produce red cells are invalid.</t>
  </si>
  <si>
    <t>COSC =</t>
  </si>
  <si>
    <t>FPLLMUL =</t>
  </si>
  <si>
    <t>usbClock=</t>
  </si>
  <si>
    <t>SYS_OSC_USBCLK_PRIMARY</t>
  </si>
  <si>
    <t>UPLLIDIV=</t>
  </si>
  <si>
    <t>UPLLEN=</t>
  </si>
  <si>
    <t>FPBDIV =</t>
  </si>
  <si>
    <t>FRCPLL</t>
  </si>
  <si>
    <t>#pragma config FPBDIV =</t>
  </si>
  <si>
    <t>#pragma config FPLLMUL =</t>
  </si>
  <si>
    <t>#pragma config UPLLIDIV =</t>
  </si>
  <si>
    <t>XT</t>
  </si>
  <si>
    <t>PLIB_OSC_UsbClockSourceSelect(OSC_ID_0, usbClock);       // selects the Primary or FRC as base for USB clock</t>
  </si>
  <si>
    <t>DIV_10</t>
  </si>
  <si>
    <t>DIV_12</t>
  </si>
  <si>
    <t>DIV_64</t>
  </si>
  <si>
    <t>DIV_256</t>
  </si>
  <si>
    <t>FRC</t>
  </si>
  <si>
    <t>PRI</t>
  </si>
  <si>
    <t>PRIPLL</t>
  </si>
  <si>
    <t>FRCDIV16</t>
  </si>
  <si>
    <t>UPLLIDIV =</t>
  </si>
  <si>
    <t>usbClock</t>
  </si>
  <si>
    <t>SYS_OSC_USBCLK_FRC</t>
  </si>
  <si>
    <t>OSC_REF_BASECLOCK_USBCLK</t>
  </si>
  <si>
    <t>Is PLL output or SYSCLK &gt;100?</t>
  </si>
  <si>
    <t>M33</t>
  </si>
  <si>
    <t>Is USB PLL input &gt; 4?</t>
  </si>
  <si>
    <t>Is USB PLL input &lt; 4?</t>
  </si>
  <si>
    <t>M20</t>
  </si>
  <si>
    <t>Is PLL input &lt;4?</t>
  </si>
  <si>
    <t>Is PLL input &gt;5?</t>
  </si>
  <si>
    <t>Is PLL enabled (1 = enabled)?</t>
  </si>
  <si>
    <t>E23</t>
  </si>
  <si>
    <t>POSCMOD = XT?</t>
  </si>
  <si>
    <t>Is external osc &lt; 4?</t>
  </si>
  <si>
    <t>Is external osc &gt; 10?</t>
  </si>
  <si>
    <t>POSCMOD = HS?</t>
  </si>
  <si>
    <t>Is external osc &lt; 10?</t>
  </si>
  <si>
    <t>Is external osc &gt; 25?</t>
  </si>
  <si>
    <t>E22</t>
  </si>
  <si>
    <t>Is external clock &gt;40 MHz?</t>
  </si>
  <si>
    <t>Oscillator specs per MX1XX/2XX data sheet:</t>
  </si>
  <si>
    <t>ECPLL</t>
  </si>
  <si>
    <t>OS11</t>
  </si>
  <si>
    <t>OS12</t>
  </si>
  <si>
    <t>XTPLL</t>
  </si>
  <si>
    <t>HS/HSPLL</t>
  </si>
  <si>
    <t>Oscillator specs per MX3XX/4XX data sheet:</t>
  </si>
  <si>
    <t>Oscillator specs per MX330/350/370/430/450/470 data sheet:</t>
  </si>
  <si>
    <t>External CLKI Frequency (-40 to 85C)</t>
  </si>
  <si>
    <t>External CLKI Frequency (-40 to 105C)</t>
  </si>
  <si>
    <t>Oscillator specs per MX5XX/6XX/7XX data sheet:</t>
  </si>
  <si>
    <t>PLIB_OSC_PBClockDivisorSet (OSC_ID_0, OSC_PERIPHERAL_BUS_1, peripheralBusClkDiv); //default = FPBDIV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</si>
</sst>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
    <numFmt numFmtId="167" formatCode="0.0"/>
  </numFmts>
  <fonts count="7" x14ac:knownFonts="1">
    <font>
      <sz val="11"/>
      <color theme="1"/>
      <name val="Calibri"/>
      <family val="2"/>
      <scheme val="minor"/>
    </font>
    <font>
      <sz val="10"/>
      <name val="Arial"/>
      <family val="2"/>
    </font>
    <font>
      <sz val="11"/>
      <color theme="1"/>
      <name val="Arial"/>
      <family val="2"/>
    </font>
    <font>
      <b/>
      <sz val="22"/>
      <color theme="1"/>
      <name val="Arial"/>
      <family val="2"/>
    </font>
    <font>
      <b/>
      <sz val="12"/>
      <color theme="1"/>
      <name val="Arial"/>
      <family val="2"/>
    </font>
    <font>
      <b/>
      <sz val="11"/>
      <color rgb="FF000000"/>
      <name val="Arial"/>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2" borderId="1" xfId="0" applyFont="1" applyFill="1" applyBorder="1"/>
    <xf numFmtId="1" fontId="0" fillId="0" borderId="0" xfId="0" applyNumberFormat="1" applyAlignment="1">
      <alignment horizontal="right"/>
    </xf>
    <xf numFmtId="0" fontId="2" fillId="0" borderId="0" xfId="0" applyFont="1" applyAlignment="1">
      <alignment horizontal="right"/>
    </xf>
    <xf numFmtId="0" fontId="2" fillId="0" borderId="0" xfId="0" applyFont="1"/>
    <xf numFmtId="0" fontId="2" fillId="0" borderId="0" xfId="0" applyFont="1" applyBorder="1"/>
    <xf numFmtId="0" fontId="2" fillId="0" borderId="0" xfId="0" applyFont="1" applyBorder="1" applyAlignment="1">
      <alignment horizontal="right"/>
    </xf>
    <xf numFmtId="0" fontId="2" fillId="0" borderId="0" xfId="0" applyFont="1" applyBorder="1" applyAlignment="1">
      <alignment wrapText="1"/>
    </xf>
    <xf numFmtId="0" fontId="2" fillId="0" borderId="0" xfId="0" applyFont="1" applyFill="1"/>
    <xf numFmtId="0" fontId="2" fillId="0" borderId="0" xfId="0" applyFont="1" applyAlignment="1">
      <alignment horizontal="left"/>
    </xf>
    <xf numFmtId="164" fontId="2" fillId="0" borderId="0" xfId="0" applyNumberFormat="1" applyFont="1"/>
    <xf numFmtId="0" fontId="3" fillId="0" borderId="0" xfId="0" applyFont="1"/>
    <xf numFmtId="0" fontId="4" fillId="0" borderId="0" xfId="0" applyFont="1"/>
    <xf numFmtId="0" fontId="5" fillId="0" borderId="0" xfId="0" applyFont="1"/>
    <xf numFmtId="0" fontId="2" fillId="3" borderId="2" xfId="0" applyFont="1" applyFill="1" applyBorder="1"/>
    <xf numFmtId="0" fontId="2" fillId="3" borderId="1" xfId="0" applyFont="1" applyFill="1" applyBorder="1"/>
    <xf numFmtId="0" fontId="2" fillId="3" borderId="1" xfId="0" applyFont="1" applyFill="1" applyBorder="1" applyAlignment="1">
      <alignment horizontal="left"/>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quotePrefix="1" applyFont="1" applyBorder="1" applyAlignment="1">
      <alignment horizontal="right"/>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165" fontId="2" fillId="0" borderId="0" xfId="0" applyNumberFormat="1" applyFont="1" applyBorder="1"/>
    <xf numFmtId="0" fontId="2" fillId="0" borderId="0" xfId="0" applyFont="1" applyBorder="1" applyAlignment="1">
      <alignment horizontal="center"/>
    </xf>
    <xf numFmtId="2" fontId="2" fillId="0" borderId="0" xfId="0" applyNumberFormat="1" applyFont="1"/>
    <xf numFmtId="0" fontId="2" fillId="0" borderId="5" xfId="0" applyFont="1" applyBorder="1" applyAlignment="1">
      <alignment horizontal="left"/>
    </xf>
    <xf numFmtId="0" fontId="2" fillId="0" borderId="8" xfId="0" applyFont="1" applyBorder="1" applyAlignment="1">
      <alignment horizontal="right"/>
    </xf>
    <xf numFmtId="166" fontId="2" fillId="0" borderId="0" xfId="0" applyNumberFormat="1" applyFont="1" applyBorder="1"/>
    <xf numFmtId="166" fontId="2" fillId="0" borderId="0" xfId="0" applyNumberFormat="1" applyFont="1"/>
    <xf numFmtId="166" fontId="2" fillId="0" borderId="0" xfId="0" applyNumberFormat="1" applyFont="1" applyAlignment="1">
      <alignment horizontal="left"/>
    </xf>
    <xf numFmtId="0" fontId="2" fillId="0" borderId="0" xfId="0" applyFont="1" applyFill="1" applyBorder="1" applyAlignment="1"/>
    <xf numFmtId="167" fontId="2" fillId="0" borderId="0" xfId="0" applyNumberFormat="1" applyFont="1"/>
    <xf numFmtId="0" fontId="2"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left"/>
    </xf>
    <xf numFmtId="0" fontId="2" fillId="0" borderId="0" xfId="0" applyFont="1" applyAlignment="1">
      <alignment horizontal="center"/>
    </xf>
    <xf numFmtId="2" fontId="2" fillId="0" borderId="0" xfId="0" applyNumberFormat="1" applyFont="1" applyAlignment="1">
      <alignment horizontal="right"/>
    </xf>
    <xf numFmtId="0" fontId="2" fillId="0" borderId="0" xfId="0" applyNumberFormat="1" applyFont="1"/>
    <xf numFmtId="167" fontId="2" fillId="0" borderId="0" xfId="0" applyNumberFormat="1" applyFont="1" applyBorder="1"/>
    <xf numFmtId="0" fontId="2" fillId="0" borderId="0" xfId="0" applyNumberFormat="1" applyFont="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16" xfId="0" applyFont="1" applyFill="1" applyBorder="1" applyAlignment="1">
      <alignment horizontal="center"/>
    </xf>
    <xf numFmtId="0" fontId="2" fillId="3" borderId="3" xfId="0" applyFont="1" applyFill="1" applyBorder="1" applyAlignment="1">
      <alignment horizontal="left"/>
    </xf>
    <xf numFmtId="0" fontId="2" fillId="3" borderId="16" xfId="0" applyFont="1" applyFill="1" applyBorder="1" applyAlignment="1">
      <alignment horizontal="left"/>
    </xf>
    <xf numFmtId="0" fontId="2" fillId="3" borderId="4" xfId="0" applyFont="1" applyFill="1" applyBorder="1" applyAlignment="1">
      <alignment horizontal="left"/>
    </xf>
  </cellXfs>
  <cellStyles count="1">
    <cellStyle name="Обычный" xfId="0" builtinId="0"/>
  </cellStyles>
  <dxfs count="31">
    <dxf>
      <font>
        <b/>
        <i val="0"/>
        <color theme="0"/>
      </font>
      <fill>
        <patternFill>
          <bgColor rgb="FFC00000"/>
        </patternFill>
      </fill>
    </dxf>
    <dxf>
      <font>
        <b/>
        <i val="0"/>
        <color theme="0"/>
      </font>
      <fill>
        <patternFill>
          <bgColor rgb="FFC0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9" defaultPivotStyle="PivotStyleLight16"/>
  <colors>
    <mruColors>
      <color rgb="FFC0C0C0"/>
      <color rgb="FF697C5B"/>
      <color rgb="FF4559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224790</xdr:colOff>
      <xdr:row>24</xdr:row>
      <xdr:rowOff>172785</xdr:rowOff>
    </xdr:from>
    <xdr:to>
      <xdr:col>8</xdr:col>
      <xdr:colOff>228600</xdr:colOff>
      <xdr:row>25</xdr:row>
      <xdr:rowOff>1905</xdr:rowOff>
    </xdr:to>
    <xdr:cxnSp macro="">
      <xdr:nvCxnSpPr>
        <xdr:cNvPr id="2" name="Straight Arrow Connector 1">
          <a:extLst>
            <a:ext uri="{FF2B5EF4-FFF2-40B4-BE49-F238E27FC236}">
              <a16:creationId xmlns:a16="http://schemas.microsoft.com/office/drawing/2014/main" id="{00000000-0008-0000-0000-000002000000}"/>
            </a:ext>
          </a:extLst>
        </xdr:cNvPr>
        <xdr:cNvCxnSpPr>
          <a:stCxn id="4" idx="3"/>
          <a:endCxn id="52" idx="1"/>
        </xdr:cNvCxnSpPr>
      </xdr:nvCxnSpPr>
      <xdr:spPr>
        <a:xfrm flipV="1">
          <a:off x="2175510" y="4569525"/>
          <a:ext cx="193167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2098358" y="4410075"/>
          <a:ext cx="156210" cy="156210"/>
          <a:chOff x="7957185" y="6433185"/>
          <a:chExt cx="156210" cy="160020"/>
        </a:xfrm>
      </xdr:grpSpPr>
      <xdr:sp macro="" textlink="">
        <xdr:nvSpPr>
          <xdr:cNvPr id="4" name="Rectangle 3">
            <a:extLst>
              <a:ext uri="{FF2B5EF4-FFF2-40B4-BE49-F238E27FC236}">
                <a16:creationId xmlns:a16="http://schemas.microsoft.com/office/drawing/2014/main" id="{00000000-0008-0000-0000-000004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2100263" y="5276850"/>
          <a:ext cx="156210" cy="148590"/>
          <a:chOff x="7957185" y="6433185"/>
          <a:chExt cx="156210" cy="16002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11" name="Straight Connector 10">
          <a:extLst>
            <a:ext uri="{FF2B5EF4-FFF2-40B4-BE49-F238E27FC236}">
              <a16:creationId xmlns:a16="http://schemas.microsoft.com/office/drawing/2014/main" id="{00000000-0008-0000-0000-00000B000000}"/>
            </a:ext>
          </a:extLst>
        </xdr:cNvPr>
        <xdr:cNvCxnSpPr>
          <a:endCxn id="8" idx="3"/>
        </xdr:cNvCxnSpPr>
      </xdr:nvCxnSpPr>
      <xdr:spPr>
        <a:xfrm flipH="1" flipV="1">
          <a:off x="2177415" y="54558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12" name="Group 11">
          <a:extLst>
            <a:ext uri="{FF2B5EF4-FFF2-40B4-BE49-F238E27FC236}">
              <a16:creationId xmlns:a16="http://schemas.microsoft.com/office/drawing/2014/main" id="{00000000-0008-0000-0000-00000C000000}"/>
            </a:ext>
          </a:extLst>
        </xdr:cNvPr>
        <xdr:cNvGrpSpPr/>
      </xdr:nvGrpSpPr>
      <xdr:grpSpPr>
        <a:xfrm>
          <a:off x="2406968" y="4488180"/>
          <a:ext cx="200025" cy="862965"/>
          <a:chOff x="8985885" y="6543675"/>
          <a:chExt cx="139065" cy="923925"/>
        </a:xfrm>
      </xdr:grpSpPr>
      <xdr:cxnSp macro="">
        <xdr:nvCxnSpPr>
          <xdr:cNvPr id="13" name="Straight Connector 12">
            <a:extLst>
              <a:ext uri="{FF2B5EF4-FFF2-40B4-BE49-F238E27FC236}">
                <a16:creationId xmlns:a16="http://schemas.microsoft.com/office/drawing/2014/main" id="{00000000-0008-0000-0000-00000D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0000-00000F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000-000010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0000-000012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0000-000013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2777490" y="4491990"/>
          <a:ext cx="403860" cy="864871"/>
          <a:chOff x="9351645" y="6551295"/>
          <a:chExt cx="411480" cy="922021"/>
        </a:xfrm>
      </xdr:grpSpPr>
      <xdr:cxnSp macro="">
        <xdr:nvCxnSpPr>
          <xdr:cNvPr id="22" name="Straight Connector 21">
            <a:extLst>
              <a:ext uri="{FF2B5EF4-FFF2-40B4-BE49-F238E27FC236}">
                <a16:creationId xmlns:a16="http://schemas.microsoft.com/office/drawing/2014/main" id="{00000000-0008-0000-0000-000016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Isosceles Triangle 22">
            <a:extLst>
              <a:ext uri="{FF2B5EF4-FFF2-40B4-BE49-F238E27FC236}">
                <a16:creationId xmlns:a16="http://schemas.microsoft.com/office/drawing/2014/main" id="{00000000-0008-0000-0000-000017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 name="Oval 23">
            <a:extLst>
              <a:ext uri="{FF2B5EF4-FFF2-40B4-BE49-F238E27FC236}">
                <a16:creationId xmlns:a16="http://schemas.microsoft.com/office/drawing/2014/main" id="{00000000-0008-0000-0000-000018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25" name="Straight Arrow Connector 24">
          <a:extLst>
            <a:ext uri="{FF2B5EF4-FFF2-40B4-BE49-F238E27FC236}">
              <a16:creationId xmlns:a16="http://schemas.microsoft.com/office/drawing/2014/main" id="{00000000-0008-0000-0000-000019000000}"/>
            </a:ext>
          </a:extLst>
        </xdr:cNvPr>
        <xdr:cNvCxnSpPr>
          <a:stCxn id="30" idx="1"/>
          <a:endCxn id="23" idx="1"/>
        </xdr:cNvCxnSpPr>
      </xdr:nvCxnSpPr>
      <xdr:spPr>
        <a:xfrm flipH="1">
          <a:off x="2979420" y="499872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17</xdr:row>
      <xdr:rowOff>97155</xdr:rowOff>
    </xdr:from>
    <xdr:to>
      <xdr:col>17</xdr:col>
      <xdr:colOff>403860</xdr:colOff>
      <xdr:row>19</xdr:row>
      <xdr:rowOff>112395</xdr:rowOff>
    </xdr:to>
    <xdr:sp macro="" textlink="">
      <xdr:nvSpPr>
        <xdr:cNvPr id="26" name="Rounded Rectangle 25">
          <a:extLst>
            <a:ext uri="{FF2B5EF4-FFF2-40B4-BE49-F238E27FC236}">
              <a16:creationId xmlns:a16="http://schemas.microsoft.com/office/drawing/2014/main" id="{00000000-0008-0000-0000-00001A000000}"/>
            </a:ext>
          </a:extLst>
        </xdr:cNvPr>
        <xdr:cNvSpPr/>
      </xdr:nvSpPr>
      <xdr:spPr>
        <a:xfrm>
          <a:off x="9128759" y="326707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17</xdr:row>
      <xdr:rowOff>99056</xdr:rowOff>
    </xdr:from>
    <xdr:to>
      <xdr:col>8</xdr:col>
      <xdr:colOff>342901</xdr:colOff>
      <xdr:row>19</xdr:row>
      <xdr:rowOff>114296</xdr:rowOff>
    </xdr:to>
    <xdr:sp macro="" textlink="">
      <xdr:nvSpPr>
        <xdr:cNvPr id="27" name="Rounded Rectangle 26">
          <a:extLst>
            <a:ext uri="{FF2B5EF4-FFF2-40B4-BE49-F238E27FC236}">
              <a16:creationId xmlns:a16="http://schemas.microsoft.com/office/drawing/2014/main" id="{00000000-0008-0000-0000-00001B000000}"/>
            </a:ext>
          </a:extLst>
        </xdr:cNvPr>
        <xdr:cNvSpPr/>
      </xdr:nvSpPr>
      <xdr:spPr>
        <a:xfrm>
          <a:off x="3535681" y="326897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17</xdr:row>
      <xdr:rowOff>97154</xdr:rowOff>
    </xdr:from>
    <xdr:to>
      <xdr:col>11</xdr:col>
      <xdr:colOff>344804</xdr:colOff>
      <xdr:row>19</xdr:row>
      <xdr:rowOff>112394</xdr:rowOff>
    </xdr:to>
    <xdr:sp macro="" textlink="">
      <xdr:nvSpPr>
        <xdr:cNvPr id="28" name="Rounded Rectangle 27">
          <a:extLst>
            <a:ext uri="{FF2B5EF4-FFF2-40B4-BE49-F238E27FC236}">
              <a16:creationId xmlns:a16="http://schemas.microsoft.com/office/drawing/2014/main" id="{00000000-0008-0000-0000-00001C000000}"/>
            </a:ext>
          </a:extLst>
        </xdr:cNvPr>
        <xdr:cNvSpPr/>
      </xdr:nvSpPr>
      <xdr:spPr>
        <a:xfrm>
          <a:off x="5648324"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17</xdr:row>
      <xdr:rowOff>97154</xdr:rowOff>
    </xdr:from>
    <xdr:to>
      <xdr:col>14</xdr:col>
      <xdr:colOff>339089</xdr:colOff>
      <xdr:row>19</xdr:row>
      <xdr:rowOff>112394</xdr:rowOff>
    </xdr:to>
    <xdr:sp macro="" textlink="">
      <xdr:nvSpPr>
        <xdr:cNvPr id="29" name="Rounded Rectangle 28">
          <a:extLst>
            <a:ext uri="{FF2B5EF4-FFF2-40B4-BE49-F238E27FC236}">
              <a16:creationId xmlns:a16="http://schemas.microsoft.com/office/drawing/2014/main" id="{00000000-0008-0000-0000-00001D000000}"/>
            </a:ext>
          </a:extLst>
        </xdr:cNvPr>
        <xdr:cNvSpPr/>
      </xdr:nvSpPr>
      <xdr:spPr>
        <a:xfrm>
          <a:off x="7364729"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30" name="Rounded Rectangle 29">
          <a:extLst>
            <a:ext uri="{FF2B5EF4-FFF2-40B4-BE49-F238E27FC236}">
              <a16:creationId xmlns:a16="http://schemas.microsoft.com/office/drawing/2014/main" id="{00000000-0008-0000-0000-00001E000000}"/>
            </a:ext>
          </a:extLst>
        </xdr:cNvPr>
        <xdr:cNvSpPr/>
      </xdr:nvSpPr>
      <xdr:spPr>
        <a:xfrm>
          <a:off x="3404235" y="481584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18</xdr:row>
      <xdr:rowOff>104774</xdr:rowOff>
    </xdr:from>
    <xdr:to>
      <xdr:col>10</xdr:col>
      <xdr:colOff>398144</xdr:colOff>
      <xdr:row>18</xdr:row>
      <xdr:rowOff>106676</xdr:rowOff>
    </xdr:to>
    <xdr:cxnSp macro="">
      <xdr:nvCxnSpPr>
        <xdr:cNvPr id="31" name="Straight Arrow Connector 30">
          <a:extLst>
            <a:ext uri="{FF2B5EF4-FFF2-40B4-BE49-F238E27FC236}">
              <a16:creationId xmlns:a16="http://schemas.microsoft.com/office/drawing/2014/main" id="{00000000-0008-0000-0000-00001F000000}"/>
            </a:ext>
          </a:extLst>
        </xdr:cNvPr>
        <xdr:cNvCxnSpPr>
          <a:stCxn id="27" idx="3"/>
          <a:endCxn id="28" idx="1"/>
        </xdr:cNvCxnSpPr>
      </xdr:nvCxnSpPr>
      <xdr:spPr>
        <a:xfrm flipV="1">
          <a:off x="4221481" y="3449954"/>
          <a:ext cx="142684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18</xdr:row>
      <xdr:rowOff>104774</xdr:rowOff>
    </xdr:from>
    <xdr:to>
      <xdr:col>13</xdr:col>
      <xdr:colOff>392429</xdr:colOff>
      <xdr:row>18</xdr:row>
      <xdr:rowOff>104774</xdr:rowOff>
    </xdr:to>
    <xdr:cxnSp macro="">
      <xdr:nvCxnSpPr>
        <xdr:cNvPr id="32" name="Straight Arrow Connector 31">
          <a:extLst>
            <a:ext uri="{FF2B5EF4-FFF2-40B4-BE49-F238E27FC236}">
              <a16:creationId xmlns:a16="http://schemas.microsoft.com/office/drawing/2014/main" id="{00000000-0008-0000-0000-000020000000}"/>
            </a:ext>
          </a:extLst>
        </xdr:cNvPr>
        <xdr:cNvCxnSpPr>
          <a:stCxn id="28" idx="3"/>
          <a:endCxn id="29" idx="1"/>
        </xdr:cNvCxnSpPr>
      </xdr:nvCxnSpPr>
      <xdr:spPr>
        <a:xfrm>
          <a:off x="6334124" y="3449954"/>
          <a:ext cx="10306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18</xdr:row>
      <xdr:rowOff>104774</xdr:rowOff>
    </xdr:from>
    <xdr:to>
      <xdr:col>16</xdr:col>
      <xdr:colOff>358139</xdr:colOff>
      <xdr:row>18</xdr:row>
      <xdr:rowOff>104775</xdr:rowOff>
    </xdr:to>
    <xdr:cxnSp macro="">
      <xdr:nvCxnSpPr>
        <xdr:cNvPr id="33" name="Straight Arrow Connector 32">
          <a:extLst>
            <a:ext uri="{FF2B5EF4-FFF2-40B4-BE49-F238E27FC236}">
              <a16:creationId xmlns:a16="http://schemas.microsoft.com/office/drawing/2014/main" id="{00000000-0008-0000-0000-000021000000}"/>
            </a:ext>
          </a:extLst>
        </xdr:cNvPr>
        <xdr:cNvCxnSpPr>
          <a:stCxn id="29" idx="3"/>
          <a:endCxn id="26" idx="1"/>
        </xdr:cNvCxnSpPr>
      </xdr:nvCxnSpPr>
      <xdr:spPr>
        <a:xfrm>
          <a:off x="8050529" y="3449954"/>
          <a:ext cx="10782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18</xdr:row>
      <xdr:rowOff>95251</xdr:rowOff>
    </xdr:from>
    <xdr:to>
      <xdr:col>18</xdr:col>
      <xdr:colOff>525780</xdr:colOff>
      <xdr:row>18</xdr:row>
      <xdr:rowOff>104775</xdr:rowOff>
    </xdr:to>
    <xdr:cxnSp macro="">
      <xdr:nvCxnSpPr>
        <xdr:cNvPr id="34" name="Straight Arrow Connector 33">
          <a:extLst>
            <a:ext uri="{FF2B5EF4-FFF2-40B4-BE49-F238E27FC236}">
              <a16:creationId xmlns:a16="http://schemas.microsoft.com/office/drawing/2014/main" id="{00000000-0008-0000-0000-000022000000}"/>
            </a:ext>
          </a:extLst>
        </xdr:cNvPr>
        <xdr:cNvCxnSpPr>
          <a:stCxn id="26" idx="3"/>
        </xdr:cNvCxnSpPr>
      </xdr:nvCxnSpPr>
      <xdr:spPr>
        <a:xfrm flipV="1">
          <a:off x="9913620" y="3440431"/>
          <a:ext cx="54864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160020</xdr:rowOff>
    </xdr:from>
    <xdr:to>
      <xdr:col>7</xdr:col>
      <xdr:colOff>388620</xdr:colOff>
      <xdr:row>17</xdr:row>
      <xdr:rowOff>167640</xdr:rowOff>
    </xdr:to>
    <xdr:cxnSp macro="">
      <xdr:nvCxnSpPr>
        <xdr:cNvPr id="35" name="Straight Arrow Connector 34">
          <a:extLst>
            <a:ext uri="{FF2B5EF4-FFF2-40B4-BE49-F238E27FC236}">
              <a16:creationId xmlns:a16="http://schemas.microsoft.com/office/drawing/2014/main" id="{00000000-0008-0000-0000-000023000000}"/>
            </a:ext>
          </a:extLst>
        </xdr:cNvPr>
        <xdr:cNvCxnSpPr/>
      </xdr:nvCxnSpPr>
      <xdr:spPr>
        <a:xfrm flipV="1">
          <a:off x="2537460" y="332994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36" name="Rounded Rectangle 35">
          <a:extLst>
            <a:ext uri="{FF2B5EF4-FFF2-40B4-BE49-F238E27FC236}">
              <a16:creationId xmlns:a16="http://schemas.microsoft.com/office/drawing/2014/main" id="{00000000-0008-0000-0000-000024000000}"/>
            </a:ext>
          </a:extLst>
        </xdr:cNvPr>
        <xdr:cNvSpPr/>
      </xdr:nvSpPr>
      <xdr:spPr>
        <a:xfrm>
          <a:off x="1562100" y="192786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1562100" y="482346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18</xdr:row>
      <xdr:rowOff>0</xdr:rowOff>
    </xdr:to>
    <xdr:cxnSp macro="">
      <xdr:nvCxnSpPr>
        <xdr:cNvPr id="38" name="Straight Arrow Connector 37">
          <a:extLst>
            <a:ext uri="{FF2B5EF4-FFF2-40B4-BE49-F238E27FC236}">
              <a16:creationId xmlns:a16="http://schemas.microsoft.com/office/drawing/2014/main" id="{00000000-0008-0000-0000-000026000000}"/>
            </a:ext>
          </a:extLst>
        </xdr:cNvPr>
        <xdr:cNvCxnSpPr/>
      </xdr:nvCxnSpPr>
      <xdr:spPr>
        <a:xfrm flipH="1">
          <a:off x="2529840" y="2202176"/>
          <a:ext cx="3810" cy="114300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518160</xdr:colOff>
      <xdr:row>15</xdr:row>
      <xdr:rowOff>99060</xdr:rowOff>
    </xdr:from>
    <xdr:to>
      <xdr:col>18</xdr:col>
      <xdr:colOff>114300</xdr:colOff>
      <xdr:row>22</xdr:row>
      <xdr:rowOff>114300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3055620" y="2910840"/>
          <a:ext cx="7124700" cy="12420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15240</xdr:colOff>
      <xdr:row>18</xdr:row>
      <xdr:rowOff>167640</xdr:rowOff>
    </xdr:from>
    <xdr:to>
      <xdr:col>7</xdr:col>
      <xdr:colOff>15240</xdr:colOff>
      <xdr:row>25</xdr:row>
      <xdr:rowOff>15240</xdr:rowOff>
    </xdr:to>
    <xdr:cxnSp macro="">
      <xdr:nvCxnSpPr>
        <xdr:cNvPr id="40" name="Straight Arrow Connector 39">
          <a:extLst>
            <a:ext uri="{FF2B5EF4-FFF2-40B4-BE49-F238E27FC236}">
              <a16:creationId xmlns:a16="http://schemas.microsoft.com/office/drawing/2014/main" id="{00000000-0008-0000-0000-000028000000}"/>
            </a:ext>
          </a:extLst>
        </xdr:cNvPr>
        <xdr:cNvCxnSpPr/>
      </xdr:nvCxnSpPr>
      <xdr:spPr>
        <a:xfrm>
          <a:off x="3154680" y="3512820"/>
          <a:ext cx="0" cy="107442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18</xdr:row>
      <xdr:rowOff>160020</xdr:rowOff>
    </xdr:from>
    <xdr:to>
      <xdr:col>7</xdr:col>
      <xdr:colOff>388620</xdr:colOff>
      <xdr:row>18</xdr:row>
      <xdr:rowOff>167640</xdr:rowOff>
    </xdr:to>
    <xdr:cxnSp macro="">
      <xdr:nvCxnSpPr>
        <xdr:cNvPr id="41" name="Straight Arrow Connector 40">
          <a:extLst>
            <a:ext uri="{FF2B5EF4-FFF2-40B4-BE49-F238E27FC236}">
              <a16:creationId xmlns:a16="http://schemas.microsoft.com/office/drawing/2014/main" id="{00000000-0008-0000-0000-000029000000}"/>
            </a:ext>
          </a:extLst>
        </xdr:cNvPr>
        <xdr:cNvCxnSpPr/>
      </xdr:nvCxnSpPr>
      <xdr:spPr>
        <a:xfrm flipV="1">
          <a:off x="3147060" y="350520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20</xdr:row>
      <xdr:rowOff>129540</xdr:rowOff>
    </xdr:from>
    <xdr:ext cx="1065613" cy="269369"/>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4541520" y="382524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152400</xdr:rowOff>
    </xdr:from>
    <xdr:to>
      <xdr:col>8</xdr:col>
      <xdr:colOff>274320</xdr:colOff>
      <xdr:row>12</xdr:row>
      <xdr:rowOff>30480</xdr:rowOff>
    </xdr:to>
    <xdr:sp macro="" textlink="">
      <xdr:nvSpPr>
        <xdr:cNvPr id="45" name="Rounded Rectangle 44">
          <a:extLst>
            <a:ext uri="{FF2B5EF4-FFF2-40B4-BE49-F238E27FC236}">
              <a16:creationId xmlns:a16="http://schemas.microsoft.com/office/drawing/2014/main" id="{00000000-0008-0000-0000-00002D000000}"/>
            </a:ext>
          </a:extLst>
        </xdr:cNvPr>
        <xdr:cNvSpPr/>
      </xdr:nvSpPr>
      <xdr:spPr>
        <a:xfrm>
          <a:off x="3621403" y="2087880"/>
          <a:ext cx="5314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5</xdr:col>
      <xdr:colOff>304799</xdr:colOff>
      <xdr:row>11</xdr:row>
      <xdr:rowOff>87628</xdr:rowOff>
    </xdr:from>
    <xdr:to>
      <xdr:col>7</xdr:col>
      <xdr:colOff>481963</xdr:colOff>
      <xdr:row>11</xdr:row>
      <xdr:rowOff>87630</xdr:rowOff>
    </xdr:to>
    <xdr:cxnSp macro="">
      <xdr:nvCxnSpPr>
        <xdr:cNvPr id="46" name="Straight Arrow Connector 45">
          <a:extLst>
            <a:ext uri="{FF2B5EF4-FFF2-40B4-BE49-F238E27FC236}">
              <a16:creationId xmlns:a16="http://schemas.microsoft.com/office/drawing/2014/main" id="{00000000-0008-0000-0000-00002E000000}"/>
            </a:ext>
          </a:extLst>
        </xdr:cNvPr>
        <xdr:cNvCxnSpPr>
          <a:stCxn id="36" idx="3"/>
          <a:endCxn id="45" idx="1"/>
        </xdr:cNvCxnSpPr>
      </xdr:nvCxnSpPr>
      <xdr:spPr>
        <a:xfrm>
          <a:off x="2255519" y="2205988"/>
          <a:ext cx="1365884" cy="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87630</xdr:rowOff>
    </xdr:from>
    <xdr:to>
      <xdr:col>9</xdr:col>
      <xdr:colOff>38100</xdr:colOff>
      <xdr:row>11</xdr:row>
      <xdr:rowOff>88965</xdr:rowOff>
    </xdr:to>
    <xdr:cxnSp macro="">
      <xdr:nvCxnSpPr>
        <xdr:cNvPr id="47" name="Straight Arrow Connector 46">
          <a:extLst>
            <a:ext uri="{FF2B5EF4-FFF2-40B4-BE49-F238E27FC236}">
              <a16:creationId xmlns:a16="http://schemas.microsoft.com/office/drawing/2014/main" id="{00000000-0008-0000-0000-00002F000000}"/>
            </a:ext>
          </a:extLst>
        </xdr:cNvPr>
        <xdr:cNvCxnSpPr>
          <a:stCxn id="45" idx="3"/>
          <a:endCxn id="53" idx="1"/>
        </xdr:cNvCxnSpPr>
      </xdr:nvCxnSpPr>
      <xdr:spPr>
        <a:xfrm>
          <a:off x="4152900" y="2205990"/>
          <a:ext cx="50292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48" name="Rounded Rectangle 47">
          <a:extLst>
            <a:ext uri="{FF2B5EF4-FFF2-40B4-BE49-F238E27FC236}">
              <a16:creationId xmlns:a16="http://schemas.microsoft.com/office/drawing/2014/main" id="{00000000-0008-0000-0000-000030000000}"/>
            </a:ext>
          </a:extLst>
        </xdr:cNvPr>
        <xdr:cNvSpPr/>
      </xdr:nvSpPr>
      <xdr:spPr>
        <a:xfrm>
          <a:off x="1645920" y="133350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49" name="Straight Arrow Connector 48">
          <a:extLst>
            <a:ext uri="{FF2B5EF4-FFF2-40B4-BE49-F238E27FC236}">
              <a16:creationId xmlns:a16="http://schemas.microsoft.com/office/drawing/2014/main" id="{00000000-0008-0000-0000-000031000000}"/>
            </a:ext>
          </a:extLst>
        </xdr:cNvPr>
        <xdr:cNvCxnSpPr>
          <a:stCxn id="48" idx="2"/>
          <a:endCxn id="36" idx="0"/>
        </xdr:cNvCxnSpPr>
      </xdr:nvCxnSpPr>
      <xdr:spPr>
        <a:xfrm flipH="1">
          <a:off x="1908810" y="169926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8</xdr:col>
      <xdr:colOff>228600</xdr:colOff>
      <xdr:row>24</xdr:row>
      <xdr:rowOff>38100</xdr:rowOff>
    </xdr:from>
    <xdr:ext cx="620811" cy="269369"/>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4107180" y="44348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38100</xdr:colOff>
      <xdr:row>10</xdr:row>
      <xdr:rowOff>137160</xdr:rowOff>
    </xdr:from>
    <xdr:ext cx="890115" cy="269369"/>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465582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17</xdr:row>
      <xdr:rowOff>144780</xdr:rowOff>
    </xdr:from>
    <xdr:ext cx="834331" cy="800476"/>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0370820" y="3314700"/>
          <a:ext cx="834331" cy="800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XTPLL =</a:t>
          </a:r>
        </a:p>
        <a:p>
          <a:r>
            <a:rPr lang="en-US" sz="1200" b="1">
              <a:latin typeface="Arial" pitchFamily="34" charset="0"/>
              <a:cs typeface="Arial" pitchFamily="34" charset="0"/>
            </a:rPr>
            <a:t>HSPLL</a:t>
          </a:r>
        </a:p>
        <a:p>
          <a:r>
            <a:rPr lang="en-US" sz="1200" b="1">
              <a:latin typeface="Arial" pitchFamily="34" charset="0"/>
              <a:cs typeface="Arial" pitchFamily="34" charset="0"/>
            </a:rPr>
            <a:t>ECPLL</a:t>
          </a:r>
        </a:p>
        <a:p>
          <a:r>
            <a:rPr lang="en-US" sz="1200" b="1">
              <a:latin typeface="Arial" pitchFamily="34" charset="0"/>
              <a:cs typeface="Arial" pitchFamily="34" charset="0"/>
            </a:rPr>
            <a:t>FRCPLL</a:t>
          </a:r>
        </a:p>
      </xdr:txBody>
    </xdr:sp>
    <xdr:clientData/>
  </xdr:oneCellAnchor>
  <xdr:twoCellAnchor>
    <xdr:from>
      <xdr:col>13</xdr:col>
      <xdr:colOff>281940</xdr:colOff>
      <xdr:row>30</xdr:row>
      <xdr:rowOff>97155</xdr:rowOff>
    </xdr:from>
    <xdr:to>
      <xdr:col>14</xdr:col>
      <xdr:colOff>228600</xdr:colOff>
      <xdr:row>32</xdr:row>
      <xdr:rowOff>112395</xdr:rowOff>
    </xdr:to>
    <xdr:sp macro="" textlink="">
      <xdr:nvSpPr>
        <xdr:cNvPr id="55" name="Rounded Rectangle 54">
          <a:extLst>
            <a:ext uri="{FF2B5EF4-FFF2-40B4-BE49-F238E27FC236}">
              <a16:creationId xmlns:a16="http://schemas.microsoft.com/office/drawing/2014/main" id="{00000000-0008-0000-0000-000037000000}"/>
            </a:ext>
          </a:extLst>
        </xdr:cNvPr>
        <xdr:cNvSpPr/>
      </xdr:nvSpPr>
      <xdr:spPr>
        <a:xfrm>
          <a:off x="7254240" y="554545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a:p>
          <a:pPr algn="ctr"/>
          <a:r>
            <a:rPr lang="en-US" sz="1100">
              <a:latin typeface="Arial" pitchFamily="34" charset="0"/>
              <a:cs typeface="Arial" pitchFamily="34" charset="0"/>
            </a:rPr>
            <a:t>x 24</a:t>
          </a:r>
        </a:p>
      </xdr:txBody>
    </xdr:sp>
    <xdr:clientData/>
  </xdr:twoCellAnchor>
  <xdr:twoCellAnchor>
    <xdr:from>
      <xdr:col>12</xdr:col>
      <xdr:colOff>11430</xdr:colOff>
      <xdr:row>32</xdr:row>
      <xdr:rowOff>40005</xdr:rowOff>
    </xdr:from>
    <xdr:to>
      <xdr:col>12</xdr:col>
      <xdr:colOff>15240</xdr:colOff>
      <xdr:row>33</xdr:row>
      <xdr:rowOff>146686</xdr:rowOff>
    </xdr:to>
    <xdr:cxnSp macro="">
      <xdr:nvCxnSpPr>
        <xdr:cNvPr id="56" name="Straight Arrow Connector 55">
          <a:extLst>
            <a:ext uri="{FF2B5EF4-FFF2-40B4-BE49-F238E27FC236}">
              <a16:creationId xmlns:a16="http://schemas.microsoft.com/office/drawing/2014/main" id="{00000000-0008-0000-0000-000038000000}"/>
            </a:ext>
          </a:extLst>
        </xdr:cNvPr>
        <xdr:cNvCxnSpPr/>
      </xdr:nvCxnSpPr>
      <xdr:spPr>
        <a:xfrm flipH="1" flipV="1">
          <a:off x="6473190" y="5838825"/>
          <a:ext cx="3810" cy="28194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175041</xdr:colOff>
      <xdr:row>31</xdr:row>
      <xdr:rowOff>104205</xdr:rowOff>
    </xdr:from>
    <xdr:to>
      <xdr:col>11</xdr:col>
      <xdr:colOff>190500</xdr:colOff>
      <xdr:row>31</xdr:row>
      <xdr:rowOff>104775</xdr:rowOff>
    </xdr:to>
    <xdr:cxnSp macro="">
      <xdr:nvCxnSpPr>
        <xdr:cNvPr id="57" name="Straight Arrow Connector 56">
          <a:extLst>
            <a:ext uri="{FF2B5EF4-FFF2-40B4-BE49-F238E27FC236}">
              <a16:creationId xmlns:a16="http://schemas.microsoft.com/office/drawing/2014/main" id="{00000000-0008-0000-0000-000039000000}"/>
            </a:ext>
          </a:extLst>
        </xdr:cNvPr>
        <xdr:cNvCxnSpPr>
          <a:stCxn id="206" idx="3"/>
          <a:endCxn id="194" idx="1"/>
        </xdr:cNvCxnSpPr>
      </xdr:nvCxnSpPr>
      <xdr:spPr>
        <a:xfrm>
          <a:off x="5425221" y="5727765"/>
          <a:ext cx="754599"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83820</xdr:colOff>
      <xdr:row>29</xdr:row>
      <xdr:rowOff>96585</xdr:rowOff>
    </xdr:from>
    <xdr:to>
      <xdr:col>23</xdr:col>
      <xdr:colOff>175260</xdr:colOff>
      <xdr:row>29</xdr:row>
      <xdr:rowOff>97158</xdr:rowOff>
    </xdr:to>
    <xdr:cxnSp macro="">
      <xdr:nvCxnSpPr>
        <xdr:cNvPr id="58" name="Straight Arrow Connector 57">
          <a:extLst>
            <a:ext uri="{FF2B5EF4-FFF2-40B4-BE49-F238E27FC236}">
              <a16:creationId xmlns:a16="http://schemas.microsoft.com/office/drawing/2014/main" id="{00000000-0008-0000-0000-00003A000000}"/>
            </a:ext>
          </a:extLst>
        </xdr:cNvPr>
        <xdr:cNvCxnSpPr>
          <a:stCxn id="207" idx="0"/>
          <a:endCxn id="59" idx="1"/>
        </xdr:cNvCxnSpPr>
      </xdr:nvCxnSpPr>
      <xdr:spPr>
        <a:xfrm flipV="1">
          <a:off x="10149840" y="5369625"/>
          <a:ext cx="2522220" cy="57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175260</xdr:colOff>
      <xdr:row>28</xdr:row>
      <xdr:rowOff>137160</xdr:rowOff>
    </xdr:from>
    <xdr:ext cx="825803" cy="269369"/>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12672060" y="523494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60" name="Straight Arrow Connector 59">
          <a:extLst>
            <a:ext uri="{FF2B5EF4-FFF2-40B4-BE49-F238E27FC236}">
              <a16:creationId xmlns:a16="http://schemas.microsoft.com/office/drawing/2014/main" id="{00000000-0008-0000-0000-00003C000000}"/>
            </a:ext>
          </a:extLst>
        </xdr:cNvPr>
        <xdr:cNvCxnSpPr>
          <a:stCxn id="62" idx="3"/>
          <a:endCxn id="90" idx="1"/>
        </xdr:cNvCxnSpPr>
      </xdr:nvCxnSpPr>
      <xdr:spPr>
        <a:xfrm flipV="1">
          <a:off x="2175510" y="830332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61" name="Group 60">
          <a:extLst>
            <a:ext uri="{FF2B5EF4-FFF2-40B4-BE49-F238E27FC236}">
              <a16:creationId xmlns:a16="http://schemas.microsoft.com/office/drawing/2014/main" id="{00000000-0008-0000-0000-00003D000000}"/>
            </a:ext>
          </a:extLst>
        </xdr:cNvPr>
        <xdr:cNvGrpSpPr/>
      </xdr:nvGrpSpPr>
      <xdr:grpSpPr>
        <a:xfrm>
          <a:off x="2098358" y="8060055"/>
          <a:ext cx="156210" cy="156210"/>
          <a:chOff x="7957185" y="6433185"/>
          <a:chExt cx="156210" cy="160020"/>
        </a:xfrm>
      </xdr:grpSpPr>
      <xdr:sp macro="" textlink="">
        <xdr:nvSpPr>
          <xdr:cNvPr id="62" name="Rectangle 61">
            <a:extLst>
              <a:ext uri="{FF2B5EF4-FFF2-40B4-BE49-F238E27FC236}">
                <a16:creationId xmlns:a16="http://schemas.microsoft.com/office/drawing/2014/main" id="{00000000-0008-0000-0000-00003E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65" name="Group 64">
          <a:extLst>
            <a:ext uri="{FF2B5EF4-FFF2-40B4-BE49-F238E27FC236}">
              <a16:creationId xmlns:a16="http://schemas.microsoft.com/office/drawing/2014/main" id="{00000000-0008-0000-0000-000041000000}"/>
            </a:ext>
          </a:extLst>
        </xdr:cNvPr>
        <xdr:cNvGrpSpPr/>
      </xdr:nvGrpSpPr>
      <xdr:grpSpPr>
        <a:xfrm>
          <a:off x="2100263" y="8926830"/>
          <a:ext cx="156210" cy="148590"/>
          <a:chOff x="7957185" y="6433185"/>
          <a:chExt cx="156210" cy="160020"/>
        </a:xfrm>
      </xdr:grpSpPr>
      <xdr:sp macro="" textlink="">
        <xdr:nvSpPr>
          <xdr:cNvPr id="66" name="Rectangle 65">
            <a:extLst>
              <a:ext uri="{FF2B5EF4-FFF2-40B4-BE49-F238E27FC236}">
                <a16:creationId xmlns:a16="http://schemas.microsoft.com/office/drawing/2014/main" id="{00000000-0008-0000-0000-000042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7" name="Straight Connector 66">
            <a:extLst>
              <a:ext uri="{FF2B5EF4-FFF2-40B4-BE49-F238E27FC236}">
                <a16:creationId xmlns:a16="http://schemas.microsoft.com/office/drawing/2014/main" id="{00000000-0008-0000-0000-000043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69" name="Straight Connector 68">
          <a:extLst>
            <a:ext uri="{FF2B5EF4-FFF2-40B4-BE49-F238E27FC236}">
              <a16:creationId xmlns:a16="http://schemas.microsoft.com/office/drawing/2014/main" id="{00000000-0008-0000-0000-000045000000}"/>
            </a:ext>
          </a:extLst>
        </xdr:cNvPr>
        <xdr:cNvCxnSpPr>
          <a:endCxn id="66" idx="3"/>
        </xdr:cNvCxnSpPr>
      </xdr:nvCxnSpPr>
      <xdr:spPr>
        <a:xfrm flipH="1" flipV="1">
          <a:off x="2177415" y="918582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2406968" y="8134350"/>
          <a:ext cx="200025" cy="866775"/>
          <a:chOff x="8985885" y="6543675"/>
          <a:chExt cx="139065" cy="923925"/>
        </a:xfrm>
      </xdr:grpSpPr>
      <xdr:cxnSp macro="">
        <xdr:nvCxnSpPr>
          <xdr:cNvPr id="71" name="Straight Connector 70">
            <a:extLst>
              <a:ext uri="{FF2B5EF4-FFF2-40B4-BE49-F238E27FC236}">
                <a16:creationId xmlns:a16="http://schemas.microsoft.com/office/drawing/2014/main" id="{00000000-0008-0000-0000-000047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0000-000048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0000-000049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0000-00004D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79" name="Group 78">
          <a:extLst>
            <a:ext uri="{FF2B5EF4-FFF2-40B4-BE49-F238E27FC236}">
              <a16:creationId xmlns:a16="http://schemas.microsoft.com/office/drawing/2014/main" id="{00000000-0008-0000-0000-00004F000000}"/>
            </a:ext>
          </a:extLst>
        </xdr:cNvPr>
        <xdr:cNvGrpSpPr/>
      </xdr:nvGrpSpPr>
      <xdr:grpSpPr>
        <a:xfrm>
          <a:off x="2777490" y="8141970"/>
          <a:ext cx="403860" cy="864871"/>
          <a:chOff x="9351645" y="6551295"/>
          <a:chExt cx="411480" cy="922021"/>
        </a:xfrm>
      </xdr:grpSpPr>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Isosceles Triangle 80">
            <a:extLst>
              <a:ext uri="{FF2B5EF4-FFF2-40B4-BE49-F238E27FC236}">
                <a16:creationId xmlns:a16="http://schemas.microsoft.com/office/drawing/2014/main" id="{00000000-0008-0000-0000-000051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Oval 81">
            <a:extLst>
              <a:ext uri="{FF2B5EF4-FFF2-40B4-BE49-F238E27FC236}">
                <a16:creationId xmlns:a16="http://schemas.microsoft.com/office/drawing/2014/main" id="{00000000-0008-0000-0000-000052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83" name="Straight Arrow Connector 82">
          <a:extLst>
            <a:ext uri="{FF2B5EF4-FFF2-40B4-BE49-F238E27FC236}">
              <a16:creationId xmlns:a16="http://schemas.microsoft.com/office/drawing/2014/main" id="{00000000-0008-0000-0000-000053000000}"/>
            </a:ext>
          </a:extLst>
        </xdr:cNvPr>
        <xdr:cNvCxnSpPr>
          <a:stCxn id="84" idx="1"/>
          <a:endCxn id="81" idx="1"/>
        </xdr:cNvCxnSpPr>
      </xdr:nvCxnSpPr>
      <xdr:spPr>
        <a:xfrm flipH="1">
          <a:off x="2979420" y="872871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84" name="Rounded Rectangle 83">
          <a:extLst>
            <a:ext uri="{FF2B5EF4-FFF2-40B4-BE49-F238E27FC236}">
              <a16:creationId xmlns:a16="http://schemas.microsoft.com/office/drawing/2014/main" id="{00000000-0008-0000-0000-000054000000}"/>
            </a:ext>
          </a:extLst>
        </xdr:cNvPr>
        <xdr:cNvSpPr/>
      </xdr:nvSpPr>
      <xdr:spPr>
        <a:xfrm>
          <a:off x="3404235" y="854583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85" name="Rounded Rectangle 84">
          <a:extLst>
            <a:ext uri="{FF2B5EF4-FFF2-40B4-BE49-F238E27FC236}">
              <a16:creationId xmlns:a16="http://schemas.microsoft.com/office/drawing/2014/main" id="{00000000-0008-0000-0000-000055000000}"/>
            </a:ext>
          </a:extLst>
        </xdr:cNvPr>
        <xdr:cNvSpPr/>
      </xdr:nvSpPr>
      <xdr:spPr>
        <a:xfrm>
          <a:off x="1539240" y="857631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3</xdr:col>
      <xdr:colOff>563880</xdr:colOff>
      <xdr:row>40</xdr:row>
      <xdr:rowOff>160020</xdr:rowOff>
    </xdr:from>
    <xdr:to>
      <xdr:col>5</xdr:col>
      <xdr:colOff>297180</xdr:colOff>
      <xdr:row>44</xdr:row>
      <xdr:rowOff>0</xdr:rowOff>
    </xdr:to>
    <xdr:sp macro="" textlink="">
      <xdr:nvSpPr>
        <xdr:cNvPr id="87" name="Rounded Rectangle 86">
          <a:extLst>
            <a:ext uri="{FF2B5EF4-FFF2-40B4-BE49-F238E27FC236}">
              <a16:creationId xmlns:a16="http://schemas.microsoft.com/office/drawing/2014/main" id="{00000000-0008-0000-0000-000057000000}"/>
            </a:ext>
          </a:extLst>
        </xdr:cNvPr>
        <xdr:cNvSpPr/>
      </xdr:nvSpPr>
      <xdr:spPr>
        <a:xfrm>
          <a:off x="1546860" y="736092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42</xdr:row>
      <xdr:rowOff>80010</xdr:rowOff>
    </xdr:from>
    <xdr:to>
      <xdr:col>6</xdr:col>
      <xdr:colOff>304800</xdr:colOff>
      <xdr:row>42</xdr:row>
      <xdr:rowOff>81345</xdr:rowOff>
    </xdr:to>
    <xdr:cxnSp macro="">
      <xdr:nvCxnSpPr>
        <xdr:cNvPr id="88" name="Straight Arrow Connector 87">
          <a:extLst>
            <a:ext uri="{FF2B5EF4-FFF2-40B4-BE49-F238E27FC236}">
              <a16:creationId xmlns:a16="http://schemas.microsoft.com/office/drawing/2014/main" id="{00000000-0008-0000-0000-000058000000}"/>
            </a:ext>
          </a:extLst>
        </xdr:cNvPr>
        <xdr:cNvCxnSpPr>
          <a:stCxn id="87" idx="3"/>
          <a:endCxn id="89" idx="1"/>
        </xdr:cNvCxnSpPr>
      </xdr:nvCxnSpPr>
      <xdr:spPr>
        <a:xfrm>
          <a:off x="2247900" y="763143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2842260" y="749808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4343400" y="81686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91" name="Straight Connector 90">
          <a:extLst>
            <a:ext uri="{FF2B5EF4-FFF2-40B4-BE49-F238E27FC236}">
              <a16:creationId xmlns:a16="http://schemas.microsoft.com/office/drawing/2014/main" id="{00000000-0008-0000-0000-00005B000000}"/>
            </a:ext>
          </a:extLst>
        </xdr:cNvPr>
        <xdr:cNvCxnSpPr>
          <a:stCxn id="92" idx="1"/>
          <a:endCxn id="93"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714683" cy="269369"/>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3147060" y="5768340"/>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93" name="Rounded Rectangle 92">
          <a:extLst>
            <a:ext uri="{FF2B5EF4-FFF2-40B4-BE49-F238E27FC236}">
              <a16:creationId xmlns:a16="http://schemas.microsoft.com/office/drawing/2014/main" id="{00000000-0008-0000-0000-00005D000000}"/>
            </a:ext>
          </a:extLst>
        </xdr:cNvPr>
        <xdr:cNvSpPr/>
      </xdr:nvSpPr>
      <xdr:spPr>
        <a:xfrm>
          <a:off x="2217420" y="571881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94" name="Straight Arrow Connector 93">
          <a:extLst>
            <a:ext uri="{FF2B5EF4-FFF2-40B4-BE49-F238E27FC236}">
              <a16:creationId xmlns:a16="http://schemas.microsoft.com/office/drawing/2014/main" id="{00000000-0008-0000-0000-00005E000000}"/>
            </a:ext>
          </a:extLst>
        </xdr:cNvPr>
        <xdr:cNvCxnSpPr>
          <a:stCxn id="93" idx="0"/>
        </xdr:cNvCxnSpPr>
      </xdr:nvCxnSpPr>
      <xdr:spPr>
        <a:xfrm flipH="1" flipV="1">
          <a:off x="2545080" y="549402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137160</xdr:colOff>
      <xdr:row>40</xdr:row>
      <xdr:rowOff>121920</xdr:rowOff>
    </xdr:from>
    <xdr:ext cx="1036319" cy="640080"/>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171454</xdr:rowOff>
    </xdr:from>
    <xdr:to>
      <xdr:col>13</xdr:col>
      <xdr:colOff>731520</xdr:colOff>
      <xdr:row>53</xdr:row>
      <xdr:rowOff>3</xdr:rowOff>
    </xdr:to>
    <xdr:sp macro="" textlink="">
      <xdr:nvSpPr>
        <xdr:cNvPr id="96" name="Trapezoid 95">
          <a:extLst>
            <a:ext uri="{FF2B5EF4-FFF2-40B4-BE49-F238E27FC236}">
              <a16:creationId xmlns:a16="http://schemas.microsoft.com/office/drawing/2014/main" id="{00000000-0008-0000-0000-000060000000}"/>
            </a:ext>
          </a:extLst>
        </xdr:cNvPr>
        <xdr:cNvSpPr/>
      </xdr:nvSpPr>
      <xdr:spPr>
        <a:xfrm rot="5400000">
          <a:off x="6322695" y="8098159"/>
          <a:ext cx="2457449"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99060</xdr:colOff>
      <xdr:row>40</xdr:row>
      <xdr:rowOff>7621</xdr:rowOff>
    </xdr:from>
    <xdr:to>
      <xdr:col>13</xdr:col>
      <xdr:colOff>411480</xdr:colOff>
      <xdr:row>40</xdr:row>
      <xdr:rowOff>15240</xdr:rowOff>
    </xdr:to>
    <xdr:cxnSp macro="">
      <xdr:nvCxnSpPr>
        <xdr:cNvPr id="97" name="Straight Arrow Connector 96">
          <a:extLst>
            <a:ext uri="{FF2B5EF4-FFF2-40B4-BE49-F238E27FC236}">
              <a16:creationId xmlns:a16="http://schemas.microsoft.com/office/drawing/2014/main" id="{00000000-0008-0000-0000-000061000000}"/>
            </a:ext>
          </a:extLst>
        </xdr:cNvPr>
        <xdr:cNvCxnSpPr>
          <a:stCxn id="98" idx="3"/>
        </xdr:cNvCxnSpPr>
      </xdr:nvCxnSpPr>
      <xdr:spPr>
        <a:xfrm>
          <a:off x="6560820" y="7208521"/>
          <a:ext cx="822960" cy="7619"/>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372333</xdr:colOff>
      <xdr:row>38</xdr:row>
      <xdr:rowOff>129541</xdr:rowOff>
    </xdr:from>
    <xdr:ext cx="1570767" cy="457200"/>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4990053" y="6979921"/>
          <a:ext cx="157076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r"/>
          <a:r>
            <a:rPr lang="en-US" sz="1200" b="1">
              <a:latin typeface="Arial" pitchFamily="34" charset="0"/>
              <a:cs typeface="Arial" pitchFamily="34" charset="0"/>
            </a:rPr>
            <a:t>XTPLL, HSPLL, ECPLL, FRCPLL</a:t>
          </a:r>
        </a:p>
      </xdr:txBody>
    </xdr:sp>
    <xdr:clientData/>
  </xdr:oneCellAnchor>
  <xdr:twoCellAnchor>
    <xdr:from>
      <xdr:col>12</xdr:col>
      <xdr:colOff>106202</xdr:colOff>
      <xdr:row>42</xdr:row>
      <xdr:rowOff>1335</xdr:rowOff>
    </xdr:from>
    <xdr:to>
      <xdr:col>13</xdr:col>
      <xdr:colOff>415290</xdr:colOff>
      <xdr:row>42</xdr:row>
      <xdr:rowOff>1905</xdr:rowOff>
    </xdr:to>
    <xdr:cxnSp macro="">
      <xdr:nvCxnSpPr>
        <xdr:cNvPr id="99" name="Straight Arrow Connector 98">
          <a:extLst>
            <a:ext uri="{FF2B5EF4-FFF2-40B4-BE49-F238E27FC236}">
              <a16:creationId xmlns:a16="http://schemas.microsoft.com/office/drawing/2014/main" id="{00000000-0008-0000-0000-000063000000}"/>
            </a:ext>
          </a:extLst>
        </xdr:cNvPr>
        <xdr:cNvCxnSpPr>
          <a:stCxn id="100" idx="3"/>
        </xdr:cNvCxnSpPr>
      </xdr:nvCxnSpPr>
      <xdr:spPr>
        <a:xfrm>
          <a:off x="6567962" y="7552755"/>
          <a:ext cx="819628"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41</xdr:row>
      <xdr:rowOff>41910</xdr:rowOff>
    </xdr:from>
    <xdr:ext cx="620811" cy="269369"/>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5947151" y="741807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46250</xdr:colOff>
      <xdr:row>44</xdr:row>
      <xdr:rowOff>1335</xdr:rowOff>
    </xdr:from>
    <xdr:to>
      <xdr:col>13</xdr:col>
      <xdr:colOff>417195</xdr:colOff>
      <xdr:row>44</xdr:row>
      <xdr:rowOff>3810</xdr:rowOff>
    </xdr:to>
    <xdr:cxnSp macro="">
      <xdr:nvCxnSpPr>
        <xdr:cNvPr id="101" name="Straight Arrow Connector 100">
          <a:extLst>
            <a:ext uri="{FF2B5EF4-FFF2-40B4-BE49-F238E27FC236}">
              <a16:creationId xmlns:a16="http://schemas.microsoft.com/office/drawing/2014/main" id="{00000000-0008-0000-0000-000065000000}"/>
            </a:ext>
          </a:extLst>
        </xdr:cNvPr>
        <xdr:cNvCxnSpPr>
          <a:stCxn id="102" idx="3"/>
        </xdr:cNvCxnSpPr>
      </xdr:nvCxnSpPr>
      <xdr:spPr>
        <a:xfrm>
          <a:off x="6508010" y="7903275"/>
          <a:ext cx="8814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17784</xdr:colOff>
      <xdr:row>43</xdr:row>
      <xdr:rowOff>41910</xdr:rowOff>
    </xdr:from>
    <xdr:ext cx="500906" cy="269369"/>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6007104" y="776859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153235</xdr:colOff>
      <xdr:row>45</xdr:row>
      <xdr:rowOff>174690</xdr:rowOff>
    </xdr:from>
    <xdr:to>
      <xdr:col>13</xdr:col>
      <xdr:colOff>417195</xdr:colOff>
      <xdr:row>46</xdr:row>
      <xdr:rowOff>1905</xdr:rowOff>
    </xdr:to>
    <xdr:cxnSp macro="">
      <xdr:nvCxnSpPr>
        <xdr:cNvPr id="103" name="Straight Arrow Connector 102">
          <a:extLst>
            <a:ext uri="{FF2B5EF4-FFF2-40B4-BE49-F238E27FC236}">
              <a16:creationId xmlns:a16="http://schemas.microsoft.com/office/drawing/2014/main" id="{00000000-0008-0000-0000-000067000000}"/>
            </a:ext>
          </a:extLst>
        </xdr:cNvPr>
        <xdr:cNvCxnSpPr>
          <a:stCxn id="104" idx="3"/>
        </xdr:cNvCxnSpPr>
      </xdr:nvCxnSpPr>
      <xdr:spPr>
        <a:xfrm>
          <a:off x="6614995" y="8251890"/>
          <a:ext cx="77450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649940</xdr:colOff>
      <xdr:row>45</xdr:row>
      <xdr:rowOff>40005</xdr:rowOff>
    </xdr:from>
    <xdr:ext cx="714875" cy="269369"/>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5900120" y="8117205"/>
          <a:ext cx="71487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FRC/16</a:t>
          </a:r>
        </a:p>
      </xdr:txBody>
    </xdr:sp>
    <xdr:clientData/>
  </xdr:oneCellAnchor>
  <xdr:twoCellAnchor>
    <xdr:from>
      <xdr:col>12</xdr:col>
      <xdr:colOff>174524</xdr:colOff>
      <xdr:row>48</xdr:row>
      <xdr:rowOff>1335</xdr:rowOff>
    </xdr:from>
    <xdr:to>
      <xdr:col>13</xdr:col>
      <xdr:colOff>413385</xdr:colOff>
      <xdr:row>48</xdr:row>
      <xdr:rowOff>5715</xdr:rowOff>
    </xdr:to>
    <xdr:cxnSp macro="">
      <xdr:nvCxnSpPr>
        <xdr:cNvPr id="105" name="Straight Arrow Connector 104">
          <a:extLst>
            <a:ext uri="{FF2B5EF4-FFF2-40B4-BE49-F238E27FC236}">
              <a16:creationId xmlns:a16="http://schemas.microsoft.com/office/drawing/2014/main" id="{00000000-0008-0000-0000-000069000000}"/>
            </a:ext>
          </a:extLst>
        </xdr:cNvPr>
        <xdr:cNvCxnSpPr>
          <a:stCxn id="106" idx="3"/>
        </xdr:cNvCxnSpPr>
      </xdr:nvCxnSpPr>
      <xdr:spPr>
        <a:xfrm>
          <a:off x="6636284" y="8604315"/>
          <a:ext cx="749401"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628653</xdr:colOff>
      <xdr:row>47</xdr:row>
      <xdr:rowOff>41910</xdr:rowOff>
    </xdr:from>
    <xdr:ext cx="757451" cy="269369"/>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5878833" y="8469630"/>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FRCDIV</a:t>
          </a:r>
        </a:p>
      </xdr:txBody>
    </xdr:sp>
    <xdr:clientData/>
  </xdr:oneCellAnchor>
  <xdr:twoCellAnchor>
    <xdr:from>
      <xdr:col>12</xdr:col>
      <xdr:colOff>97578</xdr:colOff>
      <xdr:row>49</xdr:row>
      <xdr:rowOff>174690</xdr:rowOff>
    </xdr:from>
    <xdr:to>
      <xdr:col>13</xdr:col>
      <xdr:colOff>413385</xdr:colOff>
      <xdr:row>50</xdr:row>
      <xdr:rowOff>3810</xdr:rowOff>
    </xdr:to>
    <xdr:cxnSp macro="">
      <xdr:nvCxnSpPr>
        <xdr:cNvPr id="107" name="Straight Arrow Connector 106">
          <a:extLst>
            <a:ext uri="{FF2B5EF4-FFF2-40B4-BE49-F238E27FC236}">
              <a16:creationId xmlns:a16="http://schemas.microsoft.com/office/drawing/2014/main" id="{00000000-0008-0000-0000-00006B000000}"/>
            </a:ext>
          </a:extLst>
        </xdr:cNvPr>
        <xdr:cNvCxnSpPr>
          <a:stCxn id="108" idx="3"/>
        </xdr:cNvCxnSpPr>
      </xdr:nvCxnSpPr>
      <xdr:spPr>
        <a:xfrm>
          <a:off x="6559338" y="8952930"/>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49</xdr:row>
      <xdr:rowOff>40005</xdr:rowOff>
    </xdr:from>
    <xdr:ext cx="603563" cy="269369"/>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5955775" y="8818245"/>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LPRC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109" name="Straight Arrow Connector 108">
          <a:extLst>
            <a:ext uri="{FF2B5EF4-FFF2-40B4-BE49-F238E27FC236}">
              <a16:creationId xmlns:a16="http://schemas.microsoft.com/office/drawing/2014/main" id="{00000000-0008-0000-0000-00006D000000}"/>
            </a:ext>
          </a:extLst>
        </xdr:cNvPr>
        <xdr:cNvCxnSpPr>
          <a:endCxn id="110" idx="1"/>
        </xdr:cNvCxnSpPr>
      </xdr:nvCxnSpPr>
      <xdr:spPr>
        <a:xfrm>
          <a:off x="770953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875477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52</xdr:row>
      <xdr:rowOff>68580</xdr:rowOff>
    </xdr:from>
    <xdr:to>
      <xdr:col>13</xdr:col>
      <xdr:colOff>586740</xdr:colOff>
      <xdr:row>54</xdr:row>
      <xdr:rowOff>167640</xdr:rowOff>
    </xdr:to>
    <xdr:cxnSp macro="">
      <xdr:nvCxnSpPr>
        <xdr:cNvPr id="111" name="Straight Arrow Connector 110">
          <a:extLst>
            <a:ext uri="{FF2B5EF4-FFF2-40B4-BE49-F238E27FC236}">
              <a16:creationId xmlns:a16="http://schemas.microsoft.com/office/drawing/2014/main" id="{00000000-0008-0000-0000-00006F000000}"/>
            </a:ext>
          </a:extLst>
        </xdr:cNvPr>
        <xdr:cNvCxnSpPr/>
      </xdr:nvCxnSpPr>
      <xdr:spPr>
        <a:xfrm flipV="1">
          <a:off x="7559040" y="9372600"/>
          <a:ext cx="0" cy="4495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121920</xdr:colOff>
      <xdr:row>44</xdr:row>
      <xdr:rowOff>173355</xdr:rowOff>
    </xdr:from>
    <xdr:to>
      <xdr:col>16</xdr:col>
      <xdr:colOff>281940</xdr:colOff>
      <xdr:row>46</xdr:row>
      <xdr:rowOff>43815</xdr:rowOff>
    </xdr:to>
    <xdr:sp macro="" textlink="">
      <xdr:nvSpPr>
        <xdr:cNvPr id="112" name="Rounded Rectangle 111">
          <a:extLst>
            <a:ext uri="{FF2B5EF4-FFF2-40B4-BE49-F238E27FC236}">
              <a16:creationId xmlns:a16="http://schemas.microsoft.com/office/drawing/2014/main" id="{00000000-0008-0000-0000-000070000000}"/>
            </a:ext>
          </a:extLst>
        </xdr:cNvPr>
        <xdr:cNvSpPr/>
      </xdr:nvSpPr>
      <xdr:spPr>
        <a:xfrm>
          <a:off x="8496300" y="807529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16</xdr:col>
      <xdr:colOff>473214</xdr:colOff>
      <xdr:row>44</xdr:row>
      <xdr:rowOff>150495</xdr:rowOff>
    </xdr:from>
    <xdr:ext cx="847347" cy="269369"/>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9243834" y="8052435"/>
          <a:ext cx="84734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 =</a:t>
          </a:r>
        </a:p>
      </xdr:txBody>
    </xdr:sp>
    <xdr:clientData/>
  </xdr:oneCellAnchor>
  <xdr:twoCellAnchor>
    <xdr:from>
      <xdr:col>16</xdr:col>
      <xdr:colOff>281940</xdr:colOff>
      <xdr:row>45</xdr:row>
      <xdr:rowOff>108585</xdr:rowOff>
    </xdr:from>
    <xdr:to>
      <xdr:col>16</xdr:col>
      <xdr:colOff>473214</xdr:colOff>
      <xdr:row>45</xdr:row>
      <xdr:rowOff>109920</xdr:rowOff>
    </xdr:to>
    <xdr:cxnSp macro="">
      <xdr:nvCxnSpPr>
        <xdr:cNvPr id="114" name="Straight Arrow Connector 113">
          <a:extLst>
            <a:ext uri="{FF2B5EF4-FFF2-40B4-BE49-F238E27FC236}">
              <a16:creationId xmlns:a16="http://schemas.microsoft.com/office/drawing/2014/main" id="{00000000-0008-0000-0000-000072000000}"/>
            </a:ext>
          </a:extLst>
        </xdr:cNvPr>
        <xdr:cNvCxnSpPr>
          <a:stCxn id="112" idx="3"/>
          <a:endCxn id="113" idx="1"/>
        </xdr:cNvCxnSpPr>
      </xdr:nvCxnSpPr>
      <xdr:spPr>
        <a:xfrm>
          <a:off x="9052560" y="8185785"/>
          <a:ext cx="191274"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335280</xdr:colOff>
      <xdr:row>45</xdr:row>
      <xdr:rowOff>106680</xdr:rowOff>
    </xdr:from>
    <xdr:to>
      <xdr:col>15</xdr:col>
      <xdr:colOff>121920</xdr:colOff>
      <xdr:row>45</xdr:row>
      <xdr:rowOff>108585</xdr:rowOff>
    </xdr:to>
    <xdr:cxnSp macro="">
      <xdr:nvCxnSpPr>
        <xdr:cNvPr id="115" name="Straight Arrow Connector 114">
          <a:extLst>
            <a:ext uri="{FF2B5EF4-FFF2-40B4-BE49-F238E27FC236}">
              <a16:creationId xmlns:a16="http://schemas.microsoft.com/office/drawing/2014/main" id="{00000000-0008-0000-0000-000073000000}"/>
            </a:ext>
          </a:extLst>
        </xdr:cNvPr>
        <xdr:cNvCxnSpPr>
          <a:endCxn id="112" idx="1"/>
        </xdr:cNvCxnSpPr>
      </xdr:nvCxnSpPr>
      <xdr:spPr>
        <a:xfrm>
          <a:off x="8046720" y="8183880"/>
          <a:ext cx="44958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116" name="Straight Arrow Connector 115">
          <a:extLst>
            <a:ext uri="{FF2B5EF4-FFF2-40B4-BE49-F238E27FC236}">
              <a16:creationId xmlns:a16="http://schemas.microsoft.com/office/drawing/2014/main" id="{00000000-0008-0000-0000-000074000000}"/>
            </a:ext>
          </a:extLst>
        </xdr:cNvPr>
        <xdr:cNvCxnSpPr/>
      </xdr:nvCxnSpPr>
      <xdr:spPr>
        <a:xfrm>
          <a:off x="803910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464821</xdr:colOff>
      <xdr:row>3</xdr:row>
      <xdr:rowOff>114300</xdr:rowOff>
    </xdr:from>
    <xdr:ext cx="2964179" cy="480060"/>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119" name="Straight Arrow Connector 118">
          <a:extLst>
            <a:ext uri="{FF2B5EF4-FFF2-40B4-BE49-F238E27FC236}">
              <a16:creationId xmlns:a16="http://schemas.microsoft.com/office/drawing/2014/main" id="{00000000-0008-0000-0000-000077000000}"/>
            </a:ext>
          </a:extLst>
        </xdr:cNvPr>
        <xdr:cNvCxnSpPr/>
      </xdr:nvCxnSpPr>
      <xdr:spPr>
        <a:xfrm flipH="1">
          <a:off x="4953000" y="1341120"/>
          <a:ext cx="36576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121" name="Straight Arrow Connector 120">
          <a:extLst>
            <a:ext uri="{FF2B5EF4-FFF2-40B4-BE49-F238E27FC236}">
              <a16:creationId xmlns:a16="http://schemas.microsoft.com/office/drawing/2014/main" id="{00000000-0008-0000-0000-000079000000}"/>
            </a:ext>
          </a:extLst>
        </xdr:cNvPr>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73</xdr:row>
      <xdr:rowOff>83820</xdr:rowOff>
    </xdr:to>
    <xdr:sp macro="" textlink="">
      <xdr:nvSpPr>
        <xdr:cNvPr id="122" name="Rectangle 121">
          <a:extLst>
            <a:ext uri="{FF2B5EF4-FFF2-40B4-BE49-F238E27FC236}">
              <a16:creationId xmlns:a16="http://schemas.microsoft.com/office/drawing/2014/main" id="{00000000-0008-0000-0000-00007A000000}"/>
            </a:ext>
          </a:extLst>
        </xdr:cNvPr>
        <xdr:cNvSpPr/>
      </xdr:nvSpPr>
      <xdr:spPr>
        <a:xfrm>
          <a:off x="861060" y="10035540"/>
          <a:ext cx="3589020" cy="30556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66</xdr:row>
      <xdr:rowOff>45720</xdr:rowOff>
    </xdr:from>
    <xdr:to>
      <xdr:col>8</xdr:col>
      <xdr:colOff>571500</xdr:colOff>
      <xdr:row>66</xdr:row>
      <xdr:rowOff>45720</xdr:rowOff>
    </xdr:to>
    <xdr:cxnSp macro="">
      <xdr:nvCxnSpPr>
        <xdr:cNvPr id="123" name="Straight Arrow Connector 122">
          <a:extLst>
            <a:ext uri="{FF2B5EF4-FFF2-40B4-BE49-F238E27FC236}">
              <a16:creationId xmlns:a16="http://schemas.microsoft.com/office/drawing/2014/main" id="{00000000-0008-0000-0000-00007B000000}"/>
            </a:ext>
          </a:extLst>
        </xdr:cNvPr>
        <xdr:cNvCxnSpPr>
          <a:stCxn id="122" idx="1"/>
          <a:endCxn id="122" idx="3"/>
        </xdr:cNvCxnSpPr>
      </xdr:nvCxnSpPr>
      <xdr:spPr>
        <a:xfrm>
          <a:off x="861060" y="1182624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124" name="Straight Arrow Connector 123">
          <a:extLst>
            <a:ext uri="{FF2B5EF4-FFF2-40B4-BE49-F238E27FC236}">
              <a16:creationId xmlns:a16="http://schemas.microsoft.com/office/drawing/2014/main" id="{00000000-0008-0000-0000-00007C000000}"/>
            </a:ext>
          </a:extLst>
        </xdr:cNvPr>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411480</xdr:colOff>
      <xdr:row>108</xdr:row>
      <xdr:rowOff>160020</xdr:rowOff>
    </xdr:to>
    <xdr:sp macro="" textlink="">
      <xdr:nvSpPr>
        <xdr:cNvPr id="125" name="Rectangle 124">
          <a:extLst>
            <a:ext uri="{FF2B5EF4-FFF2-40B4-BE49-F238E27FC236}">
              <a16:creationId xmlns:a16="http://schemas.microsoft.com/office/drawing/2014/main" id="{00000000-0008-0000-0000-00007D000000}"/>
            </a:ext>
          </a:extLst>
        </xdr:cNvPr>
        <xdr:cNvSpPr/>
      </xdr:nvSpPr>
      <xdr:spPr>
        <a:xfrm>
          <a:off x="6896100" y="14737080"/>
          <a:ext cx="7231380" cy="4572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38100</xdr:rowOff>
    </xdr:from>
    <xdr:to>
      <xdr:col>25</xdr:col>
      <xdr:colOff>411480</xdr:colOff>
      <xdr:row>86</xdr:row>
      <xdr:rowOff>41910</xdr:rowOff>
    </xdr:to>
    <xdr:cxnSp macro="">
      <xdr:nvCxnSpPr>
        <xdr:cNvPr id="126" name="Straight Arrow Connector 125">
          <a:extLst>
            <a:ext uri="{FF2B5EF4-FFF2-40B4-BE49-F238E27FC236}">
              <a16:creationId xmlns:a16="http://schemas.microsoft.com/office/drawing/2014/main" id="{00000000-0008-0000-0000-00007E000000}"/>
            </a:ext>
          </a:extLst>
        </xdr:cNvPr>
        <xdr:cNvCxnSpPr/>
      </xdr:nvCxnSpPr>
      <xdr:spPr>
        <a:xfrm flipV="1">
          <a:off x="6896100" y="15323820"/>
          <a:ext cx="723138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127" name="Rectangle 126">
          <a:extLst>
            <a:ext uri="{FF2B5EF4-FFF2-40B4-BE49-F238E27FC236}">
              <a16:creationId xmlns:a16="http://schemas.microsoft.com/office/drawing/2014/main" id="{00000000-0008-0000-0000-00007F000000}"/>
            </a:ext>
          </a:extLst>
        </xdr:cNvPr>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28" name="Trapezoid 127">
          <a:extLst>
            <a:ext uri="{FF2B5EF4-FFF2-40B4-BE49-F238E27FC236}">
              <a16:creationId xmlns:a16="http://schemas.microsoft.com/office/drawing/2014/main" id="{00000000-0008-0000-0000-000080000000}"/>
            </a:ext>
          </a:extLst>
        </xdr:cNvPr>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29" name="Straight Arrow Connector 128">
          <a:extLst>
            <a:ext uri="{FF2B5EF4-FFF2-40B4-BE49-F238E27FC236}">
              <a16:creationId xmlns:a16="http://schemas.microsoft.com/office/drawing/2014/main" id="{00000000-0008-0000-0000-000081000000}"/>
            </a:ext>
          </a:extLst>
        </xdr:cNvPr>
        <xdr:cNvCxnSpPr>
          <a:stCxn id="130"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31" name="Straight Arrow Connector 130">
          <a:extLst>
            <a:ext uri="{FF2B5EF4-FFF2-40B4-BE49-F238E27FC236}">
              <a16:creationId xmlns:a16="http://schemas.microsoft.com/office/drawing/2014/main" id="{00000000-0008-0000-0000-000083000000}"/>
            </a:ext>
          </a:extLst>
        </xdr:cNvPr>
        <xdr:cNvCxnSpPr>
          <a:stCxn id="132"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559311</xdr:colOff>
      <xdr:row>60</xdr:row>
      <xdr:rowOff>38097</xdr:rowOff>
    </xdr:from>
    <xdr:ext cx="1373325" cy="269369"/>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5177031" y="1076705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33" name="Straight Arrow Connector 132">
          <a:extLst>
            <a:ext uri="{FF2B5EF4-FFF2-40B4-BE49-F238E27FC236}">
              <a16:creationId xmlns:a16="http://schemas.microsoft.com/office/drawing/2014/main" id="{00000000-0008-0000-0000-000085000000}"/>
            </a:ext>
          </a:extLst>
        </xdr:cNvPr>
        <xdr:cNvCxnSpPr>
          <a:stCxn id="134"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101390</xdr:colOff>
      <xdr:row>66</xdr:row>
      <xdr:rowOff>172782</xdr:rowOff>
    </xdr:from>
    <xdr:to>
      <xdr:col>13</xdr:col>
      <xdr:colOff>417195</xdr:colOff>
      <xdr:row>67</xdr:row>
      <xdr:rowOff>1902</xdr:rowOff>
    </xdr:to>
    <xdr:cxnSp macro="">
      <xdr:nvCxnSpPr>
        <xdr:cNvPr id="135" name="Straight Arrow Connector 134">
          <a:extLst>
            <a:ext uri="{FF2B5EF4-FFF2-40B4-BE49-F238E27FC236}">
              <a16:creationId xmlns:a16="http://schemas.microsoft.com/office/drawing/2014/main" id="{00000000-0008-0000-0000-000087000000}"/>
            </a:ext>
          </a:extLst>
        </xdr:cNvPr>
        <xdr:cNvCxnSpPr>
          <a:stCxn id="136" idx="3"/>
        </xdr:cNvCxnSpPr>
      </xdr:nvCxnSpPr>
      <xdr:spPr>
        <a:xfrm>
          <a:off x="6563150" y="11953302"/>
          <a:ext cx="826345"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709407</xdr:colOff>
      <xdr:row>66</xdr:row>
      <xdr:rowOff>38097</xdr:rowOff>
    </xdr:from>
    <xdr:ext cx="603563" cy="269369"/>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5959587"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37" name="Straight Arrow Connector 136">
          <a:extLst>
            <a:ext uri="{FF2B5EF4-FFF2-40B4-BE49-F238E27FC236}">
              <a16:creationId xmlns:a16="http://schemas.microsoft.com/office/drawing/2014/main" id="{00000000-0008-0000-0000-000089000000}"/>
            </a:ext>
          </a:extLst>
        </xdr:cNvPr>
        <xdr:cNvCxnSpPr>
          <a:stCxn id="138"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39" name="Straight Arrow Connector 138">
          <a:extLst>
            <a:ext uri="{FF2B5EF4-FFF2-40B4-BE49-F238E27FC236}">
              <a16:creationId xmlns:a16="http://schemas.microsoft.com/office/drawing/2014/main" id="{00000000-0008-0000-0000-00008B000000}"/>
            </a:ext>
          </a:extLst>
        </xdr:cNvPr>
        <xdr:cNvCxnSpPr>
          <a:endCxn id="155"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40" name="Straight Arrow Connector 139">
          <a:extLst>
            <a:ext uri="{FF2B5EF4-FFF2-40B4-BE49-F238E27FC236}">
              <a16:creationId xmlns:a16="http://schemas.microsoft.com/office/drawing/2014/main" id="{00000000-0008-0000-0000-00008C000000}"/>
            </a:ext>
          </a:extLst>
        </xdr:cNvPr>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41" name="Straight Arrow Connector 140">
          <a:extLst>
            <a:ext uri="{FF2B5EF4-FFF2-40B4-BE49-F238E27FC236}">
              <a16:creationId xmlns:a16="http://schemas.microsoft.com/office/drawing/2014/main" id="{00000000-0008-0000-0000-00008D000000}"/>
            </a:ext>
          </a:extLst>
        </xdr:cNvPr>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199749</xdr:colOff>
      <xdr:row>71</xdr:row>
      <xdr:rowOff>3237</xdr:rowOff>
    </xdr:from>
    <xdr:to>
      <xdr:col>13</xdr:col>
      <xdr:colOff>421005</xdr:colOff>
      <xdr:row>71</xdr:row>
      <xdr:rowOff>5712</xdr:rowOff>
    </xdr:to>
    <xdr:cxnSp macro="">
      <xdr:nvCxnSpPr>
        <xdr:cNvPr id="142" name="Straight Arrow Connector 141">
          <a:extLst>
            <a:ext uri="{FF2B5EF4-FFF2-40B4-BE49-F238E27FC236}">
              <a16:creationId xmlns:a16="http://schemas.microsoft.com/office/drawing/2014/main" id="{00000000-0008-0000-0000-00008E000000}"/>
            </a:ext>
          </a:extLst>
        </xdr:cNvPr>
        <xdr:cNvCxnSpPr>
          <a:stCxn id="143"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696646</xdr:colOff>
      <xdr:row>70</xdr:row>
      <xdr:rowOff>43812</xdr:rowOff>
    </xdr:from>
    <xdr:ext cx="714683" cy="269369"/>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5946826" y="12525372"/>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PBCLK</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144" name="Straight Arrow Connector 143">
          <a:extLst>
            <a:ext uri="{FF2B5EF4-FFF2-40B4-BE49-F238E27FC236}">
              <a16:creationId xmlns:a16="http://schemas.microsoft.com/office/drawing/2014/main" id="{00000000-0008-0000-0000-000090000000}"/>
            </a:ext>
          </a:extLst>
        </xdr:cNvPr>
        <xdr:cNvCxnSpPr>
          <a:stCxn id="145"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146" name="Straight Arrow Connector 145">
          <a:extLst>
            <a:ext uri="{FF2B5EF4-FFF2-40B4-BE49-F238E27FC236}">
              <a16:creationId xmlns:a16="http://schemas.microsoft.com/office/drawing/2014/main" id="{00000000-0008-0000-0000-000092000000}"/>
            </a:ext>
          </a:extLst>
        </xdr:cNvPr>
        <xdr:cNvCxnSpPr>
          <a:stCxn id="149"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394961</xdr:colOff>
      <xdr:row>74</xdr:row>
      <xdr:rowOff>51432</xdr:rowOff>
    </xdr:from>
    <xdr:ext cx="851452" cy="269369"/>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5645141" y="13234032"/>
          <a:ext cx="85145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148" name="Group 147">
          <a:extLst>
            <a:ext uri="{FF2B5EF4-FFF2-40B4-BE49-F238E27FC236}">
              <a16:creationId xmlns:a16="http://schemas.microsoft.com/office/drawing/2014/main" id="{00000000-0008-0000-0000-000094000000}"/>
            </a:ext>
          </a:extLst>
        </xdr:cNvPr>
        <xdr:cNvGrpSpPr/>
      </xdr:nvGrpSpPr>
      <xdr:grpSpPr>
        <a:xfrm>
          <a:off x="6737985" y="13013055"/>
          <a:ext cx="156210" cy="148590"/>
          <a:chOff x="7957185" y="6433185"/>
          <a:chExt cx="156210" cy="160020"/>
        </a:xfrm>
      </xdr:grpSpPr>
      <xdr:sp macro="" textlink="">
        <xdr:nvSpPr>
          <xdr:cNvPr id="149" name="Rectangle 148">
            <a:extLst>
              <a:ext uri="{FF2B5EF4-FFF2-40B4-BE49-F238E27FC236}">
                <a16:creationId xmlns:a16="http://schemas.microsoft.com/office/drawing/2014/main" id="{00000000-0008-0000-0000-000095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0" name="Straight Connector 149">
            <a:extLst>
              <a:ext uri="{FF2B5EF4-FFF2-40B4-BE49-F238E27FC236}">
                <a16:creationId xmlns:a16="http://schemas.microsoft.com/office/drawing/2014/main" id="{00000000-0008-0000-0000-000096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a:extLst>
              <a:ext uri="{FF2B5EF4-FFF2-40B4-BE49-F238E27FC236}">
                <a16:creationId xmlns:a16="http://schemas.microsoft.com/office/drawing/2014/main" id="{00000000-0008-0000-0000-000097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153" name="Straight Arrow Connector 152">
          <a:extLst>
            <a:ext uri="{FF2B5EF4-FFF2-40B4-BE49-F238E27FC236}">
              <a16:creationId xmlns:a16="http://schemas.microsoft.com/office/drawing/2014/main" id="{00000000-0008-0000-0000-000099000000}"/>
            </a:ext>
          </a:extLst>
        </xdr:cNvPr>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154" name="Group 153">
          <a:extLst>
            <a:ext uri="{FF2B5EF4-FFF2-40B4-BE49-F238E27FC236}">
              <a16:creationId xmlns:a16="http://schemas.microsoft.com/office/drawing/2014/main" id="{00000000-0008-0000-0000-00009A000000}"/>
            </a:ext>
          </a:extLst>
        </xdr:cNvPr>
        <xdr:cNvGrpSpPr/>
      </xdr:nvGrpSpPr>
      <xdr:grpSpPr>
        <a:xfrm>
          <a:off x="11093768" y="11721465"/>
          <a:ext cx="156210" cy="152400"/>
          <a:chOff x="7957185" y="6433185"/>
          <a:chExt cx="156210" cy="160020"/>
        </a:xfrm>
      </xdr:grpSpPr>
      <xdr:sp macro="" textlink="">
        <xdr:nvSpPr>
          <xdr:cNvPr id="155" name="Rectangle 154">
            <a:extLst>
              <a:ext uri="{FF2B5EF4-FFF2-40B4-BE49-F238E27FC236}">
                <a16:creationId xmlns:a16="http://schemas.microsoft.com/office/drawing/2014/main" id="{00000000-0008-0000-0000-00009B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6" name="Straight Connector 155">
            <a:extLst>
              <a:ext uri="{FF2B5EF4-FFF2-40B4-BE49-F238E27FC236}">
                <a16:creationId xmlns:a16="http://schemas.microsoft.com/office/drawing/2014/main" id="{00000000-0008-0000-0000-00009C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0000-00009D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19</xdr:col>
      <xdr:colOff>384450</xdr:colOff>
      <xdr:row>66</xdr:row>
      <xdr:rowOff>129540</xdr:rowOff>
    </xdr:from>
    <xdr:ext cx="1061060" cy="269369"/>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0846710" y="11910060"/>
          <a:ext cx="106106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159" name="Straight Arrow Connector 158">
          <a:extLst>
            <a:ext uri="{FF2B5EF4-FFF2-40B4-BE49-F238E27FC236}">
              <a16:creationId xmlns:a16="http://schemas.microsoft.com/office/drawing/2014/main" id="{00000000-0008-0000-0000-00009F000000}"/>
            </a:ext>
          </a:extLst>
        </xdr:cNvPr>
        <xdr:cNvCxnSpPr>
          <a:stCxn id="160"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160" name="Rounded Rectangle 159">
          <a:extLst>
            <a:ext uri="{FF2B5EF4-FFF2-40B4-BE49-F238E27FC236}">
              <a16:creationId xmlns:a16="http://schemas.microsoft.com/office/drawing/2014/main" id="{00000000-0008-0000-0000-0000A0000000}"/>
            </a:ext>
          </a:extLst>
        </xdr:cNvPr>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161" name="Rounded Rectangle 160">
          <a:extLst>
            <a:ext uri="{FF2B5EF4-FFF2-40B4-BE49-F238E27FC236}">
              <a16:creationId xmlns:a16="http://schemas.microsoft.com/office/drawing/2014/main" id="{00000000-0008-0000-0000-0000A1000000}"/>
            </a:ext>
          </a:extLst>
        </xdr:cNvPr>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163" name="Straight Arrow Connector 162">
          <a:extLst>
            <a:ext uri="{FF2B5EF4-FFF2-40B4-BE49-F238E27FC236}">
              <a16:creationId xmlns:a16="http://schemas.microsoft.com/office/drawing/2014/main" id="{00000000-0008-0000-0000-0000A3000000}"/>
            </a:ext>
          </a:extLst>
        </xdr:cNvPr>
        <xdr:cNvCxnSpPr>
          <a:stCxn id="162"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164" name="Group 163">
          <a:extLst>
            <a:ext uri="{FF2B5EF4-FFF2-40B4-BE49-F238E27FC236}">
              <a16:creationId xmlns:a16="http://schemas.microsoft.com/office/drawing/2014/main" id="{00000000-0008-0000-0000-0000A4000000}"/>
            </a:ext>
          </a:extLst>
        </xdr:cNvPr>
        <xdr:cNvGrpSpPr/>
      </xdr:nvGrpSpPr>
      <xdr:grpSpPr>
        <a:xfrm>
          <a:off x="11590020" y="10433685"/>
          <a:ext cx="2831616" cy="746760"/>
          <a:chOff x="9898380" y="10043160"/>
          <a:chExt cx="2727793" cy="762000"/>
        </a:xfrm>
      </xdr:grpSpPr>
      <xdr:sp macro="" textlink="">
        <xdr:nvSpPr>
          <xdr:cNvPr id="165" name="Rectangle 164">
            <a:extLst>
              <a:ext uri="{FF2B5EF4-FFF2-40B4-BE49-F238E27FC236}">
                <a16:creationId xmlns:a16="http://schemas.microsoft.com/office/drawing/2014/main" id="{00000000-0008-0000-0000-0000A5000000}"/>
              </a:ext>
            </a:extLst>
          </xdr:cNvPr>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66" name="Group 400">
            <a:extLst>
              <a:ext uri="{FF2B5EF4-FFF2-40B4-BE49-F238E27FC236}">
                <a16:creationId xmlns:a16="http://schemas.microsoft.com/office/drawing/2014/main" id="{00000000-0008-0000-0000-0000A6000000}"/>
              </a:ext>
            </a:extLst>
          </xdr:cNvPr>
          <xdr:cNvGrpSpPr/>
        </xdr:nvGrpSpPr>
        <xdr:grpSpPr>
          <a:xfrm>
            <a:off x="9915868" y="10043160"/>
            <a:ext cx="2710305" cy="751204"/>
            <a:chOff x="10159708" y="10142220"/>
            <a:chExt cx="2710305" cy="751204"/>
          </a:xfrm>
        </xdr:grpSpPr>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171" name="Straight Arrow Connector 170">
              <a:extLst>
                <a:ext uri="{FF2B5EF4-FFF2-40B4-BE49-F238E27FC236}">
                  <a16:creationId xmlns:a16="http://schemas.microsoft.com/office/drawing/2014/main" id="{00000000-0008-0000-0000-0000AB000000}"/>
                </a:ext>
              </a:extLst>
            </xdr:cNvPr>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173" name="Straight Arrow Connector 172">
              <a:extLst>
                <a:ext uri="{FF2B5EF4-FFF2-40B4-BE49-F238E27FC236}">
                  <a16:creationId xmlns:a16="http://schemas.microsoft.com/office/drawing/2014/main" id="{00000000-0008-0000-0000-0000AD000000}"/>
                </a:ext>
              </a:extLst>
            </xdr:cNvPr>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174" name="Straight Arrow Connector 173">
          <a:extLst>
            <a:ext uri="{FF2B5EF4-FFF2-40B4-BE49-F238E27FC236}">
              <a16:creationId xmlns:a16="http://schemas.microsoft.com/office/drawing/2014/main" id="{00000000-0008-0000-0000-0000AE000000}"/>
            </a:ext>
          </a:extLst>
        </xdr:cNvPr>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175" name="Group 174">
          <a:extLst>
            <a:ext uri="{FF2B5EF4-FFF2-40B4-BE49-F238E27FC236}">
              <a16:creationId xmlns:a16="http://schemas.microsoft.com/office/drawing/2014/main" id="{00000000-0008-0000-0000-0000AF000000}"/>
            </a:ext>
          </a:extLst>
        </xdr:cNvPr>
        <xdr:cNvGrpSpPr/>
      </xdr:nvGrpSpPr>
      <xdr:grpSpPr>
        <a:xfrm>
          <a:off x="2426018" y="3973830"/>
          <a:ext cx="298132" cy="175260"/>
          <a:chOff x="2346960" y="4044315"/>
          <a:chExt cx="270510" cy="182880"/>
        </a:xfrm>
      </xdr:grpSpPr>
      <xdr:sp macro="" textlink="">
        <xdr:nvSpPr>
          <xdr:cNvPr id="176" name="Arc 175">
            <a:extLst>
              <a:ext uri="{FF2B5EF4-FFF2-40B4-BE49-F238E27FC236}">
                <a16:creationId xmlns:a16="http://schemas.microsoft.com/office/drawing/2014/main" id="{00000000-0008-0000-0000-0000B0000000}"/>
              </a:ext>
            </a:extLst>
          </xdr:cNvPr>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177" name="Arc 176">
            <a:extLst>
              <a:ext uri="{FF2B5EF4-FFF2-40B4-BE49-F238E27FC236}">
                <a16:creationId xmlns:a16="http://schemas.microsoft.com/office/drawing/2014/main" id="{00000000-0008-0000-0000-0000B1000000}"/>
              </a:ext>
            </a:extLst>
          </xdr:cNvPr>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178" name="Straight Arrow Connector 177">
            <a:extLst>
              <a:ext uri="{FF2B5EF4-FFF2-40B4-BE49-F238E27FC236}">
                <a16:creationId xmlns:a16="http://schemas.microsoft.com/office/drawing/2014/main" id="{00000000-0008-0000-0000-0000B2000000}"/>
              </a:ext>
            </a:extLst>
          </xdr:cNvPr>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179" name="Group 178">
          <a:extLst>
            <a:ext uri="{FF2B5EF4-FFF2-40B4-BE49-F238E27FC236}">
              <a16:creationId xmlns:a16="http://schemas.microsoft.com/office/drawing/2014/main" id="{00000000-0008-0000-0000-0000B3000000}"/>
            </a:ext>
          </a:extLst>
        </xdr:cNvPr>
        <xdr:cNvGrpSpPr/>
      </xdr:nvGrpSpPr>
      <xdr:grpSpPr>
        <a:xfrm>
          <a:off x="2431733" y="3810000"/>
          <a:ext cx="536257" cy="142875"/>
          <a:chOff x="2358390" y="3880485"/>
          <a:chExt cx="508635" cy="142875"/>
        </a:xfrm>
      </xdr:grpSpPr>
      <xdr:grpSp>
        <xdr:nvGrpSpPr>
          <xdr:cNvPr id="180" name="Group 318">
            <a:extLst>
              <a:ext uri="{FF2B5EF4-FFF2-40B4-BE49-F238E27FC236}">
                <a16:creationId xmlns:a16="http://schemas.microsoft.com/office/drawing/2014/main" id="{00000000-0008-0000-0000-0000B4000000}"/>
              </a:ext>
            </a:extLst>
          </xdr:cNvPr>
          <xdr:cNvGrpSpPr/>
        </xdr:nvGrpSpPr>
        <xdr:grpSpPr>
          <a:xfrm>
            <a:off x="2358390" y="3880485"/>
            <a:ext cx="506730" cy="142875"/>
            <a:chOff x="2346960" y="3844290"/>
            <a:chExt cx="506730" cy="142875"/>
          </a:xfrm>
        </xdr:grpSpPr>
        <xdr:cxnSp macro="">
          <xdr:nvCxnSpPr>
            <xdr:cNvPr id="182" name="Straight Arrow Connector 181">
              <a:extLst>
                <a:ext uri="{FF2B5EF4-FFF2-40B4-BE49-F238E27FC236}">
                  <a16:creationId xmlns:a16="http://schemas.microsoft.com/office/drawing/2014/main" id="{00000000-0008-0000-0000-0000B6000000}"/>
                </a:ext>
              </a:extLst>
            </xdr:cNvPr>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a:extLst>
                <a:ext uri="{FF2B5EF4-FFF2-40B4-BE49-F238E27FC236}">
                  <a16:creationId xmlns:a16="http://schemas.microsoft.com/office/drawing/2014/main" id="{00000000-0008-0000-0000-0000B7000000}"/>
                </a:ext>
              </a:extLst>
            </xdr:cNvPr>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4" name="Straight Arrow Connector 183">
              <a:extLst>
                <a:ext uri="{FF2B5EF4-FFF2-40B4-BE49-F238E27FC236}">
                  <a16:creationId xmlns:a16="http://schemas.microsoft.com/office/drawing/2014/main" id="{00000000-0008-0000-0000-0000B8000000}"/>
                </a:ext>
              </a:extLst>
            </xdr:cNvPr>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5" name="Straight Arrow Connector 184">
              <a:extLst>
                <a:ext uri="{FF2B5EF4-FFF2-40B4-BE49-F238E27FC236}">
                  <a16:creationId xmlns:a16="http://schemas.microsoft.com/office/drawing/2014/main" id="{00000000-0008-0000-0000-0000B9000000}"/>
                </a:ext>
              </a:extLst>
            </xdr:cNvPr>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6" name="Straight Arrow Connector 185">
              <a:extLst>
                <a:ext uri="{FF2B5EF4-FFF2-40B4-BE49-F238E27FC236}">
                  <a16:creationId xmlns:a16="http://schemas.microsoft.com/office/drawing/2014/main" id="{00000000-0008-0000-0000-0000BA000000}"/>
                </a:ext>
              </a:extLst>
            </xdr:cNvPr>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7" name="Straight Arrow Connector 186">
              <a:extLst>
                <a:ext uri="{FF2B5EF4-FFF2-40B4-BE49-F238E27FC236}">
                  <a16:creationId xmlns:a16="http://schemas.microsoft.com/office/drawing/2014/main" id="{00000000-0008-0000-0000-0000BB000000}"/>
                </a:ext>
              </a:extLst>
            </xdr:cNvPr>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8" name="Straight Arrow Connector 187">
              <a:extLst>
                <a:ext uri="{FF2B5EF4-FFF2-40B4-BE49-F238E27FC236}">
                  <a16:creationId xmlns:a16="http://schemas.microsoft.com/office/drawing/2014/main" id="{00000000-0008-0000-0000-0000BC000000}"/>
                </a:ext>
              </a:extLst>
            </xdr:cNvPr>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9" name="Straight Arrow Connector 188">
              <a:extLst>
                <a:ext uri="{FF2B5EF4-FFF2-40B4-BE49-F238E27FC236}">
                  <a16:creationId xmlns:a16="http://schemas.microsoft.com/office/drawing/2014/main" id="{00000000-0008-0000-0000-0000BD000000}"/>
                </a:ext>
              </a:extLst>
            </xdr:cNvPr>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181" name="Straight Arrow Connector 180">
            <a:extLst>
              <a:ext uri="{FF2B5EF4-FFF2-40B4-BE49-F238E27FC236}">
                <a16:creationId xmlns:a16="http://schemas.microsoft.com/office/drawing/2014/main" id="{00000000-0008-0000-0000-0000B5000000}"/>
              </a:ext>
            </a:extLst>
          </xdr:cNvPr>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191" name="Straight Arrow Connector 190">
          <a:extLst>
            <a:ext uri="{FF2B5EF4-FFF2-40B4-BE49-F238E27FC236}">
              <a16:creationId xmlns:a16="http://schemas.microsoft.com/office/drawing/2014/main" id="{00000000-0008-0000-0000-0000BF000000}"/>
            </a:ext>
          </a:extLst>
        </xdr:cNvPr>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403860</xdr:colOff>
      <xdr:row>26</xdr:row>
      <xdr:rowOff>83820</xdr:rowOff>
    </xdr:from>
    <xdr:to>
      <xdr:col>23</xdr:col>
      <xdr:colOff>7620</xdr:colOff>
      <xdr:row>35</xdr:row>
      <xdr:rowOff>167640</xdr:rowOff>
    </xdr:to>
    <xdr:sp macro="" textlink="">
      <xdr:nvSpPr>
        <xdr:cNvPr id="192" name="Rounded Rectangle 191">
          <a:extLst>
            <a:ext uri="{FF2B5EF4-FFF2-40B4-BE49-F238E27FC236}">
              <a16:creationId xmlns:a16="http://schemas.microsoft.com/office/drawing/2014/main" id="{00000000-0008-0000-0000-0000C0000000}"/>
            </a:ext>
          </a:extLst>
        </xdr:cNvPr>
        <xdr:cNvSpPr/>
      </xdr:nvSpPr>
      <xdr:spPr>
        <a:xfrm>
          <a:off x="5654040" y="4831080"/>
          <a:ext cx="6850380" cy="16611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16</xdr:col>
      <xdr:colOff>632460</xdr:colOff>
      <xdr:row>29</xdr:row>
      <xdr:rowOff>6</xdr:rowOff>
    </xdr:from>
    <xdr:to>
      <xdr:col>17</xdr:col>
      <xdr:colOff>76200</xdr:colOff>
      <xdr:row>32</xdr:row>
      <xdr:rowOff>64770</xdr:rowOff>
    </xdr:to>
    <xdr:sp macro="" textlink="">
      <xdr:nvSpPr>
        <xdr:cNvPr id="193" name="Trapezoid 192">
          <a:extLst>
            <a:ext uri="{FF2B5EF4-FFF2-40B4-BE49-F238E27FC236}">
              <a16:creationId xmlns:a16="http://schemas.microsoft.com/office/drawing/2014/main" id="{00000000-0008-0000-0000-0000C1000000}"/>
            </a:ext>
          </a:extLst>
        </xdr:cNvPr>
        <xdr:cNvSpPr/>
      </xdr:nvSpPr>
      <xdr:spPr>
        <a:xfrm rot="5400000">
          <a:off x="9199248" y="547687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11</xdr:col>
      <xdr:colOff>190500</xdr:colOff>
      <xdr:row>30</xdr:row>
      <xdr:rowOff>169545</xdr:rowOff>
    </xdr:from>
    <xdr:to>
      <xdr:col>12</xdr:col>
      <xdr:colOff>274320</xdr:colOff>
      <xdr:row>32</xdr:row>
      <xdr:rowOff>40005</xdr:rowOff>
    </xdr:to>
    <xdr:sp macro="" textlink="">
      <xdr:nvSpPr>
        <xdr:cNvPr id="194" name="Rounded Rectangle 193">
          <a:extLst>
            <a:ext uri="{FF2B5EF4-FFF2-40B4-BE49-F238E27FC236}">
              <a16:creationId xmlns:a16="http://schemas.microsoft.com/office/drawing/2014/main" id="{00000000-0008-0000-0000-0000C2000000}"/>
            </a:ext>
          </a:extLst>
        </xdr:cNvPr>
        <xdr:cNvSpPr/>
      </xdr:nvSpPr>
      <xdr:spPr>
        <a:xfrm>
          <a:off x="6179820" y="561784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12</xdr:col>
      <xdr:colOff>274320</xdr:colOff>
      <xdr:row>31</xdr:row>
      <xdr:rowOff>104775</xdr:rowOff>
    </xdr:from>
    <xdr:to>
      <xdr:col>13</xdr:col>
      <xdr:colOff>281940</xdr:colOff>
      <xdr:row>31</xdr:row>
      <xdr:rowOff>104775</xdr:rowOff>
    </xdr:to>
    <xdr:cxnSp macro="">
      <xdr:nvCxnSpPr>
        <xdr:cNvPr id="195" name="Straight Arrow Connector 194">
          <a:extLst>
            <a:ext uri="{FF2B5EF4-FFF2-40B4-BE49-F238E27FC236}">
              <a16:creationId xmlns:a16="http://schemas.microsoft.com/office/drawing/2014/main" id="{00000000-0008-0000-0000-0000C3000000}"/>
            </a:ext>
          </a:extLst>
        </xdr:cNvPr>
        <xdr:cNvCxnSpPr>
          <a:stCxn id="194" idx="3"/>
          <a:endCxn id="55" idx="1"/>
        </xdr:cNvCxnSpPr>
      </xdr:nvCxnSpPr>
      <xdr:spPr>
        <a:xfrm>
          <a:off x="6736080" y="5728335"/>
          <a:ext cx="51816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99060</xdr:colOff>
      <xdr:row>30</xdr:row>
      <xdr:rowOff>97155</xdr:rowOff>
    </xdr:from>
    <xdr:to>
      <xdr:col>16</xdr:col>
      <xdr:colOff>224790</xdr:colOff>
      <xdr:row>32</xdr:row>
      <xdr:rowOff>112395</xdr:rowOff>
    </xdr:to>
    <xdr:sp macro="" textlink="">
      <xdr:nvSpPr>
        <xdr:cNvPr id="196" name="Rounded Rectangle 195">
          <a:extLst>
            <a:ext uri="{FF2B5EF4-FFF2-40B4-BE49-F238E27FC236}">
              <a16:creationId xmlns:a16="http://schemas.microsoft.com/office/drawing/2014/main" id="{00000000-0008-0000-0000-0000C4000000}"/>
            </a:ext>
          </a:extLst>
        </xdr:cNvPr>
        <xdr:cNvSpPr/>
      </xdr:nvSpPr>
      <xdr:spPr>
        <a:xfrm>
          <a:off x="8473440" y="5545455"/>
          <a:ext cx="52197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a:t>
          </a:r>
        </a:p>
        <a:p>
          <a:pPr algn="ctr"/>
          <a:r>
            <a:rPr lang="en-US" sz="1100">
              <a:latin typeface="Arial" pitchFamily="34" charset="0"/>
              <a:cs typeface="Arial" pitchFamily="34" charset="0"/>
            </a:rPr>
            <a:t>÷ 2</a:t>
          </a:r>
        </a:p>
      </xdr:txBody>
    </xdr:sp>
    <xdr:clientData/>
  </xdr:twoCellAnchor>
  <xdr:twoCellAnchor>
    <xdr:from>
      <xdr:col>14</xdr:col>
      <xdr:colOff>228600</xdr:colOff>
      <xdr:row>31</xdr:row>
      <xdr:rowOff>104775</xdr:rowOff>
    </xdr:from>
    <xdr:to>
      <xdr:col>15</xdr:col>
      <xdr:colOff>99060</xdr:colOff>
      <xdr:row>31</xdr:row>
      <xdr:rowOff>104775</xdr:rowOff>
    </xdr:to>
    <xdr:cxnSp macro="">
      <xdr:nvCxnSpPr>
        <xdr:cNvPr id="197" name="Straight Arrow Connector 196">
          <a:extLst>
            <a:ext uri="{FF2B5EF4-FFF2-40B4-BE49-F238E27FC236}">
              <a16:creationId xmlns:a16="http://schemas.microsoft.com/office/drawing/2014/main" id="{00000000-0008-0000-0000-0000C5000000}"/>
            </a:ext>
          </a:extLst>
        </xdr:cNvPr>
        <xdr:cNvCxnSpPr>
          <a:stCxn id="55" idx="3"/>
          <a:endCxn id="196" idx="1"/>
        </xdr:cNvCxnSpPr>
      </xdr:nvCxnSpPr>
      <xdr:spPr>
        <a:xfrm>
          <a:off x="7940040" y="5728335"/>
          <a:ext cx="53340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723900</xdr:colOff>
      <xdr:row>32</xdr:row>
      <xdr:rowOff>20722</xdr:rowOff>
    </xdr:from>
    <xdr:to>
      <xdr:col>16</xdr:col>
      <xdr:colOff>723900</xdr:colOff>
      <xdr:row>33</xdr:row>
      <xdr:rowOff>156210</xdr:rowOff>
    </xdr:to>
    <xdr:cxnSp macro="">
      <xdr:nvCxnSpPr>
        <xdr:cNvPr id="198" name="Straight Arrow Connector 197">
          <a:extLst>
            <a:ext uri="{FF2B5EF4-FFF2-40B4-BE49-F238E27FC236}">
              <a16:creationId xmlns:a16="http://schemas.microsoft.com/office/drawing/2014/main" id="{00000000-0008-0000-0000-0000C6000000}"/>
            </a:ext>
          </a:extLst>
        </xdr:cNvPr>
        <xdr:cNvCxnSpPr>
          <a:endCxn id="193" idx="3"/>
        </xdr:cNvCxnSpPr>
      </xdr:nvCxnSpPr>
      <xdr:spPr>
        <a:xfrm flipV="1">
          <a:off x="9494520" y="5819542"/>
          <a:ext cx="0" cy="31074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171450</xdr:colOff>
      <xdr:row>33</xdr:row>
      <xdr:rowOff>30480</xdr:rowOff>
    </xdr:from>
    <xdr:ext cx="720090" cy="426720"/>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7143750" y="6004560"/>
          <a:ext cx="720090" cy="426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MHz</a:t>
          </a:r>
          <a:endParaRPr lang="en-US" sz="1100" b="1">
            <a:latin typeface="Arial" pitchFamily="34" charset="0"/>
            <a:cs typeface="Arial" pitchFamily="34" charset="0"/>
          </a:endParaRPr>
        </a:p>
      </xdr:txBody>
    </xdr:sp>
    <xdr:clientData/>
  </xdr:oneCellAnchor>
  <xdr:twoCellAnchor>
    <xdr:from>
      <xdr:col>13</xdr:col>
      <xdr:colOff>3812</xdr:colOff>
      <xdr:row>32</xdr:row>
      <xdr:rowOff>148590</xdr:rowOff>
    </xdr:from>
    <xdr:to>
      <xdr:col>13</xdr:col>
      <xdr:colOff>213360</xdr:colOff>
      <xdr:row>33</xdr:row>
      <xdr:rowOff>160020</xdr:rowOff>
    </xdr:to>
    <xdr:cxnSp macro="">
      <xdr:nvCxnSpPr>
        <xdr:cNvPr id="200" name="Straight Arrow Connector 199">
          <a:extLst>
            <a:ext uri="{FF2B5EF4-FFF2-40B4-BE49-F238E27FC236}">
              <a16:creationId xmlns:a16="http://schemas.microsoft.com/office/drawing/2014/main" id="{00000000-0008-0000-0000-0000C8000000}"/>
            </a:ext>
          </a:extLst>
        </xdr:cNvPr>
        <xdr:cNvCxnSpPr/>
      </xdr:nvCxnSpPr>
      <xdr:spPr>
        <a:xfrm flipH="1" flipV="1">
          <a:off x="6976112" y="5947410"/>
          <a:ext cx="209548" cy="1866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392430</xdr:colOff>
      <xdr:row>31</xdr:row>
      <xdr:rowOff>102870</xdr:rowOff>
    </xdr:from>
    <xdr:to>
      <xdr:col>14</xdr:col>
      <xdr:colOff>403860</xdr:colOff>
      <xdr:row>37</xdr:row>
      <xdr:rowOff>22860</xdr:rowOff>
    </xdr:to>
    <xdr:cxnSp macro="">
      <xdr:nvCxnSpPr>
        <xdr:cNvPr id="201" name="Straight Arrow Connector 200">
          <a:extLst>
            <a:ext uri="{FF2B5EF4-FFF2-40B4-BE49-F238E27FC236}">
              <a16:creationId xmlns:a16="http://schemas.microsoft.com/office/drawing/2014/main" id="{00000000-0008-0000-0000-0000C9000000}"/>
            </a:ext>
          </a:extLst>
        </xdr:cNvPr>
        <xdr:cNvCxnSpPr/>
      </xdr:nvCxnSpPr>
      <xdr:spPr>
        <a:xfrm>
          <a:off x="8103870" y="5726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403860</xdr:colOff>
      <xdr:row>37</xdr:row>
      <xdr:rowOff>22860</xdr:rowOff>
    </xdr:from>
    <xdr:to>
      <xdr:col>15</xdr:col>
      <xdr:colOff>83820</xdr:colOff>
      <xdr:row>37</xdr:row>
      <xdr:rowOff>24195</xdr:rowOff>
    </xdr:to>
    <xdr:cxnSp macro="">
      <xdr:nvCxnSpPr>
        <xdr:cNvPr id="202" name="Straight Arrow Connector 201">
          <a:extLst>
            <a:ext uri="{FF2B5EF4-FFF2-40B4-BE49-F238E27FC236}">
              <a16:creationId xmlns:a16="http://schemas.microsoft.com/office/drawing/2014/main" id="{00000000-0008-0000-0000-0000CA000000}"/>
            </a:ext>
          </a:extLst>
        </xdr:cNvPr>
        <xdr:cNvCxnSpPr/>
      </xdr:nvCxnSpPr>
      <xdr:spPr>
        <a:xfrm>
          <a:off x="8115300" y="6697980"/>
          <a:ext cx="34290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41910</xdr:colOff>
      <xdr:row>36</xdr:row>
      <xdr:rowOff>64770</xdr:rowOff>
    </xdr:from>
    <xdr:ext cx="1169670" cy="269369"/>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8416290" y="6564630"/>
          <a:ext cx="116967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USB PLL Out</a:t>
          </a:r>
        </a:p>
      </xdr:txBody>
    </xdr:sp>
    <xdr:clientData/>
  </xdr:oneCellAnchor>
  <xdr:twoCellAnchor>
    <xdr:from>
      <xdr:col>10</xdr:col>
      <xdr:colOff>651510</xdr:colOff>
      <xdr:row>29</xdr:row>
      <xdr:rowOff>133350</xdr:rowOff>
    </xdr:from>
    <xdr:to>
      <xdr:col>16</xdr:col>
      <xdr:colOff>617220</xdr:colOff>
      <xdr:row>29</xdr:row>
      <xdr:rowOff>133350</xdr:rowOff>
    </xdr:to>
    <xdr:cxnSp macro="">
      <xdr:nvCxnSpPr>
        <xdr:cNvPr id="204" name="Straight Arrow Connector 203">
          <a:extLst>
            <a:ext uri="{FF2B5EF4-FFF2-40B4-BE49-F238E27FC236}">
              <a16:creationId xmlns:a16="http://schemas.microsoft.com/office/drawing/2014/main" id="{00000000-0008-0000-0000-0000CC000000}"/>
            </a:ext>
          </a:extLst>
        </xdr:cNvPr>
        <xdr:cNvCxnSpPr/>
      </xdr:nvCxnSpPr>
      <xdr:spPr>
        <a:xfrm>
          <a:off x="5901690" y="5406390"/>
          <a:ext cx="348615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655320</xdr:colOff>
      <xdr:row>29</xdr:row>
      <xdr:rowOff>121920</xdr:rowOff>
    </xdr:from>
    <xdr:to>
      <xdr:col>10</xdr:col>
      <xdr:colOff>659130</xdr:colOff>
      <xdr:row>31</xdr:row>
      <xdr:rowOff>102870</xdr:rowOff>
    </xdr:to>
    <xdr:cxnSp macro="">
      <xdr:nvCxnSpPr>
        <xdr:cNvPr id="205" name="Straight Arrow Connector 204">
          <a:extLst>
            <a:ext uri="{FF2B5EF4-FFF2-40B4-BE49-F238E27FC236}">
              <a16:creationId xmlns:a16="http://schemas.microsoft.com/office/drawing/2014/main" id="{00000000-0008-0000-0000-0000CD000000}"/>
            </a:ext>
          </a:extLst>
        </xdr:cNvPr>
        <xdr:cNvCxnSpPr/>
      </xdr:nvCxnSpPr>
      <xdr:spPr>
        <a:xfrm flipH="1">
          <a:off x="5905500" y="5394960"/>
          <a:ext cx="3810" cy="33147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186690</xdr:colOff>
      <xdr:row>30</xdr:row>
      <xdr:rowOff>144780</xdr:rowOff>
    </xdr:from>
    <xdr:ext cx="620811" cy="269369"/>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4804410" y="559308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twoCellAnchor>
    <xdr:from>
      <xdr:col>17</xdr:col>
      <xdr:colOff>457200</xdr:colOff>
      <xdr:row>27</xdr:row>
      <xdr:rowOff>152406</xdr:rowOff>
    </xdr:from>
    <xdr:to>
      <xdr:col>18</xdr:col>
      <xdr:colOff>83820</xdr:colOff>
      <xdr:row>31</xdr:row>
      <xdr:rowOff>41910</xdr:rowOff>
    </xdr:to>
    <xdr:sp macro="" textlink="">
      <xdr:nvSpPr>
        <xdr:cNvPr id="207" name="Trapezoid 206">
          <a:extLst>
            <a:ext uri="{FF2B5EF4-FFF2-40B4-BE49-F238E27FC236}">
              <a16:creationId xmlns:a16="http://schemas.microsoft.com/office/drawing/2014/main" id="{00000000-0008-0000-0000-0000CF000000}"/>
            </a:ext>
          </a:extLst>
        </xdr:cNvPr>
        <xdr:cNvSpPr/>
      </xdr:nvSpPr>
      <xdr:spPr>
        <a:xfrm rot="5400000">
          <a:off x="9763128" y="527875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17</xdr:col>
      <xdr:colOff>548640</xdr:colOff>
      <xdr:row>30</xdr:row>
      <xdr:rowOff>173122</xdr:rowOff>
    </xdr:from>
    <xdr:to>
      <xdr:col>17</xdr:col>
      <xdr:colOff>552450</xdr:colOff>
      <xdr:row>32</xdr:row>
      <xdr:rowOff>140970</xdr:rowOff>
    </xdr:to>
    <xdr:cxnSp macro="">
      <xdr:nvCxnSpPr>
        <xdr:cNvPr id="208" name="Straight Arrow Connector 207">
          <a:extLst>
            <a:ext uri="{FF2B5EF4-FFF2-40B4-BE49-F238E27FC236}">
              <a16:creationId xmlns:a16="http://schemas.microsoft.com/office/drawing/2014/main" id="{00000000-0008-0000-0000-0000D0000000}"/>
            </a:ext>
          </a:extLst>
        </xdr:cNvPr>
        <xdr:cNvCxnSpPr>
          <a:endCxn id="207" idx="3"/>
        </xdr:cNvCxnSpPr>
      </xdr:nvCxnSpPr>
      <xdr:spPr>
        <a:xfrm flipH="1" flipV="1">
          <a:off x="10058400" y="5621422"/>
          <a:ext cx="3810" cy="31836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30</xdr:row>
      <xdr:rowOff>118110</xdr:rowOff>
    </xdr:from>
    <xdr:to>
      <xdr:col>17</xdr:col>
      <xdr:colOff>445770</xdr:colOff>
      <xdr:row>30</xdr:row>
      <xdr:rowOff>120018</xdr:rowOff>
    </xdr:to>
    <xdr:cxnSp macro="">
      <xdr:nvCxnSpPr>
        <xdr:cNvPr id="209" name="Straight Arrow Connector 208">
          <a:extLst>
            <a:ext uri="{FF2B5EF4-FFF2-40B4-BE49-F238E27FC236}">
              <a16:creationId xmlns:a16="http://schemas.microsoft.com/office/drawing/2014/main" id="{00000000-0008-0000-0000-0000D1000000}"/>
            </a:ext>
          </a:extLst>
        </xdr:cNvPr>
        <xdr:cNvCxnSpPr>
          <a:stCxn id="193" idx="0"/>
        </xdr:cNvCxnSpPr>
      </xdr:nvCxnSpPr>
      <xdr:spPr>
        <a:xfrm flipV="1">
          <a:off x="9585960" y="5566410"/>
          <a:ext cx="369570" cy="190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224790</xdr:colOff>
      <xdr:row>31</xdr:row>
      <xdr:rowOff>102870</xdr:rowOff>
    </xdr:from>
    <xdr:to>
      <xdr:col>16</xdr:col>
      <xdr:colOff>624840</xdr:colOff>
      <xdr:row>31</xdr:row>
      <xdr:rowOff>104775</xdr:rowOff>
    </xdr:to>
    <xdr:cxnSp macro="">
      <xdr:nvCxnSpPr>
        <xdr:cNvPr id="210" name="Straight Arrow Connector 209">
          <a:extLst>
            <a:ext uri="{FF2B5EF4-FFF2-40B4-BE49-F238E27FC236}">
              <a16:creationId xmlns:a16="http://schemas.microsoft.com/office/drawing/2014/main" id="{00000000-0008-0000-0000-0000D2000000}"/>
            </a:ext>
          </a:extLst>
        </xdr:cNvPr>
        <xdr:cNvCxnSpPr>
          <a:stCxn id="196" idx="3"/>
        </xdr:cNvCxnSpPr>
      </xdr:nvCxnSpPr>
      <xdr:spPr>
        <a:xfrm flipV="1">
          <a:off x="8995410" y="5726430"/>
          <a:ext cx="40005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169436</xdr:colOff>
      <xdr:row>28</xdr:row>
      <xdr:rowOff>64770</xdr:rowOff>
    </xdr:from>
    <xdr:to>
      <xdr:col>17</xdr:col>
      <xdr:colOff>438150</xdr:colOff>
      <xdr:row>28</xdr:row>
      <xdr:rowOff>69915</xdr:rowOff>
    </xdr:to>
    <xdr:cxnSp macro="">
      <xdr:nvCxnSpPr>
        <xdr:cNvPr id="211" name="Straight Arrow Connector 210">
          <a:extLst>
            <a:ext uri="{FF2B5EF4-FFF2-40B4-BE49-F238E27FC236}">
              <a16:creationId xmlns:a16="http://schemas.microsoft.com/office/drawing/2014/main" id="{00000000-0008-0000-0000-0000D3000000}"/>
            </a:ext>
          </a:extLst>
        </xdr:cNvPr>
        <xdr:cNvCxnSpPr>
          <a:stCxn id="212" idx="3"/>
        </xdr:cNvCxnSpPr>
      </xdr:nvCxnSpPr>
      <xdr:spPr>
        <a:xfrm flipV="1">
          <a:off x="5419616" y="5162550"/>
          <a:ext cx="4528294" cy="5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300990</xdr:colOff>
      <xdr:row>27</xdr:row>
      <xdr:rowOff>110490</xdr:rowOff>
    </xdr:from>
    <xdr:ext cx="500906" cy="269369"/>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4918710" y="503301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a:t>
          </a:r>
        </a:p>
      </xdr:txBody>
    </xdr:sp>
    <xdr:clientData/>
  </xdr:oneCellAnchor>
  <xdr:oneCellAnchor>
    <xdr:from>
      <xdr:col>12</xdr:col>
      <xdr:colOff>38100</xdr:colOff>
      <xdr:row>26</xdr:row>
      <xdr:rowOff>114300</xdr:rowOff>
    </xdr:from>
    <xdr:ext cx="842988" cy="269369"/>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6499860" y="4861560"/>
          <a:ext cx="8429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 PLL</a:t>
          </a:r>
        </a:p>
      </xdr:txBody>
    </xdr:sp>
    <xdr:clientData/>
  </xdr:oneCellAnchor>
  <xdr:twoCellAnchor>
    <xdr:from>
      <xdr:col>12</xdr:col>
      <xdr:colOff>106202</xdr:colOff>
      <xdr:row>51</xdr:row>
      <xdr:rowOff>174690</xdr:rowOff>
    </xdr:from>
    <xdr:to>
      <xdr:col>13</xdr:col>
      <xdr:colOff>413385</xdr:colOff>
      <xdr:row>52</xdr:row>
      <xdr:rowOff>3810</xdr:rowOff>
    </xdr:to>
    <xdr:cxnSp macro="">
      <xdr:nvCxnSpPr>
        <xdr:cNvPr id="214" name="Straight Arrow Connector 213">
          <a:extLst>
            <a:ext uri="{FF2B5EF4-FFF2-40B4-BE49-F238E27FC236}">
              <a16:creationId xmlns:a16="http://schemas.microsoft.com/office/drawing/2014/main" id="{00000000-0008-0000-0000-0000D6000000}"/>
            </a:ext>
          </a:extLst>
        </xdr:cNvPr>
        <xdr:cNvCxnSpPr>
          <a:stCxn id="215" idx="3"/>
        </xdr:cNvCxnSpPr>
      </xdr:nvCxnSpPr>
      <xdr:spPr>
        <a:xfrm>
          <a:off x="6567962" y="9303450"/>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51</xdr:row>
      <xdr:rowOff>40005</xdr:rowOff>
    </xdr:from>
    <xdr:ext cx="620811" cy="269369"/>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5947151" y="91687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SOSC</a:t>
          </a:r>
        </a:p>
      </xdr:txBody>
    </xdr:sp>
    <xdr:clientData/>
  </xdr:oneCellAnchor>
  <xdr:twoCellAnchor>
    <xdr:from>
      <xdr:col>6</xdr:col>
      <xdr:colOff>7620</xdr:colOff>
      <xdr:row>13</xdr:row>
      <xdr:rowOff>95250</xdr:rowOff>
    </xdr:from>
    <xdr:to>
      <xdr:col>6</xdr:col>
      <xdr:colOff>542923</xdr:colOff>
      <xdr:row>13</xdr:row>
      <xdr:rowOff>97155</xdr:rowOff>
    </xdr:to>
    <xdr:cxnSp macro="">
      <xdr:nvCxnSpPr>
        <xdr:cNvPr id="216" name="Straight Arrow Connector 215">
          <a:extLst>
            <a:ext uri="{FF2B5EF4-FFF2-40B4-BE49-F238E27FC236}">
              <a16:creationId xmlns:a16="http://schemas.microsoft.com/office/drawing/2014/main" id="{00000000-0008-0000-0000-0000D8000000}"/>
            </a:ext>
          </a:extLst>
        </xdr:cNvPr>
        <xdr:cNvCxnSpPr>
          <a:endCxn id="218" idx="1"/>
        </xdr:cNvCxnSpPr>
      </xdr:nvCxnSpPr>
      <xdr:spPr>
        <a:xfrm flipV="1">
          <a:off x="2545080" y="2564130"/>
          <a:ext cx="535303"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396240</xdr:colOff>
      <xdr:row>13</xdr:row>
      <xdr:rowOff>88965</xdr:rowOff>
    </xdr:from>
    <xdr:to>
      <xdr:col>9</xdr:col>
      <xdr:colOff>45720</xdr:colOff>
      <xdr:row>13</xdr:row>
      <xdr:rowOff>95250</xdr:rowOff>
    </xdr:to>
    <xdr:cxnSp macro="">
      <xdr:nvCxnSpPr>
        <xdr:cNvPr id="217" name="Straight Arrow Connector 216">
          <a:extLst>
            <a:ext uri="{FF2B5EF4-FFF2-40B4-BE49-F238E27FC236}">
              <a16:creationId xmlns:a16="http://schemas.microsoft.com/office/drawing/2014/main" id="{00000000-0008-0000-0000-0000D9000000}"/>
            </a:ext>
          </a:extLst>
        </xdr:cNvPr>
        <xdr:cNvCxnSpPr>
          <a:stCxn id="218" idx="3"/>
          <a:endCxn id="219" idx="1"/>
        </xdr:cNvCxnSpPr>
      </xdr:nvCxnSpPr>
      <xdr:spPr>
        <a:xfrm flipV="1">
          <a:off x="3535680" y="2557845"/>
          <a:ext cx="1127760" cy="628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542923</xdr:colOff>
      <xdr:row>12</xdr:row>
      <xdr:rowOff>152400</xdr:rowOff>
    </xdr:from>
    <xdr:to>
      <xdr:col>7</xdr:col>
      <xdr:colOff>396240</xdr:colOff>
      <xdr:row>14</xdr:row>
      <xdr:rowOff>38100</xdr:rowOff>
    </xdr:to>
    <xdr:sp macro="" textlink="">
      <xdr:nvSpPr>
        <xdr:cNvPr id="218" name="Rounded Rectangle 217">
          <a:extLst>
            <a:ext uri="{FF2B5EF4-FFF2-40B4-BE49-F238E27FC236}">
              <a16:creationId xmlns:a16="http://schemas.microsoft.com/office/drawing/2014/main" id="{00000000-0008-0000-0000-0000DA000000}"/>
            </a:ext>
          </a:extLst>
        </xdr:cNvPr>
        <xdr:cNvSpPr/>
      </xdr:nvSpPr>
      <xdr:spPr>
        <a:xfrm>
          <a:off x="3080383" y="2446020"/>
          <a:ext cx="4552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Arial" pitchFamily="34" charset="0"/>
              <a:ea typeface="+mn-ea"/>
              <a:cs typeface="Arial" pitchFamily="34" charset="0"/>
            </a:rPr>
            <a:t>÷ 16</a:t>
          </a:r>
          <a:endParaRPr lang="en-US">
            <a:latin typeface="Arial" pitchFamily="34" charset="0"/>
            <a:cs typeface="Arial" pitchFamily="34" charset="0"/>
          </a:endParaRPr>
        </a:p>
      </xdr:txBody>
    </xdr:sp>
    <xdr:clientData/>
  </xdr:twoCellAnchor>
  <xdr:oneCellAnchor>
    <xdr:from>
      <xdr:col>9</xdr:col>
      <xdr:colOff>45720</xdr:colOff>
      <xdr:row>12</xdr:row>
      <xdr:rowOff>129540</xdr:rowOff>
    </xdr:from>
    <xdr:ext cx="1061316" cy="269369"/>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4663440" y="2423160"/>
          <a:ext cx="106131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FRCDIV16 =</a:t>
          </a:r>
        </a:p>
      </xdr:txBody>
    </xdr:sp>
    <xdr:clientData/>
  </xdr:oneCellAnchor>
  <xdr:twoCellAnchor>
    <xdr:from>
      <xdr:col>8</xdr:col>
      <xdr:colOff>0</xdr:colOff>
      <xdr:row>9</xdr:row>
      <xdr:rowOff>131447</xdr:rowOff>
    </xdr:from>
    <xdr:to>
      <xdr:col>8</xdr:col>
      <xdr:colOff>0</xdr:colOff>
      <xdr:row>10</xdr:row>
      <xdr:rowOff>160020</xdr:rowOff>
    </xdr:to>
    <xdr:cxnSp macro="">
      <xdr:nvCxnSpPr>
        <xdr:cNvPr id="220" name="Straight Arrow Connector 219">
          <a:extLst>
            <a:ext uri="{FF2B5EF4-FFF2-40B4-BE49-F238E27FC236}">
              <a16:creationId xmlns:a16="http://schemas.microsoft.com/office/drawing/2014/main" id="{00000000-0008-0000-0000-0000DC000000}"/>
            </a:ext>
          </a:extLst>
        </xdr:cNvPr>
        <xdr:cNvCxnSpPr/>
      </xdr:nvCxnSpPr>
      <xdr:spPr>
        <a:xfrm>
          <a:off x="3878580" y="1891667"/>
          <a:ext cx="0" cy="20383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24</xdr:row>
      <xdr:rowOff>12762</xdr:rowOff>
    </xdr:from>
    <xdr:to>
      <xdr:col>16</xdr:col>
      <xdr:colOff>408060</xdr:colOff>
      <xdr:row>24</xdr:row>
      <xdr:rowOff>15240</xdr:rowOff>
    </xdr:to>
    <xdr:cxnSp macro="">
      <xdr:nvCxnSpPr>
        <xdr:cNvPr id="221" name="Straight Arrow Connector 220">
          <a:extLst>
            <a:ext uri="{FF2B5EF4-FFF2-40B4-BE49-F238E27FC236}">
              <a16:creationId xmlns:a16="http://schemas.microsoft.com/office/drawing/2014/main" id="{00000000-0008-0000-0000-0000DD000000}"/>
            </a:ext>
          </a:extLst>
        </xdr:cNvPr>
        <xdr:cNvCxnSpPr>
          <a:endCxn id="222" idx="1"/>
        </xdr:cNvCxnSpPr>
      </xdr:nvCxnSpPr>
      <xdr:spPr>
        <a:xfrm flipV="1">
          <a:off x="8877300" y="4409502"/>
          <a:ext cx="301380" cy="247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408060</xdr:colOff>
      <xdr:row>23</xdr:row>
      <xdr:rowOff>53337</xdr:rowOff>
    </xdr:from>
    <xdr:ext cx="1373325" cy="269369"/>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9178680" y="427481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16</xdr:col>
      <xdr:colOff>95250</xdr:colOff>
      <xdr:row>18</xdr:row>
      <xdr:rowOff>95250</xdr:rowOff>
    </xdr:from>
    <xdr:to>
      <xdr:col>16</xdr:col>
      <xdr:colOff>106680</xdr:colOff>
      <xdr:row>24</xdr:row>
      <xdr:rowOff>15240</xdr:rowOff>
    </xdr:to>
    <xdr:cxnSp macro="">
      <xdr:nvCxnSpPr>
        <xdr:cNvPr id="223" name="Straight Arrow Connector 222">
          <a:extLst>
            <a:ext uri="{FF2B5EF4-FFF2-40B4-BE49-F238E27FC236}">
              <a16:creationId xmlns:a16="http://schemas.microsoft.com/office/drawing/2014/main" id="{00000000-0008-0000-0000-0000DF000000}"/>
            </a:ext>
          </a:extLst>
        </xdr:cNvPr>
        <xdr:cNvCxnSpPr/>
      </xdr:nvCxnSpPr>
      <xdr:spPr>
        <a:xfrm>
          <a:off x="8865870" y="3440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163272</xdr:colOff>
      <xdr:row>64</xdr:row>
      <xdr:rowOff>30477</xdr:rowOff>
    </xdr:from>
    <xdr:ext cx="1150700" cy="269369"/>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5413452" y="11460477"/>
          <a:ext cx="115070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USB PLL Out</a:t>
          </a:r>
        </a:p>
      </xdr:txBody>
    </xdr:sp>
    <xdr:clientData/>
  </xdr:oneCellAnchor>
  <xdr:oneCellAnchor>
    <xdr:from>
      <xdr:col>13</xdr:col>
      <xdr:colOff>87630</xdr:colOff>
      <xdr:row>20</xdr:row>
      <xdr:rowOff>45720</xdr:rowOff>
    </xdr:from>
    <xdr:ext cx="857250" cy="419100"/>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7059930" y="3741420"/>
          <a:ext cx="8572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to 5 MHz</a:t>
          </a:r>
          <a:endParaRPr lang="en-US" sz="1100" b="1">
            <a:latin typeface="Arial" pitchFamily="34" charset="0"/>
            <a:cs typeface="Arial" pitchFamily="34" charset="0"/>
          </a:endParaRPr>
        </a:p>
      </xdr:txBody>
    </xdr:sp>
    <xdr:clientData/>
  </xdr:oneCellAnchor>
  <xdr:twoCellAnchor>
    <xdr:from>
      <xdr:col>13</xdr:col>
      <xdr:colOff>15240</xdr:colOff>
      <xdr:row>19</xdr:row>
      <xdr:rowOff>160020</xdr:rowOff>
    </xdr:from>
    <xdr:to>
      <xdr:col>13</xdr:col>
      <xdr:colOff>167640</xdr:colOff>
      <xdr:row>20</xdr:row>
      <xdr:rowOff>106680</xdr:rowOff>
    </xdr:to>
    <xdr:cxnSp macro="">
      <xdr:nvCxnSpPr>
        <xdr:cNvPr id="226" name="Straight Arrow Connector 225">
          <a:extLst>
            <a:ext uri="{FF2B5EF4-FFF2-40B4-BE49-F238E27FC236}">
              <a16:creationId xmlns:a16="http://schemas.microsoft.com/office/drawing/2014/main" id="{00000000-0008-0000-0000-0000E2000000}"/>
            </a:ext>
          </a:extLst>
        </xdr:cNvPr>
        <xdr:cNvCxnSpPr/>
      </xdr:nvCxnSpPr>
      <xdr:spPr>
        <a:xfrm flipH="1" flipV="1">
          <a:off x="6987540" y="3680460"/>
          <a:ext cx="152400" cy="1219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76200</xdr:colOff>
      <xdr:row>0</xdr:row>
      <xdr:rowOff>99060</xdr:rowOff>
    </xdr:from>
    <xdr:to>
      <xdr:col>5</xdr:col>
      <xdr:colOff>129540</xdr:colOff>
      <xdr:row>2</xdr:row>
      <xdr:rowOff>28667</xdr:rowOff>
    </xdr:to>
    <xdr:pic>
      <xdr:nvPicPr>
        <xdr:cNvPr id="227" name="Picture 226" descr="MICH2C.bmp">
          <a:extLst>
            <a:ext uri="{FF2B5EF4-FFF2-40B4-BE49-F238E27FC236}">
              <a16:creationId xmlns:a16="http://schemas.microsoft.com/office/drawing/2014/main" id="{00000000-0008-0000-0000-0000E3000000}"/>
            </a:ext>
          </a:extLst>
        </xdr:cNvPr>
        <xdr:cNvPicPr>
          <a:picLocks noChangeAspect="1"/>
        </xdr:cNvPicPr>
      </xdr:nvPicPr>
      <xdr:blipFill>
        <a:blip xmlns:r="http://schemas.openxmlformats.org/officeDocument/2006/relationships" r:embed="rId1" cstate="print"/>
        <a:stretch>
          <a:fillRect/>
        </a:stretch>
      </xdr:blipFill>
      <xdr:spPr>
        <a:xfrm>
          <a:off x="76200" y="99060"/>
          <a:ext cx="2004060" cy="463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224790</xdr:colOff>
      <xdr:row>24</xdr:row>
      <xdr:rowOff>160020</xdr:rowOff>
    </xdr:from>
    <xdr:to>
      <xdr:col>9</xdr:col>
      <xdr:colOff>518160</xdr:colOff>
      <xdr:row>25</xdr:row>
      <xdr:rowOff>1905</xdr:rowOff>
    </xdr:to>
    <xdr:cxnSp macro="">
      <xdr:nvCxnSpPr>
        <xdr:cNvPr id="4" name="Straight Arrow Connector 3">
          <a:extLst>
            <a:ext uri="{FF2B5EF4-FFF2-40B4-BE49-F238E27FC236}">
              <a16:creationId xmlns:a16="http://schemas.microsoft.com/office/drawing/2014/main" id="{00000000-0008-0000-0100-000004000000}"/>
            </a:ext>
          </a:extLst>
        </xdr:cNvPr>
        <xdr:cNvCxnSpPr>
          <a:stCxn id="11" idx="3"/>
        </xdr:cNvCxnSpPr>
      </xdr:nvCxnSpPr>
      <xdr:spPr>
        <a:xfrm flipV="1">
          <a:off x="2884170" y="4373880"/>
          <a:ext cx="2960370" cy="17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2101916" y="4417629"/>
          <a:ext cx="156210" cy="157140"/>
          <a:chOff x="7957185" y="6433185"/>
          <a:chExt cx="156210" cy="160020"/>
        </a:xfrm>
      </xdr:grpSpPr>
      <xdr:sp macro="" textlink="">
        <xdr:nvSpPr>
          <xdr:cNvPr id="11" name="Rectangle 10">
            <a:extLst>
              <a:ext uri="{FF2B5EF4-FFF2-40B4-BE49-F238E27FC236}">
                <a16:creationId xmlns:a16="http://schemas.microsoft.com/office/drawing/2014/main" id="{00000000-0008-0000-0100-00000B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3" name="Straight Connector 12">
            <a:extLst>
              <a:ext uri="{FF2B5EF4-FFF2-40B4-BE49-F238E27FC236}">
                <a16:creationId xmlns:a16="http://schemas.microsoft.com/office/drawing/2014/main" id="{00000000-0008-0000-0100-00000D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100-00000E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19" name="Group 18">
          <a:extLst>
            <a:ext uri="{FF2B5EF4-FFF2-40B4-BE49-F238E27FC236}">
              <a16:creationId xmlns:a16="http://schemas.microsoft.com/office/drawing/2014/main" id="{00000000-0008-0000-0100-000013000000}"/>
            </a:ext>
          </a:extLst>
        </xdr:cNvPr>
        <xdr:cNvGrpSpPr/>
      </xdr:nvGrpSpPr>
      <xdr:grpSpPr>
        <a:xfrm>
          <a:off x="2103821" y="5284295"/>
          <a:ext cx="157797" cy="146345"/>
          <a:chOff x="7957185" y="6433185"/>
          <a:chExt cx="156210" cy="160020"/>
        </a:xfrm>
      </xdr:grpSpPr>
      <xdr:sp macro="" textlink="">
        <xdr:nvSpPr>
          <xdr:cNvPr id="20" name="Rectangle 19">
            <a:extLst>
              <a:ext uri="{FF2B5EF4-FFF2-40B4-BE49-F238E27FC236}">
                <a16:creationId xmlns:a16="http://schemas.microsoft.com/office/drawing/2014/main" id="{00000000-0008-0000-0100-000014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 name="Straight Connector 20">
            <a:extLst>
              <a:ext uri="{FF2B5EF4-FFF2-40B4-BE49-F238E27FC236}">
                <a16:creationId xmlns:a16="http://schemas.microsoft.com/office/drawing/2014/main" id="{00000000-0008-0000-0100-000015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0100-000016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25" name="Straight Connector 24">
          <a:extLst>
            <a:ext uri="{FF2B5EF4-FFF2-40B4-BE49-F238E27FC236}">
              <a16:creationId xmlns:a16="http://schemas.microsoft.com/office/drawing/2014/main" id="{00000000-0008-0000-0100-000019000000}"/>
            </a:ext>
          </a:extLst>
        </xdr:cNvPr>
        <xdr:cNvCxnSpPr>
          <a:endCxn id="20" idx="3"/>
        </xdr:cNvCxnSpPr>
      </xdr:nvCxnSpPr>
      <xdr:spPr>
        <a:xfrm flipH="1" flipV="1">
          <a:off x="2886075" y="43890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49" name="Group 48">
          <a:extLst>
            <a:ext uri="{FF2B5EF4-FFF2-40B4-BE49-F238E27FC236}">
              <a16:creationId xmlns:a16="http://schemas.microsoft.com/office/drawing/2014/main" id="{00000000-0008-0000-0100-000031000000}"/>
            </a:ext>
          </a:extLst>
        </xdr:cNvPr>
        <xdr:cNvGrpSpPr/>
      </xdr:nvGrpSpPr>
      <xdr:grpSpPr>
        <a:xfrm>
          <a:off x="2410526" y="4495734"/>
          <a:ext cx="203200" cy="862199"/>
          <a:chOff x="8985885" y="6543675"/>
          <a:chExt cx="139065" cy="923925"/>
        </a:xfrm>
      </xdr:grpSpPr>
      <xdr:cxnSp macro="">
        <xdr:nvCxnSpPr>
          <xdr:cNvPr id="24" name="Straight Connector 23">
            <a:extLst>
              <a:ext uri="{FF2B5EF4-FFF2-40B4-BE49-F238E27FC236}">
                <a16:creationId xmlns:a16="http://schemas.microsoft.com/office/drawing/2014/main" id="{00000000-0008-0000-0100-000018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0100-00001F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0100-000024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100-000025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0000000-0008-0000-0100-000027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00000000-0008-0000-0100-000028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0000000-0008-0000-0100-00002A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100-00002E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57" name="Group 56">
          <a:extLst>
            <a:ext uri="{FF2B5EF4-FFF2-40B4-BE49-F238E27FC236}">
              <a16:creationId xmlns:a16="http://schemas.microsoft.com/office/drawing/2014/main" id="{00000000-0008-0000-0100-000039000000}"/>
            </a:ext>
          </a:extLst>
        </xdr:cNvPr>
        <xdr:cNvGrpSpPr/>
      </xdr:nvGrpSpPr>
      <xdr:grpSpPr>
        <a:xfrm>
          <a:off x="2785755" y="4500474"/>
          <a:ext cx="405448" cy="858412"/>
          <a:chOff x="9351645" y="6551295"/>
          <a:chExt cx="411480" cy="922021"/>
        </a:xfrm>
      </xdr:grpSpPr>
      <xdr:cxnSp macro="">
        <xdr:nvCxnSpPr>
          <xdr:cNvPr id="52" name="Straight Connector 51">
            <a:extLst>
              <a:ext uri="{FF2B5EF4-FFF2-40B4-BE49-F238E27FC236}">
                <a16:creationId xmlns:a16="http://schemas.microsoft.com/office/drawing/2014/main" id="{00000000-0008-0000-0100-000034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Isosceles Triangle 50">
            <a:extLst>
              <a:ext uri="{FF2B5EF4-FFF2-40B4-BE49-F238E27FC236}">
                <a16:creationId xmlns:a16="http://schemas.microsoft.com/office/drawing/2014/main" id="{00000000-0008-0000-0100-000033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6" name="Oval 55">
            <a:extLst>
              <a:ext uri="{FF2B5EF4-FFF2-40B4-BE49-F238E27FC236}">
                <a16:creationId xmlns:a16="http://schemas.microsoft.com/office/drawing/2014/main" id="{00000000-0008-0000-0100-000038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61" name="Straight Arrow Connector 60">
          <a:extLst>
            <a:ext uri="{FF2B5EF4-FFF2-40B4-BE49-F238E27FC236}">
              <a16:creationId xmlns:a16="http://schemas.microsoft.com/office/drawing/2014/main" id="{00000000-0008-0000-0100-00003D000000}"/>
            </a:ext>
          </a:extLst>
        </xdr:cNvPr>
        <xdr:cNvCxnSpPr>
          <a:stCxn id="2" idx="1"/>
          <a:endCxn id="51" idx="1"/>
        </xdr:cNvCxnSpPr>
      </xdr:nvCxnSpPr>
      <xdr:spPr>
        <a:xfrm flipH="1">
          <a:off x="9464040" y="731520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16</xdr:row>
      <xdr:rowOff>97155</xdr:rowOff>
    </xdr:from>
    <xdr:to>
      <xdr:col>17</xdr:col>
      <xdr:colOff>403860</xdr:colOff>
      <xdr:row>18</xdr:row>
      <xdr:rowOff>112395</xdr:rowOff>
    </xdr:to>
    <xdr:sp macro="" textlink="">
      <xdr:nvSpPr>
        <xdr:cNvPr id="67" name="Rounded Rectangle 66">
          <a:extLst>
            <a:ext uri="{FF2B5EF4-FFF2-40B4-BE49-F238E27FC236}">
              <a16:creationId xmlns:a16="http://schemas.microsoft.com/office/drawing/2014/main" id="{00000000-0008-0000-0100-000043000000}"/>
            </a:ext>
          </a:extLst>
        </xdr:cNvPr>
        <xdr:cNvSpPr/>
      </xdr:nvSpPr>
      <xdr:spPr>
        <a:xfrm>
          <a:off x="15605759" y="663511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16</xdr:row>
      <xdr:rowOff>99056</xdr:rowOff>
    </xdr:from>
    <xdr:to>
      <xdr:col>8</xdr:col>
      <xdr:colOff>342901</xdr:colOff>
      <xdr:row>18</xdr:row>
      <xdr:rowOff>114296</xdr:rowOff>
    </xdr:to>
    <xdr:sp macro="" textlink="">
      <xdr:nvSpPr>
        <xdr:cNvPr id="68" name="Rounded Rectangle 67">
          <a:extLst>
            <a:ext uri="{FF2B5EF4-FFF2-40B4-BE49-F238E27FC236}">
              <a16:creationId xmlns:a16="http://schemas.microsoft.com/office/drawing/2014/main" id="{00000000-0008-0000-0100-000044000000}"/>
            </a:ext>
          </a:extLst>
        </xdr:cNvPr>
        <xdr:cNvSpPr/>
      </xdr:nvSpPr>
      <xdr:spPr>
        <a:xfrm>
          <a:off x="4244341" y="202691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16</xdr:row>
      <xdr:rowOff>97154</xdr:rowOff>
    </xdr:from>
    <xdr:to>
      <xdr:col>11</xdr:col>
      <xdr:colOff>344804</xdr:colOff>
      <xdr:row>18</xdr:row>
      <xdr:rowOff>112394</xdr:rowOff>
    </xdr:to>
    <xdr:sp macro="" textlink="">
      <xdr:nvSpPr>
        <xdr:cNvPr id="69" name="Rounded Rectangle 68">
          <a:extLst>
            <a:ext uri="{FF2B5EF4-FFF2-40B4-BE49-F238E27FC236}">
              <a16:creationId xmlns:a16="http://schemas.microsoft.com/office/drawing/2014/main" id="{00000000-0008-0000-0100-000045000000}"/>
            </a:ext>
          </a:extLst>
        </xdr:cNvPr>
        <xdr:cNvSpPr/>
      </xdr:nvSpPr>
      <xdr:spPr>
        <a:xfrm>
          <a:off x="12193904"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16</xdr:row>
      <xdr:rowOff>97154</xdr:rowOff>
    </xdr:from>
    <xdr:to>
      <xdr:col>14</xdr:col>
      <xdr:colOff>339089</xdr:colOff>
      <xdr:row>18</xdr:row>
      <xdr:rowOff>112394</xdr:rowOff>
    </xdr:to>
    <xdr:sp macro="" textlink="">
      <xdr:nvSpPr>
        <xdr:cNvPr id="70" name="Rounded Rectangle 69">
          <a:extLst>
            <a:ext uri="{FF2B5EF4-FFF2-40B4-BE49-F238E27FC236}">
              <a16:creationId xmlns:a16="http://schemas.microsoft.com/office/drawing/2014/main" id="{00000000-0008-0000-0100-000046000000}"/>
            </a:ext>
          </a:extLst>
        </xdr:cNvPr>
        <xdr:cNvSpPr/>
      </xdr:nvSpPr>
      <xdr:spPr>
        <a:xfrm>
          <a:off x="13765529"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0186035" y="713232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17</xdr:row>
      <xdr:rowOff>104774</xdr:rowOff>
    </xdr:from>
    <xdr:to>
      <xdr:col>10</xdr:col>
      <xdr:colOff>398144</xdr:colOff>
      <xdr:row>17</xdr:row>
      <xdr:rowOff>106676</xdr:rowOff>
    </xdr:to>
    <xdr:cxnSp macro="">
      <xdr:nvCxnSpPr>
        <xdr:cNvPr id="79" name="Straight Arrow Connector 78">
          <a:extLst>
            <a:ext uri="{FF2B5EF4-FFF2-40B4-BE49-F238E27FC236}">
              <a16:creationId xmlns:a16="http://schemas.microsoft.com/office/drawing/2014/main" id="{00000000-0008-0000-0100-00004F000000}"/>
            </a:ext>
          </a:extLst>
        </xdr:cNvPr>
        <xdr:cNvCxnSpPr>
          <a:stCxn id="68" idx="3"/>
          <a:endCxn id="69" idx="1"/>
        </xdr:cNvCxnSpPr>
      </xdr:nvCxnSpPr>
      <xdr:spPr>
        <a:xfrm flipV="1">
          <a:off x="4930141" y="2207894"/>
          <a:ext cx="119062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17</xdr:row>
      <xdr:rowOff>104774</xdr:rowOff>
    </xdr:from>
    <xdr:to>
      <xdr:col>13</xdr:col>
      <xdr:colOff>392429</xdr:colOff>
      <xdr:row>17</xdr:row>
      <xdr:rowOff>104774</xdr:rowOff>
    </xdr:to>
    <xdr:cxnSp macro="">
      <xdr:nvCxnSpPr>
        <xdr:cNvPr id="84" name="Straight Arrow Connector 83">
          <a:extLst>
            <a:ext uri="{FF2B5EF4-FFF2-40B4-BE49-F238E27FC236}">
              <a16:creationId xmlns:a16="http://schemas.microsoft.com/office/drawing/2014/main" id="{00000000-0008-0000-0100-000054000000}"/>
            </a:ext>
          </a:extLst>
        </xdr:cNvPr>
        <xdr:cNvCxnSpPr>
          <a:stCxn id="69" idx="3"/>
          <a:endCxn id="70" idx="1"/>
        </xdr:cNvCxnSpPr>
      </xdr:nvCxnSpPr>
      <xdr:spPr>
        <a:xfrm>
          <a:off x="12582524" y="6817994"/>
          <a:ext cx="11830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17</xdr:row>
      <xdr:rowOff>104774</xdr:rowOff>
    </xdr:from>
    <xdr:to>
      <xdr:col>16</xdr:col>
      <xdr:colOff>358139</xdr:colOff>
      <xdr:row>17</xdr:row>
      <xdr:rowOff>104775</xdr:rowOff>
    </xdr:to>
    <xdr:cxnSp macro="">
      <xdr:nvCxnSpPr>
        <xdr:cNvPr id="87" name="Straight Arrow Connector 86">
          <a:extLst>
            <a:ext uri="{FF2B5EF4-FFF2-40B4-BE49-F238E27FC236}">
              <a16:creationId xmlns:a16="http://schemas.microsoft.com/office/drawing/2014/main" id="{00000000-0008-0000-0100-000057000000}"/>
            </a:ext>
          </a:extLst>
        </xdr:cNvPr>
        <xdr:cNvCxnSpPr>
          <a:stCxn id="70" idx="3"/>
          <a:endCxn id="67" idx="1"/>
        </xdr:cNvCxnSpPr>
      </xdr:nvCxnSpPr>
      <xdr:spPr>
        <a:xfrm>
          <a:off x="14451329" y="6817994"/>
          <a:ext cx="11544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17</xdr:row>
      <xdr:rowOff>95251</xdr:rowOff>
    </xdr:from>
    <xdr:to>
      <xdr:col>18</xdr:col>
      <xdr:colOff>525780</xdr:colOff>
      <xdr:row>17</xdr:row>
      <xdr:rowOff>104775</xdr:rowOff>
    </xdr:to>
    <xdr:cxnSp macro="">
      <xdr:nvCxnSpPr>
        <xdr:cNvPr id="90" name="Straight Arrow Connector 89">
          <a:extLst>
            <a:ext uri="{FF2B5EF4-FFF2-40B4-BE49-F238E27FC236}">
              <a16:creationId xmlns:a16="http://schemas.microsoft.com/office/drawing/2014/main" id="{00000000-0008-0000-0100-00005A000000}"/>
            </a:ext>
          </a:extLst>
        </xdr:cNvPr>
        <xdr:cNvCxnSpPr>
          <a:stCxn id="67" idx="3"/>
        </xdr:cNvCxnSpPr>
      </xdr:nvCxnSpPr>
      <xdr:spPr>
        <a:xfrm flipV="1">
          <a:off x="16390620" y="6808471"/>
          <a:ext cx="86106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160020</xdr:rowOff>
    </xdr:from>
    <xdr:to>
      <xdr:col>7</xdr:col>
      <xdr:colOff>388620</xdr:colOff>
      <xdr:row>16</xdr:row>
      <xdr:rowOff>167640</xdr:rowOff>
    </xdr:to>
    <xdr:cxnSp macro="">
      <xdr:nvCxnSpPr>
        <xdr:cNvPr id="134" name="Straight Arrow Connector 133">
          <a:extLst>
            <a:ext uri="{FF2B5EF4-FFF2-40B4-BE49-F238E27FC236}">
              <a16:creationId xmlns:a16="http://schemas.microsoft.com/office/drawing/2014/main" id="{00000000-0008-0000-0100-000086000000}"/>
            </a:ext>
          </a:extLst>
        </xdr:cNvPr>
        <xdr:cNvCxnSpPr/>
      </xdr:nvCxnSpPr>
      <xdr:spPr>
        <a:xfrm flipV="1">
          <a:off x="3246120" y="297180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136" name="Rounded Rectangle 135">
          <a:extLst>
            <a:ext uri="{FF2B5EF4-FFF2-40B4-BE49-F238E27FC236}">
              <a16:creationId xmlns:a16="http://schemas.microsoft.com/office/drawing/2014/main" id="{00000000-0008-0000-0100-000088000000}"/>
            </a:ext>
          </a:extLst>
        </xdr:cNvPr>
        <xdr:cNvSpPr/>
      </xdr:nvSpPr>
      <xdr:spPr>
        <a:xfrm>
          <a:off x="2270760" y="174498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137" name="Rounded Rectangle 136">
          <a:extLst>
            <a:ext uri="{FF2B5EF4-FFF2-40B4-BE49-F238E27FC236}">
              <a16:creationId xmlns:a16="http://schemas.microsoft.com/office/drawing/2014/main" id="{00000000-0008-0000-0100-000089000000}"/>
            </a:ext>
          </a:extLst>
        </xdr:cNvPr>
        <xdr:cNvSpPr/>
      </xdr:nvSpPr>
      <xdr:spPr>
        <a:xfrm>
          <a:off x="2270760" y="464058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16</xdr:row>
      <xdr:rowOff>167640</xdr:rowOff>
    </xdr:to>
    <xdr:cxnSp macro="">
      <xdr:nvCxnSpPr>
        <xdr:cNvPr id="143" name="Straight Arrow Connector 142">
          <a:extLst>
            <a:ext uri="{FF2B5EF4-FFF2-40B4-BE49-F238E27FC236}">
              <a16:creationId xmlns:a16="http://schemas.microsoft.com/office/drawing/2014/main" id="{00000000-0008-0000-0100-00008F000000}"/>
            </a:ext>
          </a:extLst>
        </xdr:cNvPr>
        <xdr:cNvCxnSpPr/>
      </xdr:nvCxnSpPr>
      <xdr:spPr>
        <a:xfrm flipH="1">
          <a:off x="3238500" y="2019296"/>
          <a:ext cx="3810" cy="96012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19</xdr:row>
      <xdr:rowOff>152400</xdr:rowOff>
    </xdr:from>
    <xdr:to>
      <xdr:col>14</xdr:col>
      <xdr:colOff>243840</xdr:colOff>
      <xdr:row>21</xdr:row>
      <xdr:rowOff>167640</xdr:rowOff>
    </xdr:to>
    <xdr:sp macro="" textlink="">
      <xdr:nvSpPr>
        <xdr:cNvPr id="160" name="Rounded Rectangle 159">
          <a:extLst>
            <a:ext uri="{FF2B5EF4-FFF2-40B4-BE49-F238E27FC236}">
              <a16:creationId xmlns:a16="http://schemas.microsoft.com/office/drawing/2014/main" id="{00000000-0008-0000-0100-0000A0000000}"/>
            </a:ext>
          </a:extLst>
        </xdr:cNvPr>
        <xdr:cNvSpPr/>
      </xdr:nvSpPr>
      <xdr:spPr>
        <a:xfrm>
          <a:off x="8092440" y="2606040"/>
          <a:ext cx="48768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Range</a:t>
          </a:r>
        </a:p>
      </xdr:txBody>
    </xdr:sp>
    <xdr:clientData/>
  </xdr:twoCellAnchor>
  <xdr:twoCellAnchor>
    <xdr:from>
      <xdr:col>13</xdr:col>
      <xdr:colOff>735329</xdr:colOff>
      <xdr:row>18</xdr:row>
      <xdr:rowOff>112394</xdr:rowOff>
    </xdr:from>
    <xdr:to>
      <xdr:col>14</xdr:col>
      <xdr:colOff>0</xdr:colOff>
      <xdr:row>19</xdr:row>
      <xdr:rowOff>152400</xdr:rowOff>
    </xdr:to>
    <xdr:cxnSp macro="">
      <xdr:nvCxnSpPr>
        <xdr:cNvPr id="161" name="Straight Arrow Connector 160">
          <a:extLst>
            <a:ext uri="{FF2B5EF4-FFF2-40B4-BE49-F238E27FC236}">
              <a16:creationId xmlns:a16="http://schemas.microsoft.com/office/drawing/2014/main" id="{00000000-0008-0000-0100-0000A1000000}"/>
            </a:ext>
          </a:extLst>
        </xdr:cNvPr>
        <xdr:cNvCxnSpPr>
          <a:stCxn id="160" idx="0"/>
          <a:endCxn id="70" idx="2"/>
        </xdr:cNvCxnSpPr>
      </xdr:nvCxnSpPr>
      <xdr:spPr>
        <a:xfrm flipH="1" flipV="1">
          <a:off x="8332469" y="2390774"/>
          <a:ext cx="3811" cy="2152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14</xdr:row>
      <xdr:rowOff>83820</xdr:rowOff>
    </xdr:from>
    <xdr:to>
      <xdr:col>18</xdr:col>
      <xdr:colOff>91440</xdr:colOff>
      <xdr:row>23</xdr:row>
      <xdr:rowOff>114300</xdr:rowOff>
    </xdr:to>
    <xdr:sp macro="" textlink="">
      <xdr:nvSpPr>
        <xdr:cNvPr id="164" name="Rounded Rectangle 163">
          <a:extLst>
            <a:ext uri="{FF2B5EF4-FFF2-40B4-BE49-F238E27FC236}">
              <a16:creationId xmlns:a16="http://schemas.microsoft.com/office/drawing/2014/main" id="{00000000-0008-0000-0100-0000A4000000}"/>
            </a:ext>
          </a:extLst>
        </xdr:cNvPr>
        <xdr:cNvSpPr/>
      </xdr:nvSpPr>
      <xdr:spPr>
        <a:xfrm>
          <a:off x="3741420" y="2545080"/>
          <a:ext cx="6705600" cy="160782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7620</xdr:colOff>
      <xdr:row>17</xdr:row>
      <xdr:rowOff>167640</xdr:rowOff>
    </xdr:from>
    <xdr:to>
      <xdr:col>7</xdr:col>
      <xdr:colOff>15240</xdr:colOff>
      <xdr:row>25</xdr:row>
      <xdr:rowOff>15240</xdr:rowOff>
    </xdr:to>
    <xdr:cxnSp macro="">
      <xdr:nvCxnSpPr>
        <xdr:cNvPr id="171" name="Straight Arrow Connector 170">
          <a:extLst>
            <a:ext uri="{FF2B5EF4-FFF2-40B4-BE49-F238E27FC236}">
              <a16:creationId xmlns:a16="http://schemas.microsoft.com/office/drawing/2014/main" id="{00000000-0008-0000-0100-0000AB000000}"/>
            </a:ext>
          </a:extLst>
        </xdr:cNvPr>
        <xdr:cNvCxnSpPr/>
      </xdr:nvCxnSpPr>
      <xdr:spPr>
        <a:xfrm>
          <a:off x="3855720" y="2270760"/>
          <a:ext cx="7620" cy="124968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17</xdr:row>
      <xdr:rowOff>160020</xdr:rowOff>
    </xdr:from>
    <xdr:to>
      <xdr:col>7</xdr:col>
      <xdr:colOff>388620</xdr:colOff>
      <xdr:row>17</xdr:row>
      <xdr:rowOff>167640</xdr:rowOff>
    </xdr:to>
    <xdr:cxnSp macro="">
      <xdr:nvCxnSpPr>
        <xdr:cNvPr id="174" name="Straight Arrow Connector 173">
          <a:extLst>
            <a:ext uri="{FF2B5EF4-FFF2-40B4-BE49-F238E27FC236}">
              <a16:creationId xmlns:a16="http://schemas.microsoft.com/office/drawing/2014/main" id="{00000000-0008-0000-0100-0000AE000000}"/>
            </a:ext>
          </a:extLst>
        </xdr:cNvPr>
        <xdr:cNvCxnSpPr/>
      </xdr:nvCxnSpPr>
      <xdr:spPr>
        <a:xfrm flipV="1">
          <a:off x="3855720" y="22631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21</xdr:row>
      <xdr:rowOff>129540</xdr:rowOff>
    </xdr:from>
    <xdr:ext cx="1065613" cy="269369"/>
    <xdr:sp macro="" textlink="">
      <xdr:nvSpPr>
        <xdr:cNvPr id="177" name="TextBox 176">
          <a:extLst>
            <a:ext uri="{FF2B5EF4-FFF2-40B4-BE49-F238E27FC236}">
              <a16:creationId xmlns:a16="http://schemas.microsoft.com/office/drawing/2014/main" id="{00000000-0008-0000-0100-0000B1000000}"/>
            </a:ext>
          </a:extLst>
        </xdr:cNvPr>
        <xdr:cNvSpPr txBox="1"/>
      </xdr:nvSpPr>
      <xdr:spPr>
        <a:xfrm>
          <a:off x="5250180" y="293370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178" name="TextBox 177">
          <a:extLst>
            <a:ext uri="{FF2B5EF4-FFF2-40B4-BE49-F238E27FC236}">
              <a16:creationId xmlns:a16="http://schemas.microsoft.com/office/drawing/2014/main" id="{00000000-0008-0000-0100-0000B2000000}"/>
            </a:ext>
          </a:extLst>
        </xdr:cNvPr>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183" name="TextBox 182">
          <a:extLst>
            <a:ext uri="{FF2B5EF4-FFF2-40B4-BE49-F238E27FC236}">
              <a16:creationId xmlns:a16="http://schemas.microsoft.com/office/drawing/2014/main" id="{00000000-0008-0000-0100-0000B7000000}"/>
            </a:ext>
          </a:extLst>
        </xdr:cNvPr>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91440</xdr:rowOff>
    </xdr:from>
    <xdr:to>
      <xdr:col>8</xdr:col>
      <xdr:colOff>274320</xdr:colOff>
      <xdr:row>12</xdr:row>
      <xdr:rowOff>99060</xdr:rowOff>
    </xdr:to>
    <xdr:sp macro="" textlink="">
      <xdr:nvSpPr>
        <xdr:cNvPr id="187" name="Rounded Rectangle 186">
          <a:extLst>
            <a:ext uri="{FF2B5EF4-FFF2-40B4-BE49-F238E27FC236}">
              <a16:creationId xmlns:a16="http://schemas.microsoft.com/office/drawing/2014/main" id="{00000000-0008-0000-0100-0000BB000000}"/>
            </a:ext>
          </a:extLst>
        </xdr:cNvPr>
        <xdr:cNvSpPr/>
      </xdr:nvSpPr>
      <xdr:spPr>
        <a:xfrm>
          <a:off x="4330063" y="184404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Divider</a:t>
          </a:r>
        </a:p>
      </xdr:txBody>
    </xdr:sp>
    <xdr:clientData/>
  </xdr:twoCellAnchor>
  <xdr:twoCellAnchor>
    <xdr:from>
      <xdr:col>5</xdr:col>
      <xdr:colOff>304799</xdr:colOff>
      <xdr:row>11</xdr:row>
      <xdr:rowOff>87628</xdr:rowOff>
    </xdr:from>
    <xdr:to>
      <xdr:col>7</xdr:col>
      <xdr:colOff>481963</xdr:colOff>
      <xdr:row>11</xdr:row>
      <xdr:rowOff>91440</xdr:rowOff>
    </xdr:to>
    <xdr:cxnSp macro="">
      <xdr:nvCxnSpPr>
        <xdr:cNvPr id="188" name="Straight Arrow Connector 187">
          <a:extLst>
            <a:ext uri="{FF2B5EF4-FFF2-40B4-BE49-F238E27FC236}">
              <a16:creationId xmlns:a16="http://schemas.microsoft.com/office/drawing/2014/main" id="{00000000-0008-0000-0100-0000BC000000}"/>
            </a:ext>
          </a:extLst>
        </xdr:cNvPr>
        <xdr:cNvCxnSpPr>
          <a:stCxn id="136" idx="3"/>
          <a:endCxn id="187" idx="1"/>
        </xdr:cNvCxnSpPr>
      </xdr:nvCxnSpPr>
      <xdr:spPr>
        <a:xfrm>
          <a:off x="2964179" y="2023108"/>
          <a:ext cx="1365884" cy="381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88965</xdr:rowOff>
    </xdr:from>
    <xdr:to>
      <xdr:col>9</xdr:col>
      <xdr:colOff>480060</xdr:colOff>
      <xdr:row>11</xdr:row>
      <xdr:rowOff>91440</xdr:rowOff>
    </xdr:to>
    <xdr:cxnSp macro="">
      <xdr:nvCxnSpPr>
        <xdr:cNvPr id="192" name="Straight Arrow Connector 191">
          <a:extLst>
            <a:ext uri="{FF2B5EF4-FFF2-40B4-BE49-F238E27FC236}">
              <a16:creationId xmlns:a16="http://schemas.microsoft.com/office/drawing/2014/main" id="{00000000-0008-0000-0100-0000C0000000}"/>
            </a:ext>
          </a:extLst>
        </xdr:cNvPr>
        <xdr:cNvCxnSpPr>
          <a:stCxn id="187" idx="3"/>
          <a:endCxn id="208" idx="1"/>
        </xdr:cNvCxnSpPr>
      </xdr:nvCxnSpPr>
      <xdr:spPr>
        <a:xfrm flipV="1">
          <a:off x="4152900" y="2207325"/>
          <a:ext cx="94488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195" name="Rounded Rectangle 194">
          <a:extLst>
            <a:ext uri="{FF2B5EF4-FFF2-40B4-BE49-F238E27FC236}">
              <a16:creationId xmlns:a16="http://schemas.microsoft.com/office/drawing/2014/main" id="{00000000-0008-0000-0100-0000C3000000}"/>
            </a:ext>
          </a:extLst>
        </xdr:cNvPr>
        <xdr:cNvSpPr/>
      </xdr:nvSpPr>
      <xdr:spPr>
        <a:xfrm>
          <a:off x="2354580" y="115062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196" name="Straight Arrow Connector 195">
          <a:extLst>
            <a:ext uri="{FF2B5EF4-FFF2-40B4-BE49-F238E27FC236}">
              <a16:creationId xmlns:a16="http://schemas.microsoft.com/office/drawing/2014/main" id="{00000000-0008-0000-0100-0000C4000000}"/>
            </a:ext>
          </a:extLst>
        </xdr:cNvPr>
        <xdr:cNvCxnSpPr>
          <a:stCxn id="195" idx="2"/>
          <a:endCxn id="136" idx="0"/>
        </xdr:cNvCxnSpPr>
      </xdr:nvCxnSpPr>
      <xdr:spPr>
        <a:xfrm flipH="1">
          <a:off x="2617470" y="151638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199" name="TextBox 198">
          <a:extLst>
            <a:ext uri="{FF2B5EF4-FFF2-40B4-BE49-F238E27FC236}">
              <a16:creationId xmlns:a16="http://schemas.microsoft.com/office/drawing/2014/main" id="{00000000-0008-0000-0100-0000C7000000}"/>
            </a:ext>
          </a:extLst>
        </xdr:cNvPr>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200" name="TextBox 199">
          <a:extLst>
            <a:ext uri="{FF2B5EF4-FFF2-40B4-BE49-F238E27FC236}">
              <a16:creationId xmlns:a16="http://schemas.microsoft.com/office/drawing/2014/main" id="{00000000-0008-0000-0100-0000C8000000}"/>
            </a:ext>
          </a:extLst>
        </xdr:cNvPr>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9</xdr:col>
      <xdr:colOff>518160</xdr:colOff>
      <xdr:row>24</xdr:row>
      <xdr:rowOff>38100</xdr:rowOff>
    </xdr:from>
    <xdr:ext cx="620811" cy="269369"/>
    <xdr:sp macro="" textlink="">
      <xdr:nvSpPr>
        <xdr:cNvPr id="207" name="TextBox 206">
          <a:extLst>
            <a:ext uri="{FF2B5EF4-FFF2-40B4-BE49-F238E27FC236}">
              <a16:creationId xmlns:a16="http://schemas.microsoft.com/office/drawing/2014/main" id="{00000000-0008-0000-0100-0000CF000000}"/>
            </a:ext>
          </a:extLst>
        </xdr:cNvPr>
        <xdr:cNvSpPr txBox="1"/>
      </xdr:nvSpPr>
      <xdr:spPr>
        <a:xfrm>
          <a:off x="5844540" y="42519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480060</xdr:colOff>
      <xdr:row>10</xdr:row>
      <xdr:rowOff>137160</xdr:rowOff>
    </xdr:from>
    <xdr:ext cx="890115" cy="269369"/>
    <xdr:sp macro="" textlink="">
      <xdr:nvSpPr>
        <xdr:cNvPr id="208" name="TextBox 207">
          <a:extLst>
            <a:ext uri="{FF2B5EF4-FFF2-40B4-BE49-F238E27FC236}">
              <a16:creationId xmlns:a16="http://schemas.microsoft.com/office/drawing/2014/main" id="{00000000-0008-0000-0100-0000D0000000}"/>
            </a:ext>
          </a:extLst>
        </xdr:cNvPr>
        <xdr:cNvSpPr txBox="1"/>
      </xdr:nvSpPr>
      <xdr:spPr>
        <a:xfrm>
          <a:off x="509778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16</xdr:row>
      <xdr:rowOff>144780</xdr:rowOff>
    </xdr:from>
    <xdr:ext cx="710644" cy="269369"/>
    <xdr:sp macro="" textlink="">
      <xdr:nvSpPr>
        <xdr:cNvPr id="209" name="TextBox 208">
          <a:extLst>
            <a:ext uri="{FF2B5EF4-FFF2-40B4-BE49-F238E27FC236}">
              <a16:creationId xmlns:a16="http://schemas.microsoft.com/office/drawing/2014/main" id="{00000000-0008-0000-0100-0000D1000000}"/>
            </a:ext>
          </a:extLst>
        </xdr:cNvPr>
        <xdr:cNvSpPr txBox="1"/>
      </xdr:nvSpPr>
      <xdr:spPr>
        <a:xfrm>
          <a:off x="10264140" y="3139440"/>
          <a:ext cx="71064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SPLL =</a:t>
          </a:r>
        </a:p>
      </xdr:txBody>
    </xdr:sp>
    <xdr:clientData/>
  </xdr:oneCellAnchor>
  <xdr:twoCellAnchor>
    <xdr:from>
      <xdr:col>11</xdr:col>
      <xdr:colOff>137160</xdr:colOff>
      <xdr:row>28</xdr:row>
      <xdr:rowOff>51435</xdr:rowOff>
    </xdr:from>
    <xdr:to>
      <xdr:col>12</xdr:col>
      <xdr:colOff>350520</xdr:colOff>
      <xdr:row>30</xdr:row>
      <xdr:rowOff>66675</xdr:rowOff>
    </xdr:to>
    <xdr:sp macro="" textlink="">
      <xdr:nvSpPr>
        <xdr:cNvPr id="210" name="Rounded Rectangle 209">
          <a:extLst>
            <a:ext uri="{FF2B5EF4-FFF2-40B4-BE49-F238E27FC236}">
              <a16:creationId xmlns:a16="http://schemas.microsoft.com/office/drawing/2014/main" id="{00000000-0008-0000-0100-0000D2000000}"/>
            </a:ext>
          </a:extLst>
        </xdr:cNvPr>
        <xdr:cNvSpPr/>
      </xdr:nvSpPr>
      <xdr:spPr>
        <a:xfrm>
          <a:off x="6728460" y="496633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xdr:txBody>
    </xdr:sp>
    <xdr:clientData/>
  </xdr:twoCellAnchor>
  <xdr:twoCellAnchor>
    <xdr:from>
      <xdr:col>11</xdr:col>
      <xdr:colOff>152400</xdr:colOff>
      <xdr:row>31</xdr:row>
      <xdr:rowOff>116206</xdr:rowOff>
    </xdr:from>
    <xdr:to>
      <xdr:col>12</xdr:col>
      <xdr:colOff>342900</xdr:colOff>
      <xdr:row>33</xdr:row>
      <xdr:rowOff>131446</xdr:rowOff>
    </xdr:to>
    <xdr:sp macro="" textlink="">
      <xdr:nvSpPr>
        <xdr:cNvPr id="211" name="Rounded Rectangle 210">
          <a:extLst>
            <a:ext uri="{FF2B5EF4-FFF2-40B4-BE49-F238E27FC236}">
              <a16:creationId xmlns:a16="http://schemas.microsoft.com/office/drawing/2014/main" id="{00000000-0008-0000-0100-0000D3000000}"/>
            </a:ext>
          </a:extLst>
        </xdr:cNvPr>
        <xdr:cNvSpPr/>
      </xdr:nvSpPr>
      <xdr:spPr>
        <a:xfrm>
          <a:off x="6743700" y="5556886"/>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 Enable</a:t>
          </a:r>
        </a:p>
      </xdr:txBody>
    </xdr:sp>
    <xdr:clientData/>
  </xdr:twoCellAnchor>
  <xdr:twoCellAnchor>
    <xdr:from>
      <xdr:col>12</xdr:col>
      <xdr:colOff>7620</xdr:colOff>
      <xdr:row>30</xdr:row>
      <xdr:rowOff>66675</xdr:rowOff>
    </xdr:from>
    <xdr:to>
      <xdr:col>12</xdr:col>
      <xdr:colOff>11430</xdr:colOff>
      <xdr:row>31</xdr:row>
      <xdr:rowOff>116206</xdr:rowOff>
    </xdr:to>
    <xdr:cxnSp macro="">
      <xdr:nvCxnSpPr>
        <xdr:cNvPr id="212" name="Straight Arrow Connector 211">
          <a:extLst>
            <a:ext uri="{FF2B5EF4-FFF2-40B4-BE49-F238E27FC236}">
              <a16:creationId xmlns:a16="http://schemas.microsoft.com/office/drawing/2014/main" id="{00000000-0008-0000-0100-0000D4000000}"/>
            </a:ext>
          </a:extLst>
        </xdr:cNvPr>
        <xdr:cNvCxnSpPr>
          <a:stCxn id="211" idx="0"/>
          <a:endCxn id="210" idx="2"/>
        </xdr:cNvCxnSpPr>
      </xdr:nvCxnSpPr>
      <xdr:spPr>
        <a:xfrm flipH="1" flipV="1">
          <a:off x="7071360" y="5332095"/>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196215</xdr:colOff>
      <xdr:row>29</xdr:row>
      <xdr:rowOff>59055</xdr:rowOff>
    </xdr:from>
    <xdr:to>
      <xdr:col>11</xdr:col>
      <xdr:colOff>137160</xdr:colOff>
      <xdr:row>29</xdr:row>
      <xdr:rowOff>60960</xdr:rowOff>
    </xdr:to>
    <xdr:cxnSp macro="">
      <xdr:nvCxnSpPr>
        <xdr:cNvPr id="215" name="Straight Arrow Connector 214">
          <a:extLst>
            <a:ext uri="{FF2B5EF4-FFF2-40B4-BE49-F238E27FC236}">
              <a16:creationId xmlns:a16="http://schemas.microsoft.com/office/drawing/2014/main" id="{00000000-0008-0000-0100-0000D7000000}"/>
            </a:ext>
          </a:extLst>
        </xdr:cNvPr>
        <xdr:cNvCxnSpPr>
          <a:endCxn id="210" idx="1"/>
        </xdr:cNvCxnSpPr>
      </xdr:nvCxnSpPr>
      <xdr:spPr>
        <a:xfrm flipV="1">
          <a:off x="5522595" y="5149215"/>
          <a:ext cx="1205865"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198120</xdr:colOff>
      <xdr:row>24</xdr:row>
      <xdr:rowOff>160020</xdr:rowOff>
    </xdr:from>
    <xdr:to>
      <xdr:col>9</xdr:col>
      <xdr:colOff>205740</xdr:colOff>
      <xdr:row>29</xdr:row>
      <xdr:rowOff>60960</xdr:rowOff>
    </xdr:to>
    <xdr:cxnSp macro="">
      <xdr:nvCxnSpPr>
        <xdr:cNvPr id="218" name="Straight Arrow Connector 217">
          <a:extLst>
            <a:ext uri="{FF2B5EF4-FFF2-40B4-BE49-F238E27FC236}">
              <a16:creationId xmlns:a16="http://schemas.microsoft.com/office/drawing/2014/main" id="{00000000-0008-0000-0100-0000DA000000}"/>
            </a:ext>
          </a:extLst>
        </xdr:cNvPr>
        <xdr:cNvCxnSpPr/>
      </xdr:nvCxnSpPr>
      <xdr:spPr>
        <a:xfrm>
          <a:off x="5524500" y="4373880"/>
          <a:ext cx="7620" cy="7772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350520</xdr:colOff>
      <xdr:row>29</xdr:row>
      <xdr:rowOff>58485</xdr:rowOff>
    </xdr:from>
    <xdr:to>
      <xdr:col>13</xdr:col>
      <xdr:colOff>152400</xdr:colOff>
      <xdr:row>29</xdr:row>
      <xdr:rowOff>59055</xdr:rowOff>
    </xdr:to>
    <xdr:cxnSp macro="">
      <xdr:nvCxnSpPr>
        <xdr:cNvPr id="223" name="Straight Arrow Connector 222">
          <a:extLst>
            <a:ext uri="{FF2B5EF4-FFF2-40B4-BE49-F238E27FC236}">
              <a16:creationId xmlns:a16="http://schemas.microsoft.com/office/drawing/2014/main" id="{00000000-0008-0000-0100-0000DF000000}"/>
            </a:ext>
          </a:extLst>
        </xdr:cNvPr>
        <xdr:cNvCxnSpPr>
          <a:stCxn id="210" idx="3"/>
          <a:endCxn id="226" idx="1"/>
        </xdr:cNvCxnSpPr>
      </xdr:nvCxnSpPr>
      <xdr:spPr>
        <a:xfrm flipV="1">
          <a:off x="7414260" y="5148645"/>
          <a:ext cx="31242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152400</xdr:colOff>
      <xdr:row>28</xdr:row>
      <xdr:rowOff>99060</xdr:rowOff>
    </xdr:from>
    <xdr:ext cx="825803" cy="269369"/>
    <xdr:sp macro="" textlink="">
      <xdr:nvSpPr>
        <xdr:cNvPr id="226" name="TextBox 225">
          <a:extLst>
            <a:ext uri="{FF2B5EF4-FFF2-40B4-BE49-F238E27FC236}">
              <a16:creationId xmlns:a16="http://schemas.microsoft.com/office/drawing/2014/main" id="{00000000-0008-0000-0100-0000E2000000}"/>
            </a:ext>
          </a:extLst>
        </xdr:cNvPr>
        <xdr:cNvSpPr txBox="1"/>
      </xdr:nvSpPr>
      <xdr:spPr>
        <a:xfrm>
          <a:off x="7726680" y="501396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227" name="Straight Arrow Connector 226">
          <a:extLst>
            <a:ext uri="{FF2B5EF4-FFF2-40B4-BE49-F238E27FC236}">
              <a16:creationId xmlns:a16="http://schemas.microsoft.com/office/drawing/2014/main" id="{00000000-0008-0000-0100-0000E3000000}"/>
            </a:ext>
          </a:extLst>
        </xdr:cNvPr>
        <xdr:cNvCxnSpPr>
          <a:stCxn id="229" idx="3"/>
          <a:endCxn id="269" idx="1"/>
        </xdr:cNvCxnSpPr>
      </xdr:nvCxnSpPr>
      <xdr:spPr>
        <a:xfrm flipV="1">
          <a:off x="2884170" y="812044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28" name="Group 227">
          <a:extLst>
            <a:ext uri="{FF2B5EF4-FFF2-40B4-BE49-F238E27FC236}">
              <a16:creationId xmlns:a16="http://schemas.microsoft.com/office/drawing/2014/main" id="{00000000-0008-0000-0100-0000E4000000}"/>
            </a:ext>
          </a:extLst>
        </xdr:cNvPr>
        <xdr:cNvGrpSpPr/>
      </xdr:nvGrpSpPr>
      <xdr:grpSpPr>
        <a:xfrm>
          <a:off x="2101916" y="8056989"/>
          <a:ext cx="156210" cy="150791"/>
          <a:chOff x="7957185" y="6433185"/>
          <a:chExt cx="156210" cy="160020"/>
        </a:xfrm>
      </xdr:grpSpPr>
      <xdr:sp macro="" textlink="">
        <xdr:nvSpPr>
          <xdr:cNvPr id="229" name="Rectangle 228">
            <a:extLst>
              <a:ext uri="{FF2B5EF4-FFF2-40B4-BE49-F238E27FC236}">
                <a16:creationId xmlns:a16="http://schemas.microsoft.com/office/drawing/2014/main" id="{00000000-0008-0000-0100-0000E5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0" name="Straight Connector 229">
            <a:extLst>
              <a:ext uri="{FF2B5EF4-FFF2-40B4-BE49-F238E27FC236}">
                <a16:creationId xmlns:a16="http://schemas.microsoft.com/office/drawing/2014/main" id="{00000000-0008-0000-0100-0000E6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a:extLst>
              <a:ext uri="{FF2B5EF4-FFF2-40B4-BE49-F238E27FC236}">
                <a16:creationId xmlns:a16="http://schemas.microsoft.com/office/drawing/2014/main" id="{00000000-0008-0000-0100-0000E7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232" name="Group 231">
          <a:extLst>
            <a:ext uri="{FF2B5EF4-FFF2-40B4-BE49-F238E27FC236}">
              <a16:creationId xmlns:a16="http://schemas.microsoft.com/office/drawing/2014/main" id="{00000000-0008-0000-0100-0000E8000000}"/>
            </a:ext>
          </a:extLst>
        </xdr:cNvPr>
        <xdr:cNvGrpSpPr/>
      </xdr:nvGrpSpPr>
      <xdr:grpSpPr>
        <a:xfrm>
          <a:off x="2103821" y="8917305"/>
          <a:ext cx="157797" cy="147933"/>
          <a:chOff x="7957185" y="6433185"/>
          <a:chExt cx="156210" cy="160020"/>
        </a:xfrm>
      </xdr:grpSpPr>
      <xdr:sp macro="" textlink="">
        <xdr:nvSpPr>
          <xdr:cNvPr id="233" name="Rectangle 232">
            <a:extLst>
              <a:ext uri="{FF2B5EF4-FFF2-40B4-BE49-F238E27FC236}">
                <a16:creationId xmlns:a16="http://schemas.microsoft.com/office/drawing/2014/main" id="{00000000-0008-0000-0100-0000E9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4" name="Straight Connector 233">
            <a:extLst>
              <a:ext uri="{FF2B5EF4-FFF2-40B4-BE49-F238E27FC236}">
                <a16:creationId xmlns:a16="http://schemas.microsoft.com/office/drawing/2014/main" id="{00000000-0008-0000-0100-0000EA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0100-0000EB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236" name="Straight Connector 235">
          <a:extLst>
            <a:ext uri="{FF2B5EF4-FFF2-40B4-BE49-F238E27FC236}">
              <a16:creationId xmlns:a16="http://schemas.microsoft.com/office/drawing/2014/main" id="{00000000-0008-0000-0100-0000EC000000}"/>
            </a:ext>
          </a:extLst>
        </xdr:cNvPr>
        <xdr:cNvCxnSpPr>
          <a:endCxn id="233" idx="3"/>
        </xdr:cNvCxnSpPr>
      </xdr:nvCxnSpPr>
      <xdr:spPr>
        <a:xfrm flipH="1" flipV="1">
          <a:off x="2886075" y="900294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237" name="Group 236">
          <a:extLst>
            <a:ext uri="{FF2B5EF4-FFF2-40B4-BE49-F238E27FC236}">
              <a16:creationId xmlns:a16="http://schemas.microsoft.com/office/drawing/2014/main" id="{00000000-0008-0000-0100-0000ED000000}"/>
            </a:ext>
          </a:extLst>
        </xdr:cNvPr>
        <xdr:cNvGrpSpPr/>
      </xdr:nvGrpSpPr>
      <xdr:grpSpPr>
        <a:xfrm>
          <a:off x="2410526" y="8130628"/>
          <a:ext cx="203200" cy="860315"/>
          <a:chOff x="8985885" y="6543675"/>
          <a:chExt cx="139065" cy="923925"/>
        </a:xfrm>
      </xdr:grpSpPr>
      <xdr:cxnSp macro="">
        <xdr:nvCxnSpPr>
          <xdr:cNvPr id="238" name="Straight Connector 237">
            <a:extLst>
              <a:ext uri="{FF2B5EF4-FFF2-40B4-BE49-F238E27FC236}">
                <a16:creationId xmlns:a16="http://schemas.microsoft.com/office/drawing/2014/main" id="{00000000-0008-0000-0100-0000EE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a:extLst>
              <a:ext uri="{FF2B5EF4-FFF2-40B4-BE49-F238E27FC236}">
                <a16:creationId xmlns:a16="http://schemas.microsoft.com/office/drawing/2014/main" id="{00000000-0008-0000-0100-0000EF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a:extLst>
              <a:ext uri="{FF2B5EF4-FFF2-40B4-BE49-F238E27FC236}">
                <a16:creationId xmlns:a16="http://schemas.microsoft.com/office/drawing/2014/main" id="{00000000-0008-0000-0100-0000F0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a:extLst>
              <a:ext uri="{FF2B5EF4-FFF2-40B4-BE49-F238E27FC236}">
                <a16:creationId xmlns:a16="http://schemas.microsoft.com/office/drawing/2014/main" id="{00000000-0008-0000-0100-0000F1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0100-0000F2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a:extLst>
              <a:ext uri="{FF2B5EF4-FFF2-40B4-BE49-F238E27FC236}">
                <a16:creationId xmlns:a16="http://schemas.microsoft.com/office/drawing/2014/main" id="{00000000-0008-0000-0100-0000F3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 name="Straight Connector 243">
            <a:extLst>
              <a:ext uri="{FF2B5EF4-FFF2-40B4-BE49-F238E27FC236}">
                <a16:creationId xmlns:a16="http://schemas.microsoft.com/office/drawing/2014/main" id="{00000000-0008-0000-0100-0000F4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a:extLst>
              <a:ext uri="{FF2B5EF4-FFF2-40B4-BE49-F238E27FC236}">
                <a16:creationId xmlns:a16="http://schemas.microsoft.com/office/drawing/2014/main" id="{00000000-0008-0000-0100-0000F5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246" name="Group 245">
          <a:extLst>
            <a:ext uri="{FF2B5EF4-FFF2-40B4-BE49-F238E27FC236}">
              <a16:creationId xmlns:a16="http://schemas.microsoft.com/office/drawing/2014/main" id="{00000000-0008-0000-0100-0000F6000000}"/>
            </a:ext>
          </a:extLst>
        </xdr:cNvPr>
        <xdr:cNvGrpSpPr/>
      </xdr:nvGrpSpPr>
      <xdr:grpSpPr>
        <a:xfrm>
          <a:off x="2785755" y="8135073"/>
          <a:ext cx="405448" cy="863173"/>
          <a:chOff x="9351645" y="6551295"/>
          <a:chExt cx="411480" cy="922021"/>
        </a:xfrm>
      </xdr:grpSpPr>
      <xdr:cxnSp macro="">
        <xdr:nvCxnSpPr>
          <xdr:cNvPr id="247" name="Straight Connector 246">
            <a:extLst>
              <a:ext uri="{FF2B5EF4-FFF2-40B4-BE49-F238E27FC236}">
                <a16:creationId xmlns:a16="http://schemas.microsoft.com/office/drawing/2014/main" id="{00000000-0008-0000-0100-0000F7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8" name="Isosceles Triangle 247">
            <a:extLst>
              <a:ext uri="{FF2B5EF4-FFF2-40B4-BE49-F238E27FC236}">
                <a16:creationId xmlns:a16="http://schemas.microsoft.com/office/drawing/2014/main" id="{00000000-0008-0000-0100-0000F8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9" name="Oval 248">
            <a:extLst>
              <a:ext uri="{FF2B5EF4-FFF2-40B4-BE49-F238E27FC236}">
                <a16:creationId xmlns:a16="http://schemas.microsoft.com/office/drawing/2014/main" id="{00000000-0008-0000-0100-0000F9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250" name="Straight Arrow Connector 249">
          <a:extLst>
            <a:ext uri="{FF2B5EF4-FFF2-40B4-BE49-F238E27FC236}">
              <a16:creationId xmlns:a16="http://schemas.microsoft.com/office/drawing/2014/main" id="{00000000-0008-0000-0100-0000FA000000}"/>
            </a:ext>
          </a:extLst>
        </xdr:cNvPr>
        <xdr:cNvCxnSpPr>
          <a:stCxn id="251" idx="1"/>
          <a:endCxn id="248" idx="1"/>
        </xdr:cNvCxnSpPr>
      </xdr:nvCxnSpPr>
      <xdr:spPr>
        <a:xfrm flipH="1">
          <a:off x="3688080" y="854583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251" name="Rounded Rectangle 250">
          <a:extLst>
            <a:ext uri="{FF2B5EF4-FFF2-40B4-BE49-F238E27FC236}">
              <a16:creationId xmlns:a16="http://schemas.microsoft.com/office/drawing/2014/main" id="{00000000-0008-0000-0100-0000FB000000}"/>
            </a:ext>
          </a:extLst>
        </xdr:cNvPr>
        <xdr:cNvSpPr/>
      </xdr:nvSpPr>
      <xdr:spPr>
        <a:xfrm>
          <a:off x="4112895" y="836295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252" name="Rounded Rectangle 251">
          <a:extLst>
            <a:ext uri="{FF2B5EF4-FFF2-40B4-BE49-F238E27FC236}">
              <a16:creationId xmlns:a16="http://schemas.microsoft.com/office/drawing/2014/main" id="{00000000-0008-0000-0100-0000FC000000}"/>
            </a:ext>
          </a:extLst>
        </xdr:cNvPr>
        <xdr:cNvSpPr/>
      </xdr:nvSpPr>
      <xdr:spPr>
        <a:xfrm>
          <a:off x="2247900" y="839343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253" name="TextBox 252">
          <a:extLst>
            <a:ext uri="{FF2B5EF4-FFF2-40B4-BE49-F238E27FC236}">
              <a16:creationId xmlns:a16="http://schemas.microsoft.com/office/drawing/2014/main" id="{00000000-0008-0000-0100-0000FD000000}"/>
            </a:ext>
          </a:extLst>
        </xdr:cNvPr>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4</xdr:col>
      <xdr:colOff>0</xdr:colOff>
      <xdr:row>36</xdr:row>
      <xdr:rowOff>167640</xdr:rowOff>
    </xdr:from>
    <xdr:to>
      <xdr:col>5</xdr:col>
      <xdr:colOff>297180</xdr:colOff>
      <xdr:row>40</xdr:row>
      <xdr:rowOff>7620</xdr:rowOff>
    </xdr:to>
    <xdr:sp macro="" textlink="">
      <xdr:nvSpPr>
        <xdr:cNvPr id="254" name="Rounded Rectangle 253">
          <a:extLst>
            <a:ext uri="{FF2B5EF4-FFF2-40B4-BE49-F238E27FC236}">
              <a16:creationId xmlns:a16="http://schemas.microsoft.com/office/drawing/2014/main" id="{00000000-0008-0000-0100-0000FE000000}"/>
            </a:ext>
          </a:extLst>
        </xdr:cNvPr>
        <xdr:cNvSpPr/>
      </xdr:nvSpPr>
      <xdr:spPr>
        <a:xfrm>
          <a:off x="2263140" y="6484620"/>
          <a:ext cx="69342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BFRC Oscillator</a:t>
          </a:r>
        </a:p>
        <a:p>
          <a:pPr algn="ctr"/>
          <a:r>
            <a:rPr lang="en-US" sz="1100">
              <a:latin typeface="Arial" pitchFamily="34" charset="0"/>
              <a:cs typeface="Arial" pitchFamily="34" charset="0"/>
            </a:rPr>
            <a:t>8 MHz</a:t>
          </a:r>
        </a:p>
      </xdr:txBody>
    </xdr:sp>
    <xdr:clientData/>
  </xdr:twoCellAnchor>
  <xdr:twoCellAnchor>
    <xdr:from>
      <xdr:col>3</xdr:col>
      <xdr:colOff>563880</xdr:colOff>
      <xdr:row>40</xdr:row>
      <xdr:rowOff>160020</xdr:rowOff>
    </xdr:from>
    <xdr:to>
      <xdr:col>5</xdr:col>
      <xdr:colOff>297180</xdr:colOff>
      <xdr:row>44</xdr:row>
      <xdr:rowOff>0</xdr:rowOff>
    </xdr:to>
    <xdr:sp macro="" textlink="">
      <xdr:nvSpPr>
        <xdr:cNvPr id="256" name="Rounded Rectangle 255">
          <a:extLst>
            <a:ext uri="{FF2B5EF4-FFF2-40B4-BE49-F238E27FC236}">
              <a16:creationId xmlns:a16="http://schemas.microsoft.com/office/drawing/2014/main" id="{00000000-0008-0000-0100-000000010000}"/>
            </a:ext>
          </a:extLst>
        </xdr:cNvPr>
        <xdr:cNvSpPr/>
      </xdr:nvSpPr>
      <xdr:spPr>
        <a:xfrm>
          <a:off x="2255520" y="717804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38</xdr:row>
      <xdr:rowOff>87630</xdr:rowOff>
    </xdr:from>
    <xdr:to>
      <xdr:col>6</xdr:col>
      <xdr:colOff>297180</xdr:colOff>
      <xdr:row>38</xdr:row>
      <xdr:rowOff>88965</xdr:rowOff>
    </xdr:to>
    <xdr:cxnSp macro="">
      <xdr:nvCxnSpPr>
        <xdr:cNvPr id="263" name="Straight Arrow Connector 262">
          <a:extLst>
            <a:ext uri="{FF2B5EF4-FFF2-40B4-BE49-F238E27FC236}">
              <a16:creationId xmlns:a16="http://schemas.microsoft.com/office/drawing/2014/main" id="{00000000-0008-0000-0100-000007010000}"/>
            </a:ext>
          </a:extLst>
        </xdr:cNvPr>
        <xdr:cNvCxnSpPr>
          <a:stCxn id="254" idx="3"/>
          <a:endCxn id="264" idx="1"/>
        </xdr:cNvCxnSpPr>
      </xdr:nvCxnSpPr>
      <xdr:spPr>
        <a:xfrm>
          <a:off x="2956560" y="6755130"/>
          <a:ext cx="58674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297180</xdr:colOff>
      <xdr:row>37</xdr:row>
      <xdr:rowOff>129540</xdr:rowOff>
    </xdr:from>
    <xdr:ext cx="612027" cy="269369"/>
    <xdr:sp macro="" textlink="">
      <xdr:nvSpPr>
        <xdr:cNvPr id="264" name="TextBox 263">
          <a:extLst>
            <a:ext uri="{FF2B5EF4-FFF2-40B4-BE49-F238E27FC236}">
              <a16:creationId xmlns:a16="http://schemas.microsoft.com/office/drawing/2014/main" id="{00000000-0008-0000-0100-000008010000}"/>
            </a:ext>
          </a:extLst>
        </xdr:cNvPr>
        <xdr:cNvSpPr txBox="1"/>
      </xdr:nvSpPr>
      <xdr:spPr>
        <a:xfrm>
          <a:off x="3543300" y="6621780"/>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BFRC</a:t>
          </a:r>
        </a:p>
      </xdr:txBody>
    </xdr:sp>
    <xdr:clientData/>
  </xdr:oneCellAnchor>
  <xdr:twoCellAnchor>
    <xdr:from>
      <xdr:col>5</xdr:col>
      <xdr:colOff>297180</xdr:colOff>
      <xdr:row>42</xdr:row>
      <xdr:rowOff>80010</xdr:rowOff>
    </xdr:from>
    <xdr:to>
      <xdr:col>6</xdr:col>
      <xdr:colOff>304800</xdr:colOff>
      <xdr:row>42</xdr:row>
      <xdr:rowOff>81345</xdr:rowOff>
    </xdr:to>
    <xdr:cxnSp macro="">
      <xdr:nvCxnSpPr>
        <xdr:cNvPr id="265" name="Straight Arrow Connector 264">
          <a:extLst>
            <a:ext uri="{FF2B5EF4-FFF2-40B4-BE49-F238E27FC236}">
              <a16:creationId xmlns:a16="http://schemas.microsoft.com/office/drawing/2014/main" id="{00000000-0008-0000-0100-000009010000}"/>
            </a:ext>
          </a:extLst>
        </xdr:cNvPr>
        <xdr:cNvCxnSpPr>
          <a:stCxn id="256" idx="3"/>
          <a:endCxn id="266" idx="1"/>
        </xdr:cNvCxnSpPr>
      </xdr:nvCxnSpPr>
      <xdr:spPr>
        <a:xfrm>
          <a:off x="2956560" y="744855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266" name="TextBox 265">
          <a:extLst>
            <a:ext uri="{FF2B5EF4-FFF2-40B4-BE49-F238E27FC236}">
              <a16:creationId xmlns:a16="http://schemas.microsoft.com/office/drawing/2014/main" id="{00000000-0008-0000-0100-00000A010000}"/>
            </a:ext>
          </a:extLst>
        </xdr:cNvPr>
        <xdr:cNvSpPr txBox="1"/>
      </xdr:nvSpPr>
      <xdr:spPr>
        <a:xfrm>
          <a:off x="3550920" y="731520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269" name="TextBox 268">
          <a:extLst>
            <a:ext uri="{FF2B5EF4-FFF2-40B4-BE49-F238E27FC236}">
              <a16:creationId xmlns:a16="http://schemas.microsoft.com/office/drawing/2014/main" id="{00000000-0008-0000-0100-00000D010000}"/>
            </a:ext>
          </a:extLst>
        </xdr:cNvPr>
        <xdr:cNvSpPr txBox="1"/>
      </xdr:nvSpPr>
      <xdr:spPr>
        <a:xfrm>
          <a:off x="5052060" y="79857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275" name="Straight Connector 274">
          <a:extLst>
            <a:ext uri="{FF2B5EF4-FFF2-40B4-BE49-F238E27FC236}">
              <a16:creationId xmlns:a16="http://schemas.microsoft.com/office/drawing/2014/main" id="{00000000-0008-0000-0100-000013010000}"/>
            </a:ext>
          </a:extLst>
        </xdr:cNvPr>
        <xdr:cNvCxnSpPr>
          <a:stCxn id="276" idx="1"/>
          <a:endCxn id="277"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1188530" cy="269369"/>
    <xdr:sp macro="" textlink="">
      <xdr:nvSpPr>
        <xdr:cNvPr id="276" name="TextBox 275">
          <a:extLst>
            <a:ext uri="{FF2B5EF4-FFF2-40B4-BE49-F238E27FC236}">
              <a16:creationId xmlns:a16="http://schemas.microsoft.com/office/drawing/2014/main" id="{00000000-0008-0000-0100-000014010000}"/>
            </a:ext>
          </a:extLst>
        </xdr:cNvPr>
        <xdr:cNvSpPr txBox="1"/>
      </xdr:nvSpPr>
      <xdr:spPr>
        <a:xfrm>
          <a:off x="3147060" y="5768340"/>
          <a:ext cx="118853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PBCLK1 ÷ 2 =</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277" name="Rounded Rectangle 276">
          <a:extLst>
            <a:ext uri="{FF2B5EF4-FFF2-40B4-BE49-F238E27FC236}">
              <a16:creationId xmlns:a16="http://schemas.microsoft.com/office/drawing/2014/main" id="{00000000-0008-0000-0100-000015010000}"/>
            </a:ext>
          </a:extLst>
        </xdr:cNvPr>
        <xdr:cNvSpPr/>
      </xdr:nvSpPr>
      <xdr:spPr>
        <a:xfrm>
          <a:off x="2926080" y="553593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278" name="Straight Arrow Connector 277">
          <a:extLst>
            <a:ext uri="{FF2B5EF4-FFF2-40B4-BE49-F238E27FC236}">
              <a16:creationId xmlns:a16="http://schemas.microsoft.com/office/drawing/2014/main" id="{00000000-0008-0000-0100-000016010000}"/>
            </a:ext>
          </a:extLst>
        </xdr:cNvPr>
        <xdr:cNvCxnSpPr>
          <a:stCxn id="277" idx="0"/>
        </xdr:cNvCxnSpPr>
      </xdr:nvCxnSpPr>
      <xdr:spPr>
        <a:xfrm flipH="1" flipV="1">
          <a:off x="3253740" y="531114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152400</xdr:colOff>
      <xdr:row>36</xdr:row>
      <xdr:rowOff>129540</xdr:rowOff>
    </xdr:from>
    <xdr:ext cx="975359" cy="640080"/>
    <xdr:sp macro="" textlink="">
      <xdr:nvSpPr>
        <xdr:cNvPr id="282" name="TextBox 281">
          <a:extLst>
            <a:ext uri="{FF2B5EF4-FFF2-40B4-BE49-F238E27FC236}">
              <a16:creationId xmlns:a16="http://schemas.microsoft.com/office/drawing/2014/main" id="{00000000-0008-0000-0100-00001A010000}"/>
            </a:ext>
          </a:extLst>
        </xdr:cNvPr>
        <xdr:cNvSpPr txBox="1"/>
      </xdr:nvSpPr>
      <xdr:spPr>
        <a:xfrm>
          <a:off x="472440" y="662940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Backup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1</xdr:col>
      <xdr:colOff>137160</xdr:colOff>
      <xdr:row>40</xdr:row>
      <xdr:rowOff>121920</xdr:rowOff>
    </xdr:from>
    <xdr:ext cx="1036319" cy="640080"/>
    <xdr:sp macro="" textlink="">
      <xdr:nvSpPr>
        <xdr:cNvPr id="283" name="TextBox 282">
          <a:extLst>
            <a:ext uri="{FF2B5EF4-FFF2-40B4-BE49-F238E27FC236}">
              <a16:creationId xmlns:a16="http://schemas.microsoft.com/office/drawing/2014/main" id="{00000000-0008-0000-0100-00001B010000}"/>
            </a:ext>
          </a:extLst>
        </xdr:cNvPr>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171453</xdr:rowOff>
    </xdr:from>
    <xdr:to>
      <xdr:col>13</xdr:col>
      <xdr:colOff>731520</xdr:colOff>
      <xdr:row>50</xdr:row>
      <xdr:rowOff>173354</xdr:rowOff>
    </xdr:to>
    <xdr:sp macro="" textlink="">
      <xdr:nvSpPr>
        <xdr:cNvPr id="289" name="Trapezoid 288">
          <a:extLst>
            <a:ext uri="{FF2B5EF4-FFF2-40B4-BE49-F238E27FC236}">
              <a16:creationId xmlns:a16="http://schemas.microsoft.com/office/drawing/2014/main" id="{00000000-0008-0000-0100-000021010000}"/>
            </a:ext>
          </a:extLst>
        </xdr:cNvPr>
        <xdr:cNvSpPr/>
      </xdr:nvSpPr>
      <xdr:spPr>
        <a:xfrm rot="5400000">
          <a:off x="7047549" y="7739064"/>
          <a:ext cx="2105021"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174521</xdr:colOff>
      <xdr:row>40</xdr:row>
      <xdr:rowOff>3240</xdr:rowOff>
    </xdr:from>
    <xdr:to>
      <xdr:col>13</xdr:col>
      <xdr:colOff>417195</xdr:colOff>
      <xdr:row>40</xdr:row>
      <xdr:rowOff>3810</xdr:rowOff>
    </xdr:to>
    <xdr:cxnSp macro="">
      <xdr:nvCxnSpPr>
        <xdr:cNvPr id="290" name="Straight Arrow Connector 289">
          <a:extLst>
            <a:ext uri="{FF2B5EF4-FFF2-40B4-BE49-F238E27FC236}">
              <a16:creationId xmlns:a16="http://schemas.microsoft.com/office/drawing/2014/main" id="{00000000-0008-0000-0100-000022010000}"/>
            </a:ext>
          </a:extLst>
        </xdr:cNvPr>
        <xdr:cNvCxnSpPr>
          <a:stCxn id="291" idx="3"/>
        </xdr:cNvCxnSpPr>
      </xdr:nvCxnSpPr>
      <xdr:spPr>
        <a:xfrm>
          <a:off x="7238261" y="7021260"/>
          <a:ext cx="69987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628650</xdr:colOff>
      <xdr:row>39</xdr:row>
      <xdr:rowOff>43815</xdr:rowOff>
    </xdr:from>
    <xdr:ext cx="757451" cy="269369"/>
    <xdr:sp macro="" textlink="">
      <xdr:nvSpPr>
        <xdr:cNvPr id="291" name="TextBox 290">
          <a:extLst>
            <a:ext uri="{FF2B5EF4-FFF2-40B4-BE49-F238E27FC236}">
              <a16:creationId xmlns:a16="http://schemas.microsoft.com/office/drawing/2014/main" id="{00000000-0008-0000-0100-000023010000}"/>
            </a:ext>
          </a:extLst>
        </xdr:cNvPr>
        <xdr:cNvSpPr txBox="1"/>
      </xdr:nvSpPr>
      <xdr:spPr>
        <a:xfrm>
          <a:off x="6480810" y="6886575"/>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FRCDIV</a:t>
          </a:r>
        </a:p>
      </xdr:txBody>
    </xdr:sp>
    <xdr:clientData/>
  </xdr:oneCellAnchor>
  <xdr:twoCellAnchor>
    <xdr:from>
      <xdr:col>12</xdr:col>
      <xdr:colOff>84786</xdr:colOff>
      <xdr:row>42</xdr:row>
      <xdr:rowOff>1335</xdr:rowOff>
    </xdr:from>
    <xdr:to>
      <xdr:col>13</xdr:col>
      <xdr:colOff>415290</xdr:colOff>
      <xdr:row>42</xdr:row>
      <xdr:rowOff>1905</xdr:rowOff>
    </xdr:to>
    <xdr:cxnSp macro="">
      <xdr:nvCxnSpPr>
        <xdr:cNvPr id="303" name="Straight Arrow Connector 302">
          <a:extLst>
            <a:ext uri="{FF2B5EF4-FFF2-40B4-BE49-F238E27FC236}">
              <a16:creationId xmlns:a16="http://schemas.microsoft.com/office/drawing/2014/main" id="{00000000-0008-0000-0100-00002F010000}"/>
            </a:ext>
          </a:extLst>
        </xdr:cNvPr>
        <xdr:cNvCxnSpPr>
          <a:stCxn id="304" idx="3"/>
        </xdr:cNvCxnSpPr>
      </xdr:nvCxnSpPr>
      <xdr:spPr>
        <a:xfrm>
          <a:off x="7148526" y="7369875"/>
          <a:ext cx="78770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718386</xdr:colOff>
      <xdr:row>41</xdr:row>
      <xdr:rowOff>41910</xdr:rowOff>
    </xdr:from>
    <xdr:ext cx="577980" cy="269369"/>
    <xdr:sp macro="" textlink="">
      <xdr:nvSpPr>
        <xdr:cNvPr id="304" name="TextBox 303">
          <a:extLst>
            <a:ext uri="{FF2B5EF4-FFF2-40B4-BE49-F238E27FC236}">
              <a16:creationId xmlns:a16="http://schemas.microsoft.com/office/drawing/2014/main" id="{00000000-0008-0000-0100-000030010000}"/>
            </a:ext>
          </a:extLst>
        </xdr:cNvPr>
        <xdr:cNvSpPr txBox="1"/>
      </xdr:nvSpPr>
      <xdr:spPr>
        <a:xfrm>
          <a:off x="6570546" y="7235190"/>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106202</xdr:colOff>
      <xdr:row>44</xdr:row>
      <xdr:rowOff>1335</xdr:rowOff>
    </xdr:from>
    <xdr:to>
      <xdr:col>13</xdr:col>
      <xdr:colOff>417195</xdr:colOff>
      <xdr:row>44</xdr:row>
      <xdr:rowOff>3810</xdr:rowOff>
    </xdr:to>
    <xdr:cxnSp macro="">
      <xdr:nvCxnSpPr>
        <xdr:cNvPr id="305" name="Straight Arrow Connector 304">
          <a:extLst>
            <a:ext uri="{FF2B5EF4-FFF2-40B4-BE49-F238E27FC236}">
              <a16:creationId xmlns:a16="http://schemas.microsoft.com/office/drawing/2014/main" id="{00000000-0008-0000-0100-000031010000}"/>
            </a:ext>
          </a:extLst>
        </xdr:cNvPr>
        <xdr:cNvCxnSpPr>
          <a:stCxn id="306" idx="3"/>
        </xdr:cNvCxnSpPr>
      </xdr:nvCxnSpPr>
      <xdr:spPr>
        <a:xfrm>
          <a:off x="7169942" y="7720395"/>
          <a:ext cx="76819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43</xdr:row>
      <xdr:rowOff>41910</xdr:rowOff>
    </xdr:from>
    <xdr:ext cx="620811" cy="269369"/>
    <xdr:sp macro="" textlink="">
      <xdr:nvSpPr>
        <xdr:cNvPr id="306" name="TextBox 305">
          <a:extLst>
            <a:ext uri="{FF2B5EF4-FFF2-40B4-BE49-F238E27FC236}">
              <a16:creationId xmlns:a16="http://schemas.microsoft.com/office/drawing/2014/main" id="{00000000-0008-0000-0100-000032010000}"/>
            </a:ext>
          </a:extLst>
        </xdr:cNvPr>
        <xdr:cNvSpPr txBox="1"/>
      </xdr:nvSpPr>
      <xdr:spPr>
        <a:xfrm>
          <a:off x="6549131" y="758571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101810</xdr:colOff>
      <xdr:row>45</xdr:row>
      <xdr:rowOff>174690</xdr:rowOff>
    </xdr:from>
    <xdr:to>
      <xdr:col>13</xdr:col>
      <xdr:colOff>417195</xdr:colOff>
      <xdr:row>46</xdr:row>
      <xdr:rowOff>1905</xdr:rowOff>
    </xdr:to>
    <xdr:cxnSp macro="">
      <xdr:nvCxnSpPr>
        <xdr:cNvPr id="307" name="Straight Arrow Connector 306">
          <a:extLst>
            <a:ext uri="{FF2B5EF4-FFF2-40B4-BE49-F238E27FC236}">
              <a16:creationId xmlns:a16="http://schemas.microsoft.com/office/drawing/2014/main" id="{00000000-0008-0000-0100-000033010000}"/>
            </a:ext>
          </a:extLst>
        </xdr:cNvPr>
        <xdr:cNvCxnSpPr>
          <a:stCxn id="308" idx="3"/>
        </xdr:cNvCxnSpPr>
      </xdr:nvCxnSpPr>
      <xdr:spPr>
        <a:xfrm>
          <a:off x="7165550" y="8069010"/>
          <a:ext cx="7725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701363</xdr:colOff>
      <xdr:row>45</xdr:row>
      <xdr:rowOff>40005</xdr:rowOff>
    </xdr:from>
    <xdr:ext cx="612027" cy="269369"/>
    <xdr:sp macro="" textlink="">
      <xdr:nvSpPr>
        <xdr:cNvPr id="308" name="TextBox 307">
          <a:extLst>
            <a:ext uri="{FF2B5EF4-FFF2-40B4-BE49-F238E27FC236}">
              <a16:creationId xmlns:a16="http://schemas.microsoft.com/office/drawing/2014/main" id="{00000000-0008-0000-0100-000034010000}"/>
            </a:ext>
          </a:extLst>
        </xdr:cNvPr>
        <xdr:cNvSpPr txBox="1"/>
      </xdr:nvSpPr>
      <xdr:spPr>
        <a:xfrm>
          <a:off x="6553523" y="7934325"/>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97578</xdr:colOff>
      <xdr:row>48</xdr:row>
      <xdr:rowOff>1335</xdr:rowOff>
    </xdr:from>
    <xdr:to>
      <xdr:col>13</xdr:col>
      <xdr:colOff>413385</xdr:colOff>
      <xdr:row>48</xdr:row>
      <xdr:rowOff>5715</xdr:rowOff>
    </xdr:to>
    <xdr:cxnSp macro="">
      <xdr:nvCxnSpPr>
        <xdr:cNvPr id="309" name="Straight Arrow Connector 308">
          <a:extLst>
            <a:ext uri="{FF2B5EF4-FFF2-40B4-BE49-F238E27FC236}">
              <a16:creationId xmlns:a16="http://schemas.microsoft.com/office/drawing/2014/main" id="{00000000-0008-0000-0100-000035010000}"/>
            </a:ext>
          </a:extLst>
        </xdr:cNvPr>
        <xdr:cNvCxnSpPr>
          <a:stCxn id="310" idx="3"/>
        </xdr:cNvCxnSpPr>
      </xdr:nvCxnSpPr>
      <xdr:spPr>
        <a:xfrm>
          <a:off x="7161318" y="8421435"/>
          <a:ext cx="77300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47</xdr:row>
      <xdr:rowOff>41910</xdr:rowOff>
    </xdr:from>
    <xdr:ext cx="603563" cy="269369"/>
    <xdr:sp macro="" textlink="">
      <xdr:nvSpPr>
        <xdr:cNvPr id="310" name="TextBox 309">
          <a:extLst>
            <a:ext uri="{FF2B5EF4-FFF2-40B4-BE49-F238E27FC236}">
              <a16:creationId xmlns:a16="http://schemas.microsoft.com/office/drawing/2014/main" id="{00000000-0008-0000-0100-000036010000}"/>
            </a:ext>
          </a:extLst>
        </xdr:cNvPr>
        <xdr:cNvSpPr txBox="1"/>
      </xdr:nvSpPr>
      <xdr:spPr>
        <a:xfrm>
          <a:off x="6557755" y="828675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106202</xdr:colOff>
      <xdr:row>49</xdr:row>
      <xdr:rowOff>174690</xdr:rowOff>
    </xdr:from>
    <xdr:to>
      <xdr:col>13</xdr:col>
      <xdr:colOff>413385</xdr:colOff>
      <xdr:row>50</xdr:row>
      <xdr:rowOff>3810</xdr:rowOff>
    </xdr:to>
    <xdr:cxnSp macro="">
      <xdr:nvCxnSpPr>
        <xdr:cNvPr id="311" name="Straight Arrow Connector 310">
          <a:extLst>
            <a:ext uri="{FF2B5EF4-FFF2-40B4-BE49-F238E27FC236}">
              <a16:creationId xmlns:a16="http://schemas.microsoft.com/office/drawing/2014/main" id="{00000000-0008-0000-0100-000037010000}"/>
            </a:ext>
          </a:extLst>
        </xdr:cNvPr>
        <xdr:cNvCxnSpPr>
          <a:stCxn id="312" idx="3"/>
        </xdr:cNvCxnSpPr>
      </xdr:nvCxnSpPr>
      <xdr:spPr>
        <a:xfrm>
          <a:off x="7169942" y="8770050"/>
          <a:ext cx="76438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49</xdr:row>
      <xdr:rowOff>40005</xdr:rowOff>
    </xdr:from>
    <xdr:ext cx="620811" cy="269369"/>
    <xdr:sp macro="" textlink="">
      <xdr:nvSpPr>
        <xdr:cNvPr id="312" name="TextBox 311">
          <a:extLst>
            <a:ext uri="{FF2B5EF4-FFF2-40B4-BE49-F238E27FC236}">
              <a16:creationId xmlns:a16="http://schemas.microsoft.com/office/drawing/2014/main" id="{00000000-0008-0000-0100-000038010000}"/>
            </a:ext>
          </a:extLst>
        </xdr:cNvPr>
        <xdr:cNvSpPr txBox="1"/>
      </xdr:nvSpPr>
      <xdr:spPr>
        <a:xfrm>
          <a:off x="6549131" y="86353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313" name="Straight Arrow Connector 312">
          <a:extLst>
            <a:ext uri="{FF2B5EF4-FFF2-40B4-BE49-F238E27FC236}">
              <a16:creationId xmlns:a16="http://schemas.microsoft.com/office/drawing/2014/main" id="{00000000-0008-0000-0100-000039010000}"/>
            </a:ext>
          </a:extLst>
        </xdr:cNvPr>
        <xdr:cNvCxnSpPr>
          <a:endCxn id="314" idx="1"/>
        </xdr:cNvCxnSpPr>
      </xdr:nvCxnSpPr>
      <xdr:spPr>
        <a:xfrm>
          <a:off x="760285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314" name="TextBox 313">
          <a:extLst>
            <a:ext uri="{FF2B5EF4-FFF2-40B4-BE49-F238E27FC236}">
              <a16:creationId xmlns:a16="http://schemas.microsoft.com/office/drawing/2014/main" id="{00000000-0008-0000-0100-00003A010000}"/>
            </a:ext>
          </a:extLst>
        </xdr:cNvPr>
        <xdr:cNvSpPr txBox="1"/>
      </xdr:nvSpPr>
      <xdr:spPr>
        <a:xfrm>
          <a:off x="864809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50</xdr:row>
      <xdr:rowOff>68580</xdr:rowOff>
    </xdr:from>
    <xdr:to>
      <xdr:col>13</xdr:col>
      <xdr:colOff>586740</xdr:colOff>
      <xdr:row>52</xdr:row>
      <xdr:rowOff>144780</xdr:rowOff>
    </xdr:to>
    <xdr:cxnSp macro="">
      <xdr:nvCxnSpPr>
        <xdr:cNvPr id="325" name="Straight Arrow Connector 324">
          <a:extLst>
            <a:ext uri="{FF2B5EF4-FFF2-40B4-BE49-F238E27FC236}">
              <a16:creationId xmlns:a16="http://schemas.microsoft.com/office/drawing/2014/main" id="{00000000-0008-0000-0100-000045010000}"/>
            </a:ext>
          </a:extLst>
        </xdr:cNvPr>
        <xdr:cNvCxnSpPr/>
      </xdr:nvCxnSpPr>
      <xdr:spPr>
        <a:xfrm flipV="1">
          <a:off x="8161020" y="8839200"/>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27</xdr:row>
      <xdr:rowOff>7620</xdr:rowOff>
    </xdr:from>
    <xdr:to>
      <xdr:col>18</xdr:col>
      <xdr:colOff>289560</xdr:colOff>
      <xdr:row>28</xdr:row>
      <xdr:rowOff>53340</xdr:rowOff>
    </xdr:to>
    <xdr:sp macro="" textlink="">
      <xdr:nvSpPr>
        <xdr:cNvPr id="329" name="Rounded Rectangle 328">
          <a:extLst>
            <a:ext uri="{FF2B5EF4-FFF2-40B4-BE49-F238E27FC236}">
              <a16:creationId xmlns:a16="http://schemas.microsoft.com/office/drawing/2014/main" id="{00000000-0008-0000-0100-000049010000}"/>
            </a:ext>
          </a:extLst>
        </xdr:cNvPr>
        <xdr:cNvSpPr/>
      </xdr:nvSpPr>
      <xdr:spPr>
        <a:xfrm>
          <a:off x="10401300" y="59740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163712</xdr:colOff>
      <xdr:row>26</xdr:row>
      <xdr:rowOff>160020</xdr:rowOff>
    </xdr:from>
    <xdr:ext cx="932949" cy="269369"/>
    <xdr:sp macro="" textlink="">
      <xdr:nvSpPr>
        <xdr:cNvPr id="330" name="TextBox 329">
          <a:extLst>
            <a:ext uri="{FF2B5EF4-FFF2-40B4-BE49-F238E27FC236}">
              <a16:creationId xmlns:a16="http://schemas.microsoft.com/office/drawing/2014/main" id="{00000000-0008-0000-0100-00004A010000}"/>
            </a:ext>
          </a:extLst>
        </xdr:cNvPr>
        <xdr:cNvSpPr txBox="1"/>
      </xdr:nvSpPr>
      <xdr:spPr>
        <a:xfrm>
          <a:off x="10519292" y="490728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 =</a:t>
          </a:r>
        </a:p>
      </xdr:txBody>
    </xdr:sp>
    <xdr:clientData/>
  </xdr:oneCellAnchor>
  <xdr:twoCellAnchor>
    <xdr:from>
      <xdr:col>18</xdr:col>
      <xdr:colOff>289560</xdr:colOff>
      <xdr:row>27</xdr:row>
      <xdr:rowOff>118110</xdr:rowOff>
    </xdr:from>
    <xdr:to>
      <xdr:col>19</xdr:col>
      <xdr:colOff>163712</xdr:colOff>
      <xdr:row>27</xdr:row>
      <xdr:rowOff>119445</xdr:rowOff>
    </xdr:to>
    <xdr:cxnSp macro="">
      <xdr:nvCxnSpPr>
        <xdr:cNvPr id="331" name="Straight Arrow Connector 330">
          <a:extLst>
            <a:ext uri="{FF2B5EF4-FFF2-40B4-BE49-F238E27FC236}">
              <a16:creationId xmlns:a16="http://schemas.microsoft.com/office/drawing/2014/main" id="{00000000-0008-0000-0100-00004B010000}"/>
            </a:ext>
          </a:extLst>
        </xdr:cNvPr>
        <xdr:cNvCxnSpPr>
          <a:stCxn id="329" idx="3"/>
          <a:endCxn id="330" idx="1"/>
        </xdr:cNvCxnSpPr>
      </xdr:nvCxnSpPr>
      <xdr:spPr>
        <a:xfrm>
          <a:off x="10248900" y="5040630"/>
          <a:ext cx="270392"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148590</xdr:colOff>
      <xdr:row>27</xdr:row>
      <xdr:rowOff>118110</xdr:rowOff>
    </xdr:from>
    <xdr:to>
      <xdr:col>17</xdr:col>
      <xdr:colOff>289560</xdr:colOff>
      <xdr:row>27</xdr:row>
      <xdr:rowOff>121920</xdr:rowOff>
    </xdr:to>
    <xdr:cxnSp macro="">
      <xdr:nvCxnSpPr>
        <xdr:cNvPr id="338" name="Straight Arrow Connector 337">
          <a:extLst>
            <a:ext uri="{FF2B5EF4-FFF2-40B4-BE49-F238E27FC236}">
              <a16:creationId xmlns:a16="http://schemas.microsoft.com/office/drawing/2014/main" id="{00000000-0008-0000-0100-000052010000}"/>
            </a:ext>
          </a:extLst>
        </xdr:cNvPr>
        <xdr:cNvCxnSpPr>
          <a:endCxn id="329" idx="1"/>
        </xdr:cNvCxnSpPr>
      </xdr:nvCxnSpPr>
      <xdr:spPr>
        <a:xfrm flipV="1">
          <a:off x="9124950" y="4857750"/>
          <a:ext cx="1276350"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30</xdr:row>
      <xdr:rowOff>3810</xdr:rowOff>
    </xdr:from>
    <xdr:to>
      <xdr:col>18</xdr:col>
      <xdr:colOff>289560</xdr:colOff>
      <xdr:row>31</xdr:row>
      <xdr:rowOff>49530</xdr:rowOff>
    </xdr:to>
    <xdr:sp macro="" textlink="">
      <xdr:nvSpPr>
        <xdr:cNvPr id="341" name="Rounded Rectangle 340">
          <a:extLst>
            <a:ext uri="{FF2B5EF4-FFF2-40B4-BE49-F238E27FC236}">
              <a16:creationId xmlns:a16="http://schemas.microsoft.com/office/drawing/2014/main" id="{00000000-0008-0000-0100-000055010000}"/>
            </a:ext>
          </a:extLst>
        </xdr:cNvPr>
        <xdr:cNvSpPr/>
      </xdr:nvSpPr>
      <xdr:spPr>
        <a:xfrm>
          <a:off x="10401300" y="526923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29</xdr:row>
      <xdr:rowOff>156210</xdr:rowOff>
    </xdr:from>
    <xdr:ext cx="932949" cy="269369"/>
    <xdr:sp macro="" textlink="">
      <xdr:nvSpPr>
        <xdr:cNvPr id="342" name="TextBox 341">
          <a:extLst>
            <a:ext uri="{FF2B5EF4-FFF2-40B4-BE49-F238E27FC236}">
              <a16:creationId xmlns:a16="http://schemas.microsoft.com/office/drawing/2014/main" id="{00000000-0008-0000-0100-000056010000}"/>
            </a:ext>
          </a:extLst>
        </xdr:cNvPr>
        <xdr:cNvSpPr txBox="1"/>
      </xdr:nvSpPr>
      <xdr:spPr>
        <a:xfrm>
          <a:off x="10519293" y="542925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PBCLK2 =</a:t>
          </a:r>
        </a:p>
      </xdr:txBody>
    </xdr:sp>
    <xdr:clientData/>
  </xdr:oneCellAnchor>
  <xdr:twoCellAnchor>
    <xdr:from>
      <xdr:col>18</xdr:col>
      <xdr:colOff>289560</xdr:colOff>
      <xdr:row>30</xdr:row>
      <xdr:rowOff>114300</xdr:rowOff>
    </xdr:from>
    <xdr:to>
      <xdr:col>19</xdr:col>
      <xdr:colOff>163713</xdr:colOff>
      <xdr:row>30</xdr:row>
      <xdr:rowOff>115635</xdr:rowOff>
    </xdr:to>
    <xdr:cxnSp macro="">
      <xdr:nvCxnSpPr>
        <xdr:cNvPr id="343" name="Straight Arrow Connector 342">
          <a:extLst>
            <a:ext uri="{FF2B5EF4-FFF2-40B4-BE49-F238E27FC236}">
              <a16:creationId xmlns:a16="http://schemas.microsoft.com/office/drawing/2014/main" id="{00000000-0008-0000-0100-000057010000}"/>
            </a:ext>
          </a:extLst>
        </xdr:cNvPr>
        <xdr:cNvCxnSpPr>
          <a:stCxn id="341" idx="3"/>
          <a:endCxn id="342" idx="1"/>
        </xdr:cNvCxnSpPr>
      </xdr:nvCxnSpPr>
      <xdr:spPr>
        <a:xfrm>
          <a:off x="10248900" y="556260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30</xdr:row>
      <xdr:rowOff>114300</xdr:rowOff>
    </xdr:from>
    <xdr:to>
      <xdr:col>17</xdr:col>
      <xdr:colOff>289560</xdr:colOff>
      <xdr:row>30</xdr:row>
      <xdr:rowOff>118110</xdr:rowOff>
    </xdr:to>
    <xdr:cxnSp macro="">
      <xdr:nvCxnSpPr>
        <xdr:cNvPr id="345" name="Straight Arrow Connector 344">
          <a:extLst>
            <a:ext uri="{FF2B5EF4-FFF2-40B4-BE49-F238E27FC236}">
              <a16:creationId xmlns:a16="http://schemas.microsoft.com/office/drawing/2014/main" id="{00000000-0008-0000-0100-000059010000}"/>
            </a:ext>
          </a:extLst>
        </xdr:cNvPr>
        <xdr:cNvCxnSpPr>
          <a:endCxn id="341" idx="1"/>
        </xdr:cNvCxnSpPr>
      </xdr:nvCxnSpPr>
      <xdr:spPr>
        <a:xfrm flipV="1">
          <a:off x="9130665" y="537972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33</xdr:row>
      <xdr:rowOff>0</xdr:rowOff>
    </xdr:from>
    <xdr:to>
      <xdr:col>18</xdr:col>
      <xdr:colOff>289560</xdr:colOff>
      <xdr:row>34</xdr:row>
      <xdr:rowOff>45720</xdr:rowOff>
    </xdr:to>
    <xdr:sp macro="" textlink="">
      <xdr:nvSpPr>
        <xdr:cNvPr id="346" name="Rounded Rectangle 345">
          <a:extLst>
            <a:ext uri="{FF2B5EF4-FFF2-40B4-BE49-F238E27FC236}">
              <a16:creationId xmlns:a16="http://schemas.microsoft.com/office/drawing/2014/main" id="{00000000-0008-0000-0100-00005A010000}"/>
            </a:ext>
          </a:extLst>
        </xdr:cNvPr>
        <xdr:cNvSpPr/>
      </xdr:nvSpPr>
      <xdr:spPr>
        <a:xfrm>
          <a:off x="10401300" y="579120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32</xdr:row>
      <xdr:rowOff>152400</xdr:rowOff>
    </xdr:from>
    <xdr:ext cx="932949" cy="269369"/>
    <xdr:sp macro="" textlink="">
      <xdr:nvSpPr>
        <xdr:cNvPr id="347" name="TextBox 346">
          <a:extLst>
            <a:ext uri="{FF2B5EF4-FFF2-40B4-BE49-F238E27FC236}">
              <a16:creationId xmlns:a16="http://schemas.microsoft.com/office/drawing/2014/main" id="{00000000-0008-0000-0100-00005B010000}"/>
            </a:ext>
          </a:extLst>
        </xdr:cNvPr>
        <xdr:cNvSpPr txBox="1"/>
      </xdr:nvSpPr>
      <xdr:spPr>
        <a:xfrm>
          <a:off x="10519293" y="595122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PBCLK3 =</a:t>
          </a:r>
        </a:p>
      </xdr:txBody>
    </xdr:sp>
    <xdr:clientData/>
  </xdr:oneCellAnchor>
  <xdr:twoCellAnchor>
    <xdr:from>
      <xdr:col>18</xdr:col>
      <xdr:colOff>289560</xdr:colOff>
      <xdr:row>33</xdr:row>
      <xdr:rowOff>110490</xdr:rowOff>
    </xdr:from>
    <xdr:to>
      <xdr:col>19</xdr:col>
      <xdr:colOff>163713</xdr:colOff>
      <xdr:row>33</xdr:row>
      <xdr:rowOff>111825</xdr:rowOff>
    </xdr:to>
    <xdr:cxnSp macro="">
      <xdr:nvCxnSpPr>
        <xdr:cNvPr id="348" name="Straight Arrow Connector 347">
          <a:extLst>
            <a:ext uri="{FF2B5EF4-FFF2-40B4-BE49-F238E27FC236}">
              <a16:creationId xmlns:a16="http://schemas.microsoft.com/office/drawing/2014/main" id="{00000000-0008-0000-0100-00005C010000}"/>
            </a:ext>
          </a:extLst>
        </xdr:cNvPr>
        <xdr:cNvCxnSpPr>
          <a:stCxn id="346" idx="3"/>
          <a:endCxn id="347" idx="1"/>
        </xdr:cNvCxnSpPr>
      </xdr:nvCxnSpPr>
      <xdr:spPr>
        <a:xfrm>
          <a:off x="10248900" y="608457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33</xdr:row>
      <xdr:rowOff>110490</xdr:rowOff>
    </xdr:from>
    <xdr:to>
      <xdr:col>17</xdr:col>
      <xdr:colOff>289560</xdr:colOff>
      <xdr:row>33</xdr:row>
      <xdr:rowOff>112395</xdr:rowOff>
    </xdr:to>
    <xdr:cxnSp macro="">
      <xdr:nvCxnSpPr>
        <xdr:cNvPr id="350" name="Straight Arrow Connector 349">
          <a:extLst>
            <a:ext uri="{FF2B5EF4-FFF2-40B4-BE49-F238E27FC236}">
              <a16:creationId xmlns:a16="http://schemas.microsoft.com/office/drawing/2014/main" id="{00000000-0008-0000-0100-00005E010000}"/>
            </a:ext>
          </a:extLst>
        </xdr:cNvPr>
        <xdr:cNvCxnSpPr>
          <a:endCxn id="346" idx="1"/>
        </xdr:cNvCxnSpPr>
      </xdr:nvCxnSpPr>
      <xdr:spPr>
        <a:xfrm flipV="1">
          <a:off x="9128760" y="590169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36</xdr:row>
      <xdr:rowOff>0</xdr:rowOff>
    </xdr:from>
    <xdr:to>
      <xdr:col>18</xdr:col>
      <xdr:colOff>289560</xdr:colOff>
      <xdr:row>37</xdr:row>
      <xdr:rowOff>45720</xdr:rowOff>
    </xdr:to>
    <xdr:sp macro="" textlink="">
      <xdr:nvSpPr>
        <xdr:cNvPr id="351" name="Rounded Rectangle 350">
          <a:extLst>
            <a:ext uri="{FF2B5EF4-FFF2-40B4-BE49-F238E27FC236}">
              <a16:creationId xmlns:a16="http://schemas.microsoft.com/office/drawing/2014/main" id="{00000000-0008-0000-0100-00005F010000}"/>
            </a:ext>
          </a:extLst>
        </xdr:cNvPr>
        <xdr:cNvSpPr/>
      </xdr:nvSpPr>
      <xdr:spPr>
        <a:xfrm>
          <a:off x="10401300" y="63169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35</xdr:row>
      <xdr:rowOff>152400</xdr:rowOff>
    </xdr:from>
    <xdr:ext cx="932949" cy="269369"/>
    <xdr:sp macro="" textlink="">
      <xdr:nvSpPr>
        <xdr:cNvPr id="352" name="TextBox 351">
          <a:extLst>
            <a:ext uri="{FF2B5EF4-FFF2-40B4-BE49-F238E27FC236}">
              <a16:creationId xmlns:a16="http://schemas.microsoft.com/office/drawing/2014/main" id="{00000000-0008-0000-0100-000060010000}"/>
            </a:ext>
          </a:extLst>
        </xdr:cNvPr>
        <xdr:cNvSpPr txBox="1"/>
      </xdr:nvSpPr>
      <xdr:spPr>
        <a:xfrm>
          <a:off x="10519293" y="647700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PBCLK4 =</a:t>
          </a:r>
        </a:p>
      </xdr:txBody>
    </xdr:sp>
    <xdr:clientData/>
  </xdr:oneCellAnchor>
  <xdr:twoCellAnchor>
    <xdr:from>
      <xdr:col>18</xdr:col>
      <xdr:colOff>289560</xdr:colOff>
      <xdr:row>36</xdr:row>
      <xdr:rowOff>110490</xdr:rowOff>
    </xdr:from>
    <xdr:to>
      <xdr:col>19</xdr:col>
      <xdr:colOff>163713</xdr:colOff>
      <xdr:row>36</xdr:row>
      <xdr:rowOff>111825</xdr:rowOff>
    </xdr:to>
    <xdr:cxnSp macro="">
      <xdr:nvCxnSpPr>
        <xdr:cNvPr id="353" name="Straight Arrow Connector 352">
          <a:extLst>
            <a:ext uri="{FF2B5EF4-FFF2-40B4-BE49-F238E27FC236}">
              <a16:creationId xmlns:a16="http://schemas.microsoft.com/office/drawing/2014/main" id="{00000000-0008-0000-0100-000061010000}"/>
            </a:ext>
          </a:extLst>
        </xdr:cNvPr>
        <xdr:cNvCxnSpPr>
          <a:stCxn id="351" idx="3"/>
          <a:endCxn id="352" idx="1"/>
        </xdr:cNvCxnSpPr>
      </xdr:nvCxnSpPr>
      <xdr:spPr>
        <a:xfrm>
          <a:off x="10248900" y="661035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36</xdr:row>
      <xdr:rowOff>110490</xdr:rowOff>
    </xdr:from>
    <xdr:to>
      <xdr:col>17</xdr:col>
      <xdr:colOff>289560</xdr:colOff>
      <xdr:row>36</xdr:row>
      <xdr:rowOff>112395</xdr:rowOff>
    </xdr:to>
    <xdr:cxnSp macro="">
      <xdr:nvCxnSpPr>
        <xdr:cNvPr id="355" name="Straight Arrow Connector 354">
          <a:extLst>
            <a:ext uri="{FF2B5EF4-FFF2-40B4-BE49-F238E27FC236}">
              <a16:creationId xmlns:a16="http://schemas.microsoft.com/office/drawing/2014/main" id="{00000000-0008-0000-0100-000063010000}"/>
            </a:ext>
          </a:extLst>
        </xdr:cNvPr>
        <xdr:cNvCxnSpPr>
          <a:endCxn id="351" idx="1"/>
        </xdr:cNvCxnSpPr>
      </xdr:nvCxnSpPr>
      <xdr:spPr>
        <a:xfrm flipV="1">
          <a:off x="9128760" y="642747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39</xdr:row>
      <xdr:rowOff>1905</xdr:rowOff>
    </xdr:from>
    <xdr:to>
      <xdr:col>18</xdr:col>
      <xdr:colOff>289560</xdr:colOff>
      <xdr:row>40</xdr:row>
      <xdr:rowOff>47625</xdr:rowOff>
    </xdr:to>
    <xdr:sp macro="" textlink="">
      <xdr:nvSpPr>
        <xdr:cNvPr id="356" name="Rounded Rectangle 355">
          <a:extLst>
            <a:ext uri="{FF2B5EF4-FFF2-40B4-BE49-F238E27FC236}">
              <a16:creationId xmlns:a16="http://schemas.microsoft.com/office/drawing/2014/main" id="{00000000-0008-0000-0100-000064010000}"/>
            </a:ext>
          </a:extLst>
        </xdr:cNvPr>
        <xdr:cNvSpPr/>
      </xdr:nvSpPr>
      <xdr:spPr>
        <a:xfrm>
          <a:off x="10401300" y="684466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38</xdr:row>
      <xdr:rowOff>154305</xdr:rowOff>
    </xdr:from>
    <xdr:ext cx="932949" cy="269369"/>
    <xdr:sp macro="" textlink="">
      <xdr:nvSpPr>
        <xdr:cNvPr id="357" name="TextBox 356">
          <a:extLst>
            <a:ext uri="{FF2B5EF4-FFF2-40B4-BE49-F238E27FC236}">
              <a16:creationId xmlns:a16="http://schemas.microsoft.com/office/drawing/2014/main" id="{00000000-0008-0000-0100-000065010000}"/>
            </a:ext>
          </a:extLst>
        </xdr:cNvPr>
        <xdr:cNvSpPr txBox="1"/>
      </xdr:nvSpPr>
      <xdr:spPr>
        <a:xfrm>
          <a:off x="10519293" y="700468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PBCLK5 =</a:t>
          </a:r>
        </a:p>
      </xdr:txBody>
    </xdr:sp>
    <xdr:clientData/>
  </xdr:oneCellAnchor>
  <xdr:twoCellAnchor>
    <xdr:from>
      <xdr:col>18</xdr:col>
      <xdr:colOff>289560</xdr:colOff>
      <xdr:row>39</xdr:row>
      <xdr:rowOff>112395</xdr:rowOff>
    </xdr:from>
    <xdr:to>
      <xdr:col>19</xdr:col>
      <xdr:colOff>163713</xdr:colOff>
      <xdr:row>39</xdr:row>
      <xdr:rowOff>113730</xdr:rowOff>
    </xdr:to>
    <xdr:cxnSp macro="">
      <xdr:nvCxnSpPr>
        <xdr:cNvPr id="358" name="Straight Arrow Connector 357">
          <a:extLst>
            <a:ext uri="{FF2B5EF4-FFF2-40B4-BE49-F238E27FC236}">
              <a16:creationId xmlns:a16="http://schemas.microsoft.com/office/drawing/2014/main" id="{00000000-0008-0000-0100-000066010000}"/>
            </a:ext>
          </a:extLst>
        </xdr:cNvPr>
        <xdr:cNvCxnSpPr>
          <a:stCxn id="356" idx="3"/>
          <a:endCxn id="357" idx="1"/>
        </xdr:cNvCxnSpPr>
      </xdr:nvCxnSpPr>
      <xdr:spPr>
        <a:xfrm>
          <a:off x="10248900" y="713803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39</xdr:row>
      <xdr:rowOff>112395</xdr:rowOff>
    </xdr:from>
    <xdr:to>
      <xdr:col>17</xdr:col>
      <xdr:colOff>289560</xdr:colOff>
      <xdr:row>39</xdr:row>
      <xdr:rowOff>120015</xdr:rowOff>
    </xdr:to>
    <xdr:cxnSp macro="">
      <xdr:nvCxnSpPr>
        <xdr:cNvPr id="360" name="Straight Arrow Connector 359">
          <a:extLst>
            <a:ext uri="{FF2B5EF4-FFF2-40B4-BE49-F238E27FC236}">
              <a16:creationId xmlns:a16="http://schemas.microsoft.com/office/drawing/2014/main" id="{00000000-0008-0000-0100-000068010000}"/>
            </a:ext>
          </a:extLst>
        </xdr:cNvPr>
        <xdr:cNvCxnSpPr>
          <a:endCxn id="356" idx="1"/>
        </xdr:cNvCxnSpPr>
      </xdr:nvCxnSpPr>
      <xdr:spPr>
        <a:xfrm flipV="1">
          <a:off x="9130665" y="6955155"/>
          <a:ext cx="1270635"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42</xdr:row>
      <xdr:rowOff>0</xdr:rowOff>
    </xdr:from>
    <xdr:to>
      <xdr:col>18</xdr:col>
      <xdr:colOff>289560</xdr:colOff>
      <xdr:row>43</xdr:row>
      <xdr:rowOff>45720</xdr:rowOff>
    </xdr:to>
    <xdr:sp macro="" textlink="">
      <xdr:nvSpPr>
        <xdr:cNvPr id="361" name="Rounded Rectangle 360">
          <a:extLst>
            <a:ext uri="{FF2B5EF4-FFF2-40B4-BE49-F238E27FC236}">
              <a16:creationId xmlns:a16="http://schemas.microsoft.com/office/drawing/2014/main" id="{00000000-0008-0000-0100-000069010000}"/>
            </a:ext>
          </a:extLst>
        </xdr:cNvPr>
        <xdr:cNvSpPr/>
      </xdr:nvSpPr>
      <xdr:spPr>
        <a:xfrm>
          <a:off x="10401300" y="736854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41</xdr:row>
      <xdr:rowOff>152400</xdr:rowOff>
    </xdr:from>
    <xdr:ext cx="932949" cy="269369"/>
    <xdr:sp macro="" textlink="">
      <xdr:nvSpPr>
        <xdr:cNvPr id="362" name="TextBox 361">
          <a:extLst>
            <a:ext uri="{FF2B5EF4-FFF2-40B4-BE49-F238E27FC236}">
              <a16:creationId xmlns:a16="http://schemas.microsoft.com/office/drawing/2014/main" id="{00000000-0008-0000-0100-00006A010000}"/>
            </a:ext>
          </a:extLst>
        </xdr:cNvPr>
        <xdr:cNvSpPr txBox="1"/>
      </xdr:nvSpPr>
      <xdr:spPr>
        <a:xfrm>
          <a:off x="10519293" y="752856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PBCLK7 =</a:t>
          </a:r>
        </a:p>
      </xdr:txBody>
    </xdr:sp>
    <xdr:clientData/>
  </xdr:oneCellAnchor>
  <xdr:twoCellAnchor>
    <xdr:from>
      <xdr:col>18</xdr:col>
      <xdr:colOff>289560</xdr:colOff>
      <xdr:row>42</xdr:row>
      <xdr:rowOff>110490</xdr:rowOff>
    </xdr:from>
    <xdr:to>
      <xdr:col>19</xdr:col>
      <xdr:colOff>163713</xdr:colOff>
      <xdr:row>42</xdr:row>
      <xdr:rowOff>111825</xdr:rowOff>
    </xdr:to>
    <xdr:cxnSp macro="">
      <xdr:nvCxnSpPr>
        <xdr:cNvPr id="363" name="Straight Arrow Connector 362">
          <a:extLst>
            <a:ext uri="{FF2B5EF4-FFF2-40B4-BE49-F238E27FC236}">
              <a16:creationId xmlns:a16="http://schemas.microsoft.com/office/drawing/2014/main" id="{00000000-0008-0000-0100-00006B010000}"/>
            </a:ext>
          </a:extLst>
        </xdr:cNvPr>
        <xdr:cNvCxnSpPr>
          <a:stCxn id="361" idx="3"/>
          <a:endCxn id="362" idx="1"/>
        </xdr:cNvCxnSpPr>
      </xdr:nvCxnSpPr>
      <xdr:spPr>
        <a:xfrm>
          <a:off x="10248900" y="766191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42</xdr:row>
      <xdr:rowOff>110490</xdr:rowOff>
    </xdr:from>
    <xdr:to>
      <xdr:col>17</xdr:col>
      <xdr:colOff>289560</xdr:colOff>
      <xdr:row>42</xdr:row>
      <xdr:rowOff>114300</xdr:rowOff>
    </xdr:to>
    <xdr:cxnSp macro="">
      <xdr:nvCxnSpPr>
        <xdr:cNvPr id="365" name="Straight Arrow Connector 364">
          <a:extLst>
            <a:ext uri="{FF2B5EF4-FFF2-40B4-BE49-F238E27FC236}">
              <a16:creationId xmlns:a16="http://schemas.microsoft.com/office/drawing/2014/main" id="{00000000-0008-0000-0100-00006D010000}"/>
            </a:ext>
          </a:extLst>
        </xdr:cNvPr>
        <xdr:cNvCxnSpPr>
          <a:endCxn id="361" idx="1"/>
        </xdr:cNvCxnSpPr>
      </xdr:nvCxnSpPr>
      <xdr:spPr>
        <a:xfrm flipV="1">
          <a:off x="9130665" y="747903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44</xdr:row>
      <xdr:rowOff>173355</xdr:rowOff>
    </xdr:from>
    <xdr:to>
      <xdr:col>18</xdr:col>
      <xdr:colOff>289560</xdr:colOff>
      <xdr:row>46</xdr:row>
      <xdr:rowOff>43815</xdr:rowOff>
    </xdr:to>
    <xdr:sp macro="" textlink="">
      <xdr:nvSpPr>
        <xdr:cNvPr id="366" name="Rounded Rectangle 365">
          <a:extLst>
            <a:ext uri="{FF2B5EF4-FFF2-40B4-BE49-F238E27FC236}">
              <a16:creationId xmlns:a16="http://schemas.microsoft.com/office/drawing/2014/main" id="{00000000-0008-0000-0100-00006E010000}"/>
            </a:ext>
          </a:extLst>
        </xdr:cNvPr>
        <xdr:cNvSpPr/>
      </xdr:nvSpPr>
      <xdr:spPr>
        <a:xfrm>
          <a:off x="10401300" y="789241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44</xdr:row>
      <xdr:rowOff>150495</xdr:rowOff>
    </xdr:from>
    <xdr:ext cx="932949" cy="269369"/>
    <xdr:sp macro="" textlink="">
      <xdr:nvSpPr>
        <xdr:cNvPr id="367" name="TextBox 366">
          <a:extLst>
            <a:ext uri="{FF2B5EF4-FFF2-40B4-BE49-F238E27FC236}">
              <a16:creationId xmlns:a16="http://schemas.microsoft.com/office/drawing/2014/main" id="{00000000-0008-0000-0100-00006F010000}"/>
            </a:ext>
          </a:extLst>
        </xdr:cNvPr>
        <xdr:cNvSpPr txBox="1"/>
      </xdr:nvSpPr>
      <xdr:spPr>
        <a:xfrm>
          <a:off x="10519293" y="805243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PBCLK8 =</a:t>
          </a:r>
        </a:p>
      </xdr:txBody>
    </xdr:sp>
    <xdr:clientData/>
  </xdr:oneCellAnchor>
  <xdr:twoCellAnchor>
    <xdr:from>
      <xdr:col>18</xdr:col>
      <xdr:colOff>289560</xdr:colOff>
      <xdr:row>45</xdr:row>
      <xdr:rowOff>108585</xdr:rowOff>
    </xdr:from>
    <xdr:to>
      <xdr:col>19</xdr:col>
      <xdr:colOff>163713</xdr:colOff>
      <xdr:row>45</xdr:row>
      <xdr:rowOff>109920</xdr:rowOff>
    </xdr:to>
    <xdr:cxnSp macro="">
      <xdr:nvCxnSpPr>
        <xdr:cNvPr id="368" name="Straight Arrow Connector 367">
          <a:extLst>
            <a:ext uri="{FF2B5EF4-FFF2-40B4-BE49-F238E27FC236}">
              <a16:creationId xmlns:a16="http://schemas.microsoft.com/office/drawing/2014/main" id="{00000000-0008-0000-0100-000070010000}"/>
            </a:ext>
          </a:extLst>
        </xdr:cNvPr>
        <xdr:cNvCxnSpPr>
          <a:stCxn id="366" idx="3"/>
          <a:endCxn id="367" idx="1"/>
        </xdr:cNvCxnSpPr>
      </xdr:nvCxnSpPr>
      <xdr:spPr>
        <a:xfrm>
          <a:off x="10248900" y="818578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318135</xdr:colOff>
      <xdr:row>45</xdr:row>
      <xdr:rowOff>108585</xdr:rowOff>
    </xdr:from>
    <xdr:to>
      <xdr:col>17</xdr:col>
      <xdr:colOff>289560</xdr:colOff>
      <xdr:row>45</xdr:row>
      <xdr:rowOff>112395</xdr:rowOff>
    </xdr:to>
    <xdr:cxnSp macro="">
      <xdr:nvCxnSpPr>
        <xdr:cNvPr id="370" name="Straight Arrow Connector 369">
          <a:extLst>
            <a:ext uri="{FF2B5EF4-FFF2-40B4-BE49-F238E27FC236}">
              <a16:creationId xmlns:a16="http://schemas.microsoft.com/office/drawing/2014/main" id="{00000000-0008-0000-0100-000072010000}"/>
            </a:ext>
          </a:extLst>
        </xdr:cNvPr>
        <xdr:cNvCxnSpPr>
          <a:endCxn id="366" idx="1"/>
        </xdr:cNvCxnSpPr>
      </xdr:nvCxnSpPr>
      <xdr:spPr>
        <a:xfrm flipV="1">
          <a:off x="8631555" y="8002905"/>
          <a:ext cx="176974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150704</xdr:colOff>
      <xdr:row>27</xdr:row>
      <xdr:rowOff>119445</xdr:rowOff>
    </xdr:from>
    <xdr:to>
      <xdr:col>15</xdr:col>
      <xdr:colOff>160020</xdr:colOff>
      <xdr:row>45</xdr:row>
      <xdr:rowOff>114300</xdr:rowOff>
    </xdr:to>
    <xdr:cxnSp macro="">
      <xdr:nvCxnSpPr>
        <xdr:cNvPr id="371" name="Straight Arrow Connector 370">
          <a:extLst>
            <a:ext uri="{FF2B5EF4-FFF2-40B4-BE49-F238E27FC236}">
              <a16:creationId xmlns:a16="http://schemas.microsoft.com/office/drawing/2014/main" id="{00000000-0008-0000-0100-000073010000}"/>
            </a:ext>
          </a:extLst>
        </xdr:cNvPr>
        <xdr:cNvCxnSpPr/>
      </xdr:nvCxnSpPr>
      <xdr:spPr>
        <a:xfrm>
          <a:off x="9127064" y="4859085"/>
          <a:ext cx="9316" cy="314953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374" name="Straight Arrow Connector 373">
          <a:extLst>
            <a:ext uri="{FF2B5EF4-FFF2-40B4-BE49-F238E27FC236}">
              <a16:creationId xmlns:a16="http://schemas.microsoft.com/office/drawing/2014/main" id="{00000000-0008-0000-0100-000076010000}"/>
            </a:ext>
          </a:extLst>
        </xdr:cNvPr>
        <xdr:cNvCxnSpPr/>
      </xdr:nvCxnSpPr>
      <xdr:spPr>
        <a:xfrm>
          <a:off x="793242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68580</xdr:colOff>
      <xdr:row>0</xdr:row>
      <xdr:rowOff>114300</xdr:rowOff>
    </xdr:from>
    <xdr:to>
      <xdr:col>5</xdr:col>
      <xdr:colOff>125094</xdr:colOff>
      <xdr:row>2</xdr:row>
      <xdr:rowOff>50256</xdr:rowOff>
    </xdr:to>
    <xdr:pic>
      <xdr:nvPicPr>
        <xdr:cNvPr id="391" name="Picture 390" descr="MICH2C.bmp">
          <a:extLst>
            <a:ext uri="{FF2B5EF4-FFF2-40B4-BE49-F238E27FC236}">
              <a16:creationId xmlns:a16="http://schemas.microsoft.com/office/drawing/2014/main" id="{00000000-0008-0000-0100-000087010000}"/>
            </a:ext>
          </a:extLst>
        </xdr:cNvPr>
        <xdr:cNvPicPr>
          <a:picLocks noChangeAspect="1"/>
        </xdr:cNvPicPr>
      </xdr:nvPicPr>
      <xdr:blipFill>
        <a:blip xmlns:r="http://schemas.openxmlformats.org/officeDocument/2006/relationships" r:embed="rId1" cstate="print"/>
        <a:stretch>
          <a:fillRect/>
        </a:stretch>
      </xdr:blipFill>
      <xdr:spPr>
        <a:xfrm>
          <a:off x="68580" y="114300"/>
          <a:ext cx="2004060" cy="463007"/>
        </a:xfrm>
        <a:prstGeom prst="rect">
          <a:avLst/>
        </a:prstGeom>
      </xdr:spPr>
    </xdr:pic>
    <xdr:clientData/>
  </xdr:twoCellAnchor>
  <xdr:oneCellAnchor>
    <xdr:from>
      <xdr:col>9</xdr:col>
      <xdr:colOff>464821</xdr:colOff>
      <xdr:row>3</xdr:row>
      <xdr:rowOff>114300</xdr:rowOff>
    </xdr:from>
    <xdr:ext cx="2964179" cy="480060"/>
    <xdr:sp macro="" textlink="">
      <xdr:nvSpPr>
        <xdr:cNvPr id="393" name="TextBox 392">
          <a:extLst>
            <a:ext uri="{FF2B5EF4-FFF2-40B4-BE49-F238E27FC236}">
              <a16:creationId xmlns:a16="http://schemas.microsoft.com/office/drawing/2014/main" id="{00000000-0008-0000-0100-000089010000}"/>
            </a:ext>
          </a:extLst>
        </xdr:cNvPr>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394" name="Straight Arrow Connector 393">
          <a:extLst>
            <a:ext uri="{FF2B5EF4-FFF2-40B4-BE49-F238E27FC236}">
              <a16:creationId xmlns:a16="http://schemas.microsoft.com/office/drawing/2014/main" id="{00000000-0008-0000-0100-00008A010000}"/>
            </a:ext>
          </a:extLst>
        </xdr:cNvPr>
        <xdr:cNvCxnSpPr/>
      </xdr:nvCxnSpPr>
      <xdr:spPr>
        <a:xfrm flipH="1">
          <a:off x="4953000" y="1341120"/>
          <a:ext cx="25908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397" name="TextBox 396">
          <a:extLst>
            <a:ext uri="{FF2B5EF4-FFF2-40B4-BE49-F238E27FC236}">
              <a16:creationId xmlns:a16="http://schemas.microsoft.com/office/drawing/2014/main" id="{00000000-0008-0000-0100-00008D010000}"/>
            </a:ext>
          </a:extLst>
        </xdr:cNvPr>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398" name="Straight Arrow Connector 397">
          <a:extLst>
            <a:ext uri="{FF2B5EF4-FFF2-40B4-BE49-F238E27FC236}">
              <a16:creationId xmlns:a16="http://schemas.microsoft.com/office/drawing/2014/main" id="{00000000-0008-0000-0100-00008E010000}"/>
            </a:ext>
          </a:extLst>
        </xdr:cNvPr>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74</xdr:row>
      <xdr:rowOff>83820</xdr:rowOff>
    </xdr:to>
    <xdr:sp macro="" textlink="">
      <xdr:nvSpPr>
        <xdr:cNvPr id="405" name="Rectangle 404">
          <a:extLst>
            <a:ext uri="{FF2B5EF4-FFF2-40B4-BE49-F238E27FC236}">
              <a16:creationId xmlns:a16="http://schemas.microsoft.com/office/drawing/2014/main" id="{00000000-0008-0000-0100-000095010000}"/>
            </a:ext>
          </a:extLst>
        </xdr:cNvPr>
        <xdr:cNvSpPr/>
      </xdr:nvSpPr>
      <xdr:spPr>
        <a:xfrm>
          <a:off x="861060" y="10035540"/>
          <a:ext cx="3589020" cy="32308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65</xdr:row>
      <xdr:rowOff>45720</xdr:rowOff>
    </xdr:from>
    <xdr:to>
      <xdr:col>8</xdr:col>
      <xdr:colOff>571500</xdr:colOff>
      <xdr:row>65</xdr:row>
      <xdr:rowOff>45720</xdr:rowOff>
    </xdr:to>
    <xdr:cxnSp macro="">
      <xdr:nvCxnSpPr>
        <xdr:cNvPr id="411" name="Straight Arrow Connector 410">
          <a:extLst>
            <a:ext uri="{FF2B5EF4-FFF2-40B4-BE49-F238E27FC236}">
              <a16:creationId xmlns:a16="http://schemas.microsoft.com/office/drawing/2014/main" id="{00000000-0008-0000-0100-00009B010000}"/>
            </a:ext>
          </a:extLst>
        </xdr:cNvPr>
        <xdr:cNvCxnSpPr>
          <a:stCxn id="405" idx="1"/>
          <a:endCxn id="405" idx="3"/>
        </xdr:cNvCxnSpPr>
      </xdr:nvCxnSpPr>
      <xdr:spPr>
        <a:xfrm>
          <a:off x="861060" y="1165098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414" name="Straight Arrow Connector 413">
          <a:extLst>
            <a:ext uri="{FF2B5EF4-FFF2-40B4-BE49-F238E27FC236}">
              <a16:creationId xmlns:a16="http://schemas.microsoft.com/office/drawing/2014/main" id="{00000000-0008-0000-0100-00009E010000}"/>
            </a:ext>
          </a:extLst>
        </xdr:cNvPr>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220980</xdr:colOff>
      <xdr:row>111</xdr:row>
      <xdr:rowOff>144780</xdr:rowOff>
    </xdr:to>
    <xdr:sp macro="" textlink="">
      <xdr:nvSpPr>
        <xdr:cNvPr id="416" name="Rectangle 415">
          <a:extLst>
            <a:ext uri="{FF2B5EF4-FFF2-40B4-BE49-F238E27FC236}">
              <a16:creationId xmlns:a16="http://schemas.microsoft.com/office/drawing/2014/main" id="{00000000-0008-0000-0100-0000A0010000}"/>
            </a:ext>
          </a:extLst>
        </xdr:cNvPr>
        <xdr:cNvSpPr/>
      </xdr:nvSpPr>
      <xdr:spPr>
        <a:xfrm>
          <a:off x="6896100" y="14744700"/>
          <a:ext cx="7040880" cy="508254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41910</xdr:rowOff>
    </xdr:from>
    <xdr:to>
      <xdr:col>25</xdr:col>
      <xdr:colOff>213360</xdr:colOff>
      <xdr:row>86</xdr:row>
      <xdr:rowOff>45720</xdr:rowOff>
    </xdr:to>
    <xdr:cxnSp macro="">
      <xdr:nvCxnSpPr>
        <xdr:cNvPr id="417" name="Straight Arrow Connector 416">
          <a:extLst>
            <a:ext uri="{FF2B5EF4-FFF2-40B4-BE49-F238E27FC236}">
              <a16:creationId xmlns:a16="http://schemas.microsoft.com/office/drawing/2014/main" id="{00000000-0008-0000-0100-0000A1010000}"/>
            </a:ext>
          </a:extLst>
        </xdr:cNvPr>
        <xdr:cNvCxnSpPr/>
      </xdr:nvCxnSpPr>
      <xdr:spPr>
        <a:xfrm>
          <a:off x="6896100" y="15335250"/>
          <a:ext cx="703326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421" name="Rectangle 420">
          <a:extLst>
            <a:ext uri="{FF2B5EF4-FFF2-40B4-BE49-F238E27FC236}">
              <a16:creationId xmlns:a16="http://schemas.microsoft.com/office/drawing/2014/main" id="{00000000-0008-0000-0100-0000A5010000}"/>
            </a:ext>
          </a:extLst>
        </xdr:cNvPr>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66" name="Trapezoid 165">
          <a:extLst>
            <a:ext uri="{FF2B5EF4-FFF2-40B4-BE49-F238E27FC236}">
              <a16:creationId xmlns:a16="http://schemas.microsoft.com/office/drawing/2014/main" id="{00000000-0008-0000-0100-0000A6000000}"/>
            </a:ext>
          </a:extLst>
        </xdr:cNvPr>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67" name="Straight Arrow Connector 166">
          <a:extLst>
            <a:ext uri="{FF2B5EF4-FFF2-40B4-BE49-F238E27FC236}">
              <a16:creationId xmlns:a16="http://schemas.microsoft.com/office/drawing/2014/main" id="{00000000-0008-0000-0100-0000A7000000}"/>
            </a:ext>
          </a:extLst>
        </xdr:cNvPr>
        <xdr:cNvCxnSpPr>
          <a:stCxn id="168"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68" name="TextBox 167">
          <a:extLst>
            <a:ext uri="{FF2B5EF4-FFF2-40B4-BE49-F238E27FC236}">
              <a16:creationId xmlns:a16="http://schemas.microsoft.com/office/drawing/2014/main" id="{00000000-0008-0000-0100-0000A8000000}"/>
            </a:ext>
          </a:extLst>
        </xdr:cNvPr>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69" name="Straight Arrow Connector 168">
          <a:extLst>
            <a:ext uri="{FF2B5EF4-FFF2-40B4-BE49-F238E27FC236}">
              <a16:creationId xmlns:a16="http://schemas.microsoft.com/office/drawing/2014/main" id="{00000000-0008-0000-0100-0000A9000000}"/>
            </a:ext>
          </a:extLst>
        </xdr:cNvPr>
        <xdr:cNvCxnSpPr>
          <a:stCxn id="170"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722196</xdr:colOff>
      <xdr:row>60</xdr:row>
      <xdr:rowOff>38097</xdr:rowOff>
    </xdr:from>
    <xdr:ext cx="577980" cy="269369"/>
    <xdr:sp macro="" textlink="">
      <xdr:nvSpPr>
        <xdr:cNvPr id="170" name="TextBox 169">
          <a:extLst>
            <a:ext uri="{FF2B5EF4-FFF2-40B4-BE49-F238E27FC236}">
              <a16:creationId xmlns:a16="http://schemas.microsoft.com/office/drawing/2014/main" id="{00000000-0008-0000-0100-0000AA000000}"/>
            </a:ext>
          </a:extLst>
        </xdr:cNvPr>
        <xdr:cNvSpPr txBox="1"/>
      </xdr:nvSpPr>
      <xdr:spPr>
        <a:xfrm>
          <a:off x="5972376" y="10767057"/>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72" name="Straight Arrow Connector 171">
          <a:extLst>
            <a:ext uri="{FF2B5EF4-FFF2-40B4-BE49-F238E27FC236}">
              <a16:creationId xmlns:a16="http://schemas.microsoft.com/office/drawing/2014/main" id="{00000000-0008-0000-0100-0000AC000000}"/>
            </a:ext>
          </a:extLst>
        </xdr:cNvPr>
        <xdr:cNvCxnSpPr>
          <a:stCxn id="173"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73" name="TextBox 172">
          <a:extLst>
            <a:ext uri="{FF2B5EF4-FFF2-40B4-BE49-F238E27FC236}">
              <a16:creationId xmlns:a16="http://schemas.microsoft.com/office/drawing/2014/main" id="{00000000-0008-0000-0100-0000AD000000}"/>
            </a:ext>
          </a:extLst>
        </xdr:cNvPr>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105620</xdr:colOff>
      <xdr:row>64</xdr:row>
      <xdr:rowOff>170877</xdr:rowOff>
    </xdr:from>
    <xdr:to>
      <xdr:col>13</xdr:col>
      <xdr:colOff>421005</xdr:colOff>
      <xdr:row>64</xdr:row>
      <xdr:rowOff>173352</xdr:rowOff>
    </xdr:to>
    <xdr:cxnSp macro="">
      <xdr:nvCxnSpPr>
        <xdr:cNvPr id="175" name="Straight Arrow Connector 174">
          <a:extLst>
            <a:ext uri="{FF2B5EF4-FFF2-40B4-BE49-F238E27FC236}">
              <a16:creationId xmlns:a16="http://schemas.microsoft.com/office/drawing/2014/main" id="{00000000-0008-0000-0100-0000AF000000}"/>
            </a:ext>
          </a:extLst>
        </xdr:cNvPr>
        <xdr:cNvCxnSpPr>
          <a:stCxn id="176"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76" name="TextBox 175">
          <a:extLst>
            <a:ext uri="{FF2B5EF4-FFF2-40B4-BE49-F238E27FC236}">
              <a16:creationId xmlns:a16="http://schemas.microsoft.com/office/drawing/2014/main" id="{00000000-0008-0000-0100-0000B0000000}"/>
            </a:ext>
          </a:extLst>
        </xdr:cNvPr>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179" name="Straight Arrow Connector 178">
          <a:extLst>
            <a:ext uri="{FF2B5EF4-FFF2-40B4-BE49-F238E27FC236}">
              <a16:creationId xmlns:a16="http://schemas.microsoft.com/office/drawing/2014/main" id="{00000000-0008-0000-0100-0000B3000000}"/>
            </a:ext>
          </a:extLst>
        </xdr:cNvPr>
        <xdr:cNvCxnSpPr>
          <a:stCxn id="180"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180" name="TextBox 179">
          <a:extLst>
            <a:ext uri="{FF2B5EF4-FFF2-40B4-BE49-F238E27FC236}">
              <a16:creationId xmlns:a16="http://schemas.microsoft.com/office/drawing/2014/main" id="{00000000-0008-0000-0100-0000B4000000}"/>
            </a:ext>
          </a:extLst>
        </xdr:cNvPr>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81" name="Straight Arrow Connector 180">
          <a:extLst>
            <a:ext uri="{FF2B5EF4-FFF2-40B4-BE49-F238E27FC236}">
              <a16:creationId xmlns:a16="http://schemas.microsoft.com/office/drawing/2014/main" id="{00000000-0008-0000-0100-0000B5000000}"/>
            </a:ext>
          </a:extLst>
        </xdr:cNvPr>
        <xdr:cNvCxnSpPr>
          <a:stCxn id="182"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82" name="TextBox 181">
          <a:extLst>
            <a:ext uri="{FF2B5EF4-FFF2-40B4-BE49-F238E27FC236}">
              <a16:creationId xmlns:a16="http://schemas.microsoft.com/office/drawing/2014/main" id="{00000000-0008-0000-0100-0000B6000000}"/>
            </a:ext>
          </a:extLst>
        </xdr:cNvPr>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84" name="Straight Arrow Connector 183">
          <a:extLst>
            <a:ext uri="{FF2B5EF4-FFF2-40B4-BE49-F238E27FC236}">
              <a16:creationId xmlns:a16="http://schemas.microsoft.com/office/drawing/2014/main" id="{00000000-0008-0000-0100-0000B8000000}"/>
            </a:ext>
          </a:extLst>
        </xdr:cNvPr>
        <xdr:cNvCxnSpPr>
          <a:endCxn id="299"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85" name="Straight Arrow Connector 184">
          <a:extLst>
            <a:ext uri="{FF2B5EF4-FFF2-40B4-BE49-F238E27FC236}">
              <a16:creationId xmlns:a16="http://schemas.microsoft.com/office/drawing/2014/main" id="{00000000-0008-0000-0100-0000B9000000}"/>
            </a:ext>
          </a:extLst>
        </xdr:cNvPr>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97" name="Straight Arrow Connector 196">
          <a:extLst>
            <a:ext uri="{FF2B5EF4-FFF2-40B4-BE49-F238E27FC236}">
              <a16:creationId xmlns:a16="http://schemas.microsoft.com/office/drawing/2014/main" id="{00000000-0008-0000-0100-0000C5000000}"/>
            </a:ext>
          </a:extLst>
        </xdr:cNvPr>
        <xdr:cNvCxnSpPr>
          <a:stCxn id="198"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98" name="TextBox 197">
          <a:extLst>
            <a:ext uri="{FF2B5EF4-FFF2-40B4-BE49-F238E27FC236}">
              <a16:creationId xmlns:a16="http://schemas.microsoft.com/office/drawing/2014/main" id="{00000000-0008-0000-0100-0000C6000000}"/>
            </a:ext>
          </a:extLst>
        </xdr:cNvPr>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201" name="Straight Arrow Connector 200">
          <a:extLst>
            <a:ext uri="{FF2B5EF4-FFF2-40B4-BE49-F238E27FC236}">
              <a16:creationId xmlns:a16="http://schemas.microsoft.com/office/drawing/2014/main" id="{00000000-0008-0000-0100-0000C9000000}"/>
            </a:ext>
          </a:extLst>
        </xdr:cNvPr>
        <xdr:cNvCxnSpPr>
          <a:stCxn id="202"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202" name="TextBox 201">
          <a:extLst>
            <a:ext uri="{FF2B5EF4-FFF2-40B4-BE49-F238E27FC236}">
              <a16:creationId xmlns:a16="http://schemas.microsoft.com/office/drawing/2014/main" id="{00000000-0008-0000-0100-0000CA000000}"/>
            </a:ext>
          </a:extLst>
        </xdr:cNvPr>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203" name="Straight Arrow Connector 202">
          <a:extLst>
            <a:ext uri="{FF2B5EF4-FFF2-40B4-BE49-F238E27FC236}">
              <a16:creationId xmlns:a16="http://schemas.microsoft.com/office/drawing/2014/main" id="{00000000-0008-0000-0100-0000CB000000}"/>
            </a:ext>
          </a:extLst>
        </xdr:cNvPr>
        <xdr:cNvCxnSpPr>
          <a:stCxn id="204"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204" name="TextBox 203">
          <a:extLst>
            <a:ext uri="{FF2B5EF4-FFF2-40B4-BE49-F238E27FC236}">
              <a16:creationId xmlns:a16="http://schemas.microsoft.com/office/drawing/2014/main" id="{00000000-0008-0000-0100-0000CC000000}"/>
            </a:ext>
          </a:extLst>
        </xdr:cNvPr>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12</xdr:col>
      <xdr:colOff>199749</xdr:colOff>
      <xdr:row>71</xdr:row>
      <xdr:rowOff>3237</xdr:rowOff>
    </xdr:from>
    <xdr:to>
      <xdr:col>13</xdr:col>
      <xdr:colOff>421005</xdr:colOff>
      <xdr:row>71</xdr:row>
      <xdr:rowOff>5712</xdr:rowOff>
    </xdr:to>
    <xdr:cxnSp macro="">
      <xdr:nvCxnSpPr>
        <xdr:cNvPr id="255" name="Straight Arrow Connector 254">
          <a:extLst>
            <a:ext uri="{FF2B5EF4-FFF2-40B4-BE49-F238E27FC236}">
              <a16:creationId xmlns:a16="http://schemas.microsoft.com/office/drawing/2014/main" id="{00000000-0008-0000-0100-0000FF000000}"/>
            </a:ext>
          </a:extLst>
        </xdr:cNvPr>
        <xdr:cNvCxnSpPr>
          <a:stCxn id="257"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611045</xdr:colOff>
      <xdr:row>70</xdr:row>
      <xdr:rowOff>43812</xdr:rowOff>
    </xdr:from>
    <xdr:ext cx="800284" cy="269369"/>
    <xdr:sp macro="" textlink="">
      <xdr:nvSpPr>
        <xdr:cNvPr id="257" name="TextBox 256">
          <a:extLst>
            <a:ext uri="{FF2B5EF4-FFF2-40B4-BE49-F238E27FC236}">
              <a16:creationId xmlns:a16="http://schemas.microsoft.com/office/drawing/2014/main" id="{00000000-0008-0000-0100-000001010000}"/>
            </a:ext>
          </a:extLst>
        </xdr:cNvPr>
        <xdr:cNvSpPr txBox="1"/>
      </xdr:nvSpPr>
      <xdr:spPr>
        <a:xfrm>
          <a:off x="5861225" y="12525372"/>
          <a:ext cx="80028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258" name="Straight Arrow Connector 257">
          <a:extLst>
            <a:ext uri="{FF2B5EF4-FFF2-40B4-BE49-F238E27FC236}">
              <a16:creationId xmlns:a16="http://schemas.microsoft.com/office/drawing/2014/main" id="{00000000-0008-0000-0100-000002010000}"/>
            </a:ext>
          </a:extLst>
        </xdr:cNvPr>
        <xdr:cNvCxnSpPr>
          <a:stCxn id="259"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259" name="TextBox 258">
          <a:extLst>
            <a:ext uri="{FF2B5EF4-FFF2-40B4-BE49-F238E27FC236}">
              <a16:creationId xmlns:a16="http://schemas.microsoft.com/office/drawing/2014/main" id="{00000000-0008-0000-0100-000003010000}"/>
            </a:ext>
          </a:extLst>
        </xdr:cNvPr>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260" name="Straight Arrow Connector 259">
          <a:extLst>
            <a:ext uri="{FF2B5EF4-FFF2-40B4-BE49-F238E27FC236}">
              <a16:creationId xmlns:a16="http://schemas.microsoft.com/office/drawing/2014/main" id="{00000000-0008-0000-0100-000004010000}"/>
            </a:ext>
          </a:extLst>
        </xdr:cNvPr>
        <xdr:cNvCxnSpPr>
          <a:stCxn id="274"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352162</xdr:colOff>
      <xdr:row>74</xdr:row>
      <xdr:rowOff>51432</xdr:rowOff>
    </xdr:from>
    <xdr:ext cx="937051" cy="269369"/>
    <xdr:sp macro="" textlink="">
      <xdr:nvSpPr>
        <xdr:cNvPr id="261" name="TextBox 260">
          <a:extLst>
            <a:ext uri="{FF2B5EF4-FFF2-40B4-BE49-F238E27FC236}">
              <a16:creationId xmlns:a16="http://schemas.microsoft.com/office/drawing/2014/main" id="{00000000-0008-0000-0100-000005010000}"/>
            </a:ext>
          </a:extLst>
        </xdr:cNvPr>
        <xdr:cNvSpPr txBox="1"/>
      </xdr:nvSpPr>
      <xdr:spPr>
        <a:xfrm>
          <a:off x="5602342" y="13234032"/>
          <a:ext cx="9370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REFCLKIx</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273" name="Group 272">
          <a:extLst>
            <a:ext uri="{FF2B5EF4-FFF2-40B4-BE49-F238E27FC236}">
              <a16:creationId xmlns:a16="http://schemas.microsoft.com/office/drawing/2014/main" id="{00000000-0008-0000-0100-000011010000}"/>
            </a:ext>
          </a:extLst>
        </xdr:cNvPr>
        <xdr:cNvGrpSpPr/>
      </xdr:nvGrpSpPr>
      <xdr:grpSpPr>
        <a:xfrm>
          <a:off x="6742309" y="12993786"/>
          <a:ext cx="157798" cy="147933"/>
          <a:chOff x="7957185" y="6433185"/>
          <a:chExt cx="156210" cy="160020"/>
        </a:xfrm>
      </xdr:grpSpPr>
      <xdr:sp macro="" textlink="">
        <xdr:nvSpPr>
          <xdr:cNvPr id="274" name="Rectangle 273">
            <a:extLst>
              <a:ext uri="{FF2B5EF4-FFF2-40B4-BE49-F238E27FC236}">
                <a16:creationId xmlns:a16="http://schemas.microsoft.com/office/drawing/2014/main" id="{00000000-0008-0000-0100-00001201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79" name="Straight Connector 278">
            <a:extLst>
              <a:ext uri="{FF2B5EF4-FFF2-40B4-BE49-F238E27FC236}">
                <a16:creationId xmlns:a16="http://schemas.microsoft.com/office/drawing/2014/main" id="{00000000-0008-0000-0100-00001701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a:extLst>
              <a:ext uri="{FF2B5EF4-FFF2-40B4-BE49-F238E27FC236}">
                <a16:creationId xmlns:a16="http://schemas.microsoft.com/office/drawing/2014/main" id="{00000000-0008-0000-0100-00001801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294" name="TextBox 293">
          <a:extLst>
            <a:ext uri="{FF2B5EF4-FFF2-40B4-BE49-F238E27FC236}">
              <a16:creationId xmlns:a16="http://schemas.microsoft.com/office/drawing/2014/main" id="{00000000-0008-0000-0100-000026010000}"/>
            </a:ext>
          </a:extLst>
        </xdr:cNvPr>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295" name="Straight Arrow Connector 294">
          <a:extLst>
            <a:ext uri="{FF2B5EF4-FFF2-40B4-BE49-F238E27FC236}">
              <a16:creationId xmlns:a16="http://schemas.microsoft.com/office/drawing/2014/main" id="{00000000-0008-0000-0100-000027010000}"/>
            </a:ext>
          </a:extLst>
        </xdr:cNvPr>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70</xdr:row>
      <xdr:rowOff>106680</xdr:rowOff>
    </xdr:from>
    <xdr:to>
      <xdr:col>19</xdr:col>
      <xdr:colOff>91440</xdr:colOff>
      <xdr:row>70</xdr:row>
      <xdr:rowOff>114300</xdr:rowOff>
    </xdr:to>
    <xdr:cxnSp macro="">
      <xdr:nvCxnSpPr>
        <xdr:cNvPr id="297" name="Straight Arrow Connector 296">
          <a:extLst>
            <a:ext uri="{FF2B5EF4-FFF2-40B4-BE49-F238E27FC236}">
              <a16:creationId xmlns:a16="http://schemas.microsoft.com/office/drawing/2014/main" id="{00000000-0008-0000-0100-000029010000}"/>
            </a:ext>
          </a:extLst>
        </xdr:cNvPr>
        <xdr:cNvCxnSpPr/>
      </xdr:nvCxnSpPr>
      <xdr:spPr>
        <a:xfrm flipV="1">
          <a:off x="10172700" y="125882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298" name="Group 297">
          <a:extLst>
            <a:ext uri="{FF2B5EF4-FFF2-40B4-BE49-F238E27FC236}">
              <a16:creationId xmlns:a16="http://schemas.microsoft.com/office/drawing/2014/main" id="{00000000-0008-0000-0100-00002A010000}"/>
            </a:ext>
          </a:extLst>
        </xdr:cNvPr>
        <xdr:cNvGrpSpPr/>
      </xdr:nvGrpSpPr>
      <xdr:grpSpPr>
        <a:xfrm>
          <a:off x="11106741" y="11702031"/>
          <a:ext cx="151447" cy="152400"/>
          <a:chOff x="7957185" y="6433185"/>
          <a:chExt cx="156210" cy="160020"/>
        </a:xfrm>
      </xdr:grpSpPr>
      <xdr:sp macro="" textlink="">
        <xdr:nvSpPr>
          <xdr:cNvPr id="299" name="Rectangle 298">
            <a:extLst>
              <a:ext uri="{FF2B5EF4-FFF2-40B4-BE49-F238E27FC236}">
                <a16:creationId xmlns:a16="http://schemas.microsoft.com/office/drawing/2014/main" id="{00000000-0008-0000-0100-00002B01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0" name="Straight Connector 299">
            <a:extLst>
              <a:ext uri="{FF2B5EF4-FFF2-40B4-BE49-F238E27FC236}">
                <a16:creationId xmlns:a16="http://schemas.microsoft.com/office/drawing/2014/main" id="{00000000-0008-0000-0100-00002C01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 name="Straight Connector 300">
            <a:extLst>
              <a:ext uri="{FF2B5EF4-FFF2-40B4-BE49-F238E27FC236}">
                <a16:creationId xmlns:a16="http://schemas.microsoft.com/office/drawing/2014/main" id="{00000000-0008-0000-0100-00002D01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114300</xdr:colOff>
      <xdr:row>67</xdr:row>
      <xdr:rowOff>83820</xdr:rowOff>
    </xdr:from>
    <xdr:to>
      <xdr:col>18</xdr:col>
      <xdr:colOff>114300</xdr:colOff>
      <xdr:row>70</xdr:row>
      <xdr:rowOff>106680</xdr:rowOff>
    </xdr:to>
    <xdr:cxnSp macro="">
      <xdr:nvCxnSpPr>
        <xdr:cNvPr id="320" name="Straight Arrow Connector 319">
          <a:extLst>
            <a:ext uri="{FF2B5EF4-FFF2-40B4-BE49-F238E27FC236}">
              <a16:creationId xmlns:a16="http://schemas.microsoft.com/office/drawing/2014/main" id="{00000000-0008-0000-0100-000040010000}"/>
            </a:ext>
          </a:extLst>
        </xdr:cNvPr>
        <xdr:cNvCxnSpPr/>
      </xdr:nvCxnSpPr>
      <xdr:spPr>
        <a:xfrm>
          <a:off x="10180320" y="12039600"/>
          <a:ext cx="0" cy="5486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79604</xdr:colOff>
      <xdr:row>69</xdr:row>
      <xdr:rowOff>144780</xdr:rowOff>
    </xdr:from>
    <xdr:ext cx="1429156" cy="623440"/>
    <xdr:sp macro="" textlink="">
      <xdr:nvSpPr>
        <xdr:cNvPr id="324" name="TextBox 323">
          <a:extLst>
            <a:ext uri="{FF2B5EF4-FFF2-40B4-BE49-F238E27FC236}">
              <a16:creationId xmlns:a16="http://schemas.microsoft.com/office/drawing/2014/main" id="{00000000-0008-0000-0100-000044010000}"/>
            </a:ext>
          </a:extLst>
        </xdr:cNvPr>
        <xdr:cNvSpPr txBox="1"/>
      </xdr:nvSpPr>
      <xdr:spPr>
        <a:xfrm>
          <a:off x="10541864" y="12451080"/>
          <a:ext cx="1429156"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SPI (REFCLK1)</a:t>
          </a:r>
        </a:p>
        <a:p>
          <a:pPr algn="l"/>
          <a:r>
            <a:rPr lang="en-US" sz="1100" b="0">
              <a:latin typeface="Arial" pitchFamily="34" charset="0"/>
              <a:cs typeface="Arial" pitchFamily="34" charset="0"/>
            </a:rPr>
            <a:t>ADC (REFCLK3)</a:t>
          </a:r>
        </a:p>
        <a:p>
          <a:pPr algn="l"/>
          <a:r>
            <a:rPr lang="en-US" sz="1100" b="0">
              <a:latin typeface="Arial" pitchFamily="34" charset="0"/>
              <a:cs typeface="Arial" pitchFamily="34" charset="0"/>
            </a:rPr>
            <a:t>SQI (REFCLK2</a:t>
          </a:r>
          <a:r>
            <a:rPr lang="en-US" sz="1200" b="1">
              <a:latin typeface="Arial" pitchFamily="34" charset="0"/>
              <a:cs typeface="Arial" pitchFamily="34" charset="0"/>
            </a:rPr>
            <a:t>)</a:t>
          </a:r>
        </a:p>
      </xdr:txBody>
    </xdr:sp>
    <xdr:clientData/>
  </xdr:oneCellAnchor>
  <xdr:oneCellAnchor>
    <xdr:from>
      <xdr:col>19</xdr:col>
      <xdr:colOff>341650</xdr:colOff>
      <xdr:row>66</xdr:row>
      <xdr:rowOff>129540</xdr:rowOff>
    </xdr:from>
    <xdr:ext cx="1146661" cy="269369"/>
    <xdr:sp macro="" textlink="">
      <xdr:nvSpPr>
        <xdr:cNvPr id="326" name="TextBox 325">
          <a:extLst>
            <a:ext uri="{FF2B5EF4-FFF2-40B4-BE49-F238E27FC236}">
              <a16:creationId xmlns:a16="http://schemas.microsoft.com/office/drawing/2014/main" id="{00000000-0008-0000-0100-000046010000}"/>
            </a:ext>
          </a:extLst>
        </xdr:cNvPr>
        <xdr:cNvSpPr txBox="1"/>
      </xdr:nvSpPr>
      <xdr:spPr>
        <a:xfrm>
          <a:off x="10803910" y="11910060"/>
          <a:ext cx="114666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REFCLKOx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327" name="Straight Arrow Connector 326">
          <a:extLst>
            <a:ext uri="{FF2B5EF4-FFF2-40B4-BE49-F238E27FC236}">
              <a16:creationId xmlns:a16="http://schemas.microsoft.com/office/drawing/2014/main" id="{00000000-0008-0000-0100-000047010000}"/>
            </a:ext>
          </a:extLst>
        </xdr:cNvPr>
        <xdr:cNvCxnSpPr>
          <a:stCxn id="328"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328" name="Rounded Rectangle 327">
          <a:extLst>
            <a:ext uri="{FF2B5EF4-FFF2-40B4-BE49-F238E27FC236}">
              <a16:creationId xmlns:a16="http://schemas.microsoft.com/office/drawing/2014/main" id="{00000000-0008-0000-0100-000048010000}"/>
            </a:ext>
          </a:extLst>
        </xdr:cNvPr>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336" name="Rounded Rectangle 335">
          <a:extLst>
            <a:ext uri="{FF2B5EF4-FFF2-40B4-BE49-F238E27FC236}">
              <a16:creationId xmlns:a16="http://schemas.microsoft.com/office/drawing/2014/main" id="{00000000-0008-0000-0100-000050010000}"/>
            </a:ext>
          </a:extLst>
        </xdr:cNvPr>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339" name="TextBox 338">
          <a:extLst>
            <a:ext uri="{FF2B5EF4-FFF2-40B4-BE49-F238E27FC236}">
              <a16:creationId xmlns:a16="http://schemas.microsoft.com/office/drawing/2014/main" id="{00000000-0008-0000-0100-000053010000}"/>
            </a:ext>
          </a:extLst>
        </xdr:cNvPr>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340" name="Straight Arrow Connector 339">
          <a:extLst>
            <a:ext uri="{FF2B5EF4-FFF2-40B4-BE49-F238E27FC236}">
              <a16:creationId xmlns:a16="http://schemas.microsoft.com/office/drawing/2014/main" id="{00000000-0008-0000-0100-000054010000}"/>
            </a:ext>
          </a:extLst>
        </xdr:cNvPr>
        <xdr:cNvCxnSpPr>
          <a:stCxn id="339"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409" name="Group 408">
          <a:extLst>
            <a:ext uri="{FF2B5EF4-FFF2-40B4-BE49-F238E27FC236}">
              <a16:creationId xmlns:a16="http://schemas.microsoft.com/office/drawing/2014/main" id="{00000000-0008-0000-0100-000099010000}"/>
            </a:ext>
          </a:extLst>
        </xdr:cNvPr>
        <xdr:cNvGrpSpPr/>
      </xdr:nvGrpSpPr>
      <xdr:grpSpPr>
        <a:xfrm>
          <a:off x="11605019" y="10422681"/>
          <a:ext cx="2885590" cy="745721"/>
          <a:chOff x="9898380" y="10043160"/>
          <a:chExt cx="2727793" cy="762000"/>
        </a:xfrm>
      </xdr:grpSpPr>
      <xdr:sp macro="" textlink="">
        <xdr:nvSpPr>
          <xdr:cNvPr id="402" name="Rectangle 401">
            <a:extLst>
              <a:ext uri="{FF2B5EF4-FFF2-40B4-BE49-F238E27FC236}">
                <a16:creationId xmlns:a16="http://schemas.microsoft.com/office/drawing/2014/main" id="{00000000-0008-0000-0100-000092010000}"/>
              </a:ext>
            </a:extLst>
          </xdr:cNvPr>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401" name="Group 400">
            <a:extLst>
              <a:ext uri="{FF2B5EF4-FFF2-40B4-BE49-F238E27FC236}">
                <a16:creationId xmlns:a16="http://schemas.microsoft.com/office/drawing/2014/main" id="{00000000-0008-0000-0100-000091010000}"/>
              </a:ext>
            </a:extLst>
          </xdr:cNvPr>
          <xdr:cNvGrpSpPr/>
        </xdr:nvGrpSpPr>
        <xdr:grpSpPr>
          <a:xfrm>
            <a:off x="9915868" y="10043160"/>
            <a:ext cx="2710305" cy="751204"/>
            <a:chOff x="10159708" y="10142220"/>
            <a:chExt cx="2710305" cy="751204"/>
          </a:xfrm>
        </xdr:grpSpPr>
        <xdr:sp macro="" textlink="">
          <xdr:nvSpPr>
            <xdr:cNvPr id="381" name="TextBox 380">
              <a:extLst>
                <a:ext uri="{FF2B5EF4-FFF2-40B4-BE49-F238E27FC236}">
                  <a16:creationId xmlns:a16="http://schemas.microsoft.com/office/drawing/2014/main" id="{00000000-0008-0000-0100-00007D010000}"/>
                </a:ext>
              </a:extLst>
            </xdr:cNvPr>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383" name="TextBox 382">
              <a:extLst>
                <a:ext uri="{FF2B5EF4-FFF2-40B4-BE49-F238E27FC236}">
                  <a16:creationId xmlns:a16="http://schemas.microsoft.com/office/drawing/2014/main" id="{00000000-0008-0000-0100-00007F010000}"/>
                </a:ext>
              </a:extLst>
            </xdr:cNvPr>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384" name="TextBox 383">
              <a:extLst>
                <a:ext uri="{FF2B5EF4-FFF2-40B4-BE49-F238E27FC236}">
                  <a16:creationId xmlns:a16="http://schemas.microsoft.com/office/drawing/2014/main" id="{00000000-0008-0000-0100-000080010000}"/>
                </a:ext>
              </a:extLst>
            </xdr:cNvPr>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386" name="TextBox 385">
              <a:extLst>
                <a:ext uri="{FF2B5EF4-FFF2-40B4-BE49-F238E27FC236}">
                  <a16:creationId xmlns:a16="http://schemas.microsoft.com/office/drawing/2014/main" id="{00000000-0008-0000-0100-000082010000}"/>
                </a:ext>
              </a:extLst>
            </xdr:cNvPr>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389" name="Straight Arrow Connector 388">
              <a:extLst>
                <a:ext uri="{FF2B5EF4-FFF2-40B4-BE49-F238E27FC236}">
                  <a16:creationId xmlns:a16="http://schemas.microsoft.com/office/drawing/2014/main" id="{00000000-0008-0000-0100-000085010000}"/>
                </a:ext>
              </a:extLst>
            </xdr:cNvPr>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99" name="TextBox 398">
              <a:extLst>
                <a:ext uri="{FF2B5EF4-FFF2-40B4-BE49-F238E27FC236}">
                  <a16:creationId xmlns:a16="http://schemas.microsoft.com/office/drawing/2014/main" id="{00000000-0008-0000-0100-00008F010000}"/>
                </a:ext>
              </a:extLst>
            </xdr:cNvPr>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400" name="Straight Arrow Connector 399">
              <a:extLst>
                <a:ext uri="{FF2B5EF4-FFF2-40B4-BE49-F238E27FC236}">
                  <a16:creationId xmlns:a16="http://schemas.microsoft.com/office/drawing/2014/main" id="{00000000-0008-0000-0100-000090010000}"/>
                </a:ext>
              </a:extLst>
            </xdr:cNvPr>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410" name="Straight Arrow Connector 409">
          <a:extLst>
            <a:ext uri="{FF2B5EF4-FFF2-40B4-BE49-F238E27FC236}">
              <a16:creationId xmlns:a16="http://schemas.microsoft.com/office/drawing/2014/main" id="{00000000-0008-0000-0100-00009A010000}"/>
            </a:ext>
          </a:extLst>
        </xdr:cNvPr>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213361</xdr:colOff>
      <xdr:row>71</xdr:row>
      <xdr:rowOff>137160</xdr:rowOff>
    </xdr:from>
    <xdr:ext cx="899159" cy="441960"/>
    <xdr:sp macro="" textlink="">
      <xdr:nvSpPr>
        <xdr:cNvPr id="422" name="TextBox 421">
          <a:extLst>
            <a:ext uri="{FF2B5EF4-FFF2-40B4-BE49-F238E27FC236}">
              <a16:creationId xmlns:a16="http://schemas.microsoft.com/office/drawing/2014/main" id="{00000000-0008-0000-0100-0000A6010000}"/>
            </a:ext>
          </a:extLst>
        </xdr:cNvPr>
        <xdr:cNvSpPr txBox="1"/>
      </xdr:nvSpPr>
      <xdr:spPr>
        <a:xfrm>
          <a:off x="4831081" y="12793980"/>
          <a:ext cx="8991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inputs</a:t>
          </a:r>
        </a:p>
      </xdr:txBody>
    </xdr:sp>
    <xdr:clientData/>
  </xdr:oneCellAnchor>
  <xdr:twoCellAnchor>
    <xdr:from>
      <xdr:col>10</xdr:col>
      <xdr:colOff>186692</xdr:colOff>
      <xdr:row>73</xdr:row>
      <xdr:rowOff>68580</xdr:rowOff>
    </xdr:from>
    <xdr:to>
      <xdr:col>10</xdr:col>
      <xdr:colOff>434340</xdr:colOff>
      <xdr:row>74</xdr:row>
      <xdr:rowOff>76200</xdr:rowOff>
    </xdr:to>
    <xdr:cxnSp macro="">
      <xdr:nvCxnSpPr>
        <xdr:cNvPr id="423" name="Straight Arrow Connector 422">
          <a:extLst>
            <a:ext uri="{FF2B5EF4-FFF2-40B4-BE49-F238E27FC236}">
              <a16:creationId xmlns:a16="http://schemas.microsoft.com/office/drawing/2014/main" id="{00000000-0008-0000-0100-0000A7010000}"/>
            </a:ext>
          </a:extLst>
        </xdr:cNvPr>
        <xdr:cNvCxnSpPr/>
      </xdr:nvCxnSpPr>
      <xdr:spPr>
        <a:xfrm>
          <a:off x="5436872" y="13075920"/>
          <a:ext cx="247648" cy="1828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38100</xdr:colOff>
      <xdr:row>69</xdr:row>
      <xdr:rowOff>15240</xdr:rowOff>
    </xdr:from>
    <xdr:ext cx="1432560" cy="251460"/>
    <xdr:sp macro="" textlink="">
      <xdr:nvSpPr>
        <xdr:cNvPr id="425" name="TextBox 424">
          <a:extLst>
            <a:ext uri="{FF2B5EF4-FFF2-40B4-BE49-F238E27FC236}">
              <a16:creationId xmlns:a16="http://schemas.microsoft.com/office/drawing/2014/main" id="{00000000-0008-0000-0100-0000A9010000}"/>
            </a:ext>
          </a:extLst>
        </xdr:cNvPr>
        <xdr:cNvSpPr txBox="1"/>
      </xdr:nvSpPr>
      <xdr:spPr>
        <a:xfrm>
          <a:off x="11925300" y="12321540"/>
          <a:ext cx="143256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outputs</a:t>
          </a:r>
        </a:p>
      </xdr:txBody>
    </xdr:sp>
    <xdr:clientData/>
  </xdr:oneCellAnchor>
  <xdr:twoCellAnchor>
    <xdr:from>
      <xdr:col>21</xdr:col>
      <xdr:colOff>289559</xdr:colOff>
      <xdr:row>68</xdr:row>
      <xdr:rowOff>38100</xdr:rowOff>
    </xdr:from>
    <xdr:to>
      <xdr:col>22</xdr:col>
      <xdr:colOff>53340</xdr:colOff>
      <xdr:row>69</xdr:row>
      <xdr:rowOff>53340</xdr:rowOff>
    </xdr:to>
    <xdr:cxnSp macro="">
      <xdr:nvCxnSpPr>
        <xdr:cNvPr id="426" name="Straight Arrow Connector 425">
          <a:extLst>
            <a:ext uri="{FF2B5EF4-FFF2-40B4-BE49-F238E27FC236}">
              <a16:creationId xmlns:a16="http://schemas.microsoft.com/office/drawing/2014/main" id="{00000000-0008-0000-0100-0000AA010000}"/>
            </a:ext>
          </a:extLst>
        </xdr:cNvPr>
        <xdr:cNvCxnSpPr/>
      </xdr:nvCxnSpPr>
      <xdr:spPr>
        <a:xfrm flipH="1" flipV="1">
          <a:off x="11711939" y="1216914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388620</xdr:colOff>
      <xdr:row>22</xdr:row>
      <xdr:rowOff>99060</xdr:rowOff>
    </xdr:from>
    <xdr:ext cx="1562099" cy="579120"/>
    <xdr:sp macro="" textlink="">
      <xdr:nvSpPr>
        <xdr:cNvPr id="267" name="TextBox 266">
          <a:extLst>
            <a:ext uri="{FF2B5EF4-FFF2-40B4-BE49-F238E27FC236}">
              <a16:creationId xmlns:a16="http://schemas.microsoft.com/office/drawing/2014/main" id="{00000000-0008-0000-0100-00000B010000}"/>
            </a:ext>
          </a:extLst>
        </xdr:cNvPr>
        <xdr:cNvSpPr txBox="1"/>
      </xdr:nvSpPr>
      <xdr:spPr>
        <a:xfrm>
          <a:off x="11346180" y="4145280"/>
          <a:ext cx="1562099" cy="57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Each peripheral clock (except PBCLK1) can be disabled.</a:t>
          </a:r>
        </a:p>
      </xdr:txBody>
    </xdr:sp>
    <xdr:clientData/>
  </xdr:oneCellAnchor>
  <xdr:twoCellAnchor>
    <xdr:from>
      <xdr:col>20</xdr:col>
      <xdr:colOff>259080</xdr:colOff>
      <xdr:row>25</xdr:row>
      <xdr:rowOff>38100</xdr:rowOff>
    </xdr:from>
    <xdr:to>
      <xdr:col>20</xdr:col>
      <xdr:colOff>426722</xdr:colOff>
      <xdr:row>26</xdr:row>
      <xdr:rowOff>129540</xdr:rowOff>
    </xdr:to>
    <xdr:cxnSp macro="">
      <xdr:nvCxnSpPr>
        <xdr:cNvPr id="268" name="Straight Arrow Connector 267">
          <a:extLst>
            <a:ext uri="{FF2B5EF4-FFF2-40B4-BE49-F238E27FC236}">
              <a16:creationId xmlns:a16="http://schemas.microsoft.com/office/drawing/2014/main" id="{00000000-0008-0000-0100-00000C010000}"/>
            </a:ext>
          </a:extLst>
        </xdr:cNvPr>
        <xdr:cNvCxnSpPr/>
      </xdr:nvCxnSpPr>
      <xdr:spPr>
        <a:xfrm flipH="1">
          <a:off x="11216640" y="4610100"/>
          <a:ext cx="167642" cy="2667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38100</xdr:colOff>
      <xdr:row>41</xdr:row>
      <xdr:rowOff>0</xdr:rowOff>
    </xdr:from>
    <xdr:ext cx="1257300" cy="419100"/>
    <xdr:sp macro="" textlink="">
      <xdr:nvSpPr>
        <xdr:cNvPr id="224" name="TextBox 223">
          <a:extLst>
            <a:ext uri="{FF2B5EF4-FFF2-40B4-BE49-F238E27FC236}">
              <a16:creationId xmlns:a16="http://schemas.microsoft.com/office/drawing/2014/main" id="{00000000-0008-0000-0100-0000E0000000}"/>
            </a:ext>
          </a:extLst>
        </xdr:cNvPr>
        <xdr:cNvSpPr txBox="1"/>
      </xdr:nvSpPr>
      <xdr:spPr>
        <a:xfrm>
          <a:off x="12534900" y="7376160"/>
          <a:ext cx="12573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PBCLK7 is the clock for the core</a:t>
          </a:r>
        </a:p>
      </xdr:txBody>
    </xdr:sp>
    <xdr:clientData/>
  </xdr:oneCellAnchor>
  <xdr:twoCellAnchor>
    <xdr:from>
      <xdr:col>22</xdr:col>
      <xdr:colOff>441960</xdr:colOff>
      <xdr:row>41</xdr:row>
      <xdr:rowOff>129540</xdr:rowOff>
    </xdr:from>
    <xdr:to>
      <xdr:col>23</xdr:col>
      <xdr:colOff>53340</xdr:colOff>
      <xdr:row>42</xdr:row>
      <xdr:rowOff>83820</xdr:rowOff>
    </xdr:to>
    <xdr:cxnSp macro="">
      <xdr:nvCxnSpPr>
        <xdr:cNvPr id="225" name="Straight Arrow Connector 224">
          <a:extLst>
            <a:ext uri="{FF2B5EF4-FFF2-40B4-BE49-F238E27FC236}">
              <a16:creationId xmlns:a16="http://schemas.microsoft.com/office/drawing/2014/main" id="{00000000-0008-0000-0100-0000E1000000}"/>
            </a:ext>
          </a:extLst>
        </xdr:cNvPr>
        <xdr:cNvCxnSpPr/>
      </xdr:nvCxnSpPr>
      <xdr:spPr>
        <a:xfrm flipH="1">
          <a:off x="12329160" y="7505700"/>
          <a:ext cx="220980" cy="1295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354" name="Group 353">
          <a:extLst>
            <a:ext uri="{FF2B5EF4-FFF2-40B4-BE49-F238E27FC236}">
              <a16:creationId xmlns:a16="http://schemas.microsoft.com/office/drawing/2014/main" id="{00000000-0008-0000-0100-000062010000}"/>
            </a:ext>
          </a:extLst>
        </xdr:cNvPr>
        <xdr:cNvGrpSpPr/>
      </xdr:nvGrpSpPr>
      <xdr:grpSpPr>
        <a:xfrm>
          <a:off x="2429576" y="3983355"/>
          <a:ext cx="304427" cy="175533"/>
          <a:chOff x="2346960" y="4044315"/>
          <a:chExt cx="270510" cy="182880"/>
        </a:xfrm>
      </xdr:grpSpPr>
      <xdr:sp macro="" textlink="">
        <xdr:nvSpPr>
          <xdr:cNvPr id="323" name="Arc 322">
            <a:extLst>
              <a:ext uri="{FF2B5EF4-FFF2-40B4-BE49-F238E27FC236}">
                <a16:creationId xmlns:a16="http://schemas.microsoft.com/office/drawing/2014/main" id="{00000000-0008-0000-0100-000043010000}"/>
              </a:ext>
            </a:extLst>
          </xdr:cNvPr>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333" name="Arc 332">
            <a:extLst>
              <a:ext uri="{FF2B5EF4-FFF2-40B4-BE49-F238E27FC236}">
                <a16:creationId xmlns:a16="http://schemas.microsoft.com/office/drawing/2014/main" id="{00000000-0008-0000-0100-00004D010000}"/>
              </a:ext>
            </a:extLst>
          </xdr:cNvPr>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334" name="Straight Arrow Connector 333">
            <a:extLst>
              <a:ext uri="{FF2B5EF4-FFF2-40B4-BE49-F238E27FC236}">
                <a16:creationId xmlns:a16="http://schemas.microsoft.com/office/drawing/2014/main" id="{00000000-0008-0000-0100-00004E010000}"/>
              </a:ext>
            </a:extLst>
          </xdr:cNvPr>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349" name="Group 348">
          <a:extLst>
            <a:ext uri="{FF2B5EF4-FFF2-40B4-BE49-F238E27FC236}">
              <a16:creationId xmlns:a16="http://schemas.microsoft.com/office/drawing/2014/main" id="{00000000-0008-0000-0100-00005D010000}"/>
            </a:ext>
          </a:extLst>
        </xdr:cNvPr>
        <xdr:cNvGrpSpPr/>
      </xdr:nvGrpSpPr>
      <xdr:grpSpPr>
        <a:xfrm>
          <a:off x="2438466" y="3822700"/>
          <a:ext cx="537789" cy="139700"/>
          <a:chOff x="2358390" y="3880485"/>
          <a:chExt cx="508635" cy="142875"/>
        </a:xfrm>
      </xdr:grpSpPr>
      <xdr:grpSp>
        <xdr:nvGrpSpPr>
          <xdr:cNvPr id="319" name="Group 318">
            <a:extLst>
              <a:ext uri="{FF2B5EF4-FFF2-40B4-BE49-F238E27FC236}">
                <a16:creationId xmlns:a16="http://schemas.microsoft.com/office/drawing/2014/main" id="{00000000-0008-0000-0100-00003F010000}"/>
              </a:ext>
            </a:extLst>
          </xdr:cNvPr>
          <xdr:cNvGrpSpPr/>
        </xdr:nvGrpSpPr>
        <xdr:grpSpPr>
          <a:xfrm>
            <a:off x="2358390" y="3880485"/>
            <a:ext cx="506730" cy="142875"/>
            <a:chOff x="2346960" y="3844290"/>
            <a:chExt cx="506730" cy="142875"/>
          </a:xfrm>
        </xdr:grpSpPr>
        <xdr:cxnSp macro="">
          <xdr:nvCxnSpPr>
            <xdr:cNvPr id="262" name="Straight Arrow Connector 261">
              <a:extLst>
                <a:ext uri="{FF2B5EF4-FFF2-40B4-BE49-F238E27FC236}">
                  <a16:creationId xmlns:a16="http://schemas.microsoft.com/office/drawing/2014/main" id="{00000000-0008-0000-0100-000006010000}"/>
                </a:ext>
              </a:extLst>
            </xdr:cNvPr>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71" name="Straight Arrow Connector 270">
              <a:extLst>
                <a:ext uri="{FF2B5EF4-FFF2-40B4-BE49-F238E27FC236}">
                  <a16:creationId xmlns:a16="http://schemas.microsoft.com/office/drawing/2014/main" id="{00000000-0008-0000-0100-00000F010000}"/>
                </a:ext>
              </a:extLst>
            </xdr:cNvPr>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96" name="Straight Arrow Connector 295">
              <a:extLst>
                <a:ext uri="{FF2B5EF4-FFF2-40B4-BE49-F238E27FC236}">
                  <a16:creationId xmlns:a16="http://schemas.microsoft.com/office/drawing/2014/main" id="{00000000-0008-0000-0100-000028010000}"/>
                </a:ext>
              </a:extLst>
            </xdr:cNvPr>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02" name="Straight Arrow Connector 301">
              <a:extLst>
                <a:ext uri="{FF2B5EF4-FFF2-40B4-BE49-F238E27FC236}">
                  <a16:creationId xmlns:a16="http://schemas.microsoft.com/office/drawing/2014/main" id="{00000000-0008-0000-0100-00002E010000}"/>
                </a:ext>
              </a:extLst>
            </xdr:cNvPr>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5" name="Straight Arrow Connector 314">
              <a:extLst>
                <a:ext uri="{FF2B5EF4-FFF2-40B4-BE49-F238E27FC236}">
                  <a16:creationId xmlns:a16="http://schemas.microsoft.com/office/drawing/2014/main" id="{00000000-0008-0000-0100-00003B010000}"/>
                </a:ext>
              </a:extLst>
            </xdr:cNvPr>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6" name="Straight Arrow Connector 315">
              <a:extLst>
                <a:ext uri="{FF2B5EF4-FFF2-40B4-BE49-F238E27FC236}">
                  <a16:creationId xmlns:a16="http://schemas.microsoft.com/office/drawing/2014/main" id="{00000000-0008-0000-0100-00003C010000}"/>
                </a:ext>
              </a:extLst>
            </xdr:cNvPr>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7" name="Straight Arrow Connector 316">
              <a:extLst>
                <a:ext uri="{FF2B5EF4-FFF2-40B4-BE49-F238E27FC236}">
                  <a16:creationId xmlns:a16="http://schemas.microsoft.com/office/drawing/2014/main" id="{00000000-0008-0000-0100-00003D010000}"/>
                </a:ext>
              </a:extLst>
            </xdr:cNvPr>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8" name="Straight Arrow Connector 317">
              <a:extLst>
                <a:ext uri="{FF2B5EF4-FFF2-40B4-BE49-F238E27FC236}">
                  <a16:creationId xmlns:a16="http://schemas.microsoft.com/office/drawing/2014/main" id="{00000000-0008-0000-0100-00003E010000}"/>
                </a:ext>
              </a:extLst>
            </xdr:cNvPr>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37" name="Straight Arrow Connector 336">
            <a:extLst>
              <a:ext uri="{FF2B5EF4-FFF2-40B4-BE49-F238E27FC236}">
                <a16:creationId xmlns:a16="http://schemas.microsoft.com/office/drawing/2014/main" id="{00000000-0008-0000-0100-000051010000}"/>
              </a:ext>
            </a:extLst>
          </xdr:cNvPr>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270" name="TextBox 269">
          <a:extLst>
            <a:ext uri="{FF2B5EF4-FFF2-40B4-BE49-F238E27FC236}">
              <a16:creationId xmlns:a16="http://schemas.microsoft.com/office/drawing/2014/main" id="{00000000-0008-0000-0100-00000E010000}"/>
            </a:ext>
          </a:extLst>
        </xdr:cNvPr>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272" name="Straight Arrow Connector 271">
          <a:extLst>
            <a:ext uri="{FF2B5EF4-FFF2-40B4-BE49-F238E27FC236}">
              <a16:creationId xmlns:a16="http://schemas.microsoft.com/office/drawing/2014/main" id="{00000000-0008-0000-0100-000010010000}"/>
            </a:ext>
          </a:extLst>
        </xdr:cNvPr>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81" name="Group 280">
          <a:extLst>
            <a:ext uri="{FF2B5EF4-FFF2-40B4-BE49-F238E27FC236}">
              <a16:creationId xmlns:a16="http://schemas.microsoft.com/office/drawing/2014/main" id="{00000000-0008-0000-0100-000019010000}"/>
            </a:ext>
          </a:extLst>
        </xdr:cNvPr>
        <xdr:cNvGrpSpPr/>
      </xdr:nvGrpSpPr>
      <xdr:grpSpPr>
        <a:xfrm>
          <a:off x="2101916" y="8056989"/>
          <a:ext cx="156210" cy="150791"/>
          <a:chOff x="7957185" y="6433185"/>
          <a:chExt cx="156210" cy="160020"/>
        </a:xfrm>
      </xdr:grpSpPr>
      <xdr:sp macro="" textlink="">
        <xdr:nvSpPr>
          <xdr:cNvPr id="284" name="Rectangle 283">
            <a:extLst>
              <a:ext uri="{FF2B5EF4-FFF2-40B4-BE49-F238E27FC236}">
                <a16:creationId xmlns:a16="http://schemas.microsoft.com/office/drawing/2014/main" id="{00000000-0008-0000-0100-00001C01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85" name="Straight Connector 284">
            <a:extLst>
              <a:ext uri="{FF2B5EF4-FFF2-40B4-BE49-F238E27FC236}">
                <a16:creationId xmlns:a16="http://schemas.microsoft.com/office/drawing/2014/main" id="{00000000-0008-0000-0100-00001D01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a:extLst>
              <a:ext uri="{FF2B5EF4-FFF2-40B4-BE49-F238E27FC236}">
                <a16:creationId xmlns:a16="http://schemas.microsoft.com/office/drawing/2014/main" id="{00000000-0008-0000-0100-00001E01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60960</xdr:colOff>
      <xdr:row>63</xdr:row>
      <xdr:rowOff>42358</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595360" cy="11563798"/>
        </a:xfrm>
        <a:prstGeom prst="rect">
          <a:avLst/>
        </a:prstGeom>
        <a:noFill/>
        <a:ln w="1">
          <a:noFill/>
          <a:miter lim="800000"/>
          <a:headEnd/>
          <a:tailEnd type="none" w="med" len="med"/>
        </a:ln>
        <a:effectLst/>
      </xdr:spPr>
    </xdr:pic>
    <xdr:clientData/>
  </xdr:twoCellAnchor>
  <xdr:oneCellAnchor>
    <xdr:from>
      <xdr:col>0</xdr:col>
      <xdr:colOff>83820</xdr:colOff>
      <xdr:row>0</xdr:row>
      <xdr:rowOff>106680</xdr:rowOff>
    </xdr:from>
    <xdr:ext cx="1730410" cy="115692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3820" y="106680"/>
          <a:ext cx="1730410" cy="1156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3200" b="1"/>
            <a:t>PIC32MX</a:t>
          </a:r>
          <a:endParaRPr lang="en-US" sz="3200" b="1" i="0" u="none" strike="noStrike">
            <a:solidFill>
              <a:schemeClr val="tx1"/>
            </a:solidFill>
            <a:latin typeface="+mn-lt"/>
            <a:ea typeface="+mn-ea"/>
            <a:cs typeface="+mn-cs"/>
          </a:endParaRPr>
        </a:p>
        <a:p>
          <a:r>
            <a:rPr lang="en-US" sz="1800" b="1" i="0" u="none" strike="noStrike">
              <a:solidFill>
                <a:schemeClr val="tx1"/>
              </a:solidFill>
              <a:latin typeface="+mn-lt"/>
              <a:ea typeface="+mn-ea"/>
              <a:cs typeface="+mn-cs"/>
            </a:rPr>
            <a:t>Oscillator</a:t>
          </a:r>
        </a:p>
        <a:p>
          <a:r>
            <a:rPr lang="en-US" sz="1800" b="1" i="0" u="none" strike="noStrike" baseline="0">
              <a:solidFill>
                <a:schemeClr val="tx1"/>
              </a:solidFill>
              <a:latin typeface="+mn-lt"/>
              <a:ea typeface="+mn-ea"/>
              <a:cs typeface="+mn-cs"/>
            </a:rPr>
            <a:t>Block Diagram</a:t>
          </a:r>
          <a:endParaRPr lang="en-US" sz="18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91440</xdr:colOff>
      <xdr:row>64</xdr:row>
      <xdr:rowOff>108470</xdr:rowOff>
    </xdr:to>
    <xdr:pic>
      <xdr:nvPicPr>
        <xdr:cNvPr id="2049" name="Picture 1">
          <a:extLst>
            <a:ext uri="{FF2B5EF4-FFF2-40B4-BE49-F238E27FC236}">
              <a16:creationId xmlns:a16="http://schemas.microsoft.com/office/drawing/2014/main" id="{00000000-0008-0000-03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625840" cy="1181279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9</xdr:col>
      <xdr:colOff>571500</xdr:colOff>
      <xdr:row>37</xdr:row>
      <xdr:rowOff>0</xdr:rowOff>
    </xdr:to>
    <xdr:pic>
      <xdr:nvPicPr>
        <xdr:cNvPr id="4097" name="Picture 1">
          <a:extLst>
            <a:ext uri="{FF2B5EF4-FFF2-40B4-BE49-F238E27FC236}">
              <a16:creationId xmlns:a16="http://schemas.microsoft.com/office/drawing/2014/main" id="{00000000-0008-0000-04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20040"/>
          <a:ext cx="6057900" cy="6446520"/>
        </a:xfrm>
        <a:prstGeom prst="rect">
          <a:avLst/>
        </a:prstGeom>
        <a:noFill/>
        <a:ln w="1">
          <a:noFill/>
          <a:miter lim="800000"/>
          <a:headEnd/>
          <a:tailEnd type="none" w="med" len="med"/>
        </a:ln>
        <a:effectLst/>
      </xdr:spPr>
    </xdr:pic>
    <xdr:clientData/>
  </xdr:twoCellAnchor>
  <xdr:oneCellAnchor>
    <xdr:from>
      <xdr:col>0</xdr:col>
      <xdr:colOff>45720</xdr:colOff>
      <xdr:row>0</xdr:row>
      <xdr:rowOff>15240</xdr:rowOff>
    </xdr:from>
    <xdr:ext cx="1131977" cy="405432"/>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45720" y="15240"/>
          <a:ext cx="113197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2000" b="1"/>
            <a:t>PIC32MZ</a:t>
          </a:r>
          <a:endParaRPr lang="en-US" sz="2000" b="1" i="0" u="none" strike="noStrike">
            <a:solidFill>
              <a:schemeClr val="tx1"/>
            </a:solidFill>
            <a:latin typeface="+mn-lt"/>
            <a:ea typeface="+mn-ea"/>
            <a:cs typeface="+mn-cs"/>
          </a:endParaRPr>
        </a:p>
      </xdr:txBody>
    </xdr:sp>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312"/>
  <sheetViews>
    <sheetView workbookViewId="0">
      <selection activeCell="I2" sqref="I2"/>
    </sheetView>
  </sheetViews>
  <sheetFormatPr defaultColWidth="8.86328125" defaultRowHeight="13.5" x14ac:dyDescent="0.35"/>
  <cols>
    <col min="1" max="2" width="4.73046875" style="5" customWidth="1"/>
    <col min="3" max="3" width="4.86328125" style="5" customWidth="1"/>
    <col min="4" max="4" width="8.265625" style="5" customWidth="1"/>
    <col min="5" max="5" width="5.73046875" style="5" customWidth="1"/>
    <col min="6" max="6" width="8.59765625" style="5" customWidth="1"/>
    <col min="7" max="7" width="8.73046875" style="5" customWidth="1"/>
    <col min="8" max="9" width="10.73046875" style="5" customWidth="1"/>
    <col min="10" max="10" width="9.265625" style="5" customWidth="1"/>
    <col min="11" max="11" width="10.73046875" style="5" customWidth="1"/>
    <col min="12" max="12" width="6.86328125" style="5" customWidth="1"/>
    <col min="13" max="13" width="7.3984375" style="5" customWidth="1"/>
    <col min="14" max="14" width="10.73046875" style="5" customWidth="1"/>
    <col min="15" max="15" width="9.73046875" style="5" customWidth="1"/>
    <col min="16" max="16" width="5.73046875" style="5" customWidth="1"/>
    <col min="17" max="17" width="10.73046875" style="5" customWidth="1"/>
    <col min="18" max="18" width="8.1328125" style="5" customWidth="1"/>
    <col min="19" max="19" width="5.73046875" style="5" customWidth="1"/>
    <col min="20" max="20" width="7.265625" style="5" customWidth="1"/>
    <col min="21" max="22" width="6.73046875" style="5" customWidth="1"/>
    <col min="23" max="16384" width="8.86328125" style="5"/>
  </cols>
  <sheetData>
    <row r="2" spans="5:16" ht="27.75" x14ac:dyDescent="0.75">
      <c r="G2" s="12" t="s">
        <v>405</v>
      </c>
    </row>
    <row r="6" spans="5:16" x14ac:dyDescent="0.35">
      <c r="E6" s="5" t="s">
        <v>194</v>
      </c>
    </row>
    <row r="9" spans="5:16" ht="13.9" x14ac:dyDescent="0.4">
      <c r="P9" s="14" t="s">
        <v>209</v>
      </c>
    </row>
    <row r="10" spans="5:16" ht="13.9" x14ac:dyDescent="0.4">
      <c r="H10" s="4" t="s">
        <v>193</v>
      </c>
      <c r="I10" s="48" t="s">
        <v>186</v>
      </c>
      <c r="J10" s="49"/>
      <c r="P10" s="14" t="s">
        <v>406</v>
      </c>
    </row>
    <row r="11" spans="5:16" ht="13.9" x14ac:dyDescent="0.4">
      <c r="F11" s="4">
        <v>8</v>
      </c>
      <c r="G11" s="5" t="s">
        <v>31</v>
      </c>
      <c r="P11" s="14" t="s">
        <v>211</v>
      </c>
    </row>
    <row r="12" spans="5:16" ht="13.9" x14ac:dyDescent="0.4">
      <c r="K12" s="4">
        <f>F11/R124</f>
        <v>4</v>
      </c>
      <c r="L12" s="5" t="s">
        <v>31</v>
      </c>
      <c r="P12" s="14" t="s">
        <v>404</v>
      </c>
    </row>
    <row r="13" spans="5:16" x14ac:dyDescent="0.35">
      <c r="H13" s="10"/>
      <c r="L13" s="9"/>
    </row>
    <row r="14" spans="5:16" x14ac:dyDescent="0.35">
      <c r="K14" s="39">
        <f>8/16</f>
        <v>0.5</v>
      </c>
      <c r="L14" s="8" t="s">
        <v>31</v>
      </c>
    </row>
    <row r="17" spans="4:23" x14ac:dyDescent="0.35">
      <c r="H17" s="4" t="s">
        <v>407</v>
      </c>
      <c r="I17" s="40" t="str">
        <f>O56</f>
        <v>FRCPLL</v>
      </c>
      <c r="K17" s="5" t="s">
        <v>34</v>
      </c>
      <c r="L17" s="16" t="s">
        <v>42</v>
      </c>
      <c r="N17" s="4" t="s">
        <v>408</v>
      </c>
      <c r="O17" s="16" t="s">
        <v>77</v>
      </c>
      <c r="Q17" s="4" t="s">
        <v>36</v>
      </c>
      <c r="R17" s="16" t="s">
        <v>4</v>
      </c>
    </row>
    <row r="19" spans="4:23" x14ac:dyDescent="0.35">
      <c r="U19" s="8">
        <f>P20/J123</f>
        <v>26.666666666666664</v>
      </c>
      <c r="V19" s="5" t="s">
        <v>31</v>
      </c>
    </row>
    <row r="20" spans="4:23" x14ac:dyDescent="0.35">
      <c r="J20" s="6">
        <f>IF($I$17="FRCPLL", 8, IF($I$17="PRIPLL",$F$25,0))</f>
        <v>8</v>
      </c>
      <c r="M20" s="6">
        <f>J20/J102</f>
        <v>2.6666666666666665</v>
      </c>
      <c r="P20" s="8">
        <f>M20*J113</f>
        <v>53.333333333333329</v>
      </c>
    </row>
    <row r="22" spans="4:23" x14ac:dyDescent="0.35">
      <c r="D22" s="4" t="s">
        <v>392</v>
      </c>
      <c r="E22" s="15">
        <v>24</v>
      </c>
      <c r="F22" s="5" t="s">
        <v>31</v>
      </c>
    </row>
    <row r="23" spans="4:23" x14ac:dyDescent="0.35">
      <c r="D23" s="4" t="s">
        <v>393</v>
      </c>
      <c r="E23" s="16">
        <v>8</v>
      </c>
      <c r="F23" s="5" t="s">
        <v>31</v>
      </c>
    </row>
    <row r="25" spans="4:23" x14ac:dyDescent="0.35">
      <c r="E25" s="4" t="s">
        <v>53</v>
      </c>
      <c r="F25" s="7">
        <f>K92</f>
        <v>8</v>
      </c>
      <c r="G25" s="5" t="str">
        <f>F23</f>
        <v>MHz</v>
      </c>
    </row>
    <row r="26" spans="4:23" x14ac:dyDescent="0.35">
      <c r="E26" s="4" t="s">
        <v>54</v>
      </c>
    </row>
    <row r="27" spans="4:23" x14ac:dyDescent="0.35">
      <c r="R27" s="41"/>
      <c r="S27" s="42"/>
      <c r="T27" s="40"/>
    </row>
    <row r="28" spans="4:23" x14ac:dyDescent="0.35">
      <c r="K28" s="4">
        <v>8</v>
      </c>
      <c r="L28" s="4"/>
      <c r="M28" s="42"/>
      <c r="N28" s="42"/>
      <c r="R28" s="40"/>
      <c r="S28" s="40"/>
      <c r="T28" s="40"/>
    </row>
    <row r="29" spans="4:23" x14ac:dyDescent="0.35">
      <c r="R29" s="40"/>
      <c r="S29" s="40"/>
    </row>
    <row r="30" spans="4:23" x14ac:dyDescent="0.35">
      <c r="E30" s="4" t="s">
        <v>55</v>
      </c>
      <c r="H30" s="4" t="s">
        <v>32</v>
      </c>
      <c r="I30" s="2" t="s">
        <v>418</v>
      </c>
      <c r="R30" s="41"/>
      <c r="S30" s="42"/>
      <c r="T30" s="40"/>
    </row>
    <row r="31" spans="4:23" x14ac:dyDescent="0.35">
      <c r="E31" s="4" t="s">
        <v>56</v>
      </c>
      <c r="R31" s="40"/>
      <c r="S31" s="40"/>
      <c r="T31" s="40"/>
      <c r="V31" s="6">
        <f>IF($T$34=$O$152, $R$32, 8)</f>
        <v>32</v>
      </c>
      <c r="W31" s="5" t="s">
        <v>31</v>
      </c>
    </row>
    <row r="32" spans="4:23" x14ac:dyDescent="0.35">
      <c r="E32" s="4"/>
      <c r="R32" s="31">
        <f>IF($R$35="ON", $Q$33, $K$33)</f>
        <v>32</v>
      </c>
    </row>
    <row r="33" spans="4:23" x14ac:dyDescent="0.35">
      <c r="E33" s="4"/>
      <c r="I33" s="32"/>
      <c r="K33" s="5">
        <f>F25</f>
        <v>8</v>
      </c>
      <c r="M33" s="5">
        <f>K33/J143</f>
        <v>2.6666666666666665</v>
      </c>
      <c r="O33" s="5">
        <f>M33*24</f>
        <v>64</v>
      </c>
      <c r="Q33" s="43">
        <f>O33/2</f>
        <v>32</v>
      </c>
      <c r="S33" s="42"/>
      <c r="T33" s="40"/>
    </row>
    <row r="34" spans="4:23" x14ac:dyDescent="0.35">
      <c r="E34" s="4"/>
      <c r="R34" s="40"/>
      <c r="S34" s="4" t="s">
        <v>409</v>
      </c>
      <c r="T34" s="48" t="s">
        <v>410</v>
      </c>
      <c r="U34" s="50"/>
      <c r="V34" s="50"/>
      <c r="W34" s="49"/>
    </row>
    <row r="35" spans="4:23" x14ac:dyDescent="0.35">
      <c r="E35" s="4"/>
      <c r="F35" s="4" t="s">
        <v>203</v>
      </c>
      <c r="G35" s="16" t="s">
        <v>0</v>
      </c>
      <c r="L35" s="4" t="s">
        <v>411</v>
      </c>
      <c r="M35" s="16" t="s">
        <v>42</v>
      </c>
      <c r="Q35" s="4" t="s">
        <v>412</v>
      </c>
      <c r="R35" s="16" t="s">
        <v>0</v>
      </c>
      <c r="S35" s="40"/>
      <c r="T35" s="40"/>
    </row>
    <row r="36" spans="4:23" x14ac:dyDescent="0.35">
      <c r="E36" s="4"/>
      <c r="R36" s="41"/>
      <c r="S36" s="42"/>
      <c r="T36" s="40"/>
    </row>
    <row r="37" spans="4:23" x14ac:dyDescent="0.35">
      <c r="E37" s="4"/>
      <c r="R37" s="40"/>
      <c r="S37" s="40"/>
      <c r="T37" s="40"/>
    </row>
    <row r="38" spans="4:23" x14ac:dyDescent="0.35">
      <c r="E38" s="4"/>
      <c r="G38" s="10"/>
      <c r="R38" s="40"/>
      <c r="S38" s="40"/>
      <c r="T38" s="40"/>
    </row>
    <row r="39" spans="4:23" x14ac:dyDescent="0.35">
      <c r="E39" s="4"/>
      <c r="R39" s="41"/>
      <c r="S39" s="42"/>
      <c r="T39" s="40"/>
    </row>
    <row r="40" spans="4:23" x14ac:dyDescent="0.35">
      <c r="E40" s="4"/>
      <c r="M40" s="5">
        <f>U19</f>
        <v>26.666666666666664</v>
      </c>
      <c r="N40" s="5" t="s">
        <v>31</v>
      </c>
      <c r="R40" s="40"/>
      <c r="S40" s="40"/>
      <c r="T40" s="40"/>
    </row>
    <row r="41" spans="4:23" x14ac:dyDescent="0.35">
      <c r="R41" s="40"/>
      <c r="S41" s="40"/>
      <c r="T41" s="40"/>
    </row>
    <row r="42" spans="4:23" x14ac:dyDescent="0.35">
      <c r="E42" s="4"/>
      <c r="G42" s="44">
        <v>31.25</v>
      </c>
      <c r="H42" s="10" t="s">
        <v>57</v>
      </c>
      <c r="M42" s="5">
        <f>F25</f>
        <v>8</v>
      </c>
      <c r="N42" s="5" t="s">
        <v>31</v>
      </c>
      <c r="R42" s="41"/>
      <c r="S42" s="42"/>
      <c r="T42" s="40"/>
    </row>
    <row r="43" spans="4:23" x14ac:dyDescent="0.35">
      <c r="E43" s="4"/>
      <c r="R43" s="40"/>
      <c r="S43" s="40"/>
      <c r="T43" s="40"/>
    </row>
    <row r="44" spans="4:23" x14ac:dyDescent="0.35">
      <c r="E44" s="4"/>
      <c r="M44" s="5">
        <v>8</v>
      </c>
      <c r="N44" s="5" t="s">
        <v>31</v>
      </c>
    </row>
    <row r="45" spans="4:23" x14ac:dyDescent="0.35">
      <c r="E45" s="4"/>
      <c r="P45" s="4" t="s">
        <v>413</v>
      </c>
      <c r="Q45" s="17" t="s">
        <v>4</v>
      </c>
    </row>
    <row r="46" spans="4:23" x14ac:dyDescent="0.35">
      <c r="D46" s="4" t="s">
        <v>393</v>
      </c>
      <c r="E46" s="16">
        <v>32.768000000000001</v>
      </c>
      <c r="F46" s="5" t="s">
        <v>57</v>
      </c>
      <c r="G46" s="5">
        <f>IF($I$51="ON", $E$46, 0)</f>
        <v>32.768000000000001</v>
      </c>
      <c r="H46" s="5" t="s">
        <v>57</v>
      </c>
      <c r="M46" s="39">
        <v>0.5</v>
      </c>
      <c r="N46" s="5" t="s">
        <v>31</v>
      </c>
      <c r="S46" s="45">
        <f>$R$49/J158</f>
        <v>13.333333333333332</v>
      </c>
      <c r="T46" s="5" t="s">
        <v>31</v>
      </c>
    </row>
    <row r="47" spans="4:23" x14ac:dyDescent="0.35">
      <c r="E47" s="4" t="s">
        <v>201</v>
      </c>
    </row>
    <row r="48" spans="4:23" x14ac:dyDescent="0.35">
      <c r="E48" s="4"/>
      <c r="M48" s="5">
        <f>K12</f>
        <v>4</v>
      </c>
      <c r="N48" s="5" t="s">
        <v>31</v>
      </c>
    </row>
    <row r="49" spans="5:28" x14ac:dyDescent="0.35">
      <c r="E49" s="4"/>
      <c r="R49" s="5">
        <f>K133</f>
        <v>26.666666666666664</v>
      </c>
      <c r="S49" s="5" t="s">
        <v>31</v>
      </c>
    </row>
    <row r="50" spans="5:28" x14ac:dyDescent="0.35">
      <c r="E50" s="4"/>
      <c r="M50" s="32">
        <f>G42</f>
        <v>31.25</v>
      </c>
      <c r="N50" s="5" t="s">
        <v>57</v>
      </c>
    </row>
    <row r="51" spans="5:28" x14ac:dyDescent="0.35">
      <c r="H51" s="4" t="s">
        <v>202</v>
      </c>
      <c r="I51" s="16" t="s">
        <v>0</v>
      </c>
    </row>
    <row r="52" spans="5:28" x14ac:dyDescent="0.35">
      <c r="E52" s="4" t="s">
        <v>200</v>
      </c>
      <c r="M52" s="11">
        <f>$G$46</f>
        <v>32.768000000000001</v>
      </c>
      <c r="N52" s="5" t="s">
        <v>57</v>
      </c>
    </row>
    <row r="53" spans="5:28" x14ac:dyDescent="0.35">
      <c r="E53" s="4"/>
    </row>
    <row r="55" spans="5:28" x14ac:dyDescent="0.35">
      <c r="S55" s="8"/>
      <c r="U55" s="6"/>
    </row>
    <row r="56" spans="5:28" ht="15" x14ac:dyDescent="0.4">
      <c r="H56" s="13"/>
      <c r="N56" s="4" t="s">
        <v>50</v>
      </c>
      <c r="O56" s="16" t="s">
        <v>414</v>
      </c>
      <c r="U56" s="8"/>
    </row>
    <row r="57" spans="5:28" x14ac:dyDescent="0.35">
      <c r="U57" s="8"/>
    </row>
    <row r="59" spans="5:28" x14ac:dyDescent="0.35">
      <c r="M59" s="5">
        <v>8</v>
      </c>
      <c r="N59" s="5" t="s">
        <v>31</v>
      </c>
    </row>
    <row r="60" spans="5:28" x14ac:dyDescent="0.35">
      <c r="AB60" s="6"/>
    </row>
    <row r="61" spans="5:28" x14ac:dyDescent="0.35">
      <c r="G61" s="4" t="s">
        <v>13</v>
      </c>
      <c r="M61" s="5">
        <f>$P$20</f>
        <v>53.333333333333329</v>
      </c>
      <c r="N61" s="5" t="s">
        <v>31</v>
      </c>
      <c r="T61" s="4"/>
      <c r="AB61" s="6"/>
    </row>
    <row r="62" spans="5:28" x14ac:dyDescent="0.35">
      <c r="G62" s="4" t="s">
        <v>8</v>
      </c>
      <c r="H62" s="5" t="str">
        <f>O56</f>
        <v>FRCPLL</v>
      </c>
      <c r="AB62" s="6"/>
    </row>
    <row r="63" spans="5:28" x14ac:dyDescent="0.35">
      <c r="G63" s="4" t="s">
        <v>9</v>
      </c>
      <c r="H63" s="5" t="str">
        <f>I51</f>
        <v>ON</v>
      </c>
      <c r="M63" s="5">
        <f>$F$25</f>
        <v>8</v>
      </c>
      <c r="N63" s="5" t="s">
        <v>31</v>
      </c>
      <c r="AB63" s="6"/>
    </row>
    <row r="64" spans="5:28" x14ac:dyDescent="0.35">
      <c r="G64" s="4" t="s">
        <v>10</v>
      </c>
      <c r="H64" s="5" t="str">
        <f>I30</f>
        <v>XT</v>
      </c>
      <c r="AB64" s="6"/>
    </row>
    <row r="65" spans="5:28" x14ac:dyDescent="0.35">
      <c r="G65" s="4" t="s">
        <v>11</v>
      </c>
      <c r="H65" s="5" t="str">
        <f>G35</f>
        <v>ON</v>
      </c>
      <c r="M65" s="45">
        <f>$O$33</f>
        <v>64</v>
      </c>
      <c r="N65" s="5" t="s">
        <v>57</v>
      </c>
      <c r="P65" s="7" t="s">
        <v>384</v>
      </c>
      <c r="Q65" s="17">
        <v>255</v>
      </c>
      <c r="AB65" s="6"/>
    </row>
    <row r="66" spans="5:28" x14ac:dyDescent="0.35">
      <c r="G66" s="4" t="s">
        <v>415</v>
      </c>
      <c r="H66" s="5" t="str">
        <f>$Q$45</f>
        <v>DIV_2</v>
      </c>
      <c r="P66" s="7" t="s">
        <v>385</v>
      </c>
      <c r="Q66" s="17">
        <v>9</v>
      </c>
      <c r="R66" s="38"/>
      <c r="AB66" s="6"/>
    </row>
    <row r="67" spans="5:28" x14ac:dyDescent="0.35">
      <c r="G67" s="4"/>
      <c r="M67" s="32">
        <f>$G$42</f>
        <v>31.25</v>
      </c>
      <c r="N67" s="5" t="s">
        <v>57</v>
      </c>
      <c r="AB67" s="6"/>
    </row>
    <row r="68" spans="5:28" x14ac:dyDescent="0.35">
      <c r="G68" s="4" t="s">
        <v>14</v>
      </c>
      <c r="W68" s="36">
        <f>IF($Q$66=0, $O$69, ($O$69/(2*$T$220)))</f>
        <v>0.42113921447666047</v>
      </c>
      <c r="X68" s="5" t="s">
        <v>31</v>
      </c>
      <c r="AB68" s="6"/>
    </row>
    <row r="69" spans="5:28" x14ac:dyDescent="0.35">
      <c r="G69" s="4" t="s">
        <v>18</v>
      </c>
      <c r="H69" s="5" t="str">
        <f>L17</f>
        <v>DIV_3</v>
      </c>
      <c r="M69" s="45">
        <f>$G$46</f>
        <v>32.768000000000001</v>
      </c>
      <c r="N69" s="5" t="s">
        <v>31</v>
      </c>
      <c r="O69" s="5">
        <f>$U$199</f>
        <v>8</v>
      </c>
      <c r="Q69" s="11"/>
    </row>
    <row r="70" spans="5:28" x14ac:dyDescent="0.35">
      <c r="G70" s="4" t="s">
        <v>416</v>
      </c>
      <c r="H70" s="5" t="str">
        <f>O17</f>
        <v>MUL_20</v>
      </c>
    </row>
    <row r="71" spans="5:28" x14ac:dyDescent="0.35">
      <c r="G71" s="4" t="s">
        <v>12</v>
      </c>
      <c r="H71" s="5" t="str">
        <f>R17</f>
        <v>DIV_2</v>
      </c>
      <c r="M71" s="5">
        <f>$S$46</f>
        <v>13.333333333333332</v>
      </c>
      <c r="N71" s="5" t="s">
        <v>31</v>
      </c>
    </row>
    <row r="72" spans="5:28" x14ac:dyDescent="0.35">
      <c r="G72" s="4" t="s">
        <v>417</v>
      </c>
      <c r="H72" s="5" t="str">
        <f>M35</f>
        <v>DIV_3</v>
      </c>
    </row>
    <row r="73" spans="5:28" x14ac:dyDescent="0.35">
      <c r="G73" s="4" t="s">
        <v>197</v>
      </c>
      <c r="H73" s="5" t="str">
        <f>R35</f>
        <v>ON</v>
      </c>
      <c r="M73" s="5">
        <f>$R$49</f>
        <v>26.666666666666664</v>
      </c>
      <c r="N73" s="5" t="s">
        <v>31</v>
      </c>
    </row>
    <row r="74" spans="5:28" x14ac:dyDescent="0.35">
      <c r="E74" s="4"/>
    </row>
    <row r="75" spans="5:28" x14ac:dyDescent="0.35">
      <c r="E75" s="4"/>
      <c r="M75" s="16">
        <v>2</v>
      </c>
      <c r="N75" s="5" t="s">
        <v>31</v>
      </c>
    </row>
    <row r="76" spans="5:28" x14ac:dyDescent="0.35">
      <c r="E76" s="4"/>
      <c r="M76" s="11"/>
    </row>
    <row r="77" spans="5:28" x14ac:dyDescent="0.35">
      <c r="E77" s="4"/>
    </row>
    <row r="78" spans="5:28" x14ac:dyDescent="0.35">
      <c r="E78" s="4"/>
    </row>
    <row r="79" spans="5:28" x14ac:dyDescent="0.35">
      <c r="E79" s="4"/>
      <c r="N79" s="34" t="s">
        <v>386</v>
      </c>
      <c r="O79" s="51" t="s">
        <v>356</v>
      </c>
      <c r="P79" s="52"/>
      <c r="Q79" s="52"/>
      <c r="R79" s="52"/>
      <c r="S79" s="53"/>
    </row>
    <row r="80" spans="5:28" x14ac:dyDescent="0.35">
      <c r="E80" s="4"/>
    </row>
    <row r="81" spans="2:14" x14ac:dyDescent="0.35">
      <c r="E81" s="4"/>
    </row>
    <row r="82" spans="2:14" x14ac:dyDescent="0.35">
      <c r="E82" s="4"/>
    </row>
    <row r="83" spans="2:14" x14ac:dyDescent="0.35">
      <c r="E83" s="4"/>
    </row>
    <row r="84" spans="2:14" ht="13.9" thickBot="1" x14ac:dyDescent="0.4">
      <c r="B84" s="6"/>
      <c r="C84" s="6"/>
      <c r="D84" s="6"/>
      <c r="E84" s="7"/>
      <c r="F84" s="6"/>
    </row>
    <row r="85" spans="2:14" x14ac:dyDescent="0.35">
      <c r="B85" s="6"/>
      <c r="C85" s="6"/>
      <c r="D85" s="6"/>
      <c r="E85" s="6"/>
      <c r="F85" s="6"/>
      <c r="G85" s="18"/>
      <c r="H85" s="19" t="s">
        <v>264</v>
      </c>
      <c r="I85" s="19"/>
      <c r="J85" s="19"/>
      <c r="K85" s="19"/>
      <c r="L85" s="20"/>
    </row>
    <row r="86" spans="2:14" x14ac:dyDescent="0.35">
      <c r="B86" s="6"/>
      <c r="C86" s="6"/>
      <c r="D86" s="6"/>
      <c r="E86" s="6"/>
      <c r="F86" s="6"/>
      <c r="G86" s="27"/>
      <c r="H86" s="28"/>
      <c r="I86" s="28"/>
      <c r="J86" s="28"/>
      <c r="K86" s="28"/>
      <c r="L86" s="29"/>
    </row>
    <row r="87" spans="2:14" ht="13.9" thickBot="1" x14ac:dyDescent="0.4">
      <c r="B87" s="6"/>
      <c r="C87" s="6"/>
      <c r="D87" s="6"/>
      <c r="E87" s="6"/>
      <c r="F87" s="6"/>
      <c r="G87" s="24"/>
      <c r="H87" s="25" t="s">
        <v>265</v>
      </c>
      <c r="I87" s="25" t="s">
        <v>266</v>
      </c>
      <c r="J87" s="25"/>
      <c r="K87" s="25"/>
      <c r="L87" s="26"/>
    </row>
    <row r="88" spans="2:14" x14ac:dyDescent="0.35">
      <c r="B88" s="6"/>
      <c r="C88" s="6"/>
      <c r="D88" s="6"/>
      <c r="E88" s="6"/>
      <c r="F88" s="6"/>
      <c r="G88" s="18"/>
      <c r="H88" s="7" t="s">
        <v>32</v>
      </c>
      <c r="I88" s="6" t="s">
        <v>38</v>
      </c>
      <c r="J88" s="6">
        <f>IF($I$30="EC", 1, 0)</f>
        <v>0</v>
      </c>
      <c r="K88" s="6">
        <f>IF($I$30="EC", $E$22, 0)</f>
        <v>0</v>
      </c>
      <c r="L88" s="22"/>
      <c r="N88" s="10" t="s">
        <v>395</v>
      </c>
    </row>
    <row r="89" spans="2:14" x14ac:dyDescent="0.35">
      <c r="B89" s="6"/>
      <c r="C89" s="6"/>
      <c r="D89" s="6"/>
      <c r="E89" s="6"/>
      <c r="F89" s="6"/>
      <c r="G89" s="21"/>
      <c r="H89" s="7"/>
      <c r="I89" s="6" t="s">
        <v>418</v>
      </c>
      <c r="J89" s="6">
        <f>IF($I$30="XT", 1, 0)</f>
        <v>1</v>
      </c>
      <c r="K89" s="6">
        <f>IF($I$30="XT", $E$23, 0)</f>
        <v>8</v>
      </c>
      <c r="L89" s="22"/>
      <c r="N89" s="10" t="s">
        <v>206</v>
      </c>
    </row>
    <row r="90" spans="2:14" x14ac:dyDescent="0.35">
      <c r="B90" s="6"/>
      <c r="C90" s="6"/>
      <c r="D90" s="6"/>
      <c r="E90" s="6"/>
      <c r="F90" s="6"/>
      <c r="G90" s="21"/>
      <c r="H90" s="7"/>
      <c r="I90" s="6" t="s">
        <v>39</v>
      </c>
      <c r="J90" s="6">
        <f>IF($I$30="HS", 1, 0)</f>
        <v>0</v>
      </c>
      <c r="K90" s="6">
        <f>IF($I$30="HS", $E$23, 0)</f>
        <v>0</v>
      </c>
      <c r="L90" s="22"/>
      <c r="N90" s="10" t="s">
        <v>460</v>
      </c>
    </row>
    <row r="91" spans="2:14" x14ac:dyDescent="0.35">
      <c r="B91" s="6"/>
      <c r="C91" s="6"/>
      <c r="D91" s="6"/>
      <c r="E91" s="6"/>
      <c r="F91" s="6"/>
      <c r="G91" s="21"/>
      <c r="H91" s="7"/>
      <c r="I91" s="6" t="s">
        <v>7</v>
      </c>
      <c r="J91" s="6">
        <f>IF($I$30="OFF", 1, 0)</f>
        <v>0</v>
      </c>
      <c r="K91" s="6">
        <v>0</v>
      </c>
      <c r="L91" s="22"/>
      <c r="N91" s="5" t="s">
        <v>344</v>
      </c>
    </row>
    <row r="92" spans="2:14" x14ac:dyDescent="0.35">
      <c r="B92" s="6"/>
      <c r="C92" s="6"/>
      <c r="D92" s="6"/>
      <c r="E92" s="6"/>
      <c r="F92" s="6"/>
      <c r="G92" s="21"/>
      <c r="H92" s="6"/>
      <c r="I92" s="6"/>
      <c r="J92" s="6"/>
      <c r="K92" s="6">
        <f>SUM(K88:K91)</f>
        <v>8</v>
      </c>
      <c r="L92" s="22"/>
      <c r="N92" s="5" t="s">
        <v>345</v>
      </c>
    </row>
    <row r="93" spans="2:14" x14ac:dyDescent="0.35">
      <c r="B93" s="6"/>
      <c r="C93" s="6"/>
      <c r="D93" s="6"/>
      <c r="E93" s="6"/>
      <c r="F93" s="6"/>
      <c r="G93" s="21"/>
      <c r="H93" s="7"/>
      <c r="I93" s="6"/>
      <c r="J93" s="6"/>
      <c r="K93" s="6"/>
      <c r="L93" s="22"/>
      <c r="N93" s="5" t="s">
        <v>346</v>
      </c>
    </row>
    <row r="94" spans="2:14" x14ac:dyDescent="0.35">
      <c r="B94" s="6"/>
      <c r="C94" s="6"/>
      <c r="D94" s="6"/>
      <c r="E94" s="6"/>
      <c r="F94" s="6"/>
      <c r="G94" s="21"/>
      <c r="H94" s="7" t="s">
        <v>34</v>
      </c>
      <c r="I94" s="6" t="s">
        <v>41</v>
      </c>
      <c r="J94" s="6">
        <f>IF($L$17="DIV_1", 1, 0)</f>
        <v>0</v>
      </c>
      <c r="K94" s="6"/>
      <c r="L94" s="22"/>
      <c r="N94" s="5" t="s">
        <v>349</v>
      </c>
    </row>
    <row r="95" spans="2:14" x14ac:dyDescent="0.35">
      <c r="B95" s="6"/>
      <c r="C95" s="6"/>
      <c r="D95" s="6"/>
      <c r="E95" s="6"/>
      <c r="F95" s="6"/>
      <c r="G95" s="21"/>
      <c r="H95" s="7"/>
      <c r="I95" s="6" t="s">
        <v>4</v>
      </c>
      <c r="J95" s="6">
        <f>IF($L$17="DIV_2", 2, 0)</f>
        <v>0</v>
      </c>
      <c r="K95" s="6"/>
      <c r="L95" s="22"/>
      <c r="N95" s="5" t="s">
        <v>343</v>
      </c>
    </row>
    <row r="96" spans="2:14" x14ac:dyDescent="0.35">
      <c r="B96" s="6"/>
      <c r="C96" s="6"/>
      <c r="D96" s="6"/>
      <c r="E96" s="6"/>
      <c r="F96" s="6"/>
      <c r="G96" s="21"/>
      <c r="H96" s="7"/>
      <c r="I96" s="6" t="s">
        <v>42</v>
      </c>
      <c r="J96" s="6">
        <f>IF($L$17="DIV_3", 3, 0)</f>
        <v>3</v>
      </c>
      <c r="K96" s="6"/>
      <c r="L96" s="22"/>
      <c r="N96" s="5" t="s">
        <v>419</v>
      </c>
    </row>
    <row r="97" spans="2:23" x14ac:dyDescent="0.35">
      <c r="B97" s="6"/>
      <c r="C97" s="6"/>
      <c r="D97" s="6"/>
      <c r="E97" s="6"/>
      <c r="F97" s="6"/>
      <c r="G97" s="21"/>
      <c r="H97" s="7"/>
      <c r="I97" s="6" t="s">
        <v>43</v>
      </c>
      <c r="J97" s="6">
        <f>IF($L$17="DIV_4", 4, 0)</f>
        <v>0</v>
      </c>
      <c r="K97" s="6"/>
      <c r="L97" s="22"/>
      <c r="N97" s="5" t="s">
        <v>341</v>
      </c>
    </row>
    <row r="98" spans="2:23" x14ac:dyDescent="0.35">
      <c r="B98" s="6"/>
      <c r="C98" s="6"/>
      <c r="D98" s="6"/>
      <c r="E98" s="6"/>
      <c r="F98" s="6"/>
      <c r="G98" s="21"/>
      <c r="H98" s="7"/>
      <c r="I98" s="6" t="s">
        <v>44</v>
      </c>
      <c r="J98" s="6">
        <f>IF($L$17="DIV_5", 5, 0)</f>
        <v>0</v>
      </c>
      <c r="K98" s="6"/>
      <c r="L98" s="22"/>
      <c r="N98" s="5" t="s">
        <v>342</v>
      </c>
    </row>
    <row r="99" spans="2:23" x14ac:dyDescent="0.35">
      <c r="B99" s="6"/>
      <c r="C99" s="6"/>
      <c r="D99" s="6"/>
      <c r="E99" s="6"/>
      <c r="F99" s="6"/>
      <c r="G99" s="21"/>
      <c r="H99" s="7"/>
      <c r="I99" s="6" t="s">
        <v>45</v>
      </c>
      <c r="J99" s="6">
        <f>IF($L$17="DIV_6", 6, 0)</f>
        <v>0</v>
      </c>
      <c r="K99" s="6"/>
      <c r="L99" s="22"/>
    </row>
    <row r="100" spans="2:23" x14ac:dyDescent="0.35">
      <c r="B100" s="6"/>
      <c r="C100" s="6"/>
      <c r="D100" s="6"/>
      <c r="E100" s="6"/>
      <c r="F100" s="6"/>
      <c r="G100" s="21"/>
      <c r="H100" s="7"/>
      <c r="I100" s="6" t="s">
        <v>420</v>
      </c>
      <c r="J100" s="6">
        <f>IF($L$17="DIV_10", 10, 0)</f>
        <v>0</v>
      </c>
      <c r="K100" s="6"/>
      <c r="L100" s="22"/>
      <c r="N100" s="5" t="s">
        <v>350</v>
      </c>
    </row>
    <row r="101" spans="2:23" x14ac:dyDescent="0.35">
      <c r="B101" s="6"/>
      <c r="C101" s="6"/>
      <c r="D101" s="6"/>
      <c r="E101" s="6"/>
      <c r="F101" s="6"/>
      <c r="G101" s="21"/>
      <c r="H101" s="7"/>
      <c r="I101" s="6" t="s">
        <v>421</v>
      </c>
      <c r="J101" s="6">
        <f>IF($L$17="DIV_12", 12, 0)</f>
        <v>0</v>
      </c>
      <c r="K101" s="6"/>
      <c r="L101" s="22"/>
      <c r="N101" s="5" t="s">
        <v>360</v>
      </c>
    </row>
    <row r="102" spans="2:23" x14ac:dyDescent="0.35">
      <c r="B102" s="6"/>
      <c r="C102" s="6"/>
      <c r="D102" s="6"/>
      <c r="E102" s="6"/>
      <c r="F102" s="6"/>
      <c r="G102" s="21"/>
      <c r="H102" s="7"/>
      <c r="I102" s="6"/>
      <c r="J102" s="6">
        <f>SUM(J94:J101)</f>
        <v>3</v>
      </c>
      <c r="K102" s="6"/>
      <c r="L102" s="22"/>
      <c r="N102" s="5" t="s">
        <v>361</v>
      </c>
    </row>
    <row r="103" spans="2:23" x14ac:dyDescent="0.35">
      <c r="B103" s="6"/>
      <c r="C103" s="6"/>
      <c r="D103" s="6"/>
      <c r="E103" s="6"/>
      <c r="F103" s="6"/>
      <c r="G103" s="21"/>
      <c r="H103" s="6"/>
      <c r="I103" s="6"/>
      <c r="J103" s="6"/>
      <c r="K103" s="6"/>
      <c r="L103" s="22"/>
      <c r="N103" s="5" t="s">
        <v>362</v>
      </c>
    </row>
    <row r="104" spans="2:23" x14ac:dyDescent="0.35">
      <c r="B104" s="6"/>
      <c r="C104" s="6"/>
      <c r="D104" s="6"/>
      <c r="E104" s="6"/>
      <c r="F104" s="6"/>
      <c r="G104" s="21"/>
      <c r="H104" s="7" t="s">
        <v>408</v>
      </c>
      <c r="I104" s="6"/>
      <c r="J104" s="6"/>
      <c r="K104" s="6"/>
      <c r="L104" s="22"/>
      <c r="N104" s="5" t="s">
        <v>380</v>
      </c>
    </row>
    <row r="105" spans="2:23" x14ac:dyDescent="0.35">
      <c r="B105" s="6"/>
      <c r="C105" s="6"/>
      <c r="D105" s="6"/>
      <c r="E105" s="6"/>
      <c r="F105" s="6"/>
      <c r="G105" s="21"/>
      <c r="H105" s="6"/>
      <c r="I105" s="6" t="s">
        <v>72</v>
      </c>
      <c r="J105" s="6">
        <f>IF($O$17=I105, 15, 0)</f>
        <v>0</v>
      </c>
      <c r="K105" s="6"/>
      <c r="L105" s="22"/>
      <c r="N105" s="5" t="s">
        <v>382</v>
      </c>
    </row>
    <row r="106" spans="2:23" x14ac:dyDescent="0.35">
      <c r="B106" s="6"/>
      <c r="C106" s="6"/>
      <c r="D106" s="6"/>
      <c r="E106" s="6"/>
      <c r="F106" s="6"/>
      <c r="G106" s="21"/>
      <c r="H106" s="6"/>
      <c r="I106" s="6" t="s">
        <v>73</v>
      </c>
      <c r="J106" s="6">
        <f>IF($O$17=I106, 16, 0)</f>
        <v>0</v>
      </c>
      <c r="K106" s="6"/>
      <c r="L106" s="22"/>
      <c r="N106" s="5" t="s">
        <v>383</v>
      </c>
    </row>
    <row r="107" spans="2:23" x14ac:dyDescent="0.35">
      <c r="B107" s="6"/>
      <c r="C107" s="6"/>
      <c r="D107" s="6"/>
      <c r="E107" s="6"/>
      <c r="F107" s="6"/>
      <c r="G107" s="21"/>
      <c r="H107" s="6"/>
      <c r="I107" s="6" t="s">
        <v>74</v>
      </c>
      <c r="J107" s="6">
        <f>IF($O$17=I107, 17, 0)</f>
        <v>0</v>
      </c>
      <c r="K107" s="6"/>
      <c r="L107" s="22"/>
    </row>
    <row r="108" spans="2:23" x14ac:dyDescent="0.35">
      <c r="B108" s="6"/>
      <c r="C108" s="6"/>
      <c r="D108" s="6"/>
      <c r="E108" s="6"/>
      <c r="F108" s="6"/>
      <c r="G108" s="21"/>
      <c r="H108" s="6"/>
      <c r="I108" s="6" t="s">
        <v>75</v>
      </c>
      <c r="J108" s="6">
        <f>IF($O$17=I108, 18, 0)</f>
        <v>0</v>
      </c>
      <c r="K108" s="6"/>
      <c r="L108" s="22"/>
    </row>
    <row r="109" spans="2:23" x14ac:dyDescent="0.35">
      <c r="B109" s="6"/>
      <c r="C109" s="6"/>
      <c r="D109" s="6"/>
      <c r="E109" s="6"/>
      <c r="F109" s="6"/>
      <c r="G109" s="21"/>
      <c r="H109" s="6"/>
      <c r="I109" s="6" t="s">
        <v>76</v>
      </c>
      <c r="J109" s="6">
        <f>IF($O$17=I109, 19, 0)</f>
        <v>0</v>
      </c>
      <c r="K109" s="6"/>
      <c r="L109" s="22"/>
    </row>
    <row r="110" spans="2:23" x14ac:dyDescent="0.35">
      <c r="B110" s="6"/>
      <c r="C110" s="6"/>
      <c r="D110" s="6"/>
      <c r="E110" s="6"/>
      <c r="F110" s="6"/>
      <c r="G110" s="21"/>
      <c r="H110" s="6"/>
      <c r="I110" s="6" t="s">
        <v>77</v>
      </c>
      <c r="J110" s="6">
        <f>IF($O$17=I110, 20, 0)</f>
        <v>20</v>
      </c>
      <c r="K110" s="6"/>
      <c r="L110" s="22"/>
    </row>
    <row r="111" spans="2:23" ht="13.9" thickBot="1" x14ac:dyDescent="0.4">
      <c r="B111" s="6"/>
      <c r="C111" s="6"/>
      <c r="D111" s="6"/>
      <c r="E111" s="6"/>
      <c r="F111" s="6"/>
      <c r="G111" s="21"/>
      <c r="H111" s="6"/>
      <c r="I111" s="6" t="s">
        <v>78</v>
      </c>
      <c r="J111" s="6">
        <f>IF($O$17=I111, 21, 0)</f>
        <v>0</v>
      </c>
      <c r="K111" s="6"/>
      <c r="L111" s="22"/>
    </row>
    <row r="112" spans="2:23" x14ac:dyDescent="0.35">
      <c r="B112" s="6"/>
      <c r="C112" s="6"/>
      <c r="D112" s="6"/>
      <c r="E112" s="6"/>
      <c r="F112" s="6"/>
      <c r="G112" s="21"/>
      <c r="H112" s="6"/>
      <c r="I112" s="6" t="s">
        <v>81</v>
      </c>
      <c r="J112" s="6">
        <f>IF($O$17=I112, 24, 0)</f>
        <v>0</v>
      </c>
      <c r="K112" s="6"/>
      <c r="L112" s="22"/>
      <c r="N112" s="18"/>
      <c r="O112" s="19" t="s">
        <v>284</v>
      </c>
      <c r="P112" s="19"/>
      <c r="Q112" s="19"/>
      <c r="R112" s="19"/>
      <c r="S112" s="19"/>
      <c r="T112" s="19"/>
      <c r="U112" s="19"/>
      <c r="V112" s="19"/>
      <c r="W112" s="20"/>
    </row>
    <row r="113" spans="2:23" x14ac:dyDescent="0.35">
      <c r="B113" s="6"/>
      <c r="C113" s="6"/>
      <c r="D113" s="6"/>
      <c r="E113" s="6"/>
      <c r="F113" s="6"/>
      <c r="G113" s="21"/>
      <c r="H113" s="6"/>
      <c r="I113" s="6"/>
      <c r="J113" s="6">
        <f>SUM(J105:J112)</f>
        <v>20</v>
      </c>
      <c r="K113" s="6"/>
      <c r="L113" s="22"/>
      <c r="N113" s="21"/>
      <c r="O113" s="6"/>
      <c r="P113" s="6"/>
      <c r="Q113" s="6"/>
      <c r="R113" s="6"/>
      <c r="S113" s="6"/>
      <c r="T113" s="6"/>
      <c r="U113" s="6"/>
      <c r="V113" s="6"/>
      <c r="W113" s="22"/>
    </row>
    <row r="114" spans="2:23" ht="13.9" thickBot="1" x14ac:dyDescent="0.4">
      <c r="B114" s="6"/>
      <c r="C114" s="6"/>
      <c r="D114" s="6"/>
      <c r="E114" s="6"/>
      <c r="F114" s="6"/>
      <c r="G114" s="21"/>
      <c r="H114" s="6"/>
      <c r="I114" s="6"/>
      <c r="J114" s="6"/>
      <c r="K114" s="6"/>
      <c r="L114" s="22"/>
      <c r="N114" s="21"/>
      <c r="O114" s="6"/>
      <c r="P114" s="6"/>
      <c r="Q114" s="6"/>
      <c r="R114" s="6"/>
      <c r="S114" s="6"/>
      <c r="T114" s="6"/>
      <c r="U114" s="6"/>
      <c r="V114" s="6"/>
      <c r="W114" s="22"/>
    </row>
    <row r="115" spans="2:23" x14ac:dyDescent="0.35">
      <c r="B115" s="6"/>
      <c r="C115" s="6"/>
      <c r="D115" s="6"/>
      <c r="E115" s="6"/>
      <c r="F115" s="6"/>
      <c r="G115" s="21"/>
      <c r="H115" s="7" t="s">
        <v>36</v>
      </c>
      <c r="I115" s="6" t="s">
        <v>41</v>
      </c>
      <c r="J115" s="6">
        <f>IF($R$17="DIV_1", 1, 0)</f>
        <v>0</v>
      </c>
      <c r="K115" s="6"/>
      <c r="L115" s="22"/>
      <c r="N115" s="33" t="s">
        <v>285</v>
      </c>
      <c r="O115" s="19"/>
      <c r="P115" s="19"/>
      <c r="Q115" s="19"/>
      <c r="R115" s="19"/>
      <c r="S115" s="19"/>
      <c r="T115" s="19"/>
      <c r="U115" s="19"/>
      <c r="V115" s="19"/>
      <c r="W115" s="20"/>
    </row>
    <row r="116" spans="2:23" x14ac:dyDescent="0.35">
      <c r="B116" s="6"/>
      <c r="C116" s="6"/>
      <c r="D116" s="6"/>
      <c r="E116" s="6"/>
      <c r="F116" s="6"/>
      <c r="G116" s="21"/>
      <c r="H116" s="6"/>
      <c r="I116" s="6" t="s">
        <v>4</v>
      </c>
      <c r="J116" s="6">
        <f>IF($R$17="DIV_2", 2, 0)</f>
        <v>2</v>
      </c>
      <c r="K116" s="6"/>
      <c r="L116" s="22"/>
      <c r="N116" s="21">
        <v>1</v>
      </c>
      <c r="O116" s="6" t="s">
        <v>185</v>
      </c>
      <c r="P116" s="6"/>
      <c r="Q116" s="6"/>
      <c r="R116" s="6">
        <f t="shared" ref="R116:R123" si="0">IF($I$10=$O116, N116, 0)</f>
        <v>0</v>
      </c>
      <c r="S116" s="6"/>
      <c r="T116" s="6"/>
      <c r="U116" s="6"/>
      <c r="V116" s="6"/>
      <c r="W116" s="22"/>
    </row>
    <row r="117" spans="2:23" x14ac:dyDescent="0.35">
      <c r="B117" s="6"/>
      <c r="C117" s="6"/>
      <c r="D117" s="6"/>
      <c r="E117" s="6"/>
      <c r="F117" s="6"/>
      <c r="G117" s="21"/>
      <c r="H117" s="6"/>
      <c r="I117" s="6" t="s">
        <v>43</v>
      </c>
      <c r="J117" s="6">
        <f>IF($R$17="DIV_4", 4, 0)</f>
        <v>0</v>
      </c>
      <c r="K117" s="6"/>
      <c r="L117" s="22"/>
      <c r="N117" s="21">
        <v>2</v>
      </c>
      <c r="O117" s="6" t="s">
        <v>186</v>
      </c>
      <c r="P117" s="6"/>
      <c r="Q117" s="6"/>
      <c r="R117" s="6">
        <f t="shared" si="0"/>
        <v>2</v>
      </c>
      <c r="S117" s="6"/>
      <c r="T117" s="6"/>
      <c r="U117" s="6"/>
      <c r="V117" s="6"/>
      <c r="W117" s="22"/>
    </row>
    <row r="118" spans="2:23" x14ac:dyDescent="0.35">
      <c r="B118" s="6"/>
      <c r="C118" s="6"/>
      <c r="D118" s="6"/>
      <c r="E118" s="6"/>
      <c r="F118" s="6"/>
      <c r="G118" s="21"/>
      <c r="H118" s="6"/>
      <c r="I118" s="6" t="s">
        <v>1</v>
      </c>
      <c r="J118" s="6">
        <f>IF($R$17="DIV_8", 8, 0)</f>
        <v>0</v>
      </c>
      <c r="L118" s="22"/>
      <c r="N118" s="21">
        <v>4</v>
      </c>
      <c r="O118" s="6" t="s">
        <v>187</v>
      </c>
      <c r="P118" s="6"/>
      <c r="Q118" s="6"/>
      <c r="R118" s="6">
        <f t="shared" si="0"/>
        <v>0</v>
      </c>
      <c r="S118" s="6"/>
      <c r="T118" s="6"/>
      <c r="U118" s="6"/>
      <c r="V118" s="6"/>
      <c r="W118" s="22"/>
    </row>
    <row r="119" spans="2:23" x14ac:dyDescent="0.35">
      <c r="B119" s="6"/>
      <c r="C119" s="6"/>
      <c r="D119" s="6"/>
      <c r="E119" s="6"/>
      <c r="F119" s="6"/>
      <c r="G119" s="21"/>
      <c r="H119" s="6"/>
      <c r="I119" s="6" t="s">
        <v>49</v>
      </c>
      <c r="J119" s="6">
        <f>IF($R$17="DIV_16", 16, 0)</f>
        <v>0</v>
      </c>
      <c r="L119" s="22"/>
      <c r="N119" s="21">
        <v>8</v>
      </c>
      <c r="O119" s="6" t="s">
        <v>188</v>
      </c>
      <c r="P119" s="6"/>
      <c r="Q119" s="6"/>
      <c r="R119" s="6">
        <f t="shared" si="0"/>
        <v>0</v>
      </c>
      <c r="S119" s="6"/>
      <c r="T119" s="6"/>
      <c r="U119" s="6"/>
      <c r="V119" s="6"/>
      <c r="W119" s="22"/>
    </row>
    <row r="120" spans="2:23" x14ac:dyDescent="0.35">
      <c r="B120" s="6"/>
      <c r="C120" s="6"/>
      <c r="D120" s="6"/>
      <c r="E120" s="6"/>
      <c r="F120" s="6"/>
      <c r="G120" s="21"/>
      <c r="H120" s="6"/>
      <c r="I120" s="6" t="s">
        <v>19</v>
      </c>
      <c r="J120" s="6">
        <f>IF($R$17="DIV_32", 32, 0)</f>
        <v>0</v>
      </c>
      <c r="L120" s="22"/>
      <c r="N120" s="21">
        <v>16</v>
      </c>
      <c r="O120" s="6" t="s">
        <v>189</v>
      </c>
      <c r="P120" s="6"/>
      <c r="Q120" s="6"/>
      <c r="R120" s="6">
        <f t="shared" si="0"/>
        <v>0</v>
      </c>
      <c r="S120" s="6"/>
      <c r="T120" s="6"/>
      <c r="U120" s="6"/>
      <c r="V120" s="6"/>
      <c r="W120" s="22"/>
    </row>
    <row r="121" spans="2:23" x14ac:dyDescent="0.35">
      <c r="B121" s="6"/>
      <c r="C121" s="6"/>
      <c r="D121" s="6"/>
      <c r="E121" s="6"/>
      <c r="F121" s="6"/>
      <c r="G121" s="21"/>
      <c r="H121" s="6"/>
      <c r="I121" s="6" t="s">
        <v>422</v>
      </c>
      <c r="J121" s="6">
        <f>IF($R$17="DIV_64", 64, 0)</f>
        <v>0</v>
      </c>
      <c r="L121" s="22"/>
      <c r="N121" s="21">
        <v>32</v>
      </c>
      <c r="O121" s="6" t="s">
        <v>190</v>
      </c>
      <c r="P121" s="6"/>
      <c r="Q121" s="6"/>
      <c r="R121" s="6">
        <f t="shared" si="0"/>
        <v>0</v>
      </c>
      <c r="S121" s="6"/>
      <c r="T121" s="6"/>
      <c r="U121" s="6"/>
      <c r="V121" s="6"/>
      <c r="W121" s="22"/>
    </row>
    <row r="122" spans="2:23" x14ac:dyDescent="0.35">
      <c r="B122" s="6"/>
      <c r="C122" s="6"/>
      <c r="D122" s="6"/>
      <c r="E122" s="6"/>
      <c r="F122" s="6"/>
      <c r="G122" s="21"/>
      <c r="H122" s="6"/>
      <c r="I122" s="6" t="s">
        <v>423</v>
      </c>
      <c r="J122" s="6">
        <f>IF($R$17="DIV_256", 256, 0)</f>
        <v>0</v>
      </c>
      <c r="L122" s="22"/>
      <c r="N122" s="21">
        <v>64</v>
      </c>
      <c r="O122" s="6" t="s">
        <v>191</v>
      </c>
      <c r="P122" s="6"/>
      <c r="Q122" s="6"/>
      <c r="R122" s="6">
        <f t="shared" si="0"/>
        <v>0</v>
      </c>
      <c r="S122" s="6"/>
      <c r="T122" s="6"/>
      <c r="U122" s="6"/>
      <c r="V122" s="6"/>
      <c r="W122" s="22"/>
    </row>
    <row r="123" spans="2:23" x14ac:dyDescent="0.35">
      <c r="B123" s="6"/>
      <c r="C123" s="6"/>
      <c r="D123" s="6"/>
      <c r="E123" s="6"/>
      <c r="F123" s="6"/>
      <c r="G123" s="21"/>
      <c r="H123" s="6"/>
      <c r="I123" s="6"/>
      <c r="J123" s="6">
        <f>SUM(J115:J122)</f>
        <v>2</v>
      </c>
      <c r="L123" s="22"/>
      <c r="N123" s="21">
        <v>256</v>
      </c>
      <c r="O123" s="6" t="s">
        <v>192</v>
      </c>
      <c r="P123" s="6"/>
      <c r="Q123" s="6"/>
      <c r="R123" s="6">
        <f t="shared" si="0"/>
        <v>0</v>
      </c>
      <c r="S123" s="6"/>
      <c r="T123" s="6"/>
      <c r="U123" s="6"/>
      <c r="V123" s="6"/>
      <c r="W123" s="22"/>
    </row>
    <row r="124" spans="2:23" x14ac:dyDescent="0.35">
      <c r="B124" s="6"/>
      <c r="C124" s="6"/>
      <c r="D124" s="6"/>
      <c r="E124" s="6"/>
      <c r="F124" s="6"/>
      <c r="G124" s="21"/>
      <c r="H124" s="6"/>
      <c r="I124" s="6"/>
      <c r="J124" s="6"/>
      <c r="L124" s="22"/>
      <c r="N124" s="21"/>
      <c r="O124" s="6"/>
      <c r="P124" s="6"/>
      <c r="Q124" s="6"/>
      <c r="R124" s="6">
        <f>SUM(R116:R123)</f>
        <v>2</v>
      </c>
      <c r="S124" s="6"/>
      <c r="T124" s="6"/>
      <c r="U124" s="6"/>
      <c r="V124" s="6"/>
      <c r="W124" s="22"/>
    </row>
    <row r="125" spans="2:23" x14ac:dyDescent="0.35">
      <c r="B125" s="6"/>
      <c r="C125" s="6"/>
      <c r="D125" s="6"/>
      <c r="E125" s="6"/>
      <c r="F125" s="6"/>
      <c r="G125" s="21"/>
      <c r="H125" s="7" t="s">
        <v>50</v>
      </c>
      <c r="I125" s="6" t="s">
        <v>424</v>
      </c>
      <c r="J125" s="6">
        <v>8</v>
      </c>
      <c r="K125" s="6">
        <f t="shared" ref="K125:K132" si="1">IF($O$56=I125, J125, 0)</f>
        <v>0</v>
      </c>
      <c r="L125" s="22"/>
      <c r="N125" s="21" t="s">
        <v>337</v>
      </c>
      <c r="O125" s="6"/>
      <c r="P125" s="6"/>
      <c r="Q125" s="6"/>
      <c r="R125" s="6"/>
      <c r="S125" s="6"/>
      <c r="T125" s="6"/>
      <c r="U125" s="6"/>
      <c r="V125" s="6"/>
      <c r="W125" s="22"/>
    </row>
    <row r="126" spans="2:23" x14ac:dyDescent="0.35">
      <c r="B126" s="6"/>
      <c r="C126" s="6"/>
      <c r="D126" s="6"/>
      <c r="E126" s="6"/>
      <c r="F126" s="6"/>
      <c r="G126" s="21"/>
      <c r="H126" s="6"/>
      <c r="I126" s="6" t="s">
        <v>414</v>
      </c>
      <c r="J126" s="6">
        <f>$U$19</f>
        <v>26.666666666666664</v>
      </c>
      <c r="K126" s="6">
        <f t="shared" si="1"/>
        <v>26.666666666666664</v>
      </c>
      <c r="L126" s="22"/>
      <c r="N126" s="21"/>
      <c r="O126" s="6">
        <v>1</v>
      </c>
      <c r="P126" s="6"/>
      <c r="Q126" s="6"/>
      <c r="R126" s="6"/>
      <c r="S126" s="6"/>
      <c r="T126" s="6"/>
      <c r="U126" s="6"/>
      <c r="V126" s="6"/>
      <c r="W126" s="22"/>
    </row>
    <row r="127" spans="2:23" x14ac:dyDescent="0.35">
      <c r="B127" s="6"/>
      <c r="C127" s="6"/>
      <c r="D127" s="6"/>
      <c r="E127" s="6"/>
      <c r="F127" s="6"/>
      <c r="G127" s="21"/>
      <c r="H127" s="6"/>
      <c r="I127" s="6" t="s">
        <v>425</v>
      </c>
      <c r="J127" s="6">
        <f>$F$25</f>
        <v>8</v>
      </c>
      <c r="K127" s="6">
        <f t="shared" si="1"/>
        <v>0</v>
      </c>
      <c r="L127" s="22"/>
      <c r="N127" s="21"/>
      <c r="O127" s="6">
        <v>2</v>
      </c>
      <c r="P127" s="6"/>
      <c r="Q127" s="6"/>
      <c r="R127" s="6"/>
      <c r="S127" s="6"/>
      <c r="T127" s="6"/>
      <c r="U127" s="6"/>
      <c r="V127" s="6"/>
      <c r="W127" s="22"/>
    </row>
    <row r="128" spans="2:23" x14ac:dyDescent="0.35">
      <c r="B128" s="6"/>
      <c r="C128" s="6"/>
      <c r="D128" s="6"/>
      <c r="E128" s="6"/>
      <c r="F128" s="6"/>
      <c r="G128" s="21"/>
      <c r="H128" s="6"/>
      <c r="I128" s="6" t="s">
        <v>426</v>
      </c>
      <c r="J128" s="6">
        <f>$U$19</f>
        <v>26.666666666666664</v>
      </c>
      <c r="K128" s="6">
        <f t="shared" si="1"/>
        <v>0</v>
      </c>
      <c r="L128" s="22"/>
      <c r="N128" s="21"/>
      <c r="O128" s="7" t="s">
        <v>326</v>
      </c>
      <c r="P128" s="6"/>
      <c r="Q128" s="6"/>
      <c r="R128" s="6"/>
      <c r="S128" s="6"/>
      <c r="T128" s="6"/>
      <c r="U128" s="6"/>
      <c r="V128" s="6"/>
      <c r="W128" s="22"/>
    </row>
    <row r="129" spans="2:23" x14ac:dyDescent="0.35">
      <c r="B129" s="6"/>
      <c r="C129" s="6"/>
      <c r="D129" s="6"/>
      <c r="E129" s="6"/>
      <c r="F129" s="6"/>
      <c r="G129" s="21"/>
      <c r="H129" s="6"/>
      <c r="I129" s="6" t="s">
        <v>51</v>
      </c>
      <c r="J129" s="30">
        <f>$G$46 * 0.001</f>
        <v>3.2767999999999999E-2</v>
      </c>
      <c r="K129" s="6">
        <f t="shared" si="1"/>
        <v>0</v>
      </c>
      <c r="L129" s="22"/>
      <c r="N129" s="21"/>
      <c r="O129" s="6">
        <v>64</v>
      </c>
      <c r="P129" s="6"/>
      <c r="Q129" s="6"/>
      <c r="R129" s="6"/>
      <c r="S129" s="6"/>
      <c r="T129" s="6"/>
      <c r="U129" s="6"/>
      <c r="V129" s="6"/>
      <c r="W129" s="22"/>
    </row>
    <row r="130" spans="2:23" x14ac:dyDescent="0.35">
      <c r="B130" s="6"/>
      <c r="C130" s="6"/>
      <c r="D130" s="6"/>
      <c r="E130" s="6"/>
      <c r="F130" s="6"/>
      <c r="G130" s="21"/>
      <c r="H130" s="6"/>
      <c r="I130" s="6" t="s">
        <v>52</v>
      </c>
      <c r="J130" s="30">
        <f>$G$42 * 0.001</f>
        <v>3.125E-2</v>
      </c>
      <c r="K130" s="6">
        <f t="shared" si="1"/>
        <v>0</v>
      </c>
      <c r="L130" s="22"/>
      <c r="N130" s="21"/>
      <c r="O130" s="6"/>
      <c r="P130" s="6"/>
      <c r="Q130" s="6"/>
      <c r="R130" s="6"/>
      <c r="S130" s="6"/>
      <c r="T130" s="6"/>
      <c r="U130" s="6"/>
      <c r="V130" s="6"/>
      <c r="W130" s="22"/>
    </row>
    <row r="131" spans="2:23" x14ac:dyDescent="0.35">
      <c r="B131" s="6"/>
      <c r="C131" s="6"/>
      <c r="D131" s="6"/>
      <c r="E131" s="6"/>
      <c r="F131" s="6"/>
      <c r="G131" s="21"/>
      <c r="H131" s="6"/>
      <c r="I131" s="6" t="s">
        <v>427</v>
      </c>
      <c r="J131" s="46">
        <v>0.5</v>
      </c>
      <c r="K131" s="6">
        <f t="shared" si="1"/>
        <v>0</v>
      </c>
      <c r="L131" s="22"/>
      <c r="N131" s="21" t="s">
        <v>336</v>
      </c>
      <c r="O131" s="6"/>
      <c r="P131" s="6"/>
      <c r="Q131" s="6"/>
      <c r="R131" s="6"/>
      <c r="S131" s="6"/>
      <c r="T131" s="6"/>
      <c r="U131" s="6"/>
      <c r="V131" s="6"/>
      <c r="W131" s="22"/>
    </row>
    <row r="132" spans="2:23" x14ac:dyDescent="0.35">
      <c r="B132" s="6"/>
      <c r="C132" s="6"/>
      <c r="D132" s="6"/>
      <c r="E132" s="6"/>
      <c r="F132" s="6"/>
      <c r="G132" s="21"/>
      <c r="H132" s="6"/>
      <c r="I132" s="6" t="s">
        <v>6</v>
      </c>
      <c r="J132" s="47">
        <f>$K$12</f>
        <v>4</v>
      </c>
      <c r="K132" s="6">
        <f t="shared" si="1"/>
        <v>0</v>
      </c>
      <c r="L132" s="22"/>
      <c r="N132" s="21"/>
      <c r="O132" s="6">
        <v>1</v>
      </c>
      <c r="P132" s="6"/>
      <c r="Q132" s="6"/>
      <c r="R132" s="6"/>
      <c r="S132" s="6"/>
      <c r="T132" s="6"/>
      <c r="U132" s="6"/>
      <c r="V132" s="6"/>
      <c r="W132" s="22"/>
    </row>
    <row r="133" spans="2:23" x14ac:dyDescent="0.35">
      <c r="B133" s="6"/>
      <c r="C133" s="6"/>
      <c r="D133" s="6"/>
      <c r="E133" s="6"/>
      <c r="F133" s="6"/>
      <c r="G133" s="21"/>
      <c r="H133" s="6"/>
      <c r="I133" s="6"/>
      <c r="J133" s="6"/>
      <c r="K133" s="6">
        <f>SUM(K125:K132)</f>
        <v>26.666666666666664</v>
      </c>
      <c r="L133" s="22"/>
      <c r="N133" s="21"/>
      <c r="O133" s="6">
        <v>2</v>
      </c>
      <c r="P133" s="6"/>
      <c r="Q133" s="6"/>
      <c r="R133" s="6"/>
      <c r="S133" s="6"/>
      <c r="T133" s="6"/>
      <c r="U133" s="6"/>
      <c r="V133" s="6"/>
      <c r="W133" s="22"/>
    </row>
    <row r="134" spans="2:23" x14ac:dyDescent="0.35">
      <c r="B134" s="6"/>
      <c r="C134" s="6"/>
      <c r="D134" s="6"/>
      <c r="E134" s="6"/>
      <c r="F134" s="6"/>
      <c r="G134" s="21"/>
      <c r="L134" s="22"/>
      <c r="N134" s="21"/>
      <c r="O134" s="7">
        <v>4</v>
      </c>
      <c r="P134" s="6"/>
      <c r="Q134" s="6"/>
      <c r="R134" s="6"/>
      <c r="S134" s="6"/>
      <c r="T134" s="6"/>
      <c r="U134" s="6"/>
      <c r="V134" s="6"/>
      <c r="W134" s="22"/>
    </row>
    <row r="135" spans="2:23" x14ac:dyDescent="0.35">
      <c r="B135" s="6"/>
      <c r="C135" s="6"/>
      <c r="D135" s="6"/>
      <c r="E135" s="6"/>
      <c r="F135" s="6"/>
      <c r="G135" s="21"/>
      <c r="H135" s="5" t="s">
        <v>428</v>
      </c>
      <c r="I135" s="6" t="s">
        <v>41</v>
      </c>
      <c r="J135" s="6">
        <f>IF($M$35="DIV_1", 1, 0)</f>
        <v>0</v>
      </c>
      <c r="L135" s="22"/>
      <c r="N135" s="21"/>
      <c r="O135" s="6">
        <v>8</v>
      </c>
      <c r="P135" s="6"/>
      <c r="Q135" s="6"/>
      <c r="R135" s="6"/>
      <c r="S135" s="6"/>
      <c r="T135" s="6"/>
      <c r="U135" s="6"/>
      <c r="V135" s="6"/>
      <c r="W135" s="22"/>
    </row>
    <row r="136" spans="2:23" x14ac:dyDescent="0.35">
      <c r="B136" s="6"/>
      <c r="C136" s="6"/>
      <c r="D136" s="6"/>
      <c r="E136" s="6"/>
      <c r="F136" s="6"/>
      <c r="G136" s="21"/>
      <c r="I136" s="6" t="s">
        <v>4</v>
      </c>
      <c r="J136" s="6">
        <f>IF($M$35="DIV_2",2, 0)</f>
        <v>0</v>
      </c>
      <c r="L136" s="22"/>
      <c r="N136" s="21"/>
      <c r="O136" s="6"/>
      <c r="P136" s="6"/>
      <c r="Q136" s="6"/>
      <c r="R136" s="6"/>
      <c r="S136" s="6"/>
      <c r="T136" s="6"/>
      <c r="U136" s="6"/>
      <c r="V136" s="6"/>
      <c r="W136" s="22"/>
    </row>
    <row r="137" spans="2:23" x14ac:dyDescent="0.35">
      <c r="B137" s="6"/>
      <c r="C137" s="6"/>
      <c r="D137" s="6"/>
      <c r="E137" s="6"/>
      <c r="F137" s="6"/>
      <c r="G137" s="21"/>
      <c r="I137" s="6" t="s">
        <v>42</v>
      </c>
      <c r="J137" s="6">
        <f>IF($M$35="DIV_3", 3, 0)</f>
        <v>3</v>
      </c>
      <c r="L137" s="22"/>
      <c r="N137" s="21" t="s">
        <v>287</v>
      </c>
      <c r="O137" s="6"/>
      <c r="P137" s="6"/>
      <c r="Q137" s="6"/>
      <c r="R137" s="6"/>
      <c r="S137" s="6"/>
      <c r="T137" s="6"/>
      <c r="U137" s="6"/>
      <c r="V137" s="6"/>
      <c r="W137" s="22"/>
    </row>
    <row r="138" spans="2:23" x14ac:dyDescent="0.35">
      <c r="B138" s="6"/>
      <c r="C138" s="6"/>
      <c r="D138" s="6"/>
      <c r="E138" s="6"/>
      <c r="F138" s="6"/>
      <c r="G138" s="21"/>
      <c r="I138" s="6" t="s">
        <v>43</v>
      </c>
      <c r="J138" s="6">
        <f>IF($M$35="DIV_4", 4, 0)</f>
        <v>0</v>
      </c>
      <c r="L138" s="22"/>
      <c r="N138" s="21"/>
      <c r="O138" s="6" t="s">
        <v>298</v>
      </c>
      <c r="P138" s="6"/>
      <c r="Q138" s="6"/>
      <c r="R138" s="6"/>
      <c r="S138" s="6"/>
      <c r="T138" s="6"/>
      <c r="U138" s="6"/>
      <c r="V138" s="6"/>
      <c r="W138" s="22"/>
    </row>
    <row r="139" spans="2:23" x14ac:dyDescent="0.35">
      <c r="B139" s="6"/>
      <c r="C139" s="6"/>
      <c r="D139" s="6"/>
      <c r="E139" s="6"/>
      <c r="F139" s="6"/>
      <c r="G139" s="21"/>
      <c r="I139" s="6" t="s">
        <v>44</v>
      </c>
      <c r="J139" s="6">
        <f>IF($M$35="DIV_5", 5, 0)</f>
        <v>0</v>
      </c>
      <c r="L139" s="22"/>
      <c r="N139" s="21"/>
      <c r="O139" s="6" t="s">
        <v>299</v>
      </c>
      <c r="P139" s="6"/>
      <c r="Q139" s="6"/>
      <c r="R139" s="6"/>
      <c r="S139" s="6"/>
      <c r="T139" s="6"/>
      <c r="U139" s="6"/>
      <c r="V139" s="6"/>
      <c r="W139" s="22"/>
    </row>
    <row r="140" spans="2:23" x14ac:dyDescent="0.35">
      <c r="B140" s="6"/>
      <c r="C140" s="6"/>
      <c r="D140" s="6"/>
      <c r="E140" s="6"/>
      <c r="F140" s="6"/>
      <c r="G140" s="21"/>
      <c r="I140" s="6" t="s">
        <v>45</v>
      </c>
      <c r="J140" s="6">
        <f>IF($M$35="DIV_6", 6, 0)</f>
        <v>0</v>
      </c>
      <c r="L140" s="22"/>
      <c r="N140" s="21"/>
      <c r="O140" s="6" t="s">
        <v>300</v>
      </c>
      <c r="P140" s="6"/>
      <c r="Q140" s="6"/>
      <c r="R140" s="6"/>
      <c r="S140" s="6"/>
      <c r="T140" s="6"/>
      <c r="U140" s="6"/>
      <c r="V140" s="6"/>
      <c r="W140" s="22"/>
    </row>
    <row r="141" spans="2:23" x14ac:dyDescent="0.35">
      <c r="B141" s="6"/>
      <c r="C141" s="6"/>
      <c r="D141" s="6"/>
      <c r="E141" s="6"/>
      <c r="F141" s="6"/>
      <c r="G141" s="21"/>
      <c r="I141" s="6" t="s">
        <v>420</v>
      </c>
      <c r="J141" s="6">
        <f>IF($M$35="DIV_10", 10, 0)</f>
        <v>0</v>
      </c>
      <c r="L141" s="22"/>
      <c r="N141" s="21"/>
      <c r="O141" s="6" t="s">
        <v>301</v>
      </c>
      <c r="P141" s="6"/>
      <c r="Q141" s="6"/>
      <c r="R141" s="6"/>
      <c r="S141" s="6"/>
      <c r="T141" s="6"/>
      <c r="U141" s="6"/>
      <c r="V141" s="6"/>
      <c r="W141" s="22"/>
    </row>
    <row r="142" spans="2:23" x14ac:dyDescent="0.35">
      <c r="B142" s="6"/>
      <c r="C142" s="6"/>
      <c r="D142" s="6"/>
      <c r="E142" s="6"/>
      <c r="F142" s="6"/>
      <c r="G142" s="21"/>
      <c r="I142" s="6" t="s">
        <v>421</v>
      </c>
      <c r="J142" s="6">
        <f>IF($M$35="DIV_12", 12, 0)</f>
        <v>0</v>
      </c>
      <c r="L142" s="22"/>
      <c r="N142" s="21"/>
      <c r="O142" s="6" t="s">
        <v>302</v>
      </c>
      <c r="P142" s="6"/>
      <c r="Q142" s="6"/>
      <c r="R142" s="6"/>
      <c r="S142" s="6"/>
      <c r="T142" s="6"/>
      <c r="U142" s="6"/>
      <c r="V142" s="6"/>
      <c r="W142" s="22"/>
    </row>
    <row r="143" spans="2:23" x14ac:dyDescent="0.35">
      <c r="B143" s="6"/>
      <c r="C143" s="6"/>
      <c r="D143" s="6"/>
      <c r="E143" s="6"/>
      <c r="F143" s="6"/>
      <c r="G143" s="21"/>
      <c r="J143" s="5">
        <f>SUM(J135:J142)</f>
        <v>3</v>
      </c>
      <c r="L143" s="22"/>
      <c r="N143" s="21"/>
      <c r="O143" s="6" t="s">
        <v>303</v>
      </c>
      <c r="P143" s="6"/>
      <c r="Q143" s="6"/>
      <c r="R143" s="6"/>
      <c r="S143" s="6"/>
      <c r="T143" s="6"/>
      <c r="U143" s="6"/>
      <c r="V143" s="6"/>
      <c r="W143" s="22"/>
    </row>
    <row r="144" spans="2:23" x14ac:dyDescent="0.35">
      <c r="B144" s="6"/>
      <c r="C144" s="6"/>
      <c r="D144" s="6"/>
      <c r="E144" s="6"/>
      <c r="F144" s="6"/>
      <c r="G144" s="21"/>
      <c r="H144" s="6"/>
      <c r="I144" s="6"/>
      <c r="J144" s="6"/>
      <c r="K144" s="6"/>
      <c r="L144" s="22"/>
      <c r="N144" s="21"/>
      <c r="O144" s="6" t="s">
        <v>304</v>
      </c>
      <c r="P144" s="6"/>
      <c r="Q144" s="6"/>
      <c r="R144" s="6"/>
      <c r="S144" s="6"/>
      <c r="T144" s="6"/>
      <c r="U144" s="6"/>
      <c r="V144" s="6"/>
      <c r="W144" s="22"/>
    </row>
    <row r="145" spans="2:23" x14ac:dyDescent="0.35">
      <c r="B145" s="6"/>
      <c r="C145" s="6"/>
      <c r="D145" s="6"/>
      <c r="E145" s="6"/>
      <c r="F145" s="6"/>
      <c r="G145" s="21"/>
      <c r="H145" s="7" t="s">
        <v>196</v>
      </c>
      <c r="I145" s="6" t="s">
        <v>0</v>
      </c>
      <c r="J145" s="6"/>
      <c r="K145" s="6"/>
      <c r="L145" s="22"/>
      <c r="N145" s="21"/>
      <c r="O145" s="6" t="s">
        <v>286</v>
      </c>
      <c r="P145" s="6"/>
      <c r="Q145" s="6"/>
      <c r="R145" s="6"/>
      <c r="S145" s="6"/>
      <c r="T145" s="6"/>
      <c r="U145" s="6"/>
      <c r="V145" s="6"/>
      <c r="W145" s="22"/>
    </row>
    <row r="146" spans="2:23" x14ac:dyDescent="0.35">
      <c r="B146" s="6"/>
      <c r="C146" s="6"/>
      <c r="D146" s="6"/>
      <c r="E146" s="6"/>
      <c r="F146" s="6"/>
      <c r="G146" s="21"/>
      <c r="H146" s="6"/>
      <c r="I146" s="6" t="s">
        <v>7</v>
      </c>
      <c r="J146" s="6"/>
      <c r="K146" s="6"/>
      <c r="L146" s="22"/>
      <c r="N146" s="21"/>
      <c r="O146" s="6"/>
      <c r="P146" s="6"/>
      <c r="Q146" s="6"/>
      <c r="R146" s="6"/>
      <c r="S146" s="6"/>
      <c r="T146" s="6"/>
      <c r="U146" s="6"/>
      <c r="V146" s="6"/>
      <c r="W146" s="22"/>
    </row>
    <row r="147" spans="2:23" x14ac:dyDescent="0.35">
      <c r="B147" s="6"/>
      <c r="C147" s="6"/>
      <c r="D147" s="6"/>
      <c r="E147" s="6"/>
      <c r="F147" s="6"/>
      <c r="G147" s="21"/>
      <c r="H147" s="6"/>
      <c r="I147" s="6"/>
      <c r="J147" s="6"/>
      <c r="K147" s="6"/>
      <c r="L147" s="22"/>
      <c r="N147" s="21" t="s">
        <v>305</v>
      </c>
      <c r="O147" s="6"/>
      <c r="P147" s="6"/>
      <c r="Q147" s="6"/>
      <c r="R147" s="6"/>
      <c r="S147" s="6"/>
      <c r="T147" s="6"/>
      <c r="U147" s="6"/>
      <c r="V147" s="6"/>
      <c r="W147" s="22"/>
    </row>
    <row r="148" spans="2:23" x14ac:dyDescent="0.35">
      <c r="B148" s="6"/>
      <c r="C148" s="6"/>
      <c r="D148" s="6"/>
      <c r="E148" s="6"/>
      <c r="F148" s="6"/>
      <c r="G148" s="21"/>
      <c r="H148" s="7" t="s">
        <v>202</v>
      </c>
      <c r="I148" s="6" t="s">
        <v>0</v>
      </c>
      <c r="J148" s="6"/>
      <c r="K148" s="6"/>
      <c r="L148" s="22"/>
      <c r="N148" s="21"/>
      <c r="O148" s="6" t="s">
        <v>297</v>
      </c>
      <c r="P148" s="6"/>
      <c r="Q148" s="6"/>
      <c r="R148" s="6"/>
      <c r="S148" s="6"/>
      <c r="T148" s="6"/>
      <c r="U148" s="6"/>
      <c r="V148" s="6"/>
      <c r="W148" s="22"/>
    </row>
    <row r="149" spans="2:23" x14ac:dyDescent="0.35">
      <c r="B149" s="6"/>
      <c r="C149" s="6"/>
      <c r="D149" s="6"/>
      <c r="E149" s="6"/>
      <c r="F149" s="6"/>
      <c r="G149" s="21"/>
      <c r="H149" s="6"/>
      <c r="I149" s="6" t="s">
        <v>7</v>
      </c>
      <c r="J149" s="6"/>
      <c r="K149" s="6"/>
      <c r="L149" s="22"/>
      <c r="N149" s="21"/>
      <c r="O149" s="6" t="s">
        <v>296</v>
      </c>
      <c r="P149" s="6"/>
      <c r="Q149" s="6"/>
      <c r="R149" s="6"/>
      <c r="S149" s="6"/>
      <c r="T149" s="6"/>
      <c r="U149" s="6"/>
      <c r="V149" s="6"/>
      <c r="W149" s="22"/>
    </row>
    <row r="150" spans="2:23" x14ac:dyDescent="0.35">
      <c r="B150" s="6"/>
      <c r="C150" s="6"/>
      <c r="D150" s="6"/>
      <c r="E150" s="6"/>
      <c r="F150" s="6"/>
      <c r="G150" s="21"/>
      <c r="H150" s="6"/>
      <c r="I150" s="6"/>
      <c r="J150" s="6"/>
      <c r="K150" s="6"/>
      <c r="L150" s="22"/>
      <c r="N150" s="21"/>
      <c r="O150" s="6"/>
      <c r="P150" s="6"/>
      <c r="Q150" s="6"/>
      <c r="R150" s="6"/>
      <c r="S150" s="6"/>
      <c r="T150" s="6"/>
      <c r="U150" s="6"/>
      <c r="V150" s="6"/>
      <c r="W150" s="22"/>
    </row>
    <row r="151" spans="2:23" x14ac:dyDescent="0.35">
      <c r="B151" s="6"/>
      <c r="C151" s="6"/>
      <c r="D151" s="6"/>
      <c r="E151" s="6"/>
      <c r="F151" s="6"/>
      <c r="G151" s="21"/>
      <c r="H151" s="7" t="s">
        <v>203</v>
      </c>
      <c r="I151" s="6" t="s">
        <v>0</v>
      </c>
      <c r="J151" s="6"/>
      <c r="K151" s="6"/>
      <c r="L151" s="22"/>
      <c r="N151" s="21" t="s">
        <v>429</v>
      </c>
      <c r="O151" s="6"/>
      <c r="P151" s="6"/>
      <c r="Q151" s="6"/>
      <c r="R151" s="6"/>
      <c r="S151" s="6"/>
      <c r="T151" s="6"/>
      <c r="U151" s="6"/>
      <c r="V151" s="6"/>
      <c r="W151" s="22"/>
    </row>
    <row r="152" spans="2:23" x14ac:dyDescent="0.35">
      <c r="B152" s="6"/>
      <c r="C152" s="6"/>
      <c r="D152" s="6"/>
      <c r="E152" s="6"/>
      <c r="F152" s="6"/>
      <c r="G152" s="21"/>
      <c r="H152" s="6"/>
      <c r="I152" s="6" t="s">
        <v>7</v>
      </c>
      <c r="J152" s="6"/>
      <c r="K152" s="6"/>
      <c r="L152" s="22"/>
      <c r="N152" s="21"/>
      <c r="O152" s="6" t="s">
        <v>410</v>
      </c>
      <c r="P152" s="6"/>
      <c r="Q152" s="6"/>
      <c r="R152" s="6"/>
      <c r="T152" s="6"/>
      <c r="U152" s="6"/>
      <c r="V152" s="6"/>
      <c r="W152" s="22"/>
    </row>
    <row r="153" spans="2:23" x14ac:dyDescent="0.35">
      <c r="B153" s="6"/>
      <c r="C153" s="6"/>
      <c r="D153" s="6"/>
      <c r="E153" s="6"/>
      <c r="F153" s="6"/>
      <c r="G153" s="21"/>
      <c r="H153" s="6"/>
      <c r="I153" s="6"/>
      <c r="J153" s="6"/>
      <c r="K153" s="6"/>
      <c r="L153" s="22"/>
      <c r="N153" s="21"/>
      <c r="O153" s="6" t="s">
        <v>430</v>
      </c>
      <c r="P153" s="6"/>
      <c r="Q153" s="6"/>
      <c r="R153" s="6"/>
      <c r="S153" s="6"/>
      <c r="T153" s="6"/>
      <c r="U153" s="6"/>
      <c r="V153" s="6"/>
      <c r="W153" s="22"/>
    </row>
    <row r="154" spans="2:23" x14ac:dyDescent="0.35">
      <c r="B154" s="6"/>
      <c r="C154" s="6"/>
      <c r="D154" s="6"/>
      <c r="E154" s="6"/>
      <c r="F154" s="6"/>
      <c r="G154" s="21"/>
      <c r="H154" s="6" t="s">
        <v>413</v>
      </c>
      <c r="I154" s="6" t="s">
        <v>41</v>
      </c>
      <c r="J154" s="6">
        <f>IF($Q$45="DIV_1", 1, 0)</f>
        <v>0</v>
      </c>
      <c r="K154" s="6"/>
      <c r="L154" s="22"/>
      <c r="N154" s="21"/>
      <c r="O154" s="6"/>
      <c r="P154" s="6"/>
      <c r="Q154" s="6"/>
      <c r="R154" s="6"/>
      <c r="S154" s="6"/>
      <c r="T154" s="6"/>
      <c r="U154" s="6"/>
      <c r="V154" s="6"/>
      <c r="W154" s="22"/>
    </row>
    <row r="155" spans="2:23" x14ac:dyDescent="0.35">
      <c r="B155" s="6"/>
      <c r="C155" s="6"/>
      <c r="D155" s="6"/>
      <c r="E155" s="6"/>
      <c r="F155" s="6"/>
      <c r="G155" s="21"/>
      <c r="H155" s="6"/>
      <c r="I155" s="6" t="s">
        <v>4</v>
      </c>
      <c r="J155" s="6">
        <f>IF($Q$45="DIV_2", 2, 0)</f>
        <v>2</v>
      </c>
      <c r="K155" s="6"/>
      <c r="L155" s="22"/>
      <c r="N155" s="21" t="s">
        <v>313</v>
      </c>
      <c r="O155" s="6"/>
      <c r="P155" s="6"/>
      <c r="Q155" s="6"/>
      <c r="R155" s="6"/>
      <c r="S155" s="6"/>
      <c r="T155" s="6"/>
      <c r="U155" s="6"/>
      <c r="V155" s="6"/>
      <c r="W155" s="22"/>
    </row>
    <row r="156" spans="2:23" x14ac:dyDescent="0.35">
      <c r="B156" s="6"/>
      <c r="C156" s="6"/>
      <c r="D156" s="6"/>
      <c r="E156" s="6"/>
      <c r="F156" s="6"/>
      <c r="G156" s="21"/>
      <c r="H156" s="6"/>
      <c r="I156" s="6" t="s">
        <v>43</v>
      </c>
      <c r="J156" s="6">
        <f>IF($Q$45="DIV_4", 4, 0)</f>
        <v>0</v>
      </c>
      <c r="K156" s="6"/>
      <c r="L156" s="22"/>
      <c r="N156" s="21"/>
      <c r="O156" s="6" t="s">
        <v>315</v>
      </c>
      <c r="P156" s="6"/>
      <c r="Q156" s="6"/>
      <c r="R156" s="6"/>
      <c r="S156" s="6"/>
      <c r="T156" s="6"/>
      <c r="U156" s="6"/>
      <c r="V156" s="6"/>
      <c r="W156" s="22"/>
    </row>
    <row r="157" spans="2:23" x14ac:dyDescent="0.35">
      <c r="B157" s="6"/>
      <c r="C157" s="6"/>
      <c r="D157" s="6"/>
      <c r="E157" s="6"/>
      <c r="F157" s="6"/>
      <c r="G157" s="21"/>
      <c r="H157" s="6"/>
      <c r="I157" s="6" t="s">
        <v>1</v>
      </c>
      <c r="J157" s="6">
        <f>IF($Q$45="DIV_8", 8, 0)</f>
        <v>0</v>
      </c>
      <c r="K157" s="6"/>
      <c r="L157" s="22"/>
      <c r="N157" s="21"/>
      <c r="O157" s="6" t="s">
        <v>314</v>
      </c>
      <c r="P157" s="6"/>
      <c r="Q157" s="6"/>
      <c r="R157" s="6"/>
      <c r="S157" s="6"/>
      <c r="T157" s="6"/>
      <c r="U157" s="6"/>
      <c r="V157" s="6"/>
      <c r="W157" s="22"/>
    </row>
    <row r="158" spans="2:23" ht="13.9" thickBot="1" x14ac:dyDescent="0.4">
      <c r="B158" s="6"/>
      <c r="C158" s="6"/>
      <c r="D158" s="6"/>
      <c r="E158" s="6"/>
      <c r="F158" s="6"/>
      <c r="G158" s="24"/>
      <c r="H158" s="25"/>
      <c r="I158" s="25"/>
      <c r="J158" s="25">
        <f>SUM(J154:J157)</f>
        <v>2</v>
      </c>
      <c r="K158" s="25"/>
      <c r="L158" s="26"/>
      <c r="N158" s="21"/>
      <c r="O158" s="6"/>
      <c r="P158" s="6"/>
      <c r="Q158" s="6"/>
      <c r="R158" s="6"/>
      <c r="S158" s="6"/>
      <c r="T158" s="6"/>
      <c r="U158" s="6"/>
      <c r="V158" s="6"/>
      <c r="W158" s="22"/>
    </row>
    <row r="159" spans="2:23" x14ac:dyDescent="0.35">
      <c r="B159" s="6"/>
      <c r="C159" s="6"/>
      <c r="D159" s="6"/>
      <c r="E159" s="6"/>
      <c r="F159" s="6"/>
      <c r="G159" s="6"/>
      <c r="H159" s="6"/>
      <c r="I159" s="6"/>
      <c r="J159" s="6"/>
      <c r="K159" s="6"/>
      <c r="L159" s="6"/>
      <c r="N159" s="21" t="s">
        <v>316</v>
      </c>
      <c r="O159" s="6"/>
      <c r="P159" s="6"/>
      <c r="Q159" s="6"/>
      <c r="R159" s="6"/>
      <c r="S159" s="6"/>
      <c r="T159" s="6"/>
      <c r="U159" s="6"/>
      <c r="V159" s="6"/>
      <c r="W159" s="22"/>
    </row>
    <row r="160" spans="2:23" x14ac:dyDescent="0.35">
      <c r="B160" s="6"/>
      <c r="C160" s="6"/>
      <c r="D160" s="6"/>
      <c r="E160" s="6"/>
      <c r="F160" s="6"/>
      <c r="G160" s="6"/>
      <c r="H160" s="6"/>
      <c r="I160" s="6"/>
      <c r="J160" s="6"/>
      <c r="K160" s="6"/>
      <c r="L160" s="6"/>
      <c r="N160" s="21"/>
      <c r="O160" s="6" t="s">
        <v>318</v>
      </c>
      <c r="P160" s="6"/>
      <c r="Q160" s="6"/>
      <c r="R160" s="6"/>
      <c r="S160" s="6"/>
      <c r="T160" s="6"/>
      <c r="U160" s="6"/>
      <c r="V160" s="6"/>
      <c r="W160" s="22"/>
    </row>
    <row r="161" spans="2:23" x14ac:dyDescent="0.35">
      <c r="B161" s="6"/>
      <c r="C161" s="6"/>
      <c r="D161" s="6"/>
      <c r="E161" s="6"/>
      <c r="F161" s="6"/>
      <c r="G161" s="6"/>
      <c r="H161" s="6"/>
      <c r="I161" s="6"/>
      <c r="J161" s="6"/>
      <c r="K161" s="6"/>
      <c r="L161" s="6"/>
      <c r="N161" s="21"/>
      <c r="O161" s="6" t="s">
        <v>319</v>
      </c>
      <c r="P161" s="6"/>
      <c r="Q161" s="6"/>
      <c r="R161" s="6"/>
      <c r="S161" s="6"/>
      <c r="T161" s="6"/>
      <c r="U161" s="6"/>
      <c r="V161" s="6"/>
      <c r="W161" s="22"/>
    </row>
    <row r="162" spans="2:23" x14ac:dyDescent="0.35">
      <c r="B162" s="6"/>
      <c r="C162" s="6"/>
      <c r="D162" s="6"/>
      <c r="E162" s="6"/>
      <c r="F162" s="6"/>
      <c r="G162" s="6"/>
      <c r="H162" s="6"/>
      <c r="I162" s="6"/>
      <c r="J162" s="6"/>
      <c r="K162" s="6"/>
      <c r="L162" s="6"/>
      <c r="N162" s="21"/>
      <c r="O162" s="6" t="s">
        <v>320</v>
      </c>
      <c r="P162" s="6"/>
      <c r="Q162" s="6"/>
      <c r="R162" s="6"/>
      <c r="S162" s="6"/>
      <c r="T162" s="6"/>
      <c r="U162" s="6"/>
      <c r="V162" s="6"/>
      <c r="W162" s="22"/>
    </row>
    <row r="163" spans="2:23" x14ac:dyDescent="0.35">
      <c r="B163" s="6"/>
      <c r="C163" s="6"/>
      <c r="D163" s="6"/>
      <c r="E163" s="6"/>
      <c r="F163" s="6"/>
      <c r="G163" s="6"/>
      <c r="H163" s="6"/>
      <c r="I163" s="6"/>
      <c r="J163" s="6"/>
      <c r="K163" s="6"/>
      <c r="L163" s="6"/>
      <c r="N163" s="21"/>
      <c r="O163" s="6" t="s">
        <v>321</v>
      </c>
      <c r="P163" s="6"/>
      <c r="Q163" s="6"/>
      <c r="R163" s="6"/>
      <c r="S163" s="6"/>
      <c r="T163" s="6"/>
      <c r="U163" s="6"/>
      <c r="V163" s="6"/>
      <c r="W163" s="22"/>
    </row>
    <row r="164" spans="2:23" x14ac:dyDescent="0.35">
      <c r="B164" s="6"/>
      <c r="C164" s="6"/>
      <c r="D164" s="6"/>
      <c r="E164" s="6"/>
      <c r="F164" s="6"/>
      <c r="G164" s="6"/>
      <c r="H164" s="7"/>
      <c r="I164" s="6"/>
      <c r="J164" s="6"/>
      <c r="K164" s="6"/>
      <c r="L164" s="6"/>
      <c r="N164" s="21"/>
      <c r="O164" s="6" t="s">
        <v>322</v>
      </c>
      <c r="P164" s="6"/>
      <c r="Q164" s="6"/>
      <c r="R164" s="6"/>
      <c r="S164" s="6"/>
      <c r="T164" s="6"/>
      <c r="U164" s="6"/>
      <c r="V164" s="6"/>
      <c r="W164" s="22"/>
    </row>
    <row r="165" spans="2:23" x14ac:dyDescent="0.35">
      <c r="B165" s="6"/>
      <c r="C165" s="6"/>
      <c r="D165" s="6"/>
      <c r="E165" s="6"/>
      <c r="F165" s="6"/>
      <c r="G165" s="6"/>
      <c r="H165" s="6"/>
      <c r="I165" s="6"/>
      <c r="J165" s="6"/>
      <c r="K165" s="6"/>
      <c r="L165" s="6"/>
      <c r="N165" s="21"/>
      <c r="O165" s="6" t="s">
        <v>323</v>
      </c>
      <c r="P165" s="6"/>
      <c r="Q165" s="6"/>
      <c r="R165" s="6"/>
      <c r="S165" s="6"/>
      <c r="T165" s="6"/>
      <c r="U165" s="6"/>
      <c r="V165" s="6"/>
      <c r="W165" s="22"/>
    </row>
    <row r="166" spans="2:23" x14ac:dyDescent="0.35">
      <c r="B166" s="6"/>
      <c r="C166" s="6"/>
      <c r="D166" s="6"/>
      <c r="E166" s="6"/>
      <c r="F166" s="6"/>
      <c r="G166" s="6"/>
      <c r="H166" s="6"/>
      <c r="I166" s="6"/>
      <c r="J166" s="6"/>
      <c r="K166" s="6"/>
      <c r="L166" s="6"/>
      <c r="N166" s="21"/>
      <c r="O166" s="6" t="s">
        <v>324</v>
      </c>
      <c r="P166" s="6"/>
      <c r="Q166" s="6"/>
      <c r="R166" s="6"/>
      <c r="S166" s="6"/>
      <c r="T166" s="6"/>
      <c r="U166" s="6"/>
      <c r="V166" s="6"/>
      <c r="W166" s="22"/>
    </row>
    <row r="167" spans="2:23" x14ac:dyDescent="0.35">
      <c r="B167" s="6"/>
      <c r="C167" s="6"/>
      <c r="D167" s="6"/>
      <c r="E167" s="6"/>
      <c r="F167" s="6"/>
      <c r="G167" s="6"/>
      <c r="H167" s="6"/>
      <c r="I167" s="6"/>
      <c r="J167" s="6"/>
      <c r="K167" s="6"/>
      <c r="L167" s="6"/>
      <c r="N167" s="21"/>
      <c r="O167" s="6" t="s">
        <v>317</v>
      </c>
      <c r="P167" s="6"/>
      <c r="Q167" s="6"/>
      <c r="R167" s="6"/>
      <c r="S167" s="6"/>
      <c r="T167" s="6"/>
      <c r="U167" s="6"/>
      <c r="V167" s="6"/>
      <c r="W167" s="22"/>
    </row>
    <row r="168" spans="2:23" x14ac:dyDescent="0.35">
      <c r="B168" s="6"/>
      <c r="C168" s="6"/>
      <c r="D168" s="6"/>
      <c r="E168" s="6"/>
      <c r="F168" s="6"/>
      <c r="G168" s="6"/>
      <c r="H168" s="6"/>
      <c r="I168" s="6"/>
      <c r="J168" s="6"/>
      <c r="K168" s="6"/>
      <c r="L168" s="6"/>
      <c r="N168" s="21"/>
      <c r="O168" s="6"/>
      <c r="P168" s="6"/>
      <c r="Q168" s="6"/>
      <c r="R168" s="6"/>
      <c r="S168" s="6"/>
      <c r="T168" s="6"/>
      <c r="U168" s="6"/>
      <c r="V168" s="6"/>
      <c r="W168" s="22"/>
    </row>
    <row r="169" spans="2:23" x14ac:dyDescent="0.35">
      <c r="B169" s="6"/>
      <c r="C169" s="6"/>
      <c r="D169" s="6"/>
      <c r="E169" s="6"/>
      <c r="F169" s="6"/>
      <c r="G169" s="6"/>
      <c r="H169" s="6"/>
      <c r="I169" s="6"/>
      <c r="J169" s="6"/>
      <c r="K169" s="6"/>
      <c r="L169" s="6"/>
      <c r="N169" s="21" t="s">
        <v>325</v>
      </c>
      <c r="O169" s="6"/>
      <c r="P169" s="6"/>
      <c r="Q169" s="6"/>
      <c r="R169" s="6"/>
      <c r="S169" s="6"/>
      <c r="T169" s="6"/>
      <c r="U169" s="6"/>
      <c r="V169" s="6"/>
      <c r="W169" s="22"/>
    </row>
    <row r="170" spans="2:23" x14ac:dyDescent="0.35">
      <c r="B170" s="6"/>
      <c r="C170" s="6"/>
      <c r="D170" s="6"/>
      <c r="E170" s="6"/>
      <c r="F170" s="6"/>
      <c r="G170" s="6"/>
      <c r="H170" s="6"/>
      <c r="I170" s="6"/>
      <c r="J170" s="6"/>
      <c r="K170" s="6"/>
      <c r="L170" s="6"/>
      <c r="N170" s="21"/>
      <c r="O170" s="6">
        <v>15</v>
      </c>
      <c r="P170" s="6"/>
      <c r="Q170" s="6"/>
      <c r="R170" s="6"/>
      <c r="S170" s="6"/>
      <c r="T170" s="6"/>
      <c r="U170" s="6"/>
      <c r="V170" s="6"/>
      <c r="W170" s="22"/>
    </row>
    <row r="171" spans="2:23" x14ac:dyDescent="0.35">
      <c r="B171" s="6"/>
      <c r="C171" s="6"/>
      <c r="D171" s="6"/>
      <c r="E171" s="6"/>
      <c r="F171" s="6"/>
      <c r="G171" s="6"/>
      <c r="H171" s="6"/>
      <c r="I171" s="6"/>
      <c r="J171" s="6"/>
      <c r="K171" s="6"/>
      <c r="L171" s="6"/>
      <c r="N171" s="21"/>
      <c r="O171" s="6">
        <v>16</v>
      </c>
      <c r="P171" s="6"/>
      <c r="Q171" s="6"/>
      <c r="R171" s="6"/>
      <c r="S171" s="6"/>
      <c r="T171" s="6"/>
      <c r="U171" s="6"/>
      <c r="V171" s="6"/>
      <c r="W171" s="22"/>
    </row>
    <row r="172" spans="2:23" x14ac:dyDescent="0.35">
      <c r="B172" s="6"/>
      <c r="C172" s="6"/>
      <c r="D172" s="6"/>
      <c r="E172" s="6"/>
      <c r="F172" s="6"/>
      <c r="G172" s="6"/>
      <c r="H172" s="6"/>
      <c r="I172" s="6"/>
      <c r="J172" s="6"/>
      <c r="K172" s="6"/>
      <c r="L172" s="6"/>
      <c r="N172" s="21"/>
      <c r="O172" s="7">
        <v>17</v>
      </c>
      <c r="P172" s="6"/>
      <c r="Q172" s="6"/>
      <c r="R172" s="6"/>
      <c r="S172" s="6"/>
      <c r="T172" s="6"/>
      <c r="U172" s="6"/>
      <c r="V172" s="6"/>
      <c r="W172" s="22"/>
    </row>
    <row r="173" spans="2:23" x14ac:dyDescent="0.35">
      <c r="B173" s="6"/>
      <c r="C173" s="6"/>
      <c r="D173" s="6"/>
      <c r="E173" s="6"/>
      <c r="F173" s="6"/>
      <c r="G173" s="6"/>
      <c r="H173" s="6"/>
      <c r="I173" s="6"/>
      <c r="J173" s="6"/>
      <c r="K173" s="6"/>
      <c r="L173" s="6"/>
      <c r="N173" s="21"/>
      <c r="O173" s="6">
        <v>18</v>
      </c>
      <c r="P173" s="6"/>
      <c r="Q173" s="6"/>
      <c r="R173" s="6"/>
      <c r="S173" s="6"/>
      <c r="T173" s="6"/>
      <c r="U173" s="6"/>
      <c r="V173" s="6"/>
      <c r="W173" s="22"/>
    </row>
    <row r="174" spans="2:23" x14ac:dyDescent="0.35">
      <c r="B174" s="6"/>
      <c r="C174" s="6"/>
      <c r="D174" s="6"/>
      <c r="E174" s="6"/>
      <c r="F174" s="6"/>
      <c r="G174" s="6"/>
      <c r="H174" s="6"/>
      <c r="I174" s="6"/>
      <c r="J174" s="6"/>
      <c r="K174" s="6"/>
      <c r="L174" s="6"/>
      <c r="N174" s="21"/>
      <c r="O174" s="6">
        <v>19</v>
      </c>
      <c r="P174" s="6"/>
      <c r="Q174" s="6"/>
      <c r="R174" s="6"/>
      <c r="S174" s="6"/>
      <c r="T174" s="6"/>
      <c r="U174" s="6"/>
      <c r="V174" s="6"/>
      <c r="W174" s="22"/>
    </row>
    <row r="175" spans="2:23" x14ac:dyDescent="0.35">
      <c r="B175" s="6"/>
      <c r="C175" s="6"/>
      <c r="D175" s="6"/>
      <c r="E175" s="6"/>
      <c r="F175" s="6"/>
      <c r="G175" s="6"/>
      <c r="H175" s="6"/>
      <c r="I175" s="6"/>
      <c r="J175" s="6"/>
      <c r="K175" s="6"/>
      <c r="L175" s="6"/>
      <c r="N175" s="21"/>
      <c r="O175" s="6">
        <v>20</v>
      </c>
      <c r="P175" s="6"/>
      <c r="Q175" s="6"/>
      <c r="R175" s="6"/>
      <c r="S175" s="6"/>
      <c r="T175" s="6"/>
      <c r="U175" s="6"/>
      <c r="V175" s="6"/>
      <c r="W175" s="22"/>
    </row>
    <row r="176" spans="2:23" x14ac:dyDescent="0.35">
      <c r="B176" s="6"/>
      <c r="C176" s="6"/>
      <c r="D176" s="6"/>
      <c r="E176" s="6"/>
      <c r="F176" s="6"/>
      <c r="G176" s="6"/>
      <c r="H176" s="6"/>
      <c r="I176" s="6"/>
      <c r="J176" s="6"/>
      <c r="K176" s="6"/>
      <c r="L176" s="6"/>
      <c r="N176" s="21"/>
      <c r="O176" s="6">
        <v>21</v>
      </c>
      <c r="P176" s="6"/>
      <c r="Q176" s="6"/>
      <c r="R176" s="6"/>
      <c r="S176" s="6"/>
      <c r="T176" s="6"/>
      <c r="U176" s="6"/>
      <c r="V176" s="6"/>
      <c r="W176" s="22"/>
    </row>
    <row r="177" spans="2:23" x14ac:dyDescent="0.35">
      <c r="B177" s="6"/>
      <c r="C177" s="6"/>
      <c r="D177" s="6"/>
      <c r="E177" s="6"/>
      <c r="F177" s="6"/>
      <c r="G177" s="6"/>
      <c r="H177" s="6"/>
      <c r="I177" s="6"/>
      <c r="J177" s="6"/>
      <c r="K177" s="6"/>
      <c r="L177" s="6"/>
      <c r="N177" s="21"/>
      <c r="O177" s="6">
        <v>24</v>
      </c>
      <c r="P177" s="6"/>
      <c r="Q177" s="6"/>
      <c r="R177" s="6"/>
      <c r="S177" s="6"/>
      <c r="T177" s="6"/>
      <c r="U177" s="6"/>
      <c r="V177" s="6"/>
      <c r="W177" s="22"/>
    </row>
    <row r="178" spans="2:23" x14ac:dyDescent="0.35">
      <c r="B178" s="6"/>
      <c r="C178" s="6"/>
      <c r="D178" s="6"/>
      <c r="E178" s="6"/>
      <c r="F178" s="6"/>
      <c r="G178" s="6"/>
      <c r="H178" s="6"/>
      <c r="I178" s="6"/>
      <c r="J178" s="6"/>
      <c r="K178" s="6"/>
      <c r="L178" s="6"/>
      <c r="N178" s="21"/>
      <c r="O178" s="6"/>
      <c r="P178" s="6"/>
      <c r="Q178" s="6"/>
      <c r="R178" s="6"/>
      <c r="S178" s="6"/>
      <c r="T178" s="6"/>
      <c r="U178" s="6"/>
      <c r="V178" s="6"/>
      <c r="W178" s="22"/>
    </row>
    <row r="179" spans="2:23" x14ac:dyDescent="0.35">
      <c r="B179" s="6"/>
      <c r="C179" s="6"/>
      <c r="D179" s="6"/>
      <c r="E179" s="6"/>
      <c r="F179" s="6"/>
      <c r="G179" s="6"/>
      <c r="H179" s="6"/>
      <c r="I179" s="6"/>
      <c r="J179" s="6"/>
      <c r="K179" s="6"/>
      <c r="L179" s="6"/>
      <c r="N179" s="21" t="s">
        <v>328</v>
      </c>
      <c r="O179" s="6"/>
      <c r="P179" s="6"/>
      <c r="Q179" s="6"/>
      <c r="R179" s="6"/>
      <c r="S179" s="6"/>
      <c r="T179" s="6"/>
      <c r="U179" s="6"/>
      <c r="V179" s="6"/>
      <c r="W179" s="22"/>
    </row>
    <row r="180" spans="2:23" x14ac:dyDescent="0.35">
      <c r="B180" s="6"/>
      <c r="C180" s="6"/>
      <c r="D180" s="6"/>
      <c r="E180" s="6"/>
      <c r="F180" s="6"/>
      <c r="G180" s="6"/>
      <c r="H180" s="6"/>
      <c r="I180" s="6"/>
      <c r="J180" s="6"/>
      <c r="K180" s="6"/>
      <c r="L180" s="6"/>
      <c r="N180" s="21"/>
      <c r="O180" s="6" t="s">
        <v>329</v>
      </c>
      <c r="P180" s="6"/>
      <c r="Q180" s="6"/>
      <c r="R180" s="6"/>
      <c r="S180" s="6"/>
      <c r="T180" s="6"/>
      <c r="U180" s="6"/>
      <c r="V180" s="6"/>
      <c r="W180" s="22"/>
    </row>
    <row r="181" spans="2:23" x14ac:dyDescent="0.35">
      <c r="B181" s="6"/>
      <c r="C181" s="6"/>
      <c r="D181" s="6"/>
      <c r="E181" s="6"/>
      <c r="F181" s="6"/>
      <c r="G181" s="6"/>
      <c r="H181" s="6"/>
      <c r="I181" s="6"/>
      <c r="J181" s="6"/>
      <c r="K181" s="6"/>
      <c r="L181" s="6"/>
      <c r="N181" s="21"/>
      <c r="O181" s="6" t="s">
        <v>330</v>
      </c>
      <c r="P181" s="6"/>
      <c r="Q181" s="6"/>
      <c r="R181" s="6"/>
      <c r="S181" s="6"/>
      <c r="T181" s="6"/>
      <c r="U181" s="6"/>
      <c r="V181" s="6"/>
      <c r="W181" s="22"/>
    </row>
    <row r="182" spans="2:23" x14ac:dyDescent="0.35">
      <c r="B182" s="6"/>
      <c r="C182" s="6"/>
      <c r="D182" s="6"/>
      <c r="E182" s="6"/>
      <c r="F182" s="6"/>
      <c r="G182" s="6"/>
      <c r="H182" s="6"/>
      <c r="I182" s="6"/>
      <c r="J182" s="6"/>
      <c r="K182" s="6"/>
      <c r="L182" s="6"/>
      <c r="N182" s="21"/>
      <c r="O182" s="6" t="s">
        <v>331</v>
      </c>
      <c r="P182" s="6"/>
      <c r="Q182" s="6"/>
      <c r="R182" s="6"/>
      <c r="S182" s="6"/>
      <c r="T182" s="6"/>
      <c r="U182" s="6"/>
      <c r="V182" s="6"/>
      <c r="W182" s="22"/>
    </row>
    <row r="183" spans="2:23" x14ac:dyDescent="0.35">
      <c r="B183" s="6"/>
      <c r="C183" s="6"/>
      <c r="D183" s="6"/>
      <c r="E183" s="6"/>
      <c r="F183" s="6"/>
      <c r="G183" s="6"/>
      <c r="H183" s="6"/>
      <c r="I183" s="6"/>
      <c r="J183" s="6"/>
      <c r="K183" s="6"/>
      <c r="L183" s="6"/>
      <c r="N183" s="21"/>
      <c r="O183" s="6" t="s">
        <v>332</v>
      </c>
      <c r="P183" s="6"/>
      <c r="Q183" s="6"/>
      <c r="R183" s="6"/>
      <c r="S183" s="6"/>
      <c r="T183" s="6"/>
      <c r="U183" s="6"/>
      <c r="V183" s="6"/>
      <c r="W183" s="22"/>
    </row>
    <row r="184" spans="2:23" x14ac:dyDescent="0.35">
      <c r="B184" s="6"/>
      <c r="C184" s="6"/>
      <c r="D184" s="6"/>
      <c r="E184" s="6"/>
      <c r="F184" s="6"/>
      <c r="G184" s="6"/>
      <c r="H184" s="6"/>
      <c r="I184" s="6"/>
      <c r="J184" s="6"/>
      <c r="K184" s="6"/>
      <c r="L184" s="6"/>
      <c r="N184" s="21"/>
      <c r="O184" s="6" t="s">
        <v>333</v>
      </c>
      <c r="P184" s="6"/>
      <c r="Q184" s="6"/>
      <c r="R184" s="6"/>
      <c r="S184" s="6"/>
      <c r="T184" s="6"/>
      <c r="U184" s="6"/>
      <c r="V184" s="6"/>
      <c r="W184" s="22"/>
    </row>
    <row r="185" spans="2:23" x14ac:dyDescent="0.35">
      <c r="B185" s="6"/>
      <c r="C185" s="6"/>
      <c r="D185" s="6"/>
      <c r="E185" s="6"/>
      <c r="F185" s="6"/>
      <c r="G185" s="6"/>
      <c r="H185" s="6"/>
      <c r="I185" s="6"/>
      <c r="J185" s="6"/>
      <c r="K185" s="6"/>
      <c r="L185" s="6"/>
      <c r="N185" s="21"/>
      <c r="O185" s="6" t="s">
        <v>334</v>
      </c>
      <c r="P185" s="6"/>
      <c r="Q185" s="6"/>
      <c r="R185" s="6"/>
      <c r="S185" s="6"/>
      <c r="T185" s="6"/>
      <c r="U185" s="6"/>
      <c r="V185" s="6"/>
      <c r="W185" s="22"/>
    </row>
    <row r="186" spans="2:23" x14ac:dyDescent="0.35">
      <c r="B186" s="6"/>
      <c r="C186" s="6"/>
      <c r="D186" s="6"/>
      <c r="E186" s="6"/>
      <c r="F186" s="6"/>
      <c r="G186" s="6"/>
      <c r="H186" s="6"/>
      <c r="I186" s="6"/>
      <c r="J186" s="6"/>
      <c r="K186" s="6"/>
      <c r="L186" s="6"/>
      <c r="N186" s="21"/>
      <c r="O186" s="6" t="s">
        <v>335</v>
      </c>
      <c r="P186" s="6"/>
      <c r="Q186" s="6"/>
      <c r="R186" s="6"/>
      <c r="S186" s="6"/>
      <c r="T186" s="6"/>
      <c r="U186" s="6"/>
      <c r="V186" s="6"/>
      <c r="W186" s="22"/>
    </row>
    <row r="187" spans="2:23" x14ac:dyDescent="0.35">
      <c r="B187" s="6"/>
      <c r="C187" s="6"/>
      <c r="D187" s="6"/>
      <c r="E187" s="6"/>
      <c r="F187" s="6"/>
      <c r="G187" s="6"/>
      <c r="H187" s="6"/>
      <c r="I187" s="6"/>
      <c r="J187" s="6"/>
      <c r="K187" s="6"/>
      <c r="L187" s="6"/>
      <c r="N187" s="21"/>
      <c r="O187" s="6" t="s">
        <v>327</v>
      </c>
      <c r="P187" s="6"/>
      <c r="Q187" s="6"/>
      <c r="R187" s="6"/>
      <c r="S187" s="6"/>
      <c r="T187" s="6"/>
      <c r="U187" s="6"/>
      <c r="V187" s="6"/>
      <c r="W187" s="22"/>
    </row>
    <row r="188" spans="2:23" x14ac:dyDescent="0.35">
      <c r="B188" s="6"/>
      <c r="C188" s="6"/>
      <c r="D188" s="6"/>
      <c r="E188" s="6"/>
      <c r="F188" s="6"/>
      <c r="G188" s="6"/>
      <c r="H188" s="6"/>
      <c r="I188" s="6"/>
      <c r="J188" s="6"/>
      <c r="K188" s="6"/>
      <c r="L188" s="6"/>
      <c r="N188" s="21"/>
      <c r="O188" s="6"/>
      <c r="P188" s="6"/>
      <c r="Q188" s="6"/>
      <c r="R188" s="6"/>
      <c r="S188" s="6"/>
      <c r="T188" s="6"/>
      <c r="U188" s="6"/>
      <c r="V188" s="6"/>
      <c r="W188" s="22"/>
    </row>
    <row r="189" spans="2:23" x14ac:dyDescent="0.35">
      <c r="B189" s="6"/>
      <c r="C189" s="6"/>
      <c r="D189" s="6"/>
      <c r="E189" s="6"/>
      <c r="F189" s="6"/>
      <c r="G189" s="6"/>
      <c r="H189" s="6"/>
      <c r="I189" s="6"/>
      <c r="J189" s="6"/>
      <c r="K189" s="6"/>
      <c r="L189" s="6"/>
      <c r="N189" s="21" t="s">
        <v>351</v>
      </c>
      <c r="O189" s="6"/>
      <c r="P189" s="6"/>
      <c r="Q189" s="6"/>
      <c r="R189" s="6"/>
      <c r="S189" s="6"/>
      <c r="T189" s="6"/>
      <c r="U189" s="6"/>
      <c r="V189" s="6"/>
      <c r="W189" s="22"/>
    </row>
    <row r="190" spans="2:23" x14ac:dyDescent="0.35">
      <c r="B190" s="6"/>
      <c r="C190" s="6"/>
      <c r="D190" s="6"/>
      <c r="E190" s="6"/>
      <c r="F190" s="6"/>
      <c r="G190" s="6"/>
      <c r="H190" s="6"/>
      <c r="I190" s="6"/>
      <c r="J190" s="6"/>
      <c r="K190" s="6"/>
      <c r="L190" s="6"/>
      <c r="N190" s="21"/>
      <c r="O190" s="6" t="s">
        <v>356</v>
      </c>
      <c r="P190" s="6"/>
      <c r="Q190" s="6"/>
      <c r="R190" s="6"/>
      <c r="S190" s="6"/>
      <c r="T190" s="6">
        <f>$M$59</f>
        <v>8</v>
      </c>
      <c r="U190" s="6">
        <f>IF($O$79=O190, T190, 0)</f>
        <v>8</v>
      </c>
      <c r="V190" s="6"/>
      <c r="W190" s="22"/>
    </row>
    <row r="191" spans="2:23" x14ac:dyDescent="0.35">
      <c r="B191" s="6"/>
      <c r="C191" s="6"/>
      <c r="D191" s="6"/>
      <c r="E191" s="6"/>
      <c r="F191" s="6"/>
      <c r="G191" s="6"/>
      <c r="H191" s="6"/>
      <c r="I191" s="6"/>
      <c r="J191" s="6"/>
      <c r="K191" s="6"/>
      <c r="L191" s="6"/>
      <c r="N191" s="21"/>
      <c r="O191" s="6" t="s">
        <v>359</v>
      </c>
      <c r="P191" s="6"/>
      <c r="Q191" s="6"/>
      <c r="R191" s="6"/>
      <c r="S191" s="6"/>
      <c r="T191" s="6">
        <f>$M$61</f>
        <v>53.333333333333329</v>
      </c>
      <c r="U191" s="6">
        <f t="shared" ref="U191:U198" si="2">IF($O$79=O191, T191, 0)</f>
        <v>0</v>
      </c>
      <c r="V191" s="6"/>
      <c r="W191" s="22"/>
    </row>
    <row r="192" spans="2:23" x14ac:dyDescent="0.35">
      <c r="B192" s="6"/>
      <c r="C192" s="6"/>
      <c r="D192" s="6"/>
      <c r="E192" s="6"/>
      <c r="F192" s="6"/>
      <c r="G192" s="6"/>
      <c r="H192" s="6"/>
      <c r="I192" s="6"/>
      <c r="J192" s="6"/>
      <c r="K192" s="6"/>
      <c r="L192" s="6"/>
      <c r="N192" s="21"/>
      <c r="O192" s="6" t="s">
        <v>355</v>
      </c>
      <c r="P192" s="6"/>
      <c r="Q192" s="6"/>
      <c r="R192" s="6"/>
      <c r="S192" s="6"/>
      <c r="T192" s="6">
        <f>$M$63</f>
        <v>8</v>
      </c>
      <c r="U192" s="6">
        <f t="shared" si="2"/>
        <v>0</v>
      </c>
      <c r="V192" s="6"/>
      <c r="W192" s="22"/>
    </row>
    <row r="193" spans="2:23" x14ac:dyDescent="0.35">
      <c r="B193" s="6"/>
      <c r="C193" s="6"/>
      <c r="D193" s="6"/>
      <c r="E193" s="6"/>
      <c r="F193" s="6"/>
      <c r="G193" s="6"/>
      <c r="H193" s="6"/>
      <c r="I193" s="6"/>
      <c r="J193" s="6"/>
      <c r="K193" s="6"/>
      <c r="L193" s="6"/>
      <c r="N193" s="21"/>
      <c r="O193" s="6" t="s">
        <v>431</v>
      </c>
      <c r="P193" s="6"/>
      <c r="Q193" s="6"/>
      <c r="R193" s="6"/>
      <c r="S193" s="6"/>
      <c r="T193" s="6">
        <f>$M$65</f>
        <v>64</v>
      </c>
      <c r="U193" s="6">
        <f t="shared" si="2"/>
        <v>0</v>
      </c>
      <c r="V193" s="6"/>
      <c r="W193" s="22"/>
    </row>
    <row r="194" spans="2:23" x14ac:dyDescent="0.35">
      <c r="B194" s="6"/>
      <c r="C194" s="6"/>
      <c r="D194" s="6"/>
      <c r="E194" s="6"/>
      <c r="F194" s="6"/>
      <c r="G194" s="6"/>
      <c r="H194" s="6"/>
      <c r="I194" s="6"/>
      <c r="J194" s="6"/>
      <c r="K194" s="6"/>
      <c r="L194" s="6"/>
      <c r="N194" s="21"/>
      <c r="O194" s="6" t="s">
        <v>357</v>
      </c>
      <c r="P194" s="6"/>
      <c r="Q194" s="6"/>
      <c r="R194" s="6"/>
      <c r="S194" s="6"/>
      <c r="T194" s="6">
        <f>$M$67 * 0.001</f>
        <v>3.125E-2</v>
      </c>
      <c r="U194" s="6">
        <f t="shared" si="2"/>
        <v>0</v>
      </c>
      <c r="V194" s="6"/>
      <c r="W194" s="22"/>
    </row>
    <row r="195" spans="2:23" x14ac:dyDescent="0.35">
      <c r="B195" s="6"/>
      <c r="C195" s="6"/>
      <c r="D195" s="6"/>
      <c r="E195" s="6"/>
      <c r="F195" s="6"/>
      <c r="G195" s="6"/>
      <c r="H195" s="6"/>
      <c r="I195" s="6"/>
      <c r="J195" s="6"/>
      <c r="K195" s="6"/>
      <c r="L195" s="6"/>
      <c r="N195" s="21"/>
      <c r="O195" s="6" t="s">
        <v>358</v>
      </c>
      <c r="P195" s="6"/>
      <c r="Q195" s="6"/>
      <c r="R195" s="6"/>
      <c r="S195" s="6"/>
      <c r="T195" s="35">
        <f>$M$69 * 0.001</f>
        <v>3.2767999999999999E-2</v>
      </c>
      <c r="U195" s="6">
        <f t="shared" si="2"/>
        <v>0</v>
      </c>
      <c r="V195" s="6"/>
      <c r="W195" s="22"/>
    </row>
    <row r="196" spans="2:23" x14ac:dyDescent="0.35">
      <c r="B196" s="6"/>
      <c r="C196" s="6"/>
      <c r="D196" s="6"/>
      <c r="E196" s="6"/>
      <c r="F196" s="6"/>
      <c r="G196" s="6"/>
      <c r="H196" s="6"/>
      <c r="I196" s="6"/>
      <c r="J196" s="6"/>
      <c r="K196" s="6"/>
      <c r="L196" s="6"/>
      <c r="N196" s="21"/>
      <c r="O196" s="6" t="s">
        <v>354</v>
      </c>
      <c r="P196" s="6"/>
      <c r="Q196" s="6"/>
      <c r="R196" s="6"/>
      <c r="S196" s="6"/>
      <c r="T196" s="6">
        <f>$M$71</f>
        <v>13.333333333333332</v>
      </c>
      <c r="U196" s="6">
        <f t="shared" si="2"/>
        <v>0</v>
      </c>
      <c r="V196" s="6"/>
      <c r="W196" s="22"/>
    </row>
    <row r="197" spans="2:23" x14ac:dyDescent="0.35">
      <c r="B197" s="6"/>
      <c r="C197" s="6"/>
      <c r="D197" s="6"/>
      <c r="E197" s="6"/>
      <c r="F197" s="6"/>
      <c r="G197" s="6"/>
      <c r="H197" s="6"/>
      <c r="I197" s="6"/>
      <c r="J197" s="6"/>
      <c r="K197" s="6"/>
      <c r="L197" s="6"/>
      <c r="N197" s="21"/>
      <c r="O197" s="6" t="s">
        <v>353</v>
      </c>
      <c r="P197" s="6"/>
      <c r="Q197" s="6"/>
      <c r="R197" s="6"/>
      <c r="S197" s="6"/>
      <c r="T197" s="6">
        <f>$M$73</f>
        <v>26.666666666666664</v>
      </c>
      <c r="U197" s="6">
        <f t="shared" si="2"/>
        <v>0</v>
      </c>
      <c r="V197" s="6"/>
      <c r="W197" s="22"/>
    </row>
    <row r="198" spans="2:23" x14ac:dyDescent="0.35">
      <c r="B198" s="6"/>
      <c r="C198" s="6"/>
      <c r="D198" s="6"/>
      <c r="E198" s="6"/>
      <c r="F198" s="6"/>
      <c r="G198" s="6"/>
      <c r="H198" s="6"/>
      <c r="I198" s="6"/>
      <c r="J198" s="6"/>
      <c r="K198" s="6"/>
      <c r="L198" s="6"/>
      <c r="N198" s="21"/>
      <c r="O198" s="6" t="s">
        <v>352</v>
      </c>
      <c r="P198" s="6"/>
      <c r="Q198" s="6"/>
      <c r="R198" s="6"/>
      <c r="S198" s="6"/>
      <c r="T198" s="6">
        <f>$M$75</f>
        <v>2</v>
      </c>
      <c r="U198" s="6">
        <f t="shared" si="2"/>
        <v>0</v>
      </c>
      <c r="V198" s="6"/>
      <c r="W198" s="22"/>
    </row>
    <row r="199" spans="2:23" x14ac:dyDescent="0.35">
      <c r="B199" s="6"/>
      <c r="C199" s="6"/>
      <c r="D199" s="6"/>
      <c r="E199" s="6"/>
      <c r="F199" s="6"/>
      <c r="G199" s="6"/>
      <c r="H199" s="6"/>
      <c r="I199" s="6"/>
      <c r="J199" s="6"/>
      <c r="K199" s="6"/>
      <c r="L199" s="6"/>
      <c r="N199" s="21"/>
      <c r="O199" s="6"/>
      <c r="P199" s="6"/>
      <c r="Q199" s="6"/>
      <c r="R199" s="6"/>
      <c r="S199" s="6"/>
      <c r="T199" s="6"/>
      <c r="U199" s="6">
        <f>SUM(U190:U198)</f>
        <v>8</v>
      </c>
      <c r="V199" s="6"/>
      <c r="W199" s="22"/>
    </row>
    <row r="200" spans="2:23" x14ac:dyDescent="0.35">
      <c r="B200" s="6"/>
      <c r="C200" s="6"/>
      <c r="D200" s="6"/>
      <c r="E200" s="6"/>
      <c r="F200" s="6"/>
      <c r="G200" s="6"/>
      <c r="H200" s="6"/>
      <c r="I200" s="6"/>
      <c r="J200" s="6"/>
      <c r="K200" s="6"/>
      <c r="L200" s="6"/>
      <c r="N200" s="21"/>
      <c r="O200" s="6"/>
      <c r="P200" s="6"/>
      <c r="Q200" s="6"/>
      <c r="R200" s="6"/>
      <c r="S200" s="6"/>
      <c r="T200" s="6"/>
      <c r="U200" s="6"/>
      <c r="V200" s="6"/>
      <c r="W200" s="22"/>
    </row>
    <row r="201" spans="2:23" x14ac:dyDescent="0.35">
      <c r="B201" s="6"/>
      <c r="C201" s="6"/>
      <c r="D201" s="6"/>
      <c r="E201" s="6"/>
      <c r="F201" s="6"/>
      <c r="G201" s="6"/>
      <c r="H201" s="6"/>
      <c r="I201" s="6"/>
      <c r="J201" s="6"/>
      <c r="K201" s="6"/>
      <c r="L201" s="6"/>
      <c r="N201" s="21" t="s">
        <v>363</v>
      </c>
      <c r="O201" s="6" t="s">
        <v>389</v>
      </c>
      <c r="P201" s="6"/>
      <c r="Q201" s="6"/>
      <c r="R201" s="6"/>
      <c r="S201" s="6"/>
      <c r="T201" s="6"/>
      <c r="U201" s="6"/>
      <c r="V201" s="6"/>
      <c r="W201" s="22"/>
    </row>
    <row r="202" spans="2:23" x14ac:dyDescent="0.35">
      <c r="B202" s="6"/>
      <c r="C202" s="6"/>
      <c r="D202" s="6"/>
      <c r="E202" s="6"/>
      <c r="F202" s="6"/>
      <c r="G202" s="6"/>
      <c r="H202" s="6"/>
      <c r="I202" s="6"/>
      <c r="J202" s="6"/>
      <c r="K202" s="6"/>
      <c r="L202" s="6"/>
      <c r="N202" s="21"/>
      <c r="O202" s="6" t="s">
        <v>365</v>
      </c>
      <c r="P202" s="6"/>
      <c r="Q202" s="6"/>
      <c r="R202" s="6"/>
      <c r="S202" s="6"/>
      <c r="T202" s="6">
        <v>1</v>
      </c>
      <c r="U202" s="6"/>
      <c r="V202" s="6"/>
      <c r="W202" s="22"/>
    </row>
    <row r="203" spans="2:23" x14ac:dyDescent="0.35">
      <c r="B203" s="6"/>
      <c r="C203" s="6"/>
      <c r="D203" s="6"/>
      <c r="E203" s="6"/>
      <c r="F203" s="6"/>
      <c r="G203" s="6"/>
      <c r="H203" s="6"/>
      <c r="I203" s="6"/>
      <c r="J203" s="6"/>
      <c r="K203" s="6"/>
      <c r="L203" s="6"/>
      <c r="N203" s="21"/>
      <c r="O203" s="6" t="s">
        <v>366</v>
      </c>
      <c r="P203" s="6"/>
      <c r="Q203" s="6"/>
      <c r="R203" s="6"/>
      <c r="S203" s="6"/>
      <c r="T203" s="6">
        <v>2</v>
      </c>
      <c r="U203" s="6"/>
      <c r="V203" s="6"/>
      <c r="W203" s="22"/>
    </row>
    <row r="204" spans="2:23" x14ac:dyDescent="0.35">
      <c r="B204" s="6"/>
      <c r="C204" s="6"/>
      <c r="D204" s="6"/>
      <c r="E204" s="6"/>
      <c r="F204" s="6"/>
      <c r="G204" s="6"/>
      <c r="H204" s="6"/>
      <c r="I204" s="6"/>
      <c r="J204" s="6"/>
      <c r="K204" s="6"/>
      <c r="L204" s="6"/>
      <c r="N204" s="21"/>
      <c r="O204" s="6" t="s">
        <v>367</v>
      </c>
      <c r="P204" s="6"/>
      <c r="Q204" s="6"/>
      <c r="R204" s="6"/>
      <c r="S204" s="6"/>
      <c r="T204" s="6">
        <v>4</v>
      </c>
      <c r="U204" s="6"/>
      <c r="V204" s="6"/>
      <c r="W204" s="22"/>
    </row>
    <row r="205" spans="2:23" x14ac:dyDescent="0.35">
      <c r="B205" s="6"/>
      <c r="C205" s="6"/>
      <c r="D205" s="6"/>
      <c r="E205" s="6"/>
      <c r="F205" s="6"/>
      <c r="G205" s="6"/>
      <c r="H205" s="6"/>
      <c r="I205" s="6"/>
      <c r="J205" s="6"/>
      <c r="K205" s="6"/>
      <c r="L205" s="6"/>
      <c r="N205" s="21"/>
      <c r="O205" s="6" t="s">
        <v>368</v>
      </c>
      <c r="P205" s="6"/>
      <c r="Q205" s="6"/>
      <c r="R205" s="6"/>
      <c r="S205" s="6"/>
      <c r="T205" s="6">
        <v>8</v>
      </c>
      <c r="U205" s="6"/>
      <c r="V205" s="6"/>
      <c r="W205" s="22"/>
    </row>
    <row r="206" spans="2:23" x14ac:dyDescent="0.35">
      <c r="B206" s="6"/>
      <c r="C206" s="6"/>
      <c r="D206" s="6"/>
      <c r="E206" s="6"/>
      <c r="F206" s="6"/>
      <c r="G206" s="6"/>
      <c r="H206" s="6"/>
      <c r="I206" s="6"/>
      <c r="J206" s="6"/>
      <c r="K206" s="6"/>
      <c r="L206" s="6"/>
      <c r="N206" s="21"/>
      <c r="O206" s="6" t="s">
        <v>369</v>
      </c>
      <c r="P206" s="6"/>
      <c r="Q206" s="6"/>
      <c r="R206" s="6"/>
      <c r="S206" s="6"/>
      <c r="T206" s="6">
        <v>16</v>
      </c>
      <c r="U206" s="6"/>
      <c r="V206" s="6"/>
      <c r="W206" s="22"/>
    </row>
    <row r="207" spans="2:23" x14ac:dyDescent="0.35">
      <c r="B207" s="6"/>
      <c r="C207" s="6"/>
      <c r="D207" s="6"/>
      <c r="E207" s="6"/>
      <c r="F207" s="6"/>
      <c r="G207" s="6"/>
      <c r="H207" s="6"/>
      <c r="I207" s="6"/>
      <c r="J207" s="6"/>
      <c r="K207" s="6"/>
      <c r="L207" s="6"/>
      <c r="N207" s="21"/>
      <c r="O207" s="6" t="s">
        <v>370</v>
      </c>
      <c r="P207" s="6"/>
      <c r="Q207" s="6"/>
      <c r="R207" s="6"/>
      <c r="S207" s="6"/>
      <c r="T207" s="6">
        <v>32</v>
      </c>
      <c r="U207" s="6"/>
      <c r="V207" s="6"/>
      <c r="W207" s="22"/>
    </row>
    <row r="208" spans="2:23" x14ac:dyDescent="0.35">
      <c r="B208" s="6"/>
      <c r="C208" s="6"/>
      <c r="D208" s="6"/>
      <c r="E208" s="6"/>
      <c r="F208" s="6"/>
      <c r="G208" s="6"/>
      <c r="H208" s="6"/>
      <c r="I208" s="6"/>
      <c r="J208" s="6"/>
      <c r="K208" s="6"/>
      <c r="L208" s="6"/>
      <c r="N208" s="21"/>
      <c r="O208" s="6" t="s">
        <v>371</v>
      </c>
      <c r="P208" s="6"/>
      <c r="Q208" s="6"/>
      <c r="R208" s="6"/>
      <c r="S208" s="6"/>
      <c r="T208" s="6">
        <v>64</v>
      </c>
      <c r="U208" s="6"/>
      <c r="V208" s="6"/>
      <c r="W208" s="22"/>
    </row>
    <row r="209" spans="2:23" x14ac:dyDescent="0.35">
      <c r="B209" s="6"/>
      <c r="C209" s="6"/>
      <c r="D209" s="6"/>
      <c r="E209" s="6"/>
      <c r="F209" s="6"/>
      <c r="G209" s="6"/>
      <c r="H209" s="6"/>
      <c r="I209" s="6"/>
      <c r="J209" s="6"/>
      <c r="K209" s="6"/>
      <c r="L209" s="6"/>
      <c r="N209" s="21"/>
      <c r="O209" s="6" t="s">
        <v>372</v>
      </c>
      <c r="P209" s="6"/>
      <c r="Q209" s="6"/>
      <c r="R209" s="6"/>
      <c r="S209" s="6"/>
      <c r="T209" s="6">
        <v>128</v>
      </c>
      <c r="U209" s="6"/>
      <c r="V209" s="6"/>
      <c r="W209" s="22"/>
    </row>
    <row r="210" spans="2:23" x14ac:dyDescent="0.35">
      <c r="B210" s="6"/>
      <c r="C210" s="6"/>
      <c r="D210" s="6"/>
      <c r="E210" s="6"/>
      <c r="F210" s="6"/>
      <c r="G210" s="6"/>
      <c r="H210" s="6"/>
      <c r="I210" s="6"/>
      <c r="J210" s="6"/>
      <c r="K210" s="6"/>
      <c r="L210" s="6"/>
      <c r="N210" s="21"/>
      <c r="O210" s="6" t="s">
        <v>373</v>
      </c>
      <c r="P210" s="6"/>
      <c r="Q210" s="6"/>
      <c r="R210" s="6"/>
      <c r="S210" s="6"/>
      <c r="T210" s="6">
        <v>256</v>
      </c>
      <c r="U210" s="6"/>
      <c r="V210" s="6"/>
      <c r="W210" s="22"/>
    </row>
    <row r="211" spans="2:23" x14ac:dyDescent="0.35">
      <c r="B211" s="6"/>
      <c r="C211" s="6"/>
      <c r="D211" s="6"/>
      <c r="E211" s="6"/>
      <c r="F211" s="6"/>
      <c r="G211" s="6"/>
      <c r="H211" s="6"/>
      <c r="I211" s="6"/>
      <c r="J211" s="6"/>
      <c r="K211" s="6"/>
      <c r="L211" s="6"/>
      <c r="N211" s="21"/>
      <c r="O211" s="6" t="s">
        <v>374</v>
      </c>
      <c r="P211" s="6"/>
      <c r="Q211" s="6"/>
      <c r="R211" s="6"/>
      <c r="S211" s="6"/>
      <c r="T211" s="6">
        <v>512</v>
      </c>
      <c r="U211" s="6"/>
      <c r="V211" s="6"/>
      <c r="W211" s="22"/>
    </row>
    <row r="212" spans="2:23" x14ac:dyDescent="0.35">
      <c r="B212" s="6"/>
      <c r="C212" s="6"/>
      <c r="D212" s="6"/>
      <c r="E212" s="6"/>
      <c r="F212" s="6"/>
      <c r="G212" s="6"/>
      <c r="H212" s="6"/>
      <c r="I212" s="6"/>
      <c r="J212" s="6"/>
      <c r="K212" s="6"/>
      <c r="L212" s="6"/>
      <c r="N212" s="21"/>
      <c r="O212" s="6" t="s">
        <v>375</v>
      </c>
      <c r="P212" s="6"/>
      <c r="Q212" s="6"/>
      <c r="R212" s="6"/>
      <c r="S212" s="6"/>
      <c r="T212" s="6">
        <v>1024</v>
      </c>
      <c r="U212" s="6"/>
      <c r="V212" s="6"/>
      <c r="W212" s="22"/>
    </row>
    <row r="213" spans="2:23" x14ac:dyDescent="0.35">
      <c r="B213" s="6"/>
      <c r="C213" s="6"/>
      <c r="D213" s="6"/>
      <c r="E213" s="6"/>
      <c r="F213" s="6"/>
      <c r="G213" s="6"/>
      <c r="H213" s="6"/>
      <c r="I213" s="6"/>
      <c r="J213" s="6"/>
      <c r="K213" s="6"/>
      <c r="L213" s="6"/>
      <c r="N213" s="21"/>
      <c r="O213" s="6" t="s">
        <v>376</v>
      </c>
      <c r="P213" s="6"/>
      <c r="Q213" s="6"/>
      <c r="R213" s="6"/>
      <c r="S213" s="6"/>
      <c r="T213" s="6">
        <v>2048</v>
      </c>
      <c r="U213" s="6"/>
      <c r="V213" s="6"/>
      <c r="W213" s="22"/>
    </row>
    <row r="214" spans="2:23" x14ac:dyDescent="0.35">
      <c r="B214" s="6"/>
      <c r="C214" s="6"/>
      <c r="D214" s="6"/>
      <c r="E214" s="6"/>
      <c r="F214" s="6"/>
      <c r="G214" s="6"/>
      <c r="H214" s="6"/>
      <c r="I214" s="6"/>
      <c r="J214" s="6"/>
      <c r="K214" s="6"/>
      <c r="L214" s="6"/>
      <c r="N214" s="21"/>
      <c r="O214" s="6" t="s">
        <v>377</v>
      </c>
      <c r="P214" s="6"/>
      <c r="Q214" s="6"/>
      <c r="R214" s="6"/>
      <c r="S214" s="6"/>
      <c r="T214" s="6">
        <v>4096</v>
      </c>
      <c r="U214" s="6"/>
      <c r="V214" s="6"/>
      <c r="W214" s="22"/>
    </row>
    <row r="215" spans="2:23" x14ac:dyDescent="0.35">
      <c r="B215" s="6"/>
      <c r="C215" s="6"/>
      <c r="D215" s="6"/>
      <c r="E215" s="6"/>
      <c r="F215" s="6"/>
      <c r="G215" s="6"/>
      <c r="H215" s="6"/>
      <c r="I215" s="6"/>
      <c r="J215" s="6"/>
      <c r="K215" s="6"/>
      <c r="L215" s="6"/>
      <c r="N215" s="21"/>
      <c r="O215" s="6" t="s">
        <v>378</v>
      </c>
      <c r="P215" s="6"/>
      <c r="Q215" s="6"/>
      <c r="R215" s="6"/>
      <c r="S215" s="6"/>
      <c r="T215" s="6">
        <v>8192</v>
      </c>
      <c r="U215" s="6"/>
      <c r="V215" s="6"/>
      <c r="W215" s="22"/>
    </row>
    <row r="216" spans="2:23" x14ac:dyDescent="0.35">
      <c r="B216" s="6"/>
      <c r="C216" s="6"/>
      <c r="D216" s="6"/>
      <c r="E216" s="6"/>
      <c r="F216" s="6"/>
      <c r="G216" s="6"/>
      <c r="H216" s="6"/>
      <c r="I216" s="6"/>
      <c r="J216" s="6"/>
      <c r="K216" s="6"/>
      <c r="L216" s="6"/>
      <c r="N216" s="21"/>
      <c r="O216" s="6" t="s">
        <v>379</v>
      </c>
      <c r="P216" s="6"/>
      <c r="Q216" s="6"/>
      <c r="R216" s="6"/>
      <c r="S216" s="6"/>
      <c r="T216" s="6">
        <v>16384</v>
      </c>
      <c r="U216" s="6"/>
      <c r="V216" s="6"/>
      <c r="W216" s="22"/>
    </row>
    <row r="217" spans="2:23" x14ac:dyDescent="0.35">
      <c r="B217" s="6"/>
      <c r="C217" s="6"/>
      <c r="D217" s="6"/>
      <c r="E217" s="6"/>
      <c r="F217" s="6"/>
      <c r="G217" s="6"/>
      <c r="H217" s="6"/>
      <c r="I217" s="6"/>
      <c r="J217" s="6"/>
      <c r="K217" s="6"/>
      <c r="L217" s="6"/>
      <c r="N217" s="21"/>
      <c r="O217" s="6" t="s">
        <v>364</v>
      </c>
      <c r="P217" s="6"/>
      <c r="Q217" s="6"/>
      <c r="R217" s="6"/>
      <c r="S217" s="6"/>
      <c r="T217" s="6">
        <v>32768</v>
      </c>
      <c r="U217" s="6"/>
      <c r="V217" s="6"/>
      <c r="W217" s="22"/>
    </row>
    <row r="218" spans="2:23" x14ac:dyDescent="0.35">
      <c r="B218" s="6"/>
      <c r="C218" s="6"/>
      <c r="D218" s="6"/>
      <c r="E218" s="6"/>
      <c r="F218" s="6"/>
      <c r="G218" s="6"/>
      <c r="H218" s="6"/>
      <c r="I218" s="6"/>
      <c r="J218" s="6"/>
      <c r="K218" s="6"/>
      <c r="L218" s="6"/>
      <c r="N218" s="21"/>
      <c r="O218" s="6"/>
      <c r="P218" s="6"/>
      <c r="Q218" s="6"/>
      <c r="R218" s="6"/>
      <c r="S218" s="6"/>
      <c r="T218" s="6"/>
      <c r="U218" s="6"/>
      <c r="V218" s="6"/>
      <c r="W218" s="22"/>
    </row>
    <row r="219" spans="2:23" x14ac:dyDescent="0.35">
      <c r="B219" s="6"/>
      <c r="C219" s="6"/>
      <c r="D219" s="6"/>
      <c r="E219" s="6"/>
      <c r="F219" s="6"/>
      <c r="G219" s="6"/>
      <c r="H219" s="6"/>
      <c r="I219" s="6"/>
      <c r="J219" s="6"/>
      <c r="K219" s="6"/>
      <c r="L219" s="6"/>
      <c r="N219" s="21" t="s">
        <v>381</v>
      </c>
      <c r="O219" s="6"/>
      <c r="P219" s="6"/>
      <c r="Q219" s="6"/>
      <c r="R219" s="6"/>
      <c r="S219" s="6"/>
      <c r="T219" s="6"/>
      <c r="U219" s="6"/>
      <c r="V219" s="6"/>
      <c r="W219" s="22"/>
    </row>
    <row r="220" spans="2:23" x14ac:dyDescent="0.35">
      <c r="B220" s="6"/>
      <c r="C220" s="6"/>
      <c r="D220" s="6"/>
      <c r="E220" s="6"/>
      <c r="F220" s="6"/>
      <c r="G220" s="6"/>
      <c r="H220" s="6"/>
      <c r="I220" s="6"/>
      <c r="J220" s="6"/>
      <c r="K220" s="6"/>
      <c r="L220" s="6"/>
      <c r="N220" s="21"/>
      <c r="O220" s="6">
        <v>1</v>
      </c>
      <c r="P220" s="6"/>
      <c r="S220" s="7" t="s">
        <v>388</v>
      </c>
      <c r="T220" s="37">
        <f>Q66+($Q$65/512)</f>
        <v>9.498046875</v>
      </c>
      <c r="V220" s="6"/>
      <c r="W220" s="22"/>
    </row>
    <row r="221" spans="2:23" x14ac:dyDescent="0.35">
      <c r="B221" s="6"/>
      <c r="C221" s="6"/>
      <c r="D221" s="6"/>
      <c r="E221" s="6"/>
      <c r="F221" s="6"/>
      <c r="G221" s="6"/>
      <c r="H221" s="6"/>
      <c r="I221" s="6"/>
      <c r="J221" s="6"/>
      <c r="K221" s="6"/>
      <c r="L221" s="6"/>
      <c r="N221" s="21"/>
      <c r="O221" s="6">
        <v>2</v>
      </c>
      <c r="P221" s="6"/>
      <c r="Q221" s="6"/>
      <c r="R221" s="6"/>
      <c r="S221" s="6"/>
      <c r="T221" s="6"/>
      <c r="U221" s="6"/>
      <c r="V221" s="6"/>
      <c r="W221" s="22"/>
    </row>
    <row r="222" spans="2:23" x14ac:dyDescent="0.35">
      <c r="B222" s="6"/>
      <c r="C222" s="6"/>
      <c r="D222" s="6"/>
      <c r="E222" s="6"/>
      <c r="F222" s="6"/>
      <c r="G222" s="6"/>
      <c r="H222" s="6"/>
      <c r="I222" s="6"/>
      <c r="J222" s="6"/>
      <c r="K222" s="6"/>
      <c r="L222" s="6"/>
      <c r="N222" s="21"/>
      <c r="O222" s="7" t="s">
        <v>326</v>
      </c>
      <c r="P222" s="6"/>
      <c r="Q222" s="6"/>
      <c r="R222" s="6"/>
      <c r="S222" s="6"/>
      <c r="U222" s="6"/>
      <c r="V222" s="6"/>
      <c r="W222" s="22"/>
    </row>
    <row r="223" spans="2:23" ht="13.9" thickBot="1" x14ac:dyDescent="0.4">
      <c r="B223" s="6"/>
      <c r="C223" s="6"/>
      <c r="D223" s="6"/>
      <c r="E223" s="6"/>
      <c r="F223" s="6"/>
      <c r="G223" s="6"/>
      <c r="H223" s="6"/>
      <c r="I223" s="6"/>
      <c r="J223" s="6"/>
      <c r="K223" s="6"/>
      <c r="L223" s="6"/>
      <c r="N223" s="24"/>
      <c r="O223" s="25">
        <v>512</v>
      </c>
      <c r="P223" s="25"/>
      <c r="Q223" s="25"/>
      <c r="R223" s="25"/>
      <c r="S223" s="25"/>
      <c r="T223" s="25"/>
      <c r="U223" s="25"/>
      <c r="V223" s="25"/>
      <c r="W223" s="26"/>
    </row>
    <row r="224" spans="2:23" x14ac:dyDescent="0.35">
      <c r="B224" s="6"/>
      <c r="C224" s="6"/>
      <c r="D224" s="6"/>
      <c r="E224" s="6"/>
      <c r="F224" s="6"/>
      <c r="G224" s="6"/>
      <c r="H224" s="6"/>
      <c r="I224" s="6"/>
      <c r="J224" s="6"/>
      <c r="K224" s="6"/>
      <c r="L224" s="6"/>
      <c r="N224" s="6"/>
      <c r="O224" s="6"/>
      <c r="P224" s="6"/>
      <c r="Q224" s="6"/>
      <c r="R224" s="6"/>
      <c r="S224" s="6"/>
      <c r="T224" s="6"/>
      <c r="U224" s="6"/>
      <c r="V224" s="6"/>
      <c r="W224" s="6"/>
    </row>
    <row r="226" spans="4:14" ht="13.9" thickBot="1" x14ac:dyDescent="0.4"/>
    <row r="227" spans="4:14" x14ac:dyDescent="0.35">
      <c r="D227" s="18" t="s">
        <v>251</v>
      </c>
      <c r="E227" s="19"/>
      <c r="F227" s="19"/>
      <c r="G227" s="19"/>
      <c r="H227" s="19"/>
      <c r="I227" s="19"/>
      <c r="J227" s="19"/>
      <c r="K227" s="19"/>
      <c r="L227" s="19"/>
      <c r="M227" s="19"/>
      <c r="N227" s="20"/>
    </row>
    <row r="228" spans="4:14" x14ac:dyDescent="0.35">
      <c r="D228" s="27"/>
      <c r="E228" s="28" t="s">
        <v>250</v>
      </c>
      <c r="F228" s="28"/>
      <c r="G228" s="28"/>
      <c r="H228" s="28"/>
      <c r="I228" s="28"/>
      <c r="J228" s="28"/>
      <c r="K228" s="28"/>
      <c r="L228" s="28"/>
      <c r="M228" s="28"/>
      <c r="N228" s="29"/>
    </row>
    <row r="229" spans="4:14" x14ac:dyDescent="0.35">
      <c r="D229" s="21"/>
      <c r="E229" s="6" t="s">
        <v>252</v>
      </c>
      <c r="F229" s="6" t="b">
        <f>OR(AND(G35="ON", $I$30="HS"), AND(G35="ON", $I$30="XT"))</f>
        <v>1</v>
      </c>
      <c r="G229" s="6"/>
      <c r="H229" s="6" t="s">
        <v>259</v>
      </c>
      <c r="I229" s="6"/>
      <c r="J229" s="6"/>
      <c r="K229" s="6"/>
      <c r="L229" s="6"/>
      <c r="M229" s="6"/>
      <c r="N229" s="22"/>
    </row>
    <row r="230" spans="4:14" x14ac:dyDescent="0.35">
      <c r="D230" s="21"/>
      <c r="E230" s="6"/>
      <c r="F230" s="6"/>
      <c r="G230" s="6"/>
      <c r="H230" s="6"/>
      <c r="I230" s="6"/>
      <c r="J230" s="6"/>
      <c r="K230" s="6"/>
      <c r="L230" s="6"/>
      <c r="M230" s="6"/>
      <c r="N230" s="22"/>
    </row>
    <row r="231" spans="4:14" x14ac:dyDescent="0.35">
      <c r="D231" s="21"/>
      <c r="E231" s="6" t="s">
        <v>282</v>
      </c>
      <c r="F231" s="6">
        <f>IF($R$49&gt;100,1,0)</f>
        <v>0</v>
      </c>
      <c r="G231" s="6"/>
      <c r="H231" s="6" t="s">
        <v>432</v>
      </c>
      <c r="I231" s="6"/>
      <c r="J231" s="6"/>
      <c r="K231" s="6"/>
      <c r="L231" s="6"/>
      <c r="M231" s="6"/>
      <c r="N231" s="22"/>
    </row>
    <row r="232" spans="4:14" x14ac:dyDescent="0.35">
      <c r="D232" s="21"/>
      <c r="E232" s="6"/>
      <c r="F232" s="6"/>
      <c r="G232" s="6"/>
      <c r="H232" s="6"/>
      <c r="I232" s="6"/>
      <c r="J232" s="6"/>
      <c r="K232" s="6"/>
      <c r="L232" s="6"/>
      <c r="M232" s="6"/>
      <c r="N232" s="22"/>
    </row>
    <row r="233" spans="4:14" x14ac:dyDescent="0.35">
      <c r="D233" s="21"/>
      <c r="E233" s="6" t="s">
        <v>433</v>
      </c>
      <c r="F233" s="6">
        <f>IF($M$33&gt;4,1,0)</f>
        <v>0</v>
      </c>
      <c r="G233" s="6"/>
      <c r="H233" s="6" t="s">
        <v>434</v>
      </c>
      <c r="I233" s="6"/>
      <c r="J233" s="6"/>
      <c r="K233" s="6"/>
      <c r="L233" s="6"/>
      <c r="M233" s="6"/>
      <c r="N233" s="22"/>
    </row>
    <row r="234" spans="4:14" x14ac:dyDescent="0.35">
      <c r="D234" s="21"/>
      <c r="E234" s="6" t="s">
        <v>433</v>
      </c>
      <c r="F234" s="6">
        <f>IF($M$33&lt;4,1,0)</f>
        <v>1</v>
      </c>
      <c r="G234" s="6"/>
      <c r="H234" s="6" t="s">
        <v>435</v>
      </c>
      <c r="I234" s="6"/>
      <c r="J234" s="6"/>
      <c r="K234" s="6"/>
      <c r="L234" s="6"/>
      <c r="M234" s="6"/>
      <c r="N234" s="22"/>
    </row>
    <row r="235" spans="4:14" x14ac:dyDescent="0.35">
      <c r="D235" s="21"/>
      <c r="E235" s="6" t="s">
        <v>433</v>
      </c>
      <c r="F235" s="5">
        <f>SUM(F233:F234)</f>
        <v>1</v>
      </c>
      <c r="G235" s="6"/>
      <c r="H235" s="6" t="s">
        <v>258</v>
      </c>
      <c r="I235" s="6"/>
      <c r="J235" s="6"/>
      <c r="K235" s="6"/>
      <c r="L235" s="6"/>
      <c r="M235" s="6"/>
      <c r="N235" s="22"/>
    </row>
    <row r="236" spans="4:14" x14ac:dyDescent="0.35">
      <c r="D236" s="21"/>
      <c r="E236" s="6"/>
      <c r="G236" s="6"/>
      <c r="H236" s="6"/>
      <c r="I236" s="6"/>
      <c r="J236" s="6"/>
      <c r="K236" s="6"/>
      <c r="L236" s="6"/>
      <c r="M236" s="6"/>
      <c r="N236" s="22"/>
    </row>
    <row r="237" spans="4:14" x14ac:dyDescent="0.35">
      <c r="D237" s="21"/>
      <c r="E237" s="6" t="s">
        <v>436</v>
      </c>
      <c r="F237" s="5">
        <f>IF($M$20&lt;4,1,0)</f>
        <v>1</v>
      </c>
      <c r="G237" s="6"/>
      <c r="H237" s="6" t="s">
        <v>437</v>
      </c>
      <c r="I237" s="6"/>
      <c r="J237" s="6"/>
      <c r="K237" s="6"/>
      <c r="L237" s="6"/>
      <c r="M237" s="6"/>
      <c r="N237" s="22"/>
    </row>
    <row r="238" spans="4:14" x14ac:dyDescent="0.35">
      <c r="D238" s="21"/>
      <c r="E238" s="6" t="s">
        <v>436</v>
      </c>
      <c r="F238" s="5">
        <f>IF($M$20&gt;5,1,0)</f>
        <v>0</v>
      </c>
      <c r="G238" s="6"/>
      <c r="H238" s="6" t="s">
        <v>438</v>
      </c>
      <c r="I238" s="6"/>
      <c r="J238" s="6"/>
      <c r="K238" s="6"/>
      <c r="L238" s="6"/>
      <c r="M238" s="6"/>
      <c r="N238" s="22"/>
    </row>
    <row r="239" spans="4:14" x14ac:dyDescent="0.35">
      <c r="D239" s="21"/>
      <c r="E239" s="6" t="s">
        <v>436</v>
      </c>
      <c r="F239" s="5">
        <f>IF(J20=0,0,1)</f>
        <v>1</v>
      </c>
      <c r="G239" s="6"/>
      <c r="H239" s="6" t="s">
        <v>439</v>
      </c>
      <c r="I239" s="6"/>
      <c r="J239" s="6"/>
      <c r="K239" s="6"/>
      <c r="L239" s="6"/>
      <c r="M239" s="6"/>
      <c r="N239" s="22"/>
    </row>
    <row r="240" spans="4:14" x14ac:dyDescent="0.35">
      <c r="D240" s="21"/>
      <c r="E240" s="6" t="s">
        <v>436</v>
      </c>
      <c r="F240" s="5" t="b">
        <f>IF(F239=0,0,OR(F238,F237))</f>
        <v>1</v>
      </c>
      <c r="G240" s="6"/>
      <c r="H240" s="6" t="s">
        <v>258</v>
      </c>
      <c r="I240" s="6"/>
      <c r="J240" s="6"/>
      <c r="K240" s="6"/>
      <c r="L240" s="6"/>
      <c r="M240" s="6"/>
      <c r="N240" s="22"/>
    </row>
    <row r="241" spans="4:16" x14ac:dyDescent="0.35">
      <c r="D241" s="21"/>
      <c r="E241" s="6"/>
      <c r="G241" s="6"/>
      <c r="H241" s="6"/>
      <c r="I241" s="6"/>
      <c r="J241" s="6"/>
      <c r="K241" s="6"/>
      <c r="L241" s="6"/>
      <c r="M241" s="6"/>
      <c r="N241" s="22"/>
    </row>
    <row r="242" spans="4:16" x14ac:dyDescent="0.35">
      <c r="D242" s="21"/>
      <c r="E242" s="6" t="s">
        <v>440</v>
      </c>
      <c r="F242" s="5">
        <f>IF($E$23&lt;4,1,0)</f>
        <v>0</v>
      </c>
      <c r="G242" s="6">
        <f>IF($I$30="XT",1,0)</f>
        <v>1</v>
      </c>
      <c r="H242" s="5" t="b">
        <f>AND($G242,$F242)</f>
        <v>0</v>
      </c>
      <c r="I242" s="10" t="s">
        <v>441</v>
      </c>
      <c r="J242" s="6"/>
      <c r="K242" s="6" t="s">
        <v>442</v>
      </c>
      <c r="L242" s="6"/>
      <c r="M242" s="6"/>
      <c r="N242" s="22"/>
    </row>
    <row r="243" spans="4:16" x14ac:dyDescent="0.35">
      <c r="D243" s="21"/>
      <c r="E243" s="6" t="s">
        <v>440</v>
      </c>
      <c r="F243" s="5">
        <f>IF($E$23&gt;10,1,0)</f>
        <v>0</v>
      </c>
      <c r="G243" s="6">
        <f t="shared" ref="G243" si="3">IF($I$30="XT",1,0)</f>
        <v>1</v>
      </c>
      <c r="H243" s="5" t="b">
        <f t="shared" ref="H243:H245" si="4">AND($G243,$F243)</f>
        <v>0</v>
      </c>
      <c r="I243" s="10" t="s">
        <v>441</v>
      </c>
      <c r="J243" s="6"/>
      <c r="K243" s="6" t="s">
        <v>443</v>
      </c>
      <c r="L243" s="6"/>
      <c r="M243" s="6"/>
      <c r="N243" s="22"/>
    </row>
    <row r="244" spans="4:16" x14ac:dyDescent="0.35">
      <c r="D244" s="21"/>
      <c r="E244" s="6" t="s">
        <v>440</v>
      </c>
      <c r="F244" s="5">
        <f>IF($E$23&lt;10,1,0)</f>
        <v>1</v>
      </c>
      <c r="G244" s="6">
        <f>IF($I$30="HS",1,0)</f>
        <v>0</v>
      </c>
      <c r="H244" s="5" t="b">
        <f t="shared" si="4"/>
        <v>0</v>
      </c>
      <c r="I244" s="10" t="s">
        <v>444</v>
      </c>
      <c r="J244" s="6"/>
      <c r="K244" s="6" t="s">
        <v>445</v>
      </c>
      <c r="L244" s="6"/>
      <c r="M244" s="6"/>
      <c r="N244" s="22"/>
    </row>
    <row r="245" spans="4:16" x14ac:dyDescent="0.35">
      <c r="D245" s="21"/>
      <c r="E245" s="6" t="s">
        <v>440</v>
      </c>
      <c r="F245" s="5">
        <f>IF($E$23&gt;25,1,0)</f>
        <v>0</v>
      </c>
      <c r="G245" s="6">
        <f>IF($I$30="HS",1,0)</f>
        <v>0</v>
      </c>
      <c r="H245" s="5" t="b">
        <f t="shared" si="4"/>
        <v>0</v>
      </c>
      <c r="I245" s="10" t="s">
        <v>444</v>
      </c>
      <c r="J245" s="6"/>
      <c r="K245" s="6" t="s">
        <v>446</v>
      </c>
      <c r="L245" s="6"/>
      <c r="M245" s="6"/>
      <c r="N245" s="22"/>
    </row>
    <row r="246" spans="4:16" x14ac:dyDescent="0.35">
      <c r="D246" s="21"/>
      <c r="E246" s="6" t="s">
        <v>440</v>
      </c>
      <c r="G246" s="6"/>
      <c r="H246" s="6" t="b">
        <f>OR(H242:H245)</f>
        <v>0</v>
      </c>
      <c r="I246" s="6" t="s">
        <v>258</v>
      </c>
      <c r="J246" s="6"/>
      <c r="K246" s="6"/>
      <c r="L246" s="6"/>
      <c r="M246" s="6"/>
      <c r="N246" s="22"/>
    </row>
    <row r="247" spans="4:16" x14ac:dyDescent="0.35">
      <c r="D247" s="21"/>
      <c r="E247" s="6"/>
      <c r="G247" s="6"/>
      <c r="H247" s="6"/>
      <c r="I247" s="6"/>
      <c r="J247" s="6"/>
      <c r="K247" s="6"/>
      <c r="L247" s="6"/>
      <c r="M247" s="6"/>
      <c r="N247" s="22"/>
    </row>
    <row r="248" spans="4:16" x14ac:dyDescent="0.35">
      <c r="D248" s="21"/>
      <c r="E248" s="6" t="s">
        <v>447</v>
      </c>
      <c r="F248" s="5">
        <f>IF($E$22&gt;40,1,0)</f>
        <v>0</v>
      </c>
      <c r="G248" s="6"/>
      <c r="H248" s="6" t="s">
        <v>448</v>
      </c>
      <c r="I248" s="6"/>
      <c r="J248" s="6"/>
      <c r="K248" s="6"/>
      <c r="L248" s="6"/>
      <c r="M248" s="6"/>
      <c r="N248" s="22"/>
    </row>
    <row r="249" spans="4:16" x14ac:dyDescent="0.35">
      <c r="D249" s="21"/>
      <c r="E249" s="6"/>
      <c r="G249" s="6"/>
      <c r="H249" s="6"/>
      <c r="I249" s="6"/>
      <c r="J249" s="6"/>
      <c r="K249" s="6"/>
      <c r="L249" s="6"/>
      <c r="M249" s="6"/>
      <c r="N249" s="22"/>
    </row>
    <row r="250" spans="4:16" x14ac:dyDescent="0.35">
      <c r="D250" s="21"/>
      <c r="E250" s="6" t="s">
        <v>400</v>
      </c>
      <c r="F250" s="5">
        <f>IF($E$46&lt;32,1,0)</f>
        <v>0</v>
      </c>
      <c r="G250" s="6"/>
      <c r="H250" s="6" t="s">
        <v>401</v>
      </c>
      <c r="I250" s="6"/>
      <c r="J250" s="6"/>
      <c r="K250" s="6"/>
      <c r="L250" s="6"/>
      <c r="M250" s="6"/>
      <c r="N250" s="22"/>
    </row>
    <row r="251" spans="4:16" x14ac:dyDescent="0.35">
      <c r="D251" s="21"/>
      <c r="E251" s="6" t="s">
        <v>400</v>
      </c>
      <c r="F251" s="5">
        <f>IF($E$46&gt;100,1,0)</f>
        <v>0</v>
      </c>
      <c r="G251" s="6"/>
      <c r="H251" s="6" t="s">
        <v>402</v>
      </c>
      <c r="I251" s="6"/>
      <c r="J251" s="6"/>
      <c r="K251" s="6"/>
      <c r="L251" s="6"/>
      <c r="M251" s="6"/>
      <c r="N251" s="22"/>
    </row>
    <row r="252" spans="4:16" x14ac:dyDescent="0.35">
      <c r="D252" s="21"/>
      <c r="E252" s="6" t="s">
        <v>400</v>
      </c>
      <c r="F252" s="5">
        <f>SUM(F250:F251)</f>
        <v>0</v>
      </c>
      <c r="G252" s="6"/>
      <c r="H252" s="6" t="s">
        <v>403</v>
      </c>
      <c r="I252" s="6"/>
      <c r="J252" s="6"/>
      <c r="K252" s="6"/>
      <c r="L252" s="6"/>
      <c r="M252" s="6"/>
      <c r="N252" s="22"/>
    </row>
    <row r="253" spans="4:16" ht="13.9" thickBot="1" x14ac:dyDescent="0.4">
      <c r="D253" s="24"/>
      <c r="E253" s="25"/>
      <c r="F253" s="25"/>
      <c r="G253" s="25"/>
      <c r="H253" s="25"/>
      <c r="I253" s="25"/>
      <c r="J253" s="25"/>
      <c r="K253" s="25"/>
      <c r="L253" s="25"/>
      <c r="M253" s="25"/>
      <c r="N253" s="26"/>
    </row>
    <row r="255" spans="4:16" ht="13.9" thickBot="1" x14ac:dyDescent="0.4"/>
    <row r="256" spans="4:16" x14ac:dyDescent="0.35">
      <c r="D256" s="18" t="s">
        <v>449</v>
      </c>
      <c r="E256" s="19"/>
      <c r="F256" s="19"/>
      <c r="G256" s="19"/>
      <c r="H256" s="19"/>
      <c r="I256" s="19"/>
      <c r="J256" s="19"/>
      <c r="K256" s="19"/>
      <c r="L256" s="19"/>
      <c r="M256" s="19"/>
      <c r="N256" s="19"/>
      <c r="O256" s="19"/>
      <c r="P256" s="20"/>
    </row>
    <row r="257" spans="4:16" x14ac:dyDescent="0.35">
      <c r="D257" s="27" t="s">
        <v>217</v>
      </c>
      <c r="E257" s="28"/>
      <c r="F257" s="28" t="s">
        <v>213</v>
      </c>
      <c r="G257" s="28" t="s">
        <v>214</v>
      </c>
      <c r="H257" s="28" t="s">
        <v>215</v>
      </c>
      <c r="I257" s="28" t="s">
        <v>216</v>
      </c>
      <c r="J257" s="28" t="s">
        <v>221</v>
      </c>
      <c r="K257" s="28"/>
      <c r="L257" s="28"/>
      <c r="M257" s="28" t="s">
        <v>267</v>
      </c>
      <c r="N257" s="28"/>
      <c r="O257" s="28"/>
      <c r="P257" s="29"/>
    </row>
    <row r="258" spans="4:16" x14ac:dyDescent="0.35">
      <c r="D258" s="21"/>
      <c r="E258" s="6"/>
      <c r="F258" s="6"/>
      <c r="G258" s="6"/>
      <c r="H258" s="6"/>
      <c r="I258" s="6"/>
      <c r="J258" s="6"/>
      <c r="K258" s="6"/>
      <c r="L258" s="6"/>
      <c r="M258" s="6"/>
      <c r="N258" s="6"/>
      <c r="O258" s="6"/>
      <c r="P258" s="22"/>
    </row>
    <row r="259" spans="4:16" x14ac:dyDescent="0.35">
      <c r="D259" s="21" t="s">
        <v>218</v>
      </c>
      <c r="E259" s="6"/>
      <c r="F259" s="6" t="s">
        <v>219</v>
      </c>
      <c r="G259" s="6">
        <v>0</v>
      </c>
      <c r="H259" s="6">
        <v>40</v>
      </c>
      <c r="I259" s="31" t="s">
        <v>31</v>
      </c>
      <c r="J259" s="6" t="s">
        <v>38</v>
      </c>
      <c r="K259" s="6"/>
      <c r="L259" s="6"/>
      <c r="M259" s="6" t="s">
        <v>220</v>
      </c>
      <c r="N259" s="6"/>
      <c r="O259" s="6"/>
      <c r="P259" s="22"/>
    </row>
    <row r="260" spans="4:16" x14ac:dyDescent="0.35">
      <c r="D260" s="21" t="s">
        <v>218</v>
      </c>
      <c r="E260" s="6"/>
      <c r="F260" s="6"/>
      <c r="G260" s="6">
        <v>4</v>
      </c>
      <c r="H260" s="6">
        <v>40</v>
      </c>
      <c r="I260" s="31"/>
      <c r="J260" s="6" t="s">
        <v>450</v>
      </c>
      <c r="K260" s="6"/>
      <c r="L260" s="6"/>
      <c r="M260" s="6" t="s">
        <v>220</v>
      </c>
      <c r="N260" s="6"/>
      <c r="O260" s="6"/>
      <c r="P260" s="22"/>
    </row>
    <row r="261" spans="4:16" x14ac:dyDescent="0.35">
      <c r="D261" s="21" t="s">
        <v>451</v>
      </c>
      <c r="E261" s="6"/>
      <c r="F261" s="6"/>
      <c r="G261" s="6">
        <v>3</v>
      </c>
      <c r="H261" s="6">
        <v>10</v>
      </c>
      <c r="I261" s="31"/>
      <c r="J261" s="6" t="s">
        <v>418</v>
      </c>
      <c r="K261" s="6"/>
      <c r="L261" s="6"/>
      <c r="M261" s="6" t="s">
        <v>220</v>
      </c>
      <c r="N261" s="6"/>
      <c r="O261" s="6"/>
      <c r="P261" s="22"/>
    </row>
    <row r="262" spans="4:16" x14ac:dyDescent="0.35">
      <c r="D262" s="21" t="s">
        <v>452</v>
      </c>
      <c r="E262" s="6"/>
      <c r="F262" s="6"/>
      <c r="G262" s="6">
        <v>4</v>
      </c>
      <c r="H262" s="6">
        <v>10</v>
      </c>
      <c r="I262" s="31"/>
      <c r="J262" s="6" t="s">
        <v>453</v>
      </c>
      <c r="K262" s="6"/>
      <c r="L262" s="6"/>
      <c r="M262" s="6" t="s">
        <v>220</v>
      </c>
      <c r="N262" s="6"/>
      <c r="O262" s="6"/>
      <c r="P262" s="22"/>
    </row>
    <row r="263" spans="4:16" x14ac:dyDescent="0.35">
      <c r="D263" s="21" t="s">
        <v>222</v>
      </c>
      <c r="E263" s="6"/>
      <c r="F263" s="6"/>
      <c r="G263" s="6">
        <v>10</v>
      </c>
      <c r="H263" s="6">
        <v>25</v>
      </c>
      <c r="I263" s="31"/>
      <c r="J263" s="6" t="s">
        <v>454</v>
      </c>
      <c r="K263" s="6"/>
      <c r="L263" s="6"/>
      <c r="M263" s="6" t="s">
        <v>238</v>
      </c>
      <c r="N263" s="6"/>
      <c r="O263" s="6"/>
      <c r="P263" s="22"/>
    </row>
    <row r="264" spans="4:16" x14ac:dyDescent="0.35">
      <c r="D264" s="21" t="s">
        <v>223</v>
      </c>
      <c r="E264" s="6"/>
      <c r="F264" s="6" t="s">
        <v>219</v>
      </c>
      <c r="G264" s="6">
        <v>32</v>
      </c>
      <c r="H264" s="6">
        <v>100</v>
      </c>
      <c r="I264" s="31" t="s">
        <v>57</v>
      </c>
      <c r="J264" s="6" t="s">
        <v>224</v>
      </c>
      <c r="K264" s="6"/>
      <c r="L264" s="6"/>
      <c r="M264" s="6" t="s">
        <v>238</v>
      </c>
      <c r="N264" s="6"/>
      <c r="O264" s="6"/>
      <c r="P264" s="22"/>
    </row>
    <row r="265" spans="4:16" x14ac:dyDescent="0.35">
      <c r="D265" s="21"/>
      <c r="E265" s="6"/>
      <c r="F265" s="6"/>
      <c r="G265" s="6"/>
      <c r="H265" s="6"/>
      <c r="I265" s="31"/>
      <c r="J265" s="6"/>
      <c r="K265" s="6"/>
      <c r="L265" s="6"/>
      <c r="M265" s="6"/>
      <c r="N265" s="6"/>
      <c r="O265" s="6"/>
      <c r="P265" s="22"/>
    </row>
    <row r="266" spans="4:16" x14ac:dyDescent="0.35">
      <c r="D266" s="21" t="s">
        <v>239</v>
      </c>
      <c r="E266" s="6"/>
      <c r="F266" s="6" t="s">
        <v>240</v>
      </c>
      <c r="G266" s="6">
        <v>4</v>
      </c>
      <c r="H266" s="6">
        <v>5</v>
      </c>
      <c r="I266" s="31" t="s">
        <v>31</v>
      </c>
      <c r="J266" s="6" t="s">
        <v>242</v>
      </c>
      <c r="K266" s="6"/>
      <c r="L266" s="6"/>
      <c r="M266" s="6" t="s">
        <v>241</v>
      </c>
      <c r="N266" s="6"/>
      <c r="O266" s="6"/>
      <c r="P266" s="22"/>
    </row>
    <row r="267" spans="4:16" ht="13.9" thickBot="1" x14ac:dyDescent="0.4">
      <c r="D267" s="24"/>
      <c r="E267" s="25"/>
      <c r="F267" s="25"/>
      <c r="G267" s="25"/>
      <c r="H267" s="25"/>
      <c r="I267" s="25"/>
      <c r="J267" s="25"/>
      <c r="K267" s="25"/>
      <c r="L267" s="25"/>
      <c r="M267" s="25"/>
      <c r="N267" s="25"/>
      <c r="O267" s="25"/>
      <c r="P267" s="26"/>
    </row>
    <row r="268" spans="4:16" x14ac:dyDescent="0.35">
      <c r="D268" s="6"/>
      <c r="E268" s="6"/>
      <c r="F268" s="6"/>
      <c r="G268" s="6"/>
      <c r="H268" s="6"/>
      <c r="I268" s="6"/>
      <c r="J268" s="6"/>
      <c r="K268" s="6"/>
      <c r="L268" s="6"/>
      <c r="M268" s="6"/>
      <c r="N268" s="6"/>
      <c r="O268" s="6"/>
      <c r="P268" s="6"/>
    </row>
    <row r="269" spans="4:16" ht="13.9" thickBot="1" x14ac:dyDescent="0.4"/>
    <row r="270" spans="4:16" x14ac:dyDescent="0.35">
      <c r="D270" s="18" t="s">
        <v>455</v>
      </c>
      <c r="E270" s="19"/>
      <c r="F270" s="19"/>
      <c r="G270" s="19"/>
      <c r="H270" s="19"/>
      <c r="I270" s="19"/>
      <c r="J270" s="19"/>
      <c r="K270" s="19"/>
      <c r="L270" s="19"/>
      <c r="M270" s="19"/>
      <c r="N270" s="19"/>
      <c r="O270" s="19"/>
      <c r="P270" s="20"/>
    </row>
    <row r="271" spans="4:16" x14ac:dyDescent="0.35">
      <c r="D271" s="27" t="s">
        <v>217</v>
      </c>
      <c r="E271" s="28"/>
      <c r="F271" s="28" t="s">
        <v>213</v>
      </c>
      <c r="G271" s="28" t="s">
        <v>214</v>
      </c>
      <c r="H271" s="28" t="s">
        <v>215</v>
      </c>
      <c r="I271" s="28" t="s">
        <v>216</v>
      </c>
      <c r="J271" s="28" t="s">
        <v>221</v>
      </c>
      <c r="K271" s="28"/>
      <c r="L271" s="28"/>
      <c r="M271" s="28" t="s">
        <v>267</v>
      </c>
      <c r="N271" s="28"/>
      <c r="O271" s="28"/>
      <c r="P271" s="29"/>
    </row>
    <row r="272" spans="4:16" x14ac:dyDescent="0.35">
      <c r="D272" s="21"/>
      <c r="E272" s="6"/>
      <c r="F272" s="6"/>
      <c r="G272" s="6"/>
      <c r="H272" s="6"/>
      <c r="I272" s="6"/>
      <c r="J272" s="6"/>
      <c r="K272" s="6"/>
      <c r="L272" s="6"/>
      <c r="M272" s="6"/>
      <c r="N272" s="6"/>
      <c r="O272" s="6"/>
      <c r="P272" s="22"/>
    </row>
    <row r="273" spans="4:16" x14ac:dyDescent="0.35">
      <c r="D273" s="21" t="s">
        <v>218</v>
      </c>
      <c r="E273" s="6"/>
      <c r="F273" s="6" t="s">
        <v>219</v>
      </c>
      <c r="G273" s="6">
        <v>0</v>
      </c>
      <c r="H273" s="6">
        <v>50</v>
      </c>
      <c r="I273" s="31" t="s">
        <v>31</v>
      </c>
      <c r="J273" s="6" t="s">
        <v>38</v>
      </c>
      <c r="K273" s="6"/>
      <c r="L273" s="6"/>
      <c r="M273" s="6" t="s">
        <v>220</v>
      </c>
      <c r="N273" s="6"/>
      <c r="O273" s="6"/>
      <c r="P273" s="22"/>
    </row>
    <row r="274" spans="4:16" x14ac:dyDescent="0.35">
      <c r="D274" s="21" t="s">
        <v>218</v>
      </c>
      <c r="E274" s="6"/>
      <c r="F274" s="6"/>
      <c r="G274" s="6">
        <v>4</v>
      </c>
      <c r="H274" s="6">
        <v>50</v>
      </c>
      <c r="I274" s="31"/>
      <c r="J274" s="6" t="s">
        <v>450</v>
      </c>
      <c r="K274" s="6"/>
      <c r="L274" s="6"/>
      <c r="M274" s="6" t="s">
        <v>220</v>
      </c>
      <c r="N274" s="6"/>
      <c r="O274" s="6"/>
      <c r="P274" s="22"/>
    </row>
    <row r="275" spans="4:16" x14ac:dyDescent="0.35">
      <c r="D275" s="21" t="s">
        <v>451</v>
      </c>
      <c r="E275" s="6"/>
      <c r="F275" s="6"/>
      <c r="G275" s="6">
        <v>3</v>
      </c>
      <c r="H275" s="6">
        <v>10</v>
      </c>
      <c r="I275" s="31"/>
      <c r="J275" s="6" t="s">
        <v>418</v>
      </c>
      <c r="K275" s="6"/>
      <c r="L275" s="6"/>
      <c r="M275" s="6" t="s">
        <v>220</v>
      </c>
      <c r="N275" s="6"/>
      <c r="O275" s="6"/>
      <c r="P275" s="22"/>
    </row>
    <row r="276" spans="4:16" x14ac:dyDescent="0.35">
      <c r="D276" s="21" t="s">
        <v>452</v>
      </c>
      <c r="E276" s="6"/>
      <c r="F276" s="6"/>
      <c r="G276" s="6">
        <v>4</v>
      </c>
      <c r="H276" s="6">
        <v>10</v>
      </c>
      <c r="I276" s="31"/>
      <c r="J276" s="6" t="s">
        <v>453</v>
      </c>
      <c r="K276" s="6"/>
      <c r="L276" s="6"/>
      <c r="M276" s="6" t="s">
        <v>220</v>
      </c>
      <c r="N276" s="6"/>
      <c r="O276" s="6"/>
      <c r="P276" s="22"/>
    </row>
    <row r="277" spans="4:16" x14ac:dyDescent="0.35">
      <c r="D277" s="21" t="s">
        <v>222</v>
      </c>
      <c r="E277" s="6"/>
      <c r="F277" s="6"/>
      <c r="G277" s="6">
        <v>10</v>
      </c>
      <c r="H277" s="6">
        <v>25</v>
      </c>
      <c r="I277" s="31"/>
      <c r="J277" s="6" t="s">
        <v>454</v>
      </c>
      <c r="K277" s="6"/>
      <c r="L277" s="6"/>
      <c r="M277" s="6" t="s">
        <v>238</v>
      </c>
      <c r="N277" s="6"/>
      <c r="O277" s="6"/>
      <c r="P277" s="22"/>
    </row>
    <row r="278" spans="4:16" x14ac:dyDescent="0.35">
      <c r="D278" s="21" t="s">
        <v>223</v>
      </c>
      <c r="E278" s="6"/>
      <c r="F278" s="6" t="s">
        <v>219</v>
      </c>
      <c r="G278" s="6">
        <v>32</v>
      </c>
      <c r="H278" s="6">
        <v>100</v>
      </c>
      <c r="I278" s="31" t="s">
        <v>57</v>
      </c>
      <c r="J278" s="6" t="s">
        <v>224</v>
      </c>
      <c r="K278" s="6"/>
      <c r="L278" s="6"/>
      <c r="M278" s="6" t="s">
        <v>238</v>
      </c>
      <c r="N278" s="6"/>
      <c r="O278" s="6"/>
      <c r="P278" s="22"/>
    </row>
    <row r="279" spans="4:16" x14ac:dyDescent="0.35">
      <c r="D279" s="21"/>
      <c r="E279" s="6"/>
      <c r="F279" s="6"/>
      <c r="G279" s="6"/>
      <c r="H279" s="6"/>
      <c r="I279" s="31"/>
      <c r="J279" s="6"/>
      <c r="K279" s="6"/>
      <c r="L279" s="6"/>
      <c r="M279" s="6"/>
      <c r="N279" s="6"/>
      <c r="O279" s="6"/>
      <c r="P279" s="22"/>
    </row>
    <row r="280" spans="4:16" x14ac:dyDescent="0.35">
      <c r="D280" s="21" t="s">
        <v>239</v>
      </c>
      <c r="E280" s="6"/>
      <c r="F280" s="6" t="s">
        <v>240</v>
      </c>
      <c r="G280" s="6">
        <v>4</v>
      </c>
      <c r="H280" s="6">
        <v>5</v>
      </c>
      <c r="I280" s="31" t="s">
        <v>31</v>
      </c>
      <c r="J280" s="6" t="s">
        <v>242</v>
      </c>
      <c r="K280" s="6"/>
      <c r="L280" s="6"/>
      <c r="M280" s="6" t="s">
        <v>241</v>
      </c>
      <c r="N280" s="6"/>
      <c r="O280" s="6"/>
      <c r="P280" s="22"/>
    </row>
    <row r="281" spans="4:16" ht="13.9" thickBot="1" x14ac:dyDescent="0.4">
      <c r="D281" s="24"/>
      <c r="E281" s="25"/>
      <c r="F281" s="25"/>
      <c r="G281" s="25"/>
      <c r="H281" s="25"/>
      <c r="I281" s="25"/>
      <c r="J281" s="25"/>
      <c r="K281" s="25"/>
      <c r="L281" s="25"/>
      <c r="M281" s="25"/>
      <c r="N281" s="25"/>
      <c r="O281" s="25"/>
      <c r="P281" s="26"/>
    </row>
    <row r="282" spans="4:16" x14ac:dyDescent="0.35">
      <c r="D282" s="6"/>
      <c r="E282" s="6"/>
      <c r="F282" s="6"/>
      <c r="G282" s="6"/>
      <c r="H282" s="6"/>
      <c r="I282" s="6"/>
      <c r="J282" s="6"/>
      <c r="K282" s="6"/>
      <c r="L282" s="6"/>
      <c r="M282" s="6"/>
      <c r="N282" s="6"/>
      <c r="O282" s="6"/>
      <c r="P282" s="6"/>
    </row>
    <row r="283" spans="4:16" ht="13.9" thickBot="1" x14ac:dyDescent="0.4"/>
    <row r="284" spans="4:16" x14ac:dyDescent="0.35">
      <c r="D284" s="18" t="s">
        <v>456</v>
      </c>
      <c r="E284" s="19"/>
      <c r="F284" s="19"/>
      <c r="G284" s="19"/>
      <c r="H284" s="19"/>
      <c r="I284" s="19"/>
      <c r="J284" s="19"/>
      <c r="K284" s="19"/>
      <c r="L284" s="19"/>
      <c r="M284" s="19"/>
      <c r="N284" s="19"/>
      <c r="O284" s="19"/>
      <c r="P284" s="20"/>
    </row>
    <row r="285" spans="4:16" x14ac:dyDescent="0.35">
      <c r="D285" s="27" t="s">
        <v>217</v>
      </c>
      <c r="E285" s="28"/>
      <c r="F285" s="28" t="s">
        <v>213</v>
      </c>
      <c r="G285" s="28" t="s">
        <v>214</v>
      </c>
      <c r="H285" s="28" t="s">
        <v>215</v>
      </c>
      <c r="I285" s="28" t="s">
        <v>216</v>
      </c>
      <c r="J285" s="28" t="s">
        <v>221</v>
      </c>
      <c r="K285" s="28"/>
      <c r="L285" s="28"/>
      <c r="M285" s="28" t="s">
        <v>267</v>
      </c>
      <c r="N285" s="28"/>
      <c r="O285" s="28"/>
      <c r="P285" s="29"/>
    </row>
    <row r="286" spans="4:16" x14ac:dyDescent="0.35">
      <c r="D286" s="21"/>
      <c r="E286" s="6"/>
      <c r="F286" s="6"/>
      <c r="G286" s="6"/>
      <c r="H286" s="6"/>
      <c r="I286" s="6"/>
      <c r="J286" s="6"/>
      <c r="K286" s="6"/>
      <c r="L286" s="6"/>
      <c r="M286" s="6"/>
      <c r="N286" s="6"/>
      <c r="O286" s="6"/>
      <c r="P286" s="22"/>
    </row>
    <row r="287" spans="4:16" x14ac:dyDescent="0.35">
      <c r="D287" s="21" t="s">
        <v>218</v>
      </c>
      <c r="E287" s="6"/>
      <c r="F287" s="6" t="s">
        <v>219</v>
      </c>
      <c r="G287" s="6">
        <v>0</v>
      </c>
      <c r="H287" s="6">
        <v>100</v>
      </c>
      <c r="I287" s="31" t="s">
        <v>31</v>
      </c>
      <c r="J287" s="6" t="s">
        <v>38</v>
      </c>
      <c r="K287" s="6"/>
      <c r="L287" s="6"/>
      <c r="M287" s="6" t="s">
        <v>457</v>
      </c>
      <c r="N287" s="6"/>
      <c r="O287" s="6"/>
      <c r="P287" s="22"/>
    </row>
    <row r="288" spans="4:16" x14ac:dyDescent="0.35">
      <c r="D288" s="21" t="s">
        <v>218</v>
      </c>
      <c r="E288" s="6"/>
      <c r="F288" s="6" t="s">
        <v>219</v>
      </c>
      <c r="G288" s="6">
        <v>0</v>
      </c>
      <c r="H288" s="6">
        <v>80</v>
      </c>
      <c r="I288" s="31" t="s">
        <v>31</v>
      </c>
      <c r="J288" s="6" t="s">
        <v>38</v>
      </c>
      <c r="K288" s="6"/>
      <c r="L288" s="6"/>
      <c r="M288" s="6" t="s">
        <v>458</v>
      </c>
      <c r="N288" s="6"/>
      <c r="O288" s="6"/>
      <c r="P288" s="22"/>
    </row>
    <row r="289" spans="4:16" x14ac:dyDescent="0.35">
      <c r="D289" s="21" t="s">
        <v>218</v>
      </c>
      <c r="E289" s="6"/>
      <c r="F289" s="6"/>
      <c r="G289" s="6">
        <v>4</v>
      </c>
      <c r="H289" s="6">
        <v>100</v>
      </c>
      <c r="I289" s="31"/>
      <c r="J289" s="6" t="s">
        <v>450</v>
      </c>
      <c r="K289" s="6"/>
      <c r="L289" s="6"/>
      <c r="M289" s="6" t="s">
        <v>457</v>
      </c>
      <c r="N289" s="6"/>
      <c r="O289" s="6"/>
      <c r="P289" s="22"/>
    </row>
    <row r="290" spans="4:16" x14ac:dyDescent="0.35">
      <c r="D290" s="21" t="s">
        <v>218</v>
      </c>
      <c r="E290" s="6"/>
      <c r="F290" s="6"/>
      <c r="G290" s="6">
        <v>4</v>
      </c>
      <c r="H290" s="6">
        <v>80</v>
      </c>
      <c r="I290" s="31"/>
      <c r="J290" s="6" t="s">
        <v>450</v>
      </c>
      <c r="K290" s="6"/>
      <c r="L290" s="6"/>
      <c r="M290" s="6" t="s">
        <v>458</v>
      </c>
      <c r="N290" s="6"/>
      <c r="O290" s="6"/>
      <c r="P290" s="22"/>
    </row>
    <row r="291" spans="4:16" x14ac:dyDescent="0.35">
      <c r="D291" s="21" t="s">
        <v>451</v>
      </c>
      <c r="E291" s="6"/>
      <c r="F291" s="6"/>
      <c r="G291" s="6">
        <v>3</v>
      </c>
      <c r="H291" s="6">
        <v>10</v>
      </c>
      <c r="I291" s="31"/>
      <c r="J291" s="6" t="s">
        <v>418</v>
      </c>
      <c r="K291" s="6"/>
      <c r="L291" s="6"/>
      <c r="M291" s="6" t="s">
        <v>220</v>
      </c>
      <c r="N291" s="6"/>
      <c r="O291" s="6"/>
      <c r="P291" s="22"/>
    </row>
    <row r="292" spans="4:16" x14ac:dyDescent="0.35">
      <c r="D292" s="21" t="s">
        <v>452</v>
      </c>
      <c r="E292" s="6"/>
      <c r="F292" s="6"/>
      <c r="G292" s="6">
        <v>4</v>
      </c>
      <c r="H292" s="6">
        <v>10</v>
      </c>
      <c r="I292" s="31"/>
      <c r="J292" s="6" t="s">
        <v>453</v>
      </c>
      <c r="K292" s="6"/>
      <c r="L292" s="6"/>
      <c r="M292" s="6" t="s">
        <v>220</v>
      </c>
      <c r="N292" s="6"/>
      <c r="O292" s="6"/>
      <c r="P292" s="22"/>
    </row>
    <row r="293" spans="4:16" x14ac:dyDescent="0.35">
      <c r="D293" s="21" t="s">
        <v>222</v>
      </c>
      <c r="E293" s="6"/>
      <c r="F293" s="6"/>
      <c r="G293" s="6">
        <v>10</v>
      </c>
      <c r="H293" s="6">
        <v>25</v>
      </c>
      <c r="I293" s="31"/>
      <c r="J293" s="6" t="s">
        <v>454</v>
      </c>
      <c r="K293" s="6"/>
      <c r="L293" s="6"/>
      <c r="M293" s="6" t="s">
        <v>238</v>
      </c>
      <c r="N293" s="6"/>
      <c r="O293" s="6"/>
      <c r="P293" s="22"/>
    </row>
    <row r="294" spans="4:16" x14ac:dyDescent="0.35">
      <c r="D294" s="21" t="s">
        <v>223</v>
      </c>
      <c r="E294" s="6"/>
      <c r="F294" s="6" t="s">
        <v>219</v>
      </c>
      <c r="G294" s="6">
        <v>32</v>
      </c>
      <c r="H294" s="6">
        <v>100</v>
      </c>
      <c r="I294" s="31" t="s">
        <v>57</v>
      </c>
      <c r="J294" s="6" t="s">
        <v>224</v>
      </c>
      <c r="K294" s="6"/>
      <c r="L294" s="6"/>
      <c r="M294" s="6" t="s">
        <v>238</v>
      </c>
      <c r="N294" s="6"/>
      <c r="O294" s="6"/>
      <c r="P294" s="22"/>
    </row>
    <row r="295" spans="4:16" x14ac:dyDescent="0.35">
      <c r="D295" s="21"/>
      <c r="E295" s="6"/>
      <c r="F295" s="6"/>
      <c r="G295" s="6"/>
      <c r="H295" s="6"/>
      <c r="I295" s="31"/>
      <c r="J295" s="6"/>
      <c r="K295" s="6"/>
      <c r="L295" s="6"/>
      <c r="M295" s="6"/>
      <c r="N295" s="6"/>
      <c r="O295" s="6"/>
      <c r="P295" s="22"/>
    </row>
    <row r="296" spans="4:16" x14ac:dyDescent="0.35">
      <c r="D296" s="21" t="s">
        <v>239</v>
      </c>
      <c r="E296" s="6"/>
      <c r="F296" s="6" t="s">
        <v>240</v>
      </c>
      <c r="G296" s="6">
        <v>4</v>
      </c>
      <c r="H296" s="6">
        <v>5</v>
      </c>
      <c r="I296" s="31" t="s">
        <v>31</v>
      </c>
      <c r="J296" s="6" t="s">
        <v>242</v>
      </c>
      <c r="K296" s="6"/>
      <c r="L296" s="6"/>
      <c r="M296" s="6" t="s">
        <v>241</v>
      </c>
      <c r="N296" s="6"/>
      <c r="O296" s="6"/>
      <c r="P296" s="22"/>
    </row>
    <row r="297" spans="4:16" ht="13.9" thickBot="1" x14ac:dyDescent="0.4">
      <c r="D297" s="24"/>
      <c r="E297" s="25"/>
      <c r="F297" s="25"/>
      <c r="G297" s="25"/>
      <c r="H297" s="25"/>
      <c r="I297" s="25"/>
      <c r="J297" s="25"/>
      <c r="K297" s="25"/>
      <c r="L297" s="25"/>
      <c r="M297" s="25"/>
      <c r="N297" s="25"/>
      <c r="O297" s="25"/>
      <c r="P297" s="26"/>
    </row>
    <row r="299" spans="4:16" ht="13.9" thickBot="1" x14ac:dyDescent="0.4"/>
    <row r="300" spans="4:16" x14ac:dyDescent="0.35">
      <c r="D300" s="18" t="s">
        <v>459</v>
      </c>
      <c r="E300" s="19"/>
      <c r="F300" s="19"/>
      <c r="G300" s="19"/>
      <c r="H300" s="19"/>
      <c r="I300" s="19"/>
      <c r="J300" s="19"/>
      <c r="K300" s="19"/>
      <c r="L300" s="19"/>
      <c r="M300" s="19"/>
      <c r="N300" s="19"/>
      <c r="O300" s="19"/>
      <c r="P300" s="20"/>
    </row>
    <row r="301" spans="4:16" x14ac:dyDescent="0.35">
      <c r="D301" s="27" t="s">
        <v>217</v>
      </c>
      <c r="E301" s="28"/>
      <c r="F301" s="28" t="s">
        <v>213</v>
      </c>
      <c r="G301" s="28" t="s">
        <v>214</v>
      </c>
      <c r="H301" s="28" t="s">
        <v>215</v>
      </c>
      <c r="I301" s="28" t="s">
        <v>216</v>
      </c>
      <c r="J301" s="28" t="s">
        <v>221</v>
      </c>
      <c r="K301" s="28"/>
      <c r="L301" s="28"/>
      <c r="M301" s="28" t="s">
        <v>267</v>
      </c>
      <c r="N301" s="28"/>
      <c r="O301" s="28"/>
      <c r="P301" s="29"/>
    </row>
    <row r="302" spans="4:16" x14ac:dyDescent="0.35">
      <c r="D302" s="21"/>
      <c r="E302" s="6"/>
      <c r="F302" s="6"/>
      <c r="G302" s="6"/>
      <c r="H302" s="6"/>
      <c r="I302" s="6"/>
      <c r="J302" s="6"/>
      <c r="K302" s="6"/>
      <c r="L302" s="6"/>
      <c r="M302" s="6"/>
      <c r="N302" s="6"/>
      <c r="O302" s="6"/>
      <c r="P302" s="22"/>
    </row>
    <row r="303" spans="4:16" x14ac:dyDescent="0.35">
      <c r="D303" s="21" t="s">
        <v>218</v>
      </c>
      <c r="E303" s="6"/>
      <c r="F303" s="6" t="s">
        <v>219</v>
      </c>
      <c r="G303" s="6">
        <v>0</v>
      </c>
      <c r="H303" s="6">
        <v>50</v>
      </c>
      <c r="I303" s="31" t="s">
        <v>31</v>
      </c>
      <c r="J303" s="6" t="s">
        <v>38</v>
      </c>
      <c r="K303" s="6"/>
      <c r="L303" s="6"/>
      <c r="M303" s="6" t="s">
        <v>220</v>
      </c>
      <c r="N303" s="6"/>
      <c r="O303" s="6"/>
      <c r="P303" s="22"/>
    </row>
    <row r="304" spans="4:16" x14ac:dyDescent="0.35">
      <c r="D304" s="21" t="s">
        <v>218</v>
      </c>
      <c r="E304" s="6"/>
      <c r="F304" s="6"/>
      <c r="G304" s="6">
        <v>4</v>
      </c>
      <c r="H304" s="6">
        <v>50</v>
      </c>
      <c r="I304" s="31"/>
      <c r="J304" s="6" t="s">
        <v>450</v>
      </c>
      <c r="K304" s="6"/>
      <c r="L304" s="6"/>
      <c r="M304" s="6" t="s">
        <v>220</v>
      </c>
      <c r="N304" s="6"/>
      <c r="O304" s="6"/>
      <c r="P304" s="22"/>
    </row>
    <row r="305" spans="4:16" x14ac:dyDescent="0.35">
      <c r="D305" s="21" t="s">
        <v>451</v>
      </c>
      <c r="E305" s="6"/>
      <c r="F305" s="6"/>
      <c r="G305" s="6">
        <v>3</v>
      </c>
      <c r="H305" s="6">
        <v>10</v>
      </c>
      <c r="I305" s="31"/>
      <c r="J305" s="6" t="s">
        <v>418</v>
      </c>
      <c r="K305" s="6"/>
      <c r="L305" s="6"/>
      <c r="M305" s="6" t="s">
        <v>220</v>
      </c>
      <c r="N305" s="6"/>
      <c r="O305" s="6"/>
      <c r="P305" s="22"/>
    </row>
    <row r="306" spans="4:16" x14ac:dyDescent="0.35">
      <c r="D306" s="21" t="s">
        <v>452</v>
      </c>
      <c r="E306" s="6"/>
      <c r="F306" s="6"/>
      <c r="G306" s="6">
        <v>4</v>
      </c>
      <c r="H306" s="6">
        <v>10</v>
      </c>
      <c r="I306" s="31"/>
      <c r="J306" s="6" t="s">
        <v>453</v>
      </c>
      <c r="K306" s="6"/>
      <c r="L306" s="6"/>
      <c r="M306" s="6" t="s">
        <v>220</v>
      </c>
      <c r="N306" s="6"/>
      <c r="O306" s="6"/>
      <c r="P306" s="22"/>
    </row>
    <row r="307" spans="4:16" x14ac:dyDescent="0.35">
      <c r="D307" s="21" t="s">
        <v>222</v>
      </c>
      <c r="E307" s="6"/>
      <c r="F307" s="6"/>
      <c r="G307" s="6">
        <v>10</v>
      </c>
      <c r="H307" s="6">
        <v>25</v>
      </c>
      <c r="I307" s="31"/>
      <c r="J307" s="6" t="s">
        <v>454</v>
      </c>
      <c r="K307" s="6"/>
      <c r="L307" s="6"/>
      <c r="M307" s="6" t="s">
        <v>238</v>
      </c>
      <c r="N307" s="6"/>
      <c r="O307" s="6"/>
      <c r="P307" s="22"/>
    </row>
    <row r="308" spans="4:16" x14ac:dyDescent="0.35">
      <c r="D308" s="21" t="s">
        <v>223</v>
      </c>
      <c r="E308" s="6"/>
      <c r="F308" s="6" t="s">
        <v>219</v>
      </c>
      <c r="G308" s="6">
        <v>32</v>
      </c>
      <c r="H308" s="6">
        <v>100</v>
      </c>
      <c r="I308" s="31" t="s">
        <v>57</v>
      </c>
      <c r="J308" s="6" t="s">
        <v>224</v>
      </c>
      <c r="K308" s="6"/>
      <c r="L308" s="6"/>
      <c r="M308" s="6" t="s">
        <v>238</v>
      </c>
      <c r="N308" s="6"/>
      <c r="O308" s="6"/>
      <c r="P308" s="22"/>
    </row>
    <row r="309" spans="4:16" x14ac:dyDescent="0.35">
      <c r="D309" s="21"/>
      <c r="E309" s="6"/>
      <c r="F309" s="6"/>
      <c r="G309" s="6"/>
      <c r="H309" s="6"/>
      <c r="I309" s="31"/>
      <c r="J309" s="6"/>
      <c r="K309" s="6"/>
      <c r="L309" s="6"/>
      <c r="M309" s="6"/>
      <c r="N309" s="6"/>
      <c r="O309" s="6"/>
      <c r="P309" s="22"/>
    </row>
    <row r="310" spans="4:16" x14ac:dyDescent="0.35">
      <c r="D310" s="21" t="s">
        <v>239</v>
      </c>
      <c r="E310" s="6"/>
      <c r="F310" s="6" t="s">
        <v>240</v>
      </c>
      <c r="G310" s="6">
        <v>4</v>
      </c>
      <c r="H310" s="6">
        <v>5</v>
      </c>
      <c r="I310" s="31" t="s">
        <v>31</v>
      </c>
      <c r="J310" s="6" t="s">
        <v>242</v>
      </c>
      <c r="K310" s="6"/>
      <c r="L310" s="6"/>
      <c r="M310" s="6" t="s">
        <v>241</v>
      </c>
      <c r="N310" s="6"/>
      <c r="O310" s="6"/>
      <c r="P310" s="22"/>
    </row>
    <row r="311" spans="4:16" ht="13.9" thickBot="1" x14ac:dyDescent="0.4">
      <c r="D311" s="24"/>
      <c r="E311" s="25"/>
      <c r="F311" s="25"/>
      <c r="G311" s="25"/>
      <c r="H311" s="25"/>
      <c r="I311" s="25"/>
      <c r="J311" s="25"/>
      <c r="K311" s="25"/>
      <c r="L311" s="25"/>
      <c r="M311" s="25"/>
      <c r="N311" s="25"/>
      <c r="O311" s="25"/>
      <c r="P311" s="26"/>
    </row>
    <row r="312" spans="4:16" x14ac:dyDescent="0.35">
      <c r="D312" s="6"/>
      <c r="E312" s="6"/>
      <c r="F312" s="6"/>
      <c r="G312" s="6"/>
      <c r="H312" s="6"/>
      <c r="I312" s="6"/>
      <c r="J312" s="6"/>
      <c r="K312" s="6"/>
      <c r="L312" s="6"/>
      <c r="M312" s="6"/>
      <c r="N312" s="6"/>
      <c r="O312" s="6"/>
      <c r="P312" s="6"/>
    </row>
  </sheetData>
  <sheetProtection password="E325" sheet="1" objects="1" scenarios="1"/>
  <protectedRanges>
    <protectedRange sqref="T34:W34" name="Range20"/>
    <protectedRange sqref="O79:S79" name="Range19"/>
    <protectedRange sqref="O56" name="Range15"/>
    <protectedRange sqref="Q45" name="Range14"/>
    <protectedRange sqref="I51" name="Range13"/>
    <protectedRange sqref="E46" name="Range12"/>
    <protectedRange sqref="E23" name="Range6"/>
    <protectedRange sqref="E22" name="Range5"/>
    <protectedRange sqref="L17" name="Range2"/>
    <protectedRange sqref="I10:J10" name="Range1"/>
    <protectedRange sqref="O17" name="Range3"/>
    <protectedRange sqref="R17" name="Range4"/>
    <protectedRange sqref="I30" name="Range7"/>
    <protectedRange sqref="G35" name="Range8"/>
    <protectedRange sqref="M35" name="Range9"/>
    <protectedRange sqref="R35" name="Range10"/>
    <protectedRange sqref="M75" name="Range16"/>
    <protectedRange sqref="Q65" name="Range17"/>
    <protectedRange sqref="Q66" name="Range18"/>
  </protectedRanges>
  <mergeCells count="3">
    <mergeCell ref="I10:J10"/>
    <mergeCell ref="T34:W34"/>
    <mergeCell ref="O79:S79"/>
  </mergeCells>
  <conditionalFormatting sqref="F230:F234 V43 F25 S46">
    <cfRule type="expression" dxfId="30" priority="15">
      <formula>#REF!</formula>
    </cfRule>
  </conditionalFormatting>
  <conditionalFormatting sqref="W68">
    <cfRule type="expression" dxfId="29" priority="10">
      <formula>$W$68&gt;#REF!</formula>
    </cfRule>
  </conditionalFormatting>
  <conditionalFormatting sqref="V37">
    <cfRule type="expression" dxfId="28" priority="24">
      <formula>$F$236</formula>
    </cfRule>
  </conditionalFormatting>
  <conditionalFormatting sqref="R49">
    <cfRule type="expression" dxfId="27" priority="33">
      <formula>$F$231</formula>
    </cfRule>
  </conditionalFormatting>
  <conditionalFormatting sqref="E46">
    <cfRule type="expression" dxfId="26" priority="34">
      <formula>$F$252</formula>
    </cfRule>
  </conditionalFormatting>
  <conditionalFormatting sqref="E31">
    <cfRule type="expression" dxfId="25" priority="35">
      <formula>$F$229</formula>
    </cfRule>
  </conditionalFormatting>
  <conditionalFormatting sqref="M20">
    <cfRule type="expression" dxfId="24" priority="36">
      <formula>$F$240</formula>
    </cfRule>
  </conditionalFormatting>
  <conditionalFormatting sqref="M33">
    <cfRule type="expression" dxfId="23" priority="38">
      <formula>$F$235</formula>
    </cfRule>
  </conditionalFormatting>
  <conditionalFormatting sqref="U19">
    <cfRule type="expression" dxfId="22" priority="39">
      <formula>$F$231</formula>
    </cfRule>
    <cfRule type="expression" dxfId="21" priority="40">
      <formula>#REF!</formula>
    </cfRule>
  </conditionalFormatting>
  <conditionalFormatting sqref="E23">
    <cfRule type="expression" dxfId="20" priority="41">
      <formula>$H$246</formula>
    </cfRule>
  </conditionalFormatting>
  <conditionalFormatting sqref="E22">
    <cfRule type="expression" dxfId="19" priority="42">
      <formula>$F$248</formula>
    </cfRule>
  </conditionalFormatting>
  <dataValidations count="14">
    <dataValidation type="list" allowBlank="1" showInputMessage="1" showErrorMessage="1" sqref="T34" xr:uid="{00000000-0002-0000-0000-000000000000}">
      <formula1>$O$152:$O$153</formula1>
    </dataValidation>
    <dataValidation type="list" allowBlank="1" showInputMessage="1" showErrorMessage="1" sqref="M35" xr:uid="{00000000-0002-0000-0000-000001000000}">
      <formula1>$I$135:$I$142</formula1>
    </dataValidation>
    <dataValidation type="list" allowBlank="1" showInputMessage="1" showErrorMessage="1" sqref="O79:S79" xr:uid="{00000000-0002-0000-0000-000002000000}">
      <formula1>$O$190:$O$198</formula1>
    </dataValidation>
    <dataValidation type="list" allowBlank="1" showInputMessage="1" showErrorMessage="1" sqref="G35" xr:uid="{00000000-0002-0000-0000-000003000000}">
      <formula1>$I$151:$I$152</formula1>
    </dataValidation>
    <dataValidation type="list" allowBlank="1" showInputMessage="1" showErrorMessage="1" sqref="I30" xr:uid="{00000000-0002-0000-0000-000004000000}">
      <formula1>$I$88:$I$91</formula1>
    </dataValidation>
    <dataValidation type="list" allowBlank="1" showInputMessage="1" showErrorMessage="1" sqref="I10" xr:uid="{00000000-0002-0000-0000-000005000000}">
      <formula1>$O$116:$O$123</formula1>
    </dataValidation>
    <dataValidation type="list" allowBlank="1" showInputMessage="1" showErrorMessage="1" sqref="I51" xr:uid="{00000000-0002-0000-0000-000006000000}">
      <formula1>$I$148:$I$149</formula1>
    </dataValidation>
    <dataValidation type="list" allowBlank="1" showInputMessage="1" showErrorMessage="1" sqref="R35" xr:uid="{00000000-0002-0000-0000-000007000000}">
      <formula1>$I$145:$I$146</formula1>
    </dataValidation>
    <dataValidation type="list" allowBlank="1" showInputMessage="1" showErrorMessage="1" sqref="O56" xr:uid="{00000000-0002-0000-0000-000008000000}">
      <formula1>$I$125:$I$132</formula1>
    </dataValidation>
    <dataValidation type="list" allowBlank="1" showInputMessage="1" showErrorMessage="1" sqref="R17" xr:uid="{00000000-0002-0000-0000-000009000000}">
      <formula1>$I$115:$I$122</formula1>
    </dataValidation>
    <dataValidation type="list" allowBlank="1" showInputMessage="1" showErrorMessage="1" sqref="O17" xr:uid="{00000000-0002-0000-0000-00000A000000}">
      <formula1>$I$105:$I$112</formula1>
    </dataValidation>
    <dataValidation type="list" allowBlank="1" showInputMessage="1" showErrorMessage="1" sqref="L17" xr:uid="{00000000-0002-0000-0000-00000B000000}">
      <formula1>$I$94:$I$101</formula1>
    </dataValidation>
    <dataValidation type="list" allowBlank="1" showInputMessage="1" showErrorMessage="1" sqref="Q45" xr:uid="{00000000-0002-0000-0000-00000C000000}">
      <formula1>$I$154:$I$157</formula1>
    </dataValidation>
    <dataValidation type="list" allowBlank="1" showInputMessage="1" showErrorMessage="1" sqref="S27 S30 S33 S36 S39 S42" xr:uid="{00000000-0002-0000-0000-00000D000000}">
      <formula1>$D$89:$D$224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X289"/>
  <sheetViews>
    <sheetView tabSelected="1" topLeftCell="E21" zoomScale="145" zoomScaleNormal="145" workbookViewId="0">
      <selection activeCell="Q33" sqref="Q33"/>
    </sheetView>
  </sheetViews>
  <sheetFormatPr defaultColWidth="8.86328125" defaultRowHeight="13.5" x14ac:dyDescent="0.35"/>
  <cols>
    <col min="1" max="2" width="4.73046875" style="5" customWidth="1"/>
    <col min="3" max="3" width="4.86328125" style="5" customWidth="1"/>
    <col min="4" max="4" width="8.265625" style="5" customWidth="1"/>
    <col min="5" max="5" width="5.73046875" style="5" customWidth="1"/>
    <col min="6" max="6" width="8.59765625" style="5" customWidth="1"/>
    <col min="7" max="7" width="8.73046875" style="5" customWidth="1"/>
    <col min="8" max="9" width="10.73046875" style="5" customWidth="1"/>
    <col min="10" max="10" width="9.265625" style="5" customWidth="1"/>
    <col min="11" max="11" width="10.73046875" style="5" customWidth="1"/>
    <col min="12" max="12" width="6.86328125" style="5" customWidth="1"/>
    <col min="13" max="13" width="7.3984375" style="5" customWidth="1"/>
    <col min="14" max="14" width="10.73046875" style="5" customWidth="1"/>
    <col min="15" max="15" width="9.73046875" style="5" customWidth="1"/>
    <col min="16" max="16" width="5.73046875" style="5" customWidth="1"/>
    <col min="17" max="17" width="10.73046875" style="5" customWidth="1"/>
    <col min="18" max="18" width="8.1328125" style="5" customWidth="1"/>
    <col min="19" max="19" width="5.73046875" style="5" customWidth="1"/>
    <col min="20" max="20" width="7.265625" style="5" customWidth="1"/>
    <col min="21" max="22" width="6.73046875" style="5" customWidth="1"/>
    <col min="23" max="23" width="9.59765625" style="5" customWidth="1"/>
    <col min="24" max="16384" width="8.86328125" style="5"/>
  </cols>
  <sheetData>
    <row r="2" spans="5:18" ht="27.75" x14ac:dyDescent="0.75">
      <c r="G2" s="12" t="s">
        <v>208</v>
      </c>
    </row>
    <row r="6" spans="5:18" x14ac:dyDescent="0.35">
      <c r="E6" s="5" t="s">
        <v>194</v>
      </c>
    </row>
    <row r="9" spans="5:18" ht="13.9" x14ac:dyDescent="0.4">
      <c r="P9" s="14" t="s">
        <v>209</v>
      </c>
    </row>
    <row r="10" spans="5:18" ht="13.9" x14ac:dyDescent="0.4">
      <c r="H10" s="4" t="s">
        <v>193</v>
      </c>
      <c r="I10" s="48" t="s">
        <v>186</v>
      </c>
      <c r="J10" s="49"/>
      <c r="P10" s="14" t="s">
        <v>210</v>
      </c>
    </row>
    <row r="11" spans="5:18" ht="14.45" customHeight="1" x14ac:dyDescent="0.4">
      <c r="F11" s="4">
        <v>8</v>
      </c>
      <c r="G11" s="5" t="s">
        <v>31</v>
      </c>
      <c r="P11" s="14" t="s">
        <v>211</v>
      </c>
    </row>
    <row r="12" spans="5:18" ht="13.9" x14ac:dyDescent="0.4">
      <c r="L12" s="4">
        <f>F11/R126</f>
        <v>4</v>
      </c>
      <c r="M12" s="5" t="s">
        <v>31</v>
      </c>
      <c r="P12" s="14" t="s">
        <v>404</v>
      </c>
    </row>
    <row r="13" spans="5:18" x14ac:dyDescent="0.35">
      <c r="H13" s="10"/>
      <c r="L13" s="9"/>
    </row>
    <row r="14" spans="5:18" x14ac:dyDescent="0.35">
      <c r="L14" s="8"/>
    </row>
    <row r="16" spans="5:18" x14ac:dyDescent="0.35">
      <c r="H16" s="4" t="s">
        <v>33</v>
      </c>
      <c r="I16" s="16" t="s">
        <v>40</v>
      </c>
      <c r="K16" s="5" t="s">
        <v>34</v>
      </c>
      <c r="L16" s="16" t="s">
        <v>44</v>
      </c>
      <c r="N16" s="4" t="s">
        <v>35</v>
      </c>
      <c r="O16" s="16" t="s">
        <v>107</v>
      </c>
      <c r="Q16" s="4" t="s">
        <v>36</v>
      </c>
      <c r="R16" s="16" t="s">
        <v>4</v>
      </c>
    </row>
    <row r="18" spans="4:23" x14ac:dyDescent="0.35">
      <c r="U18" s="8">
        <f>P19/J110</f>
        <v>200</v>
      </c>
      <c r="V18" s="5" t="s">
        <v>31</v>
      </c>
    </row>
    <row r="19" spans="4:23" x14ac:dyDescent="0.35">
      <c r="J19" s="6">
        <f>IF(I16="PLL_FRC", F11, F25)</f>
        <v>40</v>
      </c>
      <c r="M19" s="6">
        <f>J19/J103</f>
        <v>8</v>
      </c>
      <c r="P19" s="8">
        <f>IF(O23="Bypass",M19,M19*F217)</f>
        <v>400</v>
      </c>
    </row>
    <row r="22" spans="4:23" x14ac:dyDescent="0.35">
      <c r="D22" s="4" t="s">
        <v>392</v>
      </c>
      <c r="E22" s="15">
        <v>40</v>
      </c>
      <c r="F22" s="5" t="s">
        <v>31</v>
      </c>
    </row>
    <row r="23" spans="4:23" x14ac:dyDescent="0.35">
      <c r="D23" s="4" t="s">
        <v>393</v>
      </c>
      <c r="E23" s="16">
        <v>22</v>
      </c>
      <c r="F23" s="5" t="s">
        <v>31</v>
      </c>
      <c r="N23" s="4" t="s">
        <v>58</v>
      </c>
      <c r="O23" s="48" t="s">
        <v>20</v>
      </c>
      <c r="P23" s="50"/>
      <c r="Q23" s="49"/>
    </row>
    <row r="25" spans="4:23" x14ac:dyDescent="0.35">
      <c r="E25" s="4" t="s">
        <v>53</v>
      </c>
      <c r="F25" s="7">
        <f>IF(I30="HS",E23,IF(I30="EC",E22,0))</f>
        <v>40</v>
      </c>
      <c r="G25" s="5" t="str">
        <f>F23</f>
        <v>MHz</v>
      </c>
    </row>
    <row r="26" spans="4:23" x14ac:dyDescent="0.35">
      <c r="E26" s="4" t="s">
        <v>54</v>
      </c>
    </row>
    <row r="27" spans="4:23" x14ac:dyDescent="0.35">
      <c r="R27" s="4" t="s">
        <v>207</v>
      </c>
      <c r="S27" s="17">
        <v>2</v>
      </c>
    </row>
    <row r="28" spans="4:23" x14ac:dyDescent="0.35">
      <c r="K28" s="4"/>
      <c r="L28" s="4" t="s">
        <v>195</v>
      </c>
      <c r="M28" s="51" t="s">
        <v>199</v>
      </c>
      <c r="N28" s="53"/>
      <c r="V28" s="5">
        <f>$R$49/S27</f>
        <v>100</v>
      </c>
      <c r="W28" s="5" t="s">
        <v>31</v>
      </c>
    </row>
    <row r="30" spans="4:23" x14ac:dyDescent="0.35">
      <c r="E30" s="4" t="s">
        <v>55</v>
      </c>
      <c r="H30" s="4" t="s">
        <v>32</v>
      </c>
      <c r="I30" s="2" t="s">
        <v>38</v>
      </c>
      <c r="R30" s="4" t="s">
        <v>207</v>
      </c>
      <c r="S30" s="17">
        <v>2</v>
      </c>
    </row>
    <row r="31" spans="4:23" x14ac:dyDescent="0.35">
      <c r="E31" s="4" t="s">
        <v>56</v>
      </c>
      <c r="V31" s="5">
        <f>$R$49/S30</f>
        <v>100</v>
      </c>
      <c r="W31" s="5" t="s">
        <v>31</v>
      </c>
    </row>
    <row r="32" spans="4:23" x14ac:dyDescent="0.35">
      <c r="E32" s="4"/>
    </row>
    <row r="33" spans="4:23" x14ac:dyDescent="0.35">
      <c r="E33" s="4"/>
      <c r="I33" s="32">
        <f>V28/2</f>
        <v>50</v>
      </c>
      <c r="J33" s="5" t="s">
        <v>31</v>
      </c>
      <c r="R33" s="4" t="s">
        <v>207</v>
      </c>
      <c r="S33" s="17">
        <v>2</v>
      </c>
    </row>
    <row r="34" spans="4:23" x14ac:dyDescent="0.35">
      <c r="E34" s="4"/>
      <c r="V34" s="5">
        <f>$R$49/S33</f>
        <v>100</v>
      </c>
      <c r="W34" s="5" t="s">
        <v>31</v>
      </c>
    </row>
    <row r="35" spans="4:23" x14ac:dyDescent="0.35">
      <c r="E35" s="4"/>
      <c r="F35" s="4" t="s">
        <v>203</v>
      </c>
      <c r="G35" s="16" t="s">
        <v>0</v>
      </c>
      <c r="L35" s="4" t="s">
        <v>196</v>
      </c>
      <c r="M35" s="16" t="s">
        <v>7</v>
      </c>
    </row>
    <row r="36" spans="4:23" x14ac:dyDescent="0.35">
      <c r="E36" s="4"/>
      <c r="R36" s="4" t="s">
        <v>207</v>
      </c>
      <c r="S36" s="17">
        <v>2</v>
      </c>
    </row>
    <row r="37" spans="4:23" x14ac:dyDescent="0.35">
      <c r="E37" s="4"/>
      <c r="V37" s="5">
        <f>$R$49/S36</f>
        <v>100</v>
      </c>
      <c r="W37" s="5" t="s">
        <v>31</v>
      </c>
    </row>
    <row r="38" spans="4:23" x14ac:dyDescent="0.35">
      <c r="E38" s="4"/>
      <c r="F38" s="5">
        <v>8</v>
      </c>
      <c r="G38" s="10" t="s">
        <v>31</v>
      </c>
    </row>
    <row r="39" spans="4:23" x14ac:dyDescent="0.35">
      <c r="E39" s="4"/>
      <c r="R39" s="4" t="s">
        <v>207</v>
      </c>
      <c r="S39" s="17">
        <v>2</v>
      </c>
    </row>
    <row r="40" spans="4:23" x14ac:dyDescent="0.35">
      <c r="E40" s="4"/>
      <c r="M40" s="5">
        <f>$L$12</f>
        <v>4</v>
      </c>
      <c r="N40" s="5" t="s">
        <v>31</v>
      </c>
      <c r="V40" s="5">
        <f>$R$49/S39</f>
        <v>100</v>
      </c>
      <c r="W40" s="5" t="s">
        <v>31</v>
      </c>
    </row>
    <row r="42" spans="4:23" x14ac:dyDescent="0.35">
      <c r="E42" s="4"/>
      <c r="F42" s="5">
        <v>32</v>
      </c>
      <c r="G42" s="10" t="s">
        <v>57</v>
      </c>
      <c r="M42" s="5">
        <f>$U$18</f>
        <v>200</v>
      </c>
      <c r="N42" s="5" t="s">
        <v>31</v>
      </c>
      <c r="R42" s="4" t="s">
        <v>207</v>
      </c>
      <c r="S42" s="17">
        <v>1</v>
      </c>
    </row>
    <row r="43" spans="4:23" x14ac:dyDescent="0.35">
      <c r="E43" s="4"/>
      <c r="V43" s="5">
        <f>$R$49/S42</f>
        <v>200</v>
      </c>
      <c r="W43" s="5" t="s">
        <v>31</v>
      </c>
    </row>
    <row r="44" spans="4:23" x14ac:dyDescent="0.35">
      <c r="E44" s="4"/>
      <c r="M44" s="5">
        <f>$F$25</f>
        <v>40</v>
      </c>
      <c r="N44" s="5" t="s">
        <v>31</v>
      </c>
    </row>
    <row r="45" spans="4:23" x14ac:dyDescent="0.35">
      <c r="E45" s="4"/>
      <c r="R45" s="4" t="s">
        <v>207</v>
      </c>
      <c r="S45" s="17">
        <v>2</v>
      </c>
    </row>
    <row r="46" spans="4:23" x14ac:dyDescent="0.35">
      <c r="D46" s="4" t="s">
        <v>393</v>
      </c>
      <c r="E46" s="16">
        <v>32.768000000000001</v>
      </c>
      <c r="F46" s="5" t="s">
        <v>57</v>
      </c>
      <c r="G46" s="5">
        <f>IF($I$51="ON", $E$46, 0)</f>
        <v>0</v>
      </c>
      <c r="H46" s="5" t="s">
        <v>57</v>
      </c>
      <c r="M46" s="5">
        <v>8</v>
      </c>
      <c r="N46" s="5" t="s">
        <v>31</v>
      </c>
      <c r="V46" s="5">
        <f>$R$49/S45</f>
        <v>100</v>
      </c>
      <c r="W46" s="5" t="s">
        <v>31</v>
      </c>
    </row>
    <row r="47" spans="4:23" x14ac:dyDescent="0.35">
      <c r="E47" s="4" t="s">
        <v>201</v>
      </c>
    </row>
    <row r="48" spans="4:23" x14ac:dyDescent="0.35">
      <c r="E48" s="4"/>
      <c r="M48" s="5">
        <v>32</v>
      </c>
      <c r="N48" s="5" t="s">
        <v>57</v>
      </c>
    </row>
    <row r="49" spans="5:21" x14ac:dyDescent="0.35">
      <c r="E49" s="4"/>
      <c r="R49" s="5">
        <f>K118</f>
        <v>200</v>
      </c>
      <c r="S49" s="5" t="s">
        <v>31</v>
      </c>
    </row>
    <row r="50" spans="5:21" x14ac:dyDescent="0.35">
      <c r="E50" s="4"/>
      <c r="M50" s="11">
        <f>$G$46</f>
        <v>0</v>
      </c>
      <c r="N50" s="5" t="s">
        <v>57</v>
      </c>
    </row>
    <row r="51" spans="5:21" x14ac:dyDescent="0.35">
      <c r="H51" s="4" t="s">
        <v>202</v>
      </c>
      <c r="I51" s="16" t="s">
        <v>7</v>
      </c>
    </row>
    <row r="52" spans="5:21" x14ac:dyDescent="0.35">
      <c r="E52" s="4" t="s">
        <v>200</v>
      </c>
    </row>
    <row r="53" spans="5:21" x14ac:dyDescent="0.35">
      <c r="E53" s="4"/>
    </row>
    <row r="54" spans="5:21" x14ac:dyDescent="0.35">
      <c r="N54" s="4" t="s">
        <v>50</v>
      </c>
      <c r="O54" s="16" t="s">
        <v>37</v>
      </c>
    </row>
    <row r="55" spans="5:21" x14ac:dyDescent="0.35">
      <c r="S55" s="8"/>
      <c r="U55" s="6"/>
    </row>
    <row r="56" spans="5:21" ht="15" x14ac:dyDescent="0.4">
      <c r="H56" s="13"/>
      <c r="U56" s="8"/>
    </row>
    <row r="57" spans="5:21" x14ac:dyDescent="0.35">
      <c r="U57" s="8"/>
    </row>
    <row r="59" spans="5:21" x14ac:dyDescent="0.35">
      <c r="M59" s="5">
        <v>8</v>
      </c>
      <c r="N59" s="5" t="s">
        <v>31</v>
      </c>
    </row>
    <row r="61" spans="5:21" x14ac:dyDescent="0.35">
      <c r="G61" s="4" t="s">
        <v>13</v>
      </c>
      <c r="M61" s="5">
        <f>$U$18</f>
        <v>200</v>
      </c>
      <c r="N61" s="5" t="s">
        <v>31</v>
      </c>
      <c r="T61" s="4"/>
    </row>
    <row r="62" spans="5:21" x14ac:dyDescent="0.35">
      <c r="G62" s="4" t="s">
        <v>8</v>
      </c>
      <c r="H62" s="5" t="str">
        <f>O54</f>
        <v>SPLL</v>
      </c>
    </row>
    <row r="63" spans="5:21" x14ac:dyDescent="0.35">
      <c r="G63" s="4" t="s">
        <v>9</v>
      </c>
      <c r="H63" s="5" t="str">
        <f>I51</f>
        <v>OFF</v>
      </c>
      <c r="M63" s="5">
        <f>$F$25</f>
        <v>40</v>
      </c>
      <c r="N63" s="5" t="s">
        <v>31</v>
      </c>
    </row>
    <row r="64" spans="5:21" x14ac:dyDescent="0.35">
      <c r="G64" s="4" t="s">
        <v>10</v>
      </c>
      <c r="H64" s="5" t="str">
        <f>I30</f>
        <v>EC</v>
      </c>
    </row>
    <row r="65" spans="5:24" x14ac:dyDescent="0.35">
      <c r="G65" s="4" t="s">
        <v>11</v>
      </c>
      <c r="H65" s="5" t="str">
        <f>G35</f>
        <v>ON</v>
      </c>
      <c r="M65" s="5">
        <v>8</v>
      </c>
      <c r="N65" s="5" t="s">
        <v>31</v>
      </c>
      <c r="P65" s="7" t="s">
        <v>384</v>
      </c>
      <c r="Q65" s="17">
        <v>218</v>
      </c>
    </row>
    <row r="66" spans="5:24" x14ac:dyDescent="0.35">
      <c r="G66" s="4"/>
      <c r="P66" s="7" t="s">
        <v>385</v>
      </c>
      <c r="Q66" s="17">
        <v>5</v>
      </c>
      <c r="R66" s="38"/>
    </row>
    <row r="67" spans="5:24" x14ac:dyDescent="0.35">
      <c r="G67" s="4" t="s">
        <v>14</v>
      </c>
      <c r="M67" s="5">
        <v>32</v>
      </c>
      <c r="N67" s="5" t="s">
        <v>57</v>
      </c>
    </row>
    <row r="68" spans="5:24" x14ac:dyDescent="0.35">
      <c r="G68" s="4" t="s">
        <v>16</v>
      </c>
      <c r="H68" s="5" t="str">
        <f>I16</f>
        <v>PLL_POSC</v>
      </c>
      <c r="W68" s="36">
        <f>IF($Q$66=0, $O$69, ($O$69/(2*$T$230)))</f>
        <v>18.430525557955363</v>
      </c>
      <c r="X68" s="5" t="s">
        <v>31</v>
      </c>
    </row>
    <row r="69" spans="5:24" x14ac:dyDescent="0.35">
      <c r="G69" s="4" t="s">
        <v>18</v>
      </c>
      <c r="H69" s="5" t="str">
        <f>L16</f>
        <v>DIV_5</v>
      </c>
      <c r="M69" s="11">
        <f>$G$46</f>
        <v>0</v>
      </c>
      <c r="N69" s="5" t="s">
        <v>57</v>
      </c>
      <c r="O69" s="5">
        <f>U210</f>
        <v>200</v>
      </c>
      <c r="Q69" s="11"/>
    </row>
    <row r="70" spans="5:24" x14ac:dyDescent="0.35">
      <c r="G70" s="4" t="s">
        <v>15</v>
      </c>
      <c r="H70" s="5" t="str">
        <f>O16</f>
        <v>MUL_50</v>
      </c>
    </row>
    <row r="71" spans="5:24" x14ac:dyDescent="0.35">
      <c r="G71" s="4" t="s">
        <v>12</v>
      </c>
      <c r="H71" s="5" t="str">
        <f>R16</f>
        <v>DIV_2</v>
      </c>
      <c r="M71" s="5">
        <f>V28</f>
        <v>100</v>
      </c>
      <c r="N71" s="5" t="s">
        <v>31</v>
      </c>
    </row>
    <row r="72" spans="5:24" x14ac:dyDescent="0.35">
      <c r="G72" s="4" t="s">
        <v>17</v>
      </c>
      <c r="H72" s="5" t="str">
        <f>O23</f>
        <v>RANGE_8_16_MHZ</v>
      </c>
    </row>
    <row r="73" spans="5:24" x14ac:dyDescent="0.35">
      <c r="G73" s="4" t="s">
        <v>197</v>
      </c>
      <c r="H73" s="5" t="str">
        <f>M35</f>
        <v>OFF</v>
      </c>
      <c r="M73" s="5">
        <f>R49</f>
        <v>200</v>
      </c>
      <c r="N73" s="5" t="s">
        <v>31</v>
      </c>
    </row>
    <row r="74" spans="5:24" x14ac:dyDescent="0.35">
      <c r="G74" s="4" t="s">
        <v>198</v>
      </c>
      <c r="H74" s="5" t="str">
        <f>M28</f>
        <v>FREQ_12MHZ</v>
      </c>
    </row>
    <row r="75" spans="5:24" x14ac:dyDescent="0.35">
      <c r="E75" s="4"/>
      <c r="M75" s="16">
        <v>2</v>
      </c>
      <c r="N75" s="5" t="s">
        <v>31</v>
      </c>
    </row>
    <row r="76" spans="5:24" x14ac:dyDescent="0.35">
      <c r="E76" s="4"/>
      <c r="M76" s="11"/>
      <c r="U76" s="5" t="s">
        <v>390</v>
      </c>
    </row>
    <row r="77" spans="5:24" x14ac:dyDescent="0.35">
      <c r="E77" s="4"/>
    </row>
    <row r="78" spans="5:24" x14ac:dyDescent="0.35">
      <c r="E78" s="4"/>
    </row>
    <row r="79" spans="5:24" x14ac:dyDescent="0.35">
      <c r="E79" s="4"/>
      <c r="N79" s="34" t="s">
        <v>386</v>
      </c>
      <c r="O79" s="51" t="s">
        <v>359</v>
      </c>
      <c r="P79" s="52"/>
      <c r="Q79" s="52"/>
      <c r="R79" s="52"/>
      <c r="S79" s="53"/>
    </row>
    <row r="80" spans="5:24" x14ac:dyDescent="0.35">
      <c r="E80" s="4"/>
    </row>
    <row r="81" spans="3:14" x14ac:dyDescent="0.35">
      <c r="E81" s="4"/>
    </row>
    <row r="82" spans="3:14" x14ac:dyDescent="0.35">
      <c r="E82" s="4"/>
    </row>
    <row r="83" spans="3:14" x14ac:dyDescent="0.35">
      <c r="E83" s="4"/>
    </row>
    <row r="84" spans="3:14" ht="13.9" thickBot="1" x14ac:dyDescent="0.4">
      <c r="E84" s="4"/>
    </row>
    <row r="85" spans="3:14" x14ac:dyDescent="0.35">
      <c r="C85" s="18"/>
      <c r="D85" s="19"/>
      <c r="E85" s="19"/>
      <c r="F85" s="19" t="s">
        <v>264</v>
      </c>
      <c r="G85" s="19"/>
      <c r="H85" s="19"/>
      <c r="I85" s="19"/>
      <c r="J85" s="19"/>
      <c r="K85" s="19"/>
      <c r="L85" s="20"/>
    </row>
    <row r="86" spans="3:14" x14ac:dyDescent="0.35">
      <c r="C86" s="27"/>
      <c r="D86" s="28"/>
      <c r="E86" s="28"/>
      <c r="F86" s="28"/>
      <c r="G86" s="28"/>
      <c r="H86" s="28"/>
      <c r="I86" s="28"/>
      <c r="J86" s="28"/>
      <c r="K86" s="28"/>
      <c r="L86" s="29"/>
    </row>
    <row r="87" spans="3:14" ht="13.9" thickBot="1" x14ac:dyDescent="0.4">
      <c r="C87" s="24" t="s">
        <v>265</v>
      </c>
      <c r="D87" s="25"/>
      <c r="E87" s="25" t="s">
        <v>266</v>
      </c>
      <c r="F87" s="25"/>
      <c r="G87" s="24"/>
      <c r="H87" s="25" t="s">
        <v>265</v>
      </c>
      <c r="I87" s="25" t="s">
        <v>266</v>
      </c>
      <c r="J87" s="25"/>
      <c r="K87" s="25"/>
      <c r="L87" s="26"/>
    </row>
    <row r="88" spans="3:14" x14ac:dyDescent="0.35">
      <c r="C88" s="21"/>
      <c r="D88" s="7" t="s">
        <v>35</v>
      </c>
      <c r="E88" s="6"/>
      <c r="F88" s="22"/>
      <c r="G88" s="6"/>
      <c r="H88" s="7" t="s">
        <v>32</v>
      </c>
      <c r="I88" s="6" t="s">
        <v>38</v>
      </c>
      <c r="J88" s="6"/>
      <c r="K88" s="6"/>
      <c r="L88" s="22"/>
      <c r="N88" s="10" t="s">
        <v>395</v>
      </c>
    </row>
    <row r="89" spans="3:14" x14ac:dyDescent="0.35">
      <c r="C89" s="21"/>
      <c r="D89" s="6">
        <v>1</v>
      </c>
      <c r="E89" s="6" t="s">
        <v>47</v>
      </c>
      <c r="F89" s="22">
        <f>IF($O$16=E89, D89, 0)</f>
        <v>0</v>
      </c>
      <c r="G89" s="6"/>
      <c r="H89" s="7"/>
      <c r="I89" s="6" t="s">
        <v>39</v>
      </c>
      <c r="J89" s="6"/>
      <c r="K89" s="6"/>
      <c r="L89" s="22"/>
      <c r="N89" s="10" t="s">
        <v>206</v>
      </c>
    </row>
    <row r="90" spans="3:14" x14ac:dyDescent="0.35">
      <c r="C90" s="21"/>
      <c r="D90" s="6">
        <v>2</v>
      </c>
      <c r="E90" s="6" t="s">
        <v>48</v>
      </c>
      <c r="F90" s="22">
        <f>IF($O$16=E90, D90, 0)</f>
        <v>0</v>
      </c>
      <c r="G90" s="6"/>
      <c r="H90" s="7"/>
      <c r="I90" s="6" t="s">
        <v>7</v>
      </c>
      <c r="J90" s="6"/>
      <c r="K90" s="6"/>
      <c r="L90" s="22"/>
      <c r="N90" s="10" t="s">
        <v>205</v>
      </c>
    </row>
    <row r="91" spans="3:14" x14ac:dyDescent="0.35">
      <c r="C91" s="21"/>
      <c r="D91" s="6">
        <f>D90+1</f>
        <v>3</v>
      </c>
      <c r="E91" s="6" t="s">
        <v>60</v>
      </c>
      <c r="F91" s="22">
        <f t="shared" ref="F91:F154" si="0">IF($O$16=E91, D91, 0)</f>
        <v>0</v>
      </c>
      <c r="G91" s="6"/>
      <c r="H91" s="7"/>
      <c r="I91" s="6"/>
      <c r="J91" s="6"/>
      <c r="K91" s="6"/>
      <c r="L91" s="22"/>
      <c r="N91" s="5" t="s">
        <v>344</v>
      </c>
    </row>
    <row r="92" spans="3:14" x14ac:dyDescent="0.35">
      <c r="C92" s="21"/>
      <c r="D92" s="6">
        <f>D91+1</f>
        <v>4</v>
      </c>
      <c r="E92" s="6" t="s">
        <v>61</v>
      </c>
      <c r="F92" s="22">
        <f t="shared" si="0"/>
        <v>0</v>
      </c>
      <c r="G92" s="6"/>
      <c r="H92" s="7" t="s">
        <v>33</v>
      </c>
      <c r="I92" s="6" t="s">
        <v>2</v>
      </c>
      <c r="J92" s="6"/>
      <c r="K92" s="6"/>
      <c r="L92" s="22"/>
      <c r="N92" s="5" t="s">
        <v>345</v>
      </c>
    </row>
    <row r="93" spans="3:14" x14ac:dyDescent="0.35">
      <c r="C93" s="21"/>
      <c r="D93" s="6">
        <f t="shared" ref="D93:D156" si="1">D92+1</f>
        <v>5</v>
      </c>
      <c r="E93" s="6" t="s">
        <v>62</v>
      </c>
      <c r="F93" s="22">
        <f t="shared" si="0"/>
        <v>0</v>
      </c>
      <c r="G93" s="6"/>
      <c r="H93" s="7"/>
      <c r="I93" s="6" t="s">
        <v>40</v>
      </c>
      <c r="J93" s="6"/>
      <c r="K93" s="6"/>
      <c r="L93" s="22"/>
      <c r="N93" s="5" t="s">
        <v>346</v>
      </c>
    </row>
    <row r="94" spans="3:14" x14ac:dyDescent="0.35">
      <c r="C94" s="21"/>
      <c r="D94" s="6">
        <f t="shared" si="1"/>
        <v>6</v>
      </c>
      <c r="E94" s="6" t="s">
        <v>63</v>
      </c>
      <c r="F94" s="22">
        <f t="shared" si="0"/>
        <v>0</v>
      </c>
      <c r="G94" s="6"/>
      <c r="H94" s="7"/>
      <c r="I94" s="6"/>
      <c r="J94" s="6"/>
      <c r="K94" s="6"/>
      <c r="L94" s="22"/>
      <c r="N94" s="5" t="s">
        <v>347</v>
      </c>
    </row>
    <row r="95" spans="3:14" x14ac:dyDescent="0.35">
      <c r="C95" s="21"/>
      <c r="D95" s="6">
        <f t="shared" si="1"/>
        <v>7</v>
      </c>
      <c r="E95" s="6" t="s">
        <v>64</v>
      </c>
      <c r="F95" s="22">
        <f t="shared" si="0"/>
        <v>0</v>
      </c>
      <c r="G95" s="6"/>
      <c r="H95" s="7" t="s">
        <v>34</v>
      </c>
      <c r="I95" s="6" t="s">
        <v>41</v>
      </c>
      <c r="J95" s="6">
        <f>IF($L$16="DIV_1", 1, 0)</f>
        <v>0</v>
      </c>
      <c r="K95" s="6"/>
      <c r="L95" s="22"/>
      <c r="N95" s="5" t="s">
        <v>348</v>
      </c>
    </row>
    <row r="96" spans="3:14" x14ac:dyDescent="0.35">
      <c r="C96" s="21"/>
      <c r="D96" s="6">
        <f t="shared" si="1"/>
        <v>8</v>
      </c>
      <c r="E96" s="6" t="s">
        <v>65</v>
      </c>
      <c r="F96" s="22">
        <f t="shared" si="0"/>
        <v>0</v>
      </c>
      <c r="G96" s="6"/>
      <c r="H96" s="7"/>
      <c r="I96" s="6" t="s">
        <v>4</v>
      </c>
      <c r="J96" s="6">
        <f>IF($L$16="DIV_2", 2, 0)</f>
        <v>0</v>
      </c>
      <c r="K96" s="6"/>
      <c r="L96" s="22"/>
      <c r="N96" s="5" t="s">
        <v>349</v>
      </c>
    </row>
    <row r="97" spans="3:14" x14ac:dyDescent="0.35">
      <c r="C97" s="21"/>
      <c r="D97" s="6">
        <f t="shared" si="1"/>
        <v>9</v>
      </c>
      <c r="E97" s="6" t="s">
        <v>66</v>
      </c>
      <c r="F97" s="22">
        <f t="shared" si="0"/>
        <v>0</v>
      </c>
      <c r="G97" s="6"/>
      <c r="H97" s="7"/>
      <c r="I97" s="6" t="s">
        <v>42</v>
      </c>
      <c r="J97" s="6">
        <f>IF($L$16="DIV_3", 3, 0)</f>
        <v>0</v>
      </c>
      <c r="K97" s="6"/>
      <c r="L97" s="22"/>
      <c r="N97" s="5" t="s">
        <v>343</v>
      </c>
    </row>
    <row r="98" spans="3:14" x14ac:dyDescent="0.35">
      <c r="C98" s="21"/>
      <c r="D98" s="6">
        <f t="shared" si="1"/>
        <v>10</v>
      </c>
      <c r="E98" s="6" t="s">
        <v>67</v>
      </c>
      <c r="F98" s="22">
        <f t="shared" si="0"/>
        <v>0</v>
      </c>
      <c r="G98" s="6"/>
      <c r="H98" s="7"/>
      <c r="I98" s="6" t="s">
        <v>43</v>
      </c>
      <c r="J98" s="6">
        <f>IF($L$16="DIV_4", 4, 0)</f>
        <v>0</v>
      </c>
      <c r="K98" s="6"/>
      <c r="L98" s="22"/>
      <c r="N98" s="5" t="s">
        <v>338</v>
      </c>
    </row>
    <row r="99" spans="3:14" x14ac:dyDescent="0.35">
      <c r="C99" s="21"/>
      <c r="D99" s="6">
        <f t="shared" si="1"/>
        <v>11</v>
      </c>
      <c r="E99" s="6" t="s">
        <v>68</v>
      </c>
      <c r="F99" s="22">
        <f t="shared" si="0"/>
        <v>0</v>
      </c>
      <c r="G99" s="6"/>
      <c r="H99" s="7"/>
      <c r="I99" s="6" t="s">
        <v>44</v>
      </c>
      <c r="J99" s="6">
        <f>IF($L$16="DIV_5", 5, 0)</f>
        <v>5</v>
      </c>
      <c r="K99" s="6"/>
      <c r="L99" s="22"/>
      <c r="N99" s="5" t="s">
        <v>339</v>
      </c>
    </row>
    <row r="100" spans="3:14" x14ac:dyDescent="0.35">
      <c r="C100" s="21"/>
      <c r="D100" s="6">
        <f t="shared" si="1"/>
        <v>12</v>
      </c>
      <c r="E100" s="6" t="s">
        <v>69</v>
      </c>
      <c r="F100" s="22">
        <f t="shared" si="0"/>
        <v>0</v>
      </c>
      <c r="G100" s="6"/>
      <c r="H100" s="7"/>
      <c r="I100" s="6" t="s">
        <v>45</v>
      </c>
      <c r="J100" s="6">
        <f>IF($L$16="DIV_6", 6, 0)</f>
        <v>0</v>
      </c>
      <c r="K100" s="6"/>
      <c r="L100" s="22"/>
      <c r="N100" s="5" t="s">
        <v>340</v>
      </c>
    </row>
    <row r="101" spans="3:14" x14ac:dyDescent="0.35">
      <c r="C101" s="21"/>
      <c r="D101" s="6">
        <f t="shared" si="1"/>
        <v>13</v>
      </c>
      <c r="E101" s="6" t="s">
        <v>70</v>
      </c>
      <c r="F101" s="22">
        <f t="shared" si="0"/>
        <v>0</v>
      </c>
      <c r="G101" s="6"/>
      <c r="H101" s="7"/>
      <c r="I101" s="6" t="s">
        <v>46</v>
      </c>
      <c r="J101" s="6">
        <f>IF($L$16="DIV_7", 7, 0)</f>
        <v>0</v>
      </c>
      <c r="K101" s="6"/>
      <c r="L101" s="22"/>
      <c r="N101" s="5" t="s">
        <v>341</v>
      </c>
    </row>
    <row r="102" spans="3:14" x14ac:dyDescent="0.35">
      <c r="C102" s="21"/>
      <c r="D102" s="6">
        <f t="shared" si="1"/>
        <v>14</v>
      </c>
      <c r="E102" s="6" t="s">
        <v>71</v>
      </c>
      <c r="F102" s="22">
        <f t="shared" si="0"/>
        <v>0</v>
      </c>
      <c r="G102" s="6"/>
      <c r="H102" s="7"/>
      <c r="I102" s="6" t="s">
        <v>1</v>
      </c>
      <c r="J102" s="6">
        <f>IF($L$16="DIV_8", 8, 0)</f>
        <v>0</v>
      </c>
      <c r="K102" s="6"/>
      <c r="L102" s="22"/>
      <c r="N102" s="5" t="s">
        <v>342</v>
      </c>
    </row>
    <row r="103" spans="3:14" x14ac:dyDescent="0.35">
      <c r="C103" s="21"/>
      <c r="D103" s="6">
        <f t="shared" si="1"/>
        <v>15</v>
      </c>
      <c r="E103" s="6" t="s">
        <v>72</v>
      </c>
      <c r="F103" s="22">
        <f t="shared" si="0"/>
        <v>0</v>
      </c>
      <c r="G103" s="6"/>
      <c r="H103" s="7"/>
      <c r="I103" s="6"/>
      <c r="J103" s="6">
        <f>SUM(J95:J102)</f>
        <v>5</v>
      </c>
      <c r="K103" s="6"/>
      <c r="L103" s="22"/>
    </row>
    <row r="104" spans="3:14" x14ac:dyDescent="0.35">
      <c r="C104" s="21"/>
      <c r="D104" s="6">
        <f t="shared" si="1"/>
        <v>16</v>
      </c>
      <c r="E104" s="6" t="s">
        <v>73</v>
      </c>
      <c r="F104" s="22">
        <f t="shared" si="0"/>
        <v>0</v>
      </c>
      <c r="G104" s="6"/>
      <c r="H104" s="6"/>
      <c r="I104" s="6"/>
      <c r="J104" s="6"/>
      <c r="K104" s="6"/>
      <c r="L104" s="22"/>
      <c r="N104" s="5" t="s">
        <v>350</v>
      </c>
    </row>
    <row r="105" spans="3:14" x14ac:dyDescent="0.35">
      <c r="C105" s="21"/>
      <c r="D105" s="6">
        <f t="shared" si="1"/>
        <v>17</v>
      </c>
      <c r="E105" s="6" t="s">
        <v>74</v>
      </c>
      <c r="F105" s="22">
        <f t="shared" si="0"/>
        <v>0</v>
      </c>
      <c r="G105" s="6"/>
      <c r="H105" s="7" t="s">
        <v>36</v>
      </c>
      <c r="I105" s="6" t="s">
        <v>4</v>
      </c>
      <c r="J105" s="6">
        <f>IF($R$16="DIV_2", 2, 0)</f>
        <v>2</v>
      </c>
      <c r="K105" s="6"/>
      <c r="L105" s="22"/>
      <c r="N105" s="5" t="s">
        <v>360</v>
      </c>
    </row>
    <row r="106" spans="3:14" x14ac:dyDescent="0.35">
      <c r="C106" s="21"/>
      <c r="D106" s="6">
        <f t="shared" si="1"/>
        <v>18</v>
      </c>
      <c r="E106" s="6" t="s">
        <v>75</v>
      </c>
      <c r="F106" s="22">
        <f t="shared" si="0"/>
        <v>0</v>
      </c>
      <c r="G106" s="6"/>
      <c r="H106" s="6"/>
      <c r="I106" s="6" t="s">
        <v>43</v>
      </c>
      <c r="J106" s="6">
        <f>IF($R$16="DIV_4", 4, 0)</f>
        <v>0</v>
      </c>
      <c r="K106" s="6"/>
      <c r="L106" s="22"/>
      <c r="N106" s="5" t="s">
        <v>361</v>
      </c>
    </row>
    <row r="107" spans="3:14" x14ac:dyDescent="0.35">
      <c r="C107" s="21"/>
      <c r="D107" s="6">
        <f t="shared" si="1"/>
        <v>19</v>
      </c>
      <c r="E107" s="6" t="s">
        <v>76</v>
      </c>
      <c r="F107" s="22">
        <f t="shared" si="0"/>
        <v>0</v>
      </c>
      <c r="G107" s="6"/>
      <c r="H107" s="6"/>
      <c r="I107" s="6" t="s">
        <v>1</v>
      </c>
      <c r="J107" s="6">
        <f>IF($R$16="DIV_8", 8, 0)</f>
        <v>0</v>
      </c>
      <c r="K107" s="6"/>
      <c r="L107" s="22"/>
      <c r="N107" s="5" t="s">
        <v>362</v>
      </c>
    </row>
    <row r="108" spans="3:14" x14ac:dyDescent="0.35">
      <c r="C108" s="21"/>
      <c r="D108" s="6">
        <f t="shared" si="1"/>
        <v>20</v>
      </c>
      <c r="E108" s="6" t="s">
        <v>77</v>
      </c>
      <c r="F108" s="22">
        <f t="shared" si="0"/>
        <v>0</v>
      </c>
      <c r="G108" s="6"/>
      <c r="H108" s="6"/>
      <c r="I108" s="6" t="s">
        <v>49</v>
      </c>
      <c r="J108" s="6">
        <f>IF($R$16="DIV_16", 16, 0)</f>
        <v>0</v>
      </c>
      <c r="K108" s="6"/>
      <c r="L108" s="22"/>
      <c r="N108" s="5" t="s">
        <v>380</v>
      </c>
    </row>
    <row r="109" spans="3:14" x14ac:dyDescent="0.35">
      <c r="C109" s="21"/>
      <c r="D109" s="6">
        <f t="shared" si="1"/>
        <v>21</v>
      </c>
      <c r="E109" s="6" t="s">
        <v>78</v>
      </c>
      <c r="F109" s="22">
        <f t="shared" si="0"/>
        <v>0</v>
      </c>
      <c r="G109" s="6"/>
      <c r="H109" s="6"/>
      <c r="I109" s="6" t="s">
        <v>19</v>
      </c>
      <c r="J109" s="6">
        <f>IF($R$16="DIV_32", 32, 0)</f>
        <v>0</v>
      </c>
      <c r="K109" s="6"/>
      <c r="L109" s="22"/>
      <c r="N109" s="5" t="s">
        <v>382</v>
      </c>
    </row>
    <row r="110" spans="3:14" x14ac:dyDescent="0.35">
      <c r="C110" s="21"/>
      <c r="D110" s="6">
        <f t="shared" si="1"/>
        <v>22</v>
      </c>
      <c r="E110" s="6" t="s">
        <v>79</v>
      </c>
      <c r="F110" s="22">
        <f t="shared" si="0"/>
        <v>0</v>
      </c>
      <c r="G110" s="6"/>
      <c r="H110" s="6"/>
      <c r="I110" s="6"/>
      <c r="J110" s="6">
        <f>SUM(J105:J109)</f>
        <v>2</v>
      </c>
      <c r="K110" s="6"/>
      <c r="L110" s="22"/>
      <c r="N110" s="5" t="s">
        <v>383</v>
      </c>
    </row>
    <row r="111" spans="3:14" x14ac:dyDescent="0.35">
      <c r="C111" s="21"/>
      <c r="D111" s="6">
        <f t="shared" si="1"/>
        <v>23</v>
      </c>
      <c r="E111" s="6" t="s">
        <v>80</v>
      </c>
      <c r="F111" s="22">
        <f t="shared" si="0"/>
        <v>0</v>
      </c>
      <c r="G111" s="6"/>
      <c r="H111" s="6"/>
      <c r="I111" s="6"/>
      <c r="J111" s="6"/>
      <c r="K111" s="6"/>
      <c r="L111" s="22"/>
    </row>
    <row r="112" spans="3:14" x14ac:dyDescent="0.35">
      <c r="C112" s="21"/>
      <c r="D112" s="6">
        <f t="shared" si="1"/>
        <v>24</v>
      </c>
      <c r="E112" s="6" t="s">
        <v>81</v>
      </c>
      <c r="F112" s="22">
        <f t="shared" si="0"/>
        <v>0</v>
      </c>
      <c r="G112" s="6"/>
      <c r="H112" s="7" t="s">
        <v>50</v>
      </c>
      <c r="I112" s="6" t="s">
        <v>6</v>
      </c>
      <c r="J112" s="6">
        <f>$M$40</f>
        <v>4</v>
      </c>
      <c r="K112" s="6">
        <f>IF($O$54=I112, J112, 0)</f>
        <v>0</v>
      </c>
      <c r="L112" s="22"/>
    </row>
    <row r="113" spans="3:23" ht="13.9" thickBot="1" x14ac:dyDescent="0.4">
      <c r="C113" s="21"/>
      <c r="D113" s="6">
        <f t="shared" si="1"/>
        <v>25</v>
      </c>
      <c r="E113" s="6" t="s">
        <v>82</v>
      </c>
      <c r="F113" s="22">
        <f t="shared" si="0"/>
        <v>0</v>
      </c>
      <c r="G113" s="6"/>
      <c r="H113" s="6"/>
      <c r="I113" s="6" t="s">
        <v>37</v>
      </c>
      <c r="J113" s="6">
        <f>$M$42</f>
        <v>200</v>
      </c>
      <c r="K113" s="6">
        <f t="shared" ref="K113:K117" si="2">IF($O$54=I113, J113, 0)</f>
        <v>200</v>
      </c>
      <c r="L113" s="22"/>
    </row>
    <row r="114" spans="3:23" x14ac:dyDescent="0.35">
      <c r="C114" s="21"/>
      <c r="D114" s="6">
        <f t="shared" si="1"/>
        <v>26</v>
      </c>
      <c r="E114" s="6" t="s">
        <v>83</v>
      </c>
      <c r="F114" s="22">
        <f t="shared" si="0"/>
        <v>0</v>
      </c>
      <c r="G114" s="6"/>
      <c r="H114" s="6"/>
      <c r="I114" s="6" t="s">
        <v>30</v>
      </c>
      <c r="J114" s="6">
        <f>$M$44</f>
        <v>40</v>
      </c>
      <c r="K114" s="6">
        <f t="shared" si="2"/>
        <v>0</v>
      </c>
      <c r="L114" s="22"/>
      <c r="N114" s="18"/>
      <c r="O114" s="19" t="s">
        <v>284</v>
      </c>
      <c r="P114" s="19"/>
      <c r="Q114" s="19"/>
      <c r="R114" s="19"/>
      <c r="S114" s="19"/>
      <c r="T114" s="19"/>
      <c r="U114" s="19"/>
      <c r="V114" s="19"/>
      <c r="W114" s="20"/>
    </row>
    <row r="115" spans="3:23" x14ac:dyDescent="0.35">
      <c r="C115" s="21"/>
      <c r="D115" s="6">
        <f t="shared" si="1"/>
        <v>27</v>
      </c>
      <c r="E115" s="6" t="s">
        <v>84</v>
      </c>
      <c r="F115" s="22">
        <f t="shared" si="0"/>
        <v>0</v>
      </c>
      <c r="G115" s="6"/>
      <c r="H115" s="6"/>
      <c r="I115" s="6" t="s">
        <v>204</v>
      </c>
      <c r="J115" s="6">
        <f>$M$46</f>
        <v>8</v>
      </c>
      <c r="K115" s="6">
        <f t="shared" si="2"/>
        <v>0</v>
      </c>
      <c r="L115" s="22"/>
      <c r="N115" s="21"/>
      <c r="O115" s="6"/>
      <c r="P115" s="6"/>
      <c r="Q115" s="6"/>
      <c r="R115" s="6"/>
      <c r="S115" s="6"/>
      <c r="T115" s="6"/>
      <c r="U115" s="6"/>
      <c r="V115" s="6"/>
      <c r="W115" s="22"/>
    </row>
    <row r="116" spans="3:23" ht="13.9" thickBot="1" x14ac:dyDescent="0.4">
      <c r="C116" s="21"/>
      <c r="D116" s="6">
        <f t="shared" si="1"/>
        <v>28</v>
      </c>
      <c r="E116" s="6" t="s">
        <v>85</v>
      </c>
      <c r="F116" s="22">
        <f t="shared" si="0"/>
        <v>0</v>
      </c>
      <c r="G116" s="6"/>
      <c r="H116" s="6"/>
      <c r="I116" s="6" t="s">
        <v>52</v>
      </c>
      <c r="J116" s="6">
        <f>$M$48 * 0.001</f>
        <v>3.2000000000000001E-2</v>
      </c>
      <c r="K116" s="6">
        <f t="shared" si="2"/>
        <v>0</v>
      </c>
      <c r="L116" s="22"/>
      <c r="N116" s="21"/>
      <c r="O116" s="6"/>
      <c r="P116" s="6"/>
      <c r="Q116" s="6"/>
      <c r="R116" s="6"/>
      <c r="S116" s="6"/>
      <c r="T116" s="6"/>
      <c r="U116" s="6"/>
      <c r="V116" s="6"/>
      <c r="W116" s="22"/>
    </row>
    <row r="117" spans="3:23" x14ac:dyDescent="0.35">
      <c r="C117" s="21"/>
      <c r="D117" s="6">
        <f t="shared" si="1"/>
        <v>29</v>
      </c>
      <c r="E117" s="6" t="s">
        <v>86</v>
      </c>
      <c r="F117" s="22">
        <f t="shared" si="0"/>
        <v>0</v>
      </c>
      <c r="G117" s="6"/>
      <c r="H117" s="6"/>
      <c r="I117" s="6" t="s">
        <v>51</v>
      </c>
      <c r="J117" s="30">
        <f>$M$50 * 0.001</f>
        <v>0</v>
      </c>
      <c r="K117" s="6">
        <f t="shared" si="2"/>
        <v>0</v>
      </c>
      <c r="L117" s="22"/>
      <c r="N117" s="33" t="s">
        <v>285</v>
      </c>
      <c r="O117" s="19"/>
      <c r="P117" s="19"/>
      <c r="Q117" s="19"/>
      <c r="R117" s="19"/>
      <c r="S117" s="19"/>
      <c r="T117" s="19"/>
      <c r="U117" s="19"/>
      <c r="V117" s="19"/>
      <c r="W117" s="20"/>
    </row>
    <row r="118" spans="3:23" x14ac:dyDescent="0.35">
      <c r="C118" s="21"/>
      <c r="D118" s="6">
        <f t="shared" si="1"/>
        <v>30</v>
      </c>
      <c r="E118" s="6" t="s">
        <v>87</v>
      </c>
      <c r="F118" s="22">
        <f t="shared" si="0"/>
        <v>0</v>
      </c>
      <c r="G118" s="6"/>
      <c r="H118" s="6"/>
      <c r="I118" s="6"/>
      <c r="J118" s="6"/>
      <c r="K118" s="6">
        <f>SUM(K112:K117)</f>
        <v>200</v>
      </c>
      <c r="L118" s="22"/>
      <c r="N118" s="21">
        <v>1</v>
      </c>
      <c r="O118" s="6" t="s">
        <v>185</v>
      </c>
      <c r="P118" s="6"/>
      <c r="Q118" s="6"/>
      <c r="R118" s="6">
        <f t="shared" ref="R118:R125" si="3">IF($I$10=$O118, N118, 0)</f>
        <v>0</v>
      </c>
      <c r="S118" s="6"/>
      <c r="T118" s="6"/>
      <c r="U118" s="6"/>
      <c r="V118" s="6"/>
      <c r="W118" s="22"/>
    </row>
    <row r="119" spans="3:23" x14ac:dyDescent="0.35">
      <c r="C119" s="21"/>
      <c r="D119" s="6">
        <f t="shared" si="1"/>
        <v>31</v>
      </c>
      <c r="E119" s="6" t="s">
        <v>88</v>
      </c>
      <c r="F119" s="22">
        <f t="shared" si="0"/>
        <v>0</v>
      </c>
      <c r="G119" s="6"/>
      <c r="H119" s="6"/>
      <c r="I119" s="6"/>
      <c r="J119" s="6"/>
      <c r="K119" s="6"/>
      <c r="L119" s="22"/>
      <c r="N119" s="21">
        <v>2</v>
      </c>
      <c r="O119" s="6" t="s">
        <v>186</v>
      </c>
      <c r="P119" s="6"/>
      <c r="Q119" s="6"/>
      <c r="R119" s="6">
        <f t="shared" si="3"/>
        <v>2</v>
      </c>
      <c r="S119" s="6"/>
      <c r="T119" s="6"/>
      <c r="U119" s="6"/>
      <c r="V119" s="6"/>
      <c r="W119" s="22"/>
    </row>
    <row r="120" spans="3:23" x14ac:dyDescent="0.35">
      <c r="C120" s="21"/>
      <c r="D120" s="6">
        <f t="shared" si="1"/>
        <v>32</v>
      </c>
      <c r="E120" s="6" t="s">
        <v>89</v>
      </c>
      <c r="F120" s="22">
        <f t="shared" si="0"/>
        <v>0</v>
      </c>
      <c r="G120" s="6"/>
      <c r="H120" s="7" t="s">
        <v>58</v>
      </c>
      <c r="I120" s="6" t="s">
        <v>397</v>
      </c>
      <c r="J120" s="6"/>
      <c r="K120" s="6">
        <v>34</v>
      </c>
      <c r="L120" s="22">
        <v>64</v>
      </c>
      <c r="N120" s="21">
        <v>4</v>
      </c>
      <c r="O120" s="6" t="s">
        <v>187</v>
      </c>
      <c r="P120" s="6"/>
      <c r="Q120" s="6"/>
      <c r="R120" s="6">
        <f t="shared" si="3"/>
        <v>0</v>
      </c>
      <c r="S120" s="6"/>
      <c r="T120" s="6"/>
      <c r="U120" s="6"/>
      <c r="V120" s="6"/>
      <c r="W120" s="22"/>
    </row>
    <row r="121" spans="3:23" x14ac:dyDescent="0.35">
      <c r="C121" s="21"/>
      <c r="D121" s="6">
        <f t="shared" si="1"/>
        <v>33</v>
      </c>
      <c r="E121" s="6" t="s">
        <v>91</v>
      </c>
      <c r="F121" s="22">
        <f t="shared" si="0"/>
        <v>0</v>
      </c>
      <c r="G121" s="6"/>
      <c r="H121" s="6"/>
      <c r="I121" s="6" t="s">
        <v>398</v>
      </c>
      <c r="J121" s="6"/>
      <c r="K121" s="6">
        <v>21</v>
      </c>
      <c r="L121" s="22">
        <v>42</v>
      </c>
      <c r="N121" s="21">
        <v>8</v>
      </c>
      <c r="O121" s="6" t="s">
        <v>188</v>
      </c>
      <c r="P121" s="6"/>
      <c r="Q121" s="6"/>
      <c r="R121" s="6">
        <f t="shared" si="3"/>
        <v>0</v>
      </c>
      <c r="S121" s="6"/>
      <c r="T121" s="6"/>
      <c r="U121" s="6"/>
      <c r="V121" s="6"/>
      <c r="W121" s="22"/>
    </row>
    <row r="122" spans="3:23" x14ac:dyDescent="0.35">
      <c r="C122" s="21"/>
      <c r="D122" s="6">
        <f t="shared" si="1"/>
        <v>34</v>
      </c>
      <c r="E122" s="6" t="s">
        <v>90</v>
      </c>
      <c r="F122" s="22">
        <f t="shared" si="0"/>
        <v>0</v>
      </c>
      <c r="G122" s="6"/>
      <c r="H122" s="6"/>
      <c r="I122" s="6" t="s">
        <v>399</v>
      </c>
      <c r="J122" s="6"/>
      <c r="K122" s="6">
        <v>13</v>
      </c>
      <c r="L122" s="22">
        <v>26</v>
      </c>
      <c r="N122" s="21">
        <v>16</v>
      </c>
      <c r="O122" s="6" t="s">
        <v>189</v>
      </c>
      <c r="P122" s="6"/>
      <c r="Q122" s="6"/>
      <c r="R122" s="6">
        <f t="shared" si="3"/>
        <v>0</v>
      </c>
      <c r="S122" s="6"/>
      <c r="T122" s="6"/>
      <c r="U122" s="6"/>
      <c r="V122" s="6"/>
      <c r="W122" s="22"/>
    </row>
    <row r="123" spans="3:23" x14ac:dyDescent="0.35">
      <c r="C123" s="21"/>
      <c r="D123" s="6">
        <f t="shared" si="1"/>
        <v>35</v>
      </c>
      <c r="E123" s="6" t="s">
        <v>93</v>
      </c>
      <c r="F123" s="22">
        <f t="shared" si="0"/>
        <v>0</v>
      </c>
      <c r="G123" s="6"/>
      <c r="H123" s="6"/>
      <c r="I123" s="6" t="s">
        <v>20</v>
      </c>
      <c r="J123" s="6"/>
      <c r="K123" s="6">
        <v>8</v>
      </c>
      <c r="L123" s="22">
        <v>16</v>
      </c>
      <c r="N123" s="21">
        <v>32</v>
      </c>
      <c r="O123" s="6" t="s">
        <v>190</v>
      </c>
      <c r="P123" s="6"/>
      <c r="Q123" s="6"/>
      <c r="R123" s="6">
        <f t="shared" si="3"/>
        <v>0</v>
      </c>
      <c r="S123" s="6"/>
      <c r="T123" s="6"/>
      <c r="U123" s="6"/>
      <c r="V123" s="6"/>
      <c r="W123" s="22"/>
    </row>
    <row r="124" spans="3:23" x14ac:dyDescent="0.35">
      <c r="C124" s="21"/>
      <c r="D124" s="6">
        <f t="shared" si="1"/>
        <v>36</v>
      </c>
      <c r="E124" s="6" t="s">
        <v>94</v>
      </c>
      <c r="F124" s="22">
        <f t="shared" si="0"/>
        <v>0</v>
      </c>
      <c r="G124" s="6"/>
      <c r="H124" s="6"/>
      <c r="I124" s="6" t="s">
        <v>396</v>
      </c>
      <c r="J124" s="6"/>
      <c r="K124" s="6">
        <v>5</v>
      </c>
      <c r="L124" s="22">
        <v>10</v>
      </c>
      <c r="N124" s="21">
        <v>64</v>
      </c>
      <c r="O124" s="6" t="s">
        <v>191</v>
      </c>
      <c r="P124" s="6"/>
      <c r="Q124" s="6"/>
      <c r="R124" s="6">
        <f t="shared" si="3"/>
        <v>0</v>
      </c>
      <c r="S124" s="6"/>
      <c r="T124" s="6"/>
      <c r="U124" s="6"/>
      <c r="V124" s="6"/>
      <c r="W124" s="22"/>
    </row>
    <row r="125" spans="3:23" x14ac:dyDescent="0.35">
      <c r="C125" s="21"/>
      <c r="D125" s="6">
        <f t="shared" si="1"/>
        <v>37</v>
      </c>
      <c r="E125" s="6" t="s">
        <v>95</v>
      </c>
      <c r="F125" s="22">
        <f t="shared" si="0"/>
        <v>0</v>
      </c>
      <c r="G125" s="6"/>
      <c r="H125" s="6"/>
      <c r="I125" s="6" t="s">
        <v>59</v>
      </c>
      <c r="J125" s="6"/>
      <c r="K125" s="6"/>
      <c r="L125" s="22"/>
      <c r="N125" s="21">
        <v>256</v>
      </c>
      <c r="O125" s="6" t="s">
        <v>192</v>
      </c>
      <c r="P125" s="6"/>
      <c r="Q125" s="6"/>
      <c r="R125" s="6">
        <f t="shared" si="3"/>
        <v>0</v>
      </c>
      <c r="S125" s="6"/>
      <c r="T125" s="6"/>
      <c r="U125" s="6"/>
      <c r="V125" s="6"/>
      <c r="W125" s="22"/>
    </row>
    <row r="126" spans="3:23" x14ac:dyDescent="0.35">
      <c r="C126" s="21"/>
      <c r="D126" s="6">
        <f t="shared" si="1"/>
        <v>38</v>
      </c>
      <c r="E126" s="6" t="s">
        <v>96</v>
      </c>
      <c r="F126" s="22">
        <f t="shared" si="0"/>
        <v>0</v>
      </c>
      <c r="G126" s="6"/>
      <c r="H126" s="6"/>
      <c r="I126" s="6"/>
      <c r="J126" s="6"/>
      <c r="K126" s="6"/>
      <c r="L126" s="22"/>
      <c r="N126" s="21"/>
      <c r="O126" s="6"/>
      <c r="P126" s="6"/>
      <c r="Q126" s="6"/>
      <c r="R126" s="6">
        <f>SUM(R118:R125)</f>
        <v>2</v>
      </c>
      <c r="S126" s="6"/>
      <c r="T126" s="6"/>
      <c r="U126" s="6"/>
      <c r="V126" s="6"/>
      <c r="W126" s="22"/>
    </row>
    <row r="127" spans="3:23" x14ac:dyDescent="0.35">
      <c r="C127" s="21"/>
      <c r="D127" s="6">
        <f t="shared" si="1"/>
        <v>39</v>
      </c>
      <c r="E127" s="6" t="s">
        <v>92</v>
      </c>
      <c r="F127" s="22">
        <f t="shared" si="0"/>
        <v>0</v>
      </c>
      <c r="G127" s="6"/>
      <c r="H127" s="7" t="s">
        <v>196</v>
      </c>
      <c r="I127" s="6" t="s">
        <v>0</v>
      </c>
      <c r="J127" s="6"/>
      <c r="K127" s="6"/>
      <c r="L127" s="22"/>
      <c r="N127" s="21" t="s">
        <v>337</v>
      </c>
      <c r="O127" s="6"/>
      <c r="P127" s="6"/>
      <c r="Q127" s="6"/>
      <c r="R127" s="6"/>
      <c r="S127" s="6"/>
      <c r="T127" s="6"/>
      <c r="U127" s="6"/>
      <c r="V127" s="6"/>
      <c r="W127" s="22"/>
    </row>
    <row r="128" spans="3:23" x14ac:dyDescent="0.35">
      <c r="C128" s="21"/>
      <c r="D128" s="6">
        <f t="shared" si="1"/>
        <v>40</v>
      </c>
      <c r="E128" s="6" t="s">
        <v>97</v>
      </c>
      <c r="F128" s="22">
        <f t="shared" si="0"/>
        <v>0</v>
      </c>
      <c r="G128" s="6"/>
      <c r="H128" s="6"/>
      <c r="I128" s="6" t="s">
        <v>7</v>
      </c>
      <c r="J128" s="6"/>
      <c r="K128" s="6"/>
      <c r="L128" s="22"/>
      <c r="N128" s="21"/>
      <c r="O128" s="6">
        <v>1</v>
      </c>
      <c r="P128" s="6"/>
      <c r="Q128" s="6"/>
      <c r="R128" s="6"/>
      <c r="S128" s="6"/>
      <c r="T128" s="6"/>
      <c r="U128" s="6"/>
      <c r="V128" s="6"/>
      <c r="W128" s="22"/>
    </row>
    <row r="129" spans="3:23" x14ac:dyDescent="0.35">
      <c r="C129" s="21"/>
      <c r="D129" s="6">
        <f t="shared" si="1"/>
        <v>41</v>
      </c>
      <c r="E129" s="6" t="s">
        <v>98</v>
      </c>
      <c r="F129" s="22">
        <f t="shared" si="0"/>
        <v>0</v>
      </c>
      <c r="G129" s="6"/>
      <c r="H129" s="6"/>
      <c r="I129" s="6"/>
      <c r="J129" s="6"/>
      <c r="K129" s="6"/>
      <c r="L129" s="22"/>
      <c r="N129" s="21"/>
      <c r="O129" s="6">
        <v>2</v>
      </c>
      <c r="P129" s="6"/>
      <c r="Q129" s="6"/>
      <c r="R129" s="6"/>
      <c r="S129" s="6"/>
      <c r="T129" s="6"/>
      <c r="U129" s="6"/>
      <c r="V129" s="6"/>
      <c r="W129" s="22"/>
    </row>
    <row r="130" spans="3:23" x14ac:dyDescent="0.35">
      <c r="C130" s="21"/>
      <c r="D130" s="6">
        <f t="shared" si="1"/>
        <v>42</v>
      </c>
      <c r="E130" s="6" t="s">
        <v>99</v>
      </c>
      <c r="F130" s="22">
        <f t="shared" si="0"/>
        <v>0</v>
      </c>
      <c r="G130" s="6"/>
      <c r="H130" s="7" t="s">
        <v>195</v>
      </c>
      <c r="I130" s="6" t="s">
        <v>5</v>
      </c>
      <c r="J130" s="6"/>
      <c r="K130" s="6"/>
      <c r="L130" s="22"/>
      <c r="N130" s="21"/>
      <c r="O130" s="7" t="s">
        <v>326</v>
      </c>
      <c r="P130" s="6"/>
      <c r="Q130" s="6"/>
      <c r="R130" s="6"/>
      <c r="S130" s="6"/>
      <c r="T130" s="6"/>
      <c r="U130" s="6"/>
      <c r="V130" s="6"/>
      <c r="W130" s="22"/>
    </row>
    <row r="131" spans="3:23" x14ac:dyDescent="0.35">
      <c r="C131" s="21"/>
      <c r="D131" s="6">
        <f t="shared" si="1"/>
        <v>43</v>
      </c>
      <c r="E131" s="6" t="s">
        <v>100</v>
      </c>
      <c r="F131" s="22">
        <f t="shared" si="0"/>
        <v>0</v>
      </c>
      <c r="G131" s="6"/>
      <c r="H131" s="6"/>
      <c r="I131" s="6" t="s">
        <v>199</v>
      </c>
      <c r="J131" s="6"/>
      <c r="K131" s="6"/>
      <c r="L131" s="22"/>
      <c r="N131" s="21"/>
      <c r="O131" s="6">
        <v>64</v>
      </c>
      <c r="P131" s="6"/>
      <c r="Q131" s="6"/>
      <c r="R131" s="6"/>
      <c r="S131" s="6"/>
      <c r="T131" s="6"/>
      <c r="U131" s="6"/>
      <c r="V131" s="6"/>
      <c r="W131" s="22"/>
    </row>
    <row r="132" spans="3:23" x14ac:dyDescent="0.35">
      <c r="C132" s="21"/>
      <c r="D132" s="6">
        <f t="shared" si="1"/>
        <v>44</v>
      </c>
      <c r="E132" s="6" t="s">
        <v>101</v>
      </c>
      <c r="F132" s="22">
        <f t="shared" si="0"/>
        <v>0</v>
      </c>
      <c r="G132" s="6"/>
      <c r="H132" s="6"/>
      <c r="I132" s="6"/>
      <c r="J132" s="6"/>
      <c r="K132" s="6"/>
      <c r="L132" s="22"/>
      <c r="N132" s="21"/>
      <c r="O132" s="6"/>
      <c r="P132" s="6"/>
      <c r="Q132" s="6"/>
      <c r="R132" s="6"/>
      <c r="S132" s="6"/>
      <c r="T132" s="6"/>
      <c r="U132" s="6"/>
      <c r="V132" s="6"/>
      <c r="W132" s="22"/>
    </row>
    <row r="133" spans="3:23" x14ac:dyDescent="0.35">
      <c r="C133" s="21"/>
      <c r="D133" s="6">
        <f t="shared" si="1"/>
        <v>45</v>
      </c>
      <c r="E133" s="6" t="s">
        <v>102</v>
      </c>
      <c r="F133" s="22">
        <f t="shared" si="0"/>
        <v>0</v>
      </c>
      <c r="G133" s="6"/>
      <c r="H133" s="7" t="s">
        <v>202</v>
      </c>
      <c r="I133" s="6" t="s">
        <v>0</v>
      </c>
      <c r="J133" s="6"/>
      <c r="K133" s="6"/>
      <c r="L133" s="22"/>
      <c r="N133" s="21" t="s">
        <v>336</v>
      </c>
      <c r="O133" s="6"/>
      <c r="P133" s="6"/>
      <c r="Q133" s="6"/>
      <c r="R133" s="6"/>
      <c r="S133" s="6"/>
      <c r="T133" s="6"/>
      <c r="U133" s="6"/>
      <c r="V133" s="6"/>
      <c r="W133" s="22"/>
    </row>
    <row r="134" spans="3:23" x14ac:dyDescent="0.35">
      <c r="C134" s="21"/>
      <c r="D134" s="6">
        <f t="shared" si="1"/>
        <v>46</v>
      </c>
      <c r="E134" s="6" t="s">
        <v>103</v>
      </c>
      <c r="F134" s="22">
        <f t="shared" si="0"/>
        <v>0</v>
      </c>
      <c r="G134" s="6"/>
      <c r="H134" s="6"/>
      <c r="I134" s="6" t="s">
        <v>7</v>
      </c>
      <c r="J134" s="6"/>
      <c r="K134" s="6"/>
      <c r="L134" s="22"/>
      <c r="N134" s="21"/>
      <c r="O134" s="6">
        <v>1</v>
      </c>
      <c r="P134" s="6"/>
      <c r="Q134" s="6"/>
      <c r="R134" s="6"/>
      <c r="S134" s="6"/>
      <c r="T134" s="6"/>
      <c r="U134" s="6"/>
      <c r="V134" s="6"/>
      <c r="W134" s="22"/>
    </row>
    <row r="135" spans="3:23" x14ac:dyDescent="0.35">
      <c r="C135" s="21"/>
      <c r="D135" s="6">
        <f t="shared" si="1"/>
        <v>47</v>
      </c>
      <c r="E135" s="6" t="s">
        <v>104</v>
      </c>
      <c r="F135" s="22">
        <f t="shared" si="0"/>
        <v>0</v>
      </c>
      <c r="G135" s="6"/>
      <c r="H135" s="6"/>
      <c r="I135" s="6"/>
      <c r="J135" s="6"/>
      <c r="K135" s="6"/>
      <c r="L135" s="22"/>
      <c r="N135" s="21"/>
      <c r="O135" s="6">
        <v>2</v>
      </c>
      <c r="P135" s="6"/>
      <c r="Q135" s="6"/>
      <c r="R135" s="6"/>
      <c r="S135" s="6"/>
      <c r="T135" s="6"/>
      <c r="U135" s="6"/>
      <c r="V135" s="6"/>
      <c r="W135" s="22"/>
    </row>
    <row r="136" spans="3:23" x14ac:dyDescent="0.35">
      <c r="C136" s="21"/>
      <c r="D136" s="6">
        <f t="shared" si="1"/>
        <v>48</v>
      </c>
      <c r="E136" s="6" t="s">
        <v>105</v>
      </c>
      <c r="F136" s="22">
        <f t="shared" si="0"/>
        <v>0</v>
      </c>
      <c r="G136" s="6"/>
      <c r="H136" s="7" t="s">
        <v>203</v>
      </c>
      <c r="I136" s="6" t="s">
        <v>0</v>
      </c>
      <c r="J136" s="6"/>
      <c r="K136" s="6"/>
      <c r="L136" s="22"/>
      <c r="N136" s="21"/>
      <c r="O136" s="7" t="s">
        <v>326</v>
      </c>
      <c r="P136" s="6"/>
      <c r="Q136" s="6"/>
      <c r="R136" s="6"/>
      <c r="S136" s="6"/>
      <c r="T136" s="6"/>
      <c r="U136" s="6"/>
      <c r="V136" s="6"/>
      <c r="W136" s="22"/>
    </row>
    <row r="137" spans="3:23" x14ac:dyDescent="0.35">
      <c r="C137" s="21"/>
      <c r="D137" s="6">
        <f t="shared" si="1"/>
        <v>49</v>
      </c>
      <c r="E137" s="6" t="s">
        <v>106</v>
      </c>
      <c r="F137" s="22">
        <f t="shared" si="0"/>
        <v>0</v>
      </c>
      <c r="G137" s="6"/>
      <c r="H137" s="6"/>
      <c r="I137" s="6" t="s">
        <v>7</v>
      </c>
      <c r="J137" s="6"/>
      <c r="K137" s="6"/>
      <c r="L137" s="22"/>
      <c r="N137" s="21"/>
      <c r="O137" s="6">
        <v>128</v>
      </c>
      <c r="P137" s="6"/>
      <c r="Q137" s="6"/>
      <c r="R137" s="6"/>
      <c r="S137" s="6"/>
      <c r="T137" s="6"/>
      <c r="U137" s="6"/>
      <c r="V137" s="6"/>
      <c r="W137" s="22"/>
    </row>
    <row r="138" spans="3:23" x14ac:dyDescent="0.35">
      <c r="C138" s="21"/>
      <c r="D138" s="6">
        <f t="shared" si="1"/>
        <v>50</v>
      </c>
      <c r="E138" s="6" t="s">
        <v>107</v>
      </c>
      <c r="F138" s="22">
        <f t="shared" si="0"/>
        <v>50</v>
      </c>
      <c r="G138" s="6"/>
      <c r="H138" s="6"/>
      <c r="I138" s="6"/>
      <c r="J138" s="6"/>
      <c r="K138" s="6"/>
      <c r="L138" s="22"/>
      <c r="N138" s="21"/>
      <c r="O138" s="6"/>
      <c r="P138" s="6"/>
      <c r="Q138" s="6"/>
      <c r="R138" s="6"/>
      <c r="S138" s="6"/>
      <c r="T138" s="6"/>
      <c r="U138" s="6"/>
      <c r="V138" s="6"/>
      <c r="W138" s="22"/>
    </row>
    <row r="139" spans="3:23" x14ac:dyDescent="0.35">
      <c r="C139" s="21"/>
      <c r="D139" s="6">
        <f t="shared" si="1"/>
        <v>51</v>
      </c>
      <c r="E139" s="6" t="s">
        <v>108</v>
      </c>
      <c r="F139" s="22">
        <f t="shared" si="0"/>
        <v>0</v>
      </c>
      <c r="G139" s="6"/>
      <c r="H139" s="7"/>
      <c r="I139" s="6"/>
      <c r="L139" s="22"/>
      <c r="N139" s="21" t="s">
        <v>287</v>
      </c>
      <c r="O139" s="6"/>
      <c r="P139" s="6"/>
      <c r="Q139" s="6"/>
      <c r="R139" s="6"/>
      <c r="S139" s="6"/>
      <c r="T139" s="6"/>
      <c r="U139" s="6"/>
      <c r="V139" s="6"/>
      <c r="W139" s="22"/>
    </row>
    <row r="140" spans="3:23" x14ac:dyDescent="0.35">
      <c r="C140" s="21"/>
      <c r="D140" s="6">
        <f t="shared" si="1"/>
        <v>52</v>
      </c>
      <c r="E140" s="6" t="s">
        <v>109</v>
      </c>
      <c r="F140" s="22">
        <f t="shared" si="0"/>
        <v>0</v>
      </c>
      <c r="G140" s="6"/>
      <c r="H140" s="6"/>
      <c r="I140" s="6"/>
      <c r="L140" s="22"/>
      <c r="N140" s="21"/>
      <c r="O140" s="6" t="s">
        <v>298</v>
      </c>
      <c r="P140" s="6"/>
      <c r="Q140" s="6"/>
      <c r="R140" s="6"/>
      <c r="S140" s="6"/>
      <c r="T140" s="6"/>
      <c r="U140" s="6"/>
      <c r="V140" s="6"/>
      <c r="W140" s="22"/>
    </row>
    <row r="141" spans="3:23" x14ac:dyDescent="0.35">
      <c r="C141" s="21"/>
      <c r="D141" s="6">
        <f t="shared" si="1"/>
        <v>53</v>
      </c>
      <c r="E141" s="6" t="s">
        <v>110</v>
      </c>
      <c r="F141" s="22">
        <f t="shared" si="0"/>
        <v>0</v>
      </c>
      <c r="G141" s="6"/>
      <c r="H141" s="6"/>
      <c r="I141" s="6"/>
      <c r="L141" s="22"/>
      <c r="N141" s="21"/>
      <c r="O141" s="6" t="s">
        <v>299</v>
      </c>
      <c r="P141" s="6"/>
      <c r="Q141" s="6"/>
      <c r="R141" s="6"/>
      <c r="S141" s="6"/>
      <c r="T141" s="6"/>
      <c r="U141" s="6"/>
      <c r="V141" s="6"/>
      <c r="W141" s="22"/>
    </row>
    <row r="142" spans="3:23" x14ac:dyDescent="0.35">
      <c r="C142" s="21"/>
      <c r="D142" s="6">
        <f t="shared" si="1"/>
        <v>54</v>
      </c>
      <c r="E142" s="6" t="s">
        <v>111</v>
      </c>
      <c r="F142" s="22">
        <f t="shared" si="0"/>
        <v>0</v>
      </c>
      <c r="G142" s="6"/>
      <c r="H142" s="6"/>
      <c r="I142" s="6"/>
      <c r="L142" s="22"/>
      <c r="N142" s="21"/>
      <c r="O142" s="6" t="s">
        <v>300</v>
      </c>
      <c r="P142" s="6"/>
      <c r="Q142" s="6"/>
      <c r="R142" s="6"/>
      <c r="S142" s="6"/>
      <c r="T142" s="6"/>
      <c r="U142" s="6"/>
      <c r="V142" s="6"/>
      <c r="W142" s="22"/>
    </row>
    <row r="143" spans="3:23" x14ac:dyDescent="0.35">
      <c r="C143" s="21"/>
      <c r="D143" s="6">
        <f t="shared" si="1"/>
        <v>55</v>
      </c>
      <c r="E143" s="6" t="s">
        <v>112</v>
      </c>
      <c r="F143" s="22">
        <f t="shared" si="0"/>
        <v>0</v>
      </c>
      <c r="G143" s="6"/>
      <c r="H143" s="6"/>
      <c r="I143" s="6"/>
      <c r="L143" s="22"/>
      <c r="N143" s="21"/>
      <c r="O143" s="6" t="s">
        <v>301</v>
      </c>
      <c r="P143" s="6"/>
      <c r="Q143" s="6"/>
      <c r="R143" s="6"/>
      <c r="S143" s="6"/>
      <c r="T143" s="6"/>
      <c r="U143" s="6"/>
      <c r="V143" s="6"/>
      <c r="W143" s="22"/>
    </row>
    <row r="144" spans="3:23" x14ac:dyDescent="0.35">
      <c r="C144" s="21"/>
      <c r="D144" s="6">
        <f t="shared" si="1"/>
        <v>56</v>
      </c>
      <c r="E144" s="6" t="s">
        <v>113</v>
      </c>
      <c r="F144" s="22">
        <f t="shared" si="0"/>
        <v>0</v>
      </c>
      <c r="G144" s="6"/>
      <c r="H144" s="6"/>
      <c r="I144" s="6"/>
      <c r="L144" s="22"/>
      <c r="N144" s="21"/>
      <c r="O144" s="6" t="s">
        <v>302</v>
      </c>
      <c r="P144" s="6"/>
      <c r="Q144" s="6"/>
      <c r="R144" s="6"/>
      <c r="S144" s="6"/>
      <c r="T144" s="6"/>
      <c r="U144" s="6"/>
      <c r="V144" s="6"/>
      <c r="W144" s="22"/>
    </row>
    <row r="145" spans="3:23" x14ac:dyDescent="0.35">
      <c r="C145" s="21"/>
      <c r="D145" s="6">
        <f t="shared" si="1"/>
        <v>57</v>
      </c>
      <c r="E145" s="6" t="s">
        <v>114</v>
      </c>
      <c r="F145" s="22">
        <f t="shared" si="0"/>
        <v>0</v>
      </c>
      <c r="G145" s="6"/>
      <c r="H145" s="6"/>
      <c r="I145" s="6"/>
      <c r="L145" s="22"/>
      <c r="N145" s="21"/>
      <c r="O145" s="6" t="s">
        <v>303</v>
      </c>
      <c r="P145" s="6"/>
      <c r="Q145" s="6"/>
      <c r="R145" s="6"/>
      <c r="S145" s="6"/>
      <c r="T145" s="6"/>
      <c r="U145" s="6"/>
      <c r="V145" s="6"/>
      <c r="W145" s="22"/>
    </row>
    <row r="146" spans="3:23" x14ac:dyDescent="0.35">
      <c r="C146" s="21"/>
      <c r="D146" s="6">
        <f t="shared" si="1"/>
        <v>58</v>
      </c>
      <c r="E146" s="6" t="s">
        <v>115</v>
      </c>
      <c r="F146" s="22">
        <f t="shared" si="0"/>
        <v>0</v>
      </c>
      <c r="G146" s="6"/>
      <c r="H146" s="6"/>
      <c r="I146" s="6"/>
      <c r="L146" s="22"/>
      <c r="N146" s="21"/>
      <c r="O146" s="6" t="s">
        <v>304</v>
      </c>
      <c r="P146" s="6"/>
      <c r="Q146" s="6"/>
      <c r="R146" s="6"/>
      <c r="S146" s="6"/>
      <c r="T146" s="6"/>
      <c r="U146" s="6"/>
      <c r="V146" s="6"/>
      <c r="W146" s="22"/>
    </row>
    <row r="147" spans="3:23" x14ac:dyDescent="0.35">
      <c r="C147" s="21"/>
      <c r="D147" s="6">
        <f t="shared" si="1"/>
        <v>59</v>
      </c>
      <c r="E147" s="6" t="s">
        <v>116</v>
      </c>
      <c r="F147" s="22">
        <f t="shared" si="0"/>
        <v>0</v>
      </c>
      <c r="G147" s="6"/>
      <c r="H147" s="6"/>
      <c r="I147" s="6"/>
      <c r="L147" s="22"/>
      <c r="N147" s="21"/>
      <c r="O147" s="6" t="s">
        <v>286</v>
      </c>
      <c r="P147" s="6"/>
      <c r="Q147" s="6"/>
      <c r="R147" s="6"/>
      <c r="S147" s="6"/>
      <c r="T147" s="6"/>
      <c r="U147" s="6"/>
      <c r="V147" s="6"/>
      <c r="W147" s="22"/>
    </row>
    <row r="148" spans="3:23" x14ac:dyDescent="0.35">
      <c r="C148" s="21"/>
      <c r="D148" s="6">
        <f t="shared" si="1"/>
        <v>60</v>
      </c>
      <c r="E148" s="6" t="s">
        <v>117</v>
      </c>
      <c r="F148" s="22">
        <f t="shared" si="0"/>
        <v>0</v>
      </c>
      <c r="G148" s="6"/>
      <c r="H148" s="6"/>
      <c r="I148" s="6"/>
      <c r="L148" s="22"/>
      <c r="N148" s="21"/>
      <c r="O148" s="6"/>
      <c r="P148" s="6"/>
      <c r="Q148" s="6"/>
      <c r="R148" s="6"/>
      <c r="S148" s="6"/>
      <c r="T148" s="6"/>
      <c r="U148" s="6"/>
      <c r="V148" s="6"/>
      <c r="W148" s="22"/>
    </row>
    <row r="149" spans="3:23" x14ac:dyDescent="0.35">
      <c r="C149" s="21"/>
      <c r="D149" s="6">
        <f t="shared" si="1"/>
        <v>61</v>
      </c>
      <c r="E149" s="6" t="s">
        <v>118</v>
      </c>
      <c r="F149" s="22">
        <f t="shared" si="0"/>
        <v>0</v>
      </c>
      <c r="G149" s="6"/>
      <c r="H149" s="6"/>
      <c r="I149" s="6"/>
      <c r="J149" s="6"/>
      <c r="K149" s="6"/>
      <c r="L149" s="22"/>
      <c r="N149" s="21" t="s">
        <v>288</v>
      </c>
      <c r="O149" s="6"/>
      <c r="P149" s="6"/>
      <c r="Q149" s="6"/>
      <c r="R149" s="6"/>
      <c r="S149" s="6"/>
      <c r="T149" s="6"/>
      <c r="U149" s="6"/>
      <c r="V149" s="6"/>
      <c r="W149" s="22"/>
    </row>
    <row r="150" spans="3:23" x14ac:dyDescent="0.35">
      <c r="C150" s="21"/>
      <c r="D150" s="6">
        <f t="shared" si="1"/>
        <v>62</v>
      </c>
      <c r="E150" s="6" t="s">
        <v>119</v>
      </c>
      <c r="F150" s="22">
        <f t="shared" si="0"/>
        <v>0</v>
      </c>
      <c r="G150" s="6"/>
      <c r="H150" s="6"/>
      <c r="I150" s="6"/>
      <c r="J150" s="6"/>
      <c r="K150" s="6"/>
      <c r="L150" s="22"/>
      <c r="N150" s="21"/>
      <c r="O150" s="6" t="s">
        <v>289</v>
      </c>
      <c r="P150" s="6"/>
      <c r="Q150" s="6"/>
      <c r="R150" s="6"/>
      <c r="S150" s="6"/>
      <c r="T150" s="6"/>
      <c r="U150" s="6"/>
      <c r="V150" s="6"/>
      <c r="W150" s="22"/>
    </row>
    <row r="151" spans="3:23" x14ac:dyDescent="0.35">
      <c r="C151" s="21"/>
      <c r="D151" s="6">
        <f t="shared" si="1"/>
        <v>63</v>
      </c>
      <c r="E151" s="6" t="s">
        <v>120</v>
      </c>
      <c r="F151" s="22">
        <f t="shared" si="0"/>
        <v>0</v>
      </c>
      <c r="G151" s="6"/>
      <c r="H151" s="6"/>
      <c r="I151" s="6"/>
      <c r="J151" s="6"/>
      <c r="K151" s="6"/>
      <c r="L151" s="22"/>
      <c r="N151" s="21"/>
      <c r="O151" s="6" t="s">
        <v>290</v>
      </c>
      <c r="P151" s="6"/>
      <c r="Q151" s="6"/>
      <c r="R151" s="6"/>
      <c r="S151" s="6"/>
      <c r="T151" s="6"/>
      <c r="U151" s="6"/>
      <c r="V151" s="6"/>
      <c r="W151" s="22"/>
    </row>
    <row r="152" spans="3:23" x14ac:dyDescent="0.35">
      <c r="C152" s="21"/>
      <c r="D152" s="6">
        <f t="shared" si="1"/>
        <v>64</v>
      </c>
      <c r="E152" s="6" t="s">
        <v>121</v>
      </c>
      <c r="F152" s="22">
        <f t="shared" si="0"/>
        <v>0</v>
      </c>
      <c r="G152" s="6"/>
      <c r="H152" s="6"/>
      <c r="I152" s="6"/>
      <c r="J152" s="6"/>
      <c r="K152" s="6"/>
      <c r="L152" s="22"/>
      <c r="N152" s="21"/>
      <c r="O152" s="6" t="s">
        <v>291</v>
      </c>
      <c r="P152" s="6"/>
      <c r="Q152" s="6"/>
      <c r="R152" s="6"/>
      <c r="S152" s="6"/>
      <c r="T152" s="6"/>
      <c r="U152" s="6"/>
      <c r="V152" s="6"/>
      <c r="W152" s="22"/>
    </row>
    <row r="153" spans="3:23" x14ac:dyDescent="0.35">
      <c r="C153" s="21"/>
      <c r="D153" s="6">
        <f t="shared" si="1"/>
        <v>65</v>
      </c>
      <c r="E153" s="6" t="s">
        <v>122</v>
      </c>
      <c r="F153" s="22">
        <f t="shared" si="0"/>
        <v>0</v>
      </c>
      <c r="G153" s="6"/>
      <c r="H153" s="6"/>
      <c r="I153" s="6"/>
      <c r="J153" s="6"/>
      <c r="K153" s="6"/>
      <c r="L153" s="22"/>
      <c r="N153" s="21"/>
      <c r="O153" s="6" t="s">
        <v>292</v>
      </c>
      <c r="P153" s="6"/>
      <c r="Q153" s="6"/>
      <c r="R153" s="6"/>
      <c r="S153" s="6"/>
      <c r="T153" s="6"/>
      <c r="U153" s="6"/>
      <c r="V153" s="6"/>
      <c r="W153" s="22"/>
    </row>
    <row r="154" spans="3:23" x14ac:dyDescent="0.35">
      <c r="C154" s="21"/>
      <c r="D154" s="6">
        <f t="shared" si="1"/>
        <v>66</v>
      </c>
      <c r="E154" s="6" t="s">
        <v>123</v>
      </c>
      <c r="F154" s="22">
        <f t="shared" si="0"/>
        <v>0</v>
      </c>
      <c r="G154" s="6"/>
      <c r="H154" s="6"/>
      <c r="I154" s="6"/>
      <c r="J154" s="6"/>
      <c r="K154" s="6"/>
      <c r="L154" s="22"/>
      <c r="N154" s="21"/>
      <c r="O154" s="6" t="s">
        <v>293</v>
      </c>
      <c r="P154" s="6"/>
      <c r="Q154" s="6"/>
      <c r="R154" s="6"/>
      <c r="S154" s="6"/>
      <c r="T154" s="6"/>
      <c r="U154" s="6"/>
      <c r="V154" s="6"/>
      <c r="W154" s="22"/>
    </row>
    <row r="155" spans="3:23" x14ac:dyDescent="0.35">
      <c r="C155" s="21"/>
      <c r="D155" s="6">
        <f t="shared" si="1"/>
        <v>67</v>
      </c>
      <c r="E155" s="6" t="s">
        <v>124</v>
      </c>
      <c r="F155" s="22">
        <f t="shared" ref="F155:F216" si="4">IF($O$16=E155, D155, 0)</f>
        <v>0</v>
      </c>
      <c r="G155" s="6"/>
      <c r="H155" s="6"/>
      <c r="I155" s="6"/>
      <c r="J155" s="6"/>
      <c r="K155" s="6"/>
      <c r="L155" s="22"/>
      <c r="N155" s="21"/>
      <c r="O155" s="6" t="s">
        <v>294</v>
      </c>
      <c r="P155" s="6"/>
      <c r="Q155" s="6"/>
      <c r="R155" s="6"/>
      <c r="S155" s="6"/>
      <c r="T155" s="6"/>
      <c r="U155" s="6"/>
      <c r="V155" s="6"/>
      <c r="W155" s="22"/>
    </row>
    <row r="156" spans="3:23" x14ac:dyDescent="0.35">
      <c r="C156" s="21"/>
      <c r="D156" s="6">
        <f t="shared" si="1"/>
        <v>68</v>
      </c>
      <c r="E156" s="6" t="s">
        <v>125</v>
      </c>
      <c r="F156" s="22">
        <f t="shared" si="4"/>
        <v>0</v>
      </c>
      <c r="G156" s="6"/>
      <c r="H156" s="6"/>
      <c r="I156" s="6"/>
      <c r="J156" s="6"/>
      <c r="K156" s="6"/>
      <c r="L156" s="22"/>
      <c r="N156" s="21"/>
      <c r="O156" s="6" t="s">
        <v>295</v>
      </c>
      <c r="P156" s="6"/>
      <c r="Q156" s="6"/>
      <c r="R156" s="6"/>
      <c r="S156" s="6"/>
      <c r="T156" s="6"/>
      <c r="U156" s="6"/>
      <c r="V156" s="6"/>
      <c r="W156" s="22"/>
    </row>
    <row r="157" spans="3:23" x14ac:dyDescent="0.35">
      <c r="C157" s="21"/>
      <c r="D157" s="6">
        <f t="shared" ref="D157:D216" si="5">D156+1</f>
        <v>69</v>
      </c>
      <c r="E157" s="6" t="s">
        <v>126</v>
      </c>
      <c r="F157" s="22">
        <f t="shared" si="4"/>
        <v>0</v>
      </c>
      <c r="G157" s="6"/>
      <c r="H157" s="6"/>
      <c r="I157" s="6"/>
      <c r="J157" s="6"/>
      <c r="K157" s="6"/>
      <c r="L157" s="22"/>
      <c r="N157" s="21"/>
      <c r="O157" s="6"/>
      <c r="P157" s="6"/>
      <c r="Q157" s="6"/>
      <c r="R157" s="6"/>
      <c r="S157" s="6"/>
      <c r="T157" s="6"/>
      <c r="U157" s="6"/>
      <c r="V157" s="6"/>
      <c r="W157" s="22"/>
    </row>
    <row r="158" spans="3:23" x14ac:dyDescent="0.35">
      <c r="C158" s="21"/>
      <c r="D158" s="6">
        <f t="shared" si="5"/>
        <v>70</v>
      </c>
      <c r="E158" s="6" t="s">
        <v>127</v>
      </c>
      <c r="F158" s="22">
        <f t="shared" si="4"/>
        <v>0</v>
      </c>
      <c r="G158" s="6"/>
      <c r="H158" s="6"/>
      <c r="I158" s="6"/>
      <c r="J158" s="6"/>
      <c r="K158" s="6"/>
      <c r="L158" s="22"/>
      <c r="N158" s="21" t="s">
        <v>305</v>
      </c>
      <c r="O158" s="6"/>
      <c r="P158" s="6"/>
      <c r="Q158" s="6"/>
      <c r="R158" s="6"/>
      <c r="S158" s="6"/>
      <c r="T158" s="6"/>
      <c r="U158" s="6"/>
      <c r="V158" s="6"/>
      <c r="W158" s="22"/>
    </row>
    <row r="159" spans="3:23" x14ac:dyDescent="0.35">
      <c r="C159" s="21"/>
      <c r="D159" s="6">
        <f t="shared" si="5"/>
        <v>71</v>
      </c>
      <c r="E159" s="6" t="s">
        <v>128</v>
      </c>
      <c r="F159" s="22">
        <f t="shared" si="4"/>
        <v>0</v>
      </c>
      <c r="G159" s="6"/>
      <c r="H159" s="6"/>
      <c r="I159" s="6"/>
      <c r="J159" s="6"/>
      <c r="K159" s="6"/>
      <c r="L159" s="22"/>
      <c r="N159" s="21"/>
      <c r="O159" s="6" t="s">
        <v>297</v>
      </c>
      <c r="P159" s="6"/>
      <c r="Q159" s="6"/>
      <c r="R159" s="6"/>
      <c r="S159" s="6"/>
      <c r="T159" s="6"/>
      <c r="U159" s="6"/>
      <c r="V159" s="6"/>
      <c r="W159" s="22"/>
    </row>
    <row r="160" spans="3:23" x14ac:dyDescent="0.35">
      <c r="C160" s="21"/>
      <c r="D160" s="6">
        <f t="shared" si="5"/>
        <v>72</v>
      </c>
      <c r="E160" s="6" t="s">
        <v>129</v>
      </c>
      <c r="F160" s="22">
        <f t="shared" si="4"/>
        <v>0</v>
      </c>
      <c r="G160" s="6"/>
      <c r="H160" s="6"/>
      <c r="I160" s="6"/>
      <c r="J160" s="6"/>
      <c r="K160" s="6"/>
      <c r="L160" s="22"/>
      <c r="N160" s="21"/>
      <c r="O160" s="6" t="s">
        <v>296</v>
      </c>
      <c r="P160" s="6"/>
      <c r="Q160" s="6"/>
      <c r="R160" s="6"/>
      <c r="S160" s="6"/>
      <c r="T160" s="6"/>
      <c r="U160" s="6"/>
      <c r="V160" s="6"/>
      <c r="W160" s="22"/>
    </row>
    <row r="161" spans="3:23" x14ac:dyDescent="0.35">
      <c r="C161" s="21"/>
      <c r="D161" s="6">
        <f t="shared" si="5"/>
        <v>73</v>
      </c>
      <c r="E161" s="6" t="s">
        <v>130</v>
      </c>
      <c r="F161" s="22">
        <f t="shared" si="4"/>
        <v>0</v>
      </c>
      <c r="G161" s="6"/>
      <c r="H161" s="6"/>
      <c r="I161" s="6"/>
      <c r="J161" s="6"/>
      <c r="K161" s="6"/>
      <c r="L161" s="22"/>
      <c r="N161" s="21"/>
      <c r="O161" s="6"/>
      <c r="P161" s="6"/>
      <c r="Q161" s="6"/>
      <c r="R161" s="6"/>
      <c r="S161" s="6"/>
      <c r="T161" s="6"/>
      <c r="U161" s="6"/>
      <c r="V161" s="6"/>
      <c r="W161" s="22"/>
    </row>
    <row r="162" spans="3:23" x14ac:dyDescent="0.35">
      <c r="C162" s="21"/>
      <c r="D162" s="6">
        <f t="shared" si="5"/>
        <v>74</v>
      </c>
      <c r="E162" s="6" t="s">
        <v>131</v>
      </c>
      <c r="F162" s="22">
        <f t="shared" si="4"/>
        <v>0</v>
      </c>
      <c r="G162" s="6"/>
      <c r="H162" s="6"/>
      <c r="I162" s="6"/>
      <c r="J162" s="6"/>
      <c r="K162" s="6"/>
      <c r="L162" s="22"/>
      <c r="N162" s="21" t="s">
        <v>306</v>
      </c>
      <c r="O162" s="6"/>
      <c r="P162" s="6"/>
      <c r="Q162" s="6"/>
      <c r="R162" s="6"/>
      <c r="S162" s="6"/>
      <c r="T162" s="6"/>
      <c r="U162" s="6"/>
      <c r="V162" s="6"/>
      <c r="W162" s="22"/>
    </row>
    <row r="163" spans="3:23" x14ac:dyDescent="0.35">
      <c r="C163" s="21"/>
      <c r="D163" s="6">
        <f t="shared" si="5"/>
        <v>75</v>
      </c>
      <c r="E163" s="6" t="s">
        <v>132</v>
      </c>
      <c r="F163" s="22">
        <f t="shared" si="4"/>
        <v>0</v>
      </c>
      <c r="G163" s="6"/>
      <c r="H163" s="6"/>
      <c r="I163" s="6"/>
      <c r="J163" s="6"/>
      <c r="K163" s="6"/>
      <c r="L163" s="22"/>
      <c r="N163" s="21"/>
      <c r="O163" s="6" t="s">
        <v>307</v>
      </c>
      <c r="P163" s="6"/>
      <c r="Q163" s="6"/>
      <c r="R163" s="6"/>
      <c r="S163" s="6"/>
      <c r="T163" s="6"/>
      <c r="U163" s="6"/>
      <c r="V163" s="6"/>
      <c r="W163" s="22"/>
    </row>
    <row r="164" spans="3:23" x14ac:dyDescent="0.35">
      <c r="C164" s="21"/>
      <c r="D164" s="6">
        <f t="shared" si="5"/>
        <v>76</v>
      </c>
      <c r="E164" s="6" t="s">
        <v>133</v>
      </c>
      <c r="F164" s="22">
        <f t="shared" si="4"/>
        <v>0</v>
      </c>
      <c r="G164" s="6"/>
      <c r="H164" s="6"/>
      <c r="I164" s="6"/>
      <c r="J164" s="6"/>
      <c r="K164" s="6"/>
      <c r="L164" s="22"/>
      <c r="N164" s="21"/>
      <c r="O164" s="6" t="s">
        <v>309</v>
      </c>
      <c r="P164" s="6"/>
      <c r="Q164" s="6"/>
      <c r="R164" s="6"/>
      <c r="S164" s="6"/>
      <c r="T164" s="6"/>
      <c r="U164" s="6"/>
      <c r="V164" s="6"/>
      <c r="W164" s="22"/>
    </row>
    <row r="165" spans="3:23" x14ac:dyDescent="0.35">
      <c r="C165" s="21"/>
      <c r="D165" s="6">
        <f t="shared" si="5"/>
        <v>77</v>
      </c>
      <c r="E165" s="6" t="s">
        <v>134</v>
      </c>
      <c r="F165" s="22">
        <f t="shared" si="4"/>
        <v>0</v>
      </c>
      <c r="G165" s="6"/>
      <c r="H165" s="6"/>
      <c r="I165" s="6"/>
      <c r="J165" s="6"/>
      <c r="K165" s="6"/>
      <c r="L165" s="22"/>
      <c r="N165" s="21"/>
      <c r="O165" s="6" t="s">
        <v>310</v>
      </c>
      <c r="P165" s="6"/>
      <c r="Q165" s="6"/>
      <c r="R165" s="6"/>
      <c r="S165" s="6"/>
      <c r="T165" s="6"/>
      <c r="U165" s="6"/>
      <c r="V165" s="6"/>
      <c r="W165" s="22"/>
    </row>
    <row r="166" spans="3:23" x14ac:dyDescent="0.35">
      <c r="C166" s="21"/>
      <c r="D166" s="6">
        <f t="shared" si="5"/>
        <v>78</v>
      </c>
      <c r="E166" s="6" t="s">
        <v>135</v>
      </c>
      <c r="F166" s="22">
        <f t="shared" si="4"/>
        <v>0</v>
      </c>
      <c r="G166" s="6"/>
      <c r="H166" s="6"/>
      <c r="I166" s="6"/>
      <c r="J166" s="6"/>
      <c r="K166" s="6"/>
      <c r="L166" s="22"/>
      <c r="N166" s="21"/>
      <c r="O166" s="6" t="s">
        <v>311</v>
      </c>
      <c r="P166" s="6"/>
      <c r="Q166" s="6"/>
      <c r="R166" s="6"/>
      <c r="S166" s="6"/>
      <c r="T166" s="6"/>
      <c r="U166" s="6"/>
      <c r="V166" s="6"/>
      <c r="W166" s="22"/>
    </row>
    <row r="167" spans="3:23" x14ac:dyDescent="0.35">
      <c r="C167" s="21"/>
      <c r="D167" s="6">
        <f t="shared" si="5"/>
        <v>79</v>
      </c>
      <c r="E167" s="6" t="s">
        <v>136</v>
      </c>
      <c r="F167" s="22">
        <f t="shared" si="4"/>
        <v>0</v>
      </c>
      <c r="G167" s="6"/>
      <c r="H167" s="6"/>
      <c r="I167" s="6"/>
      <c r="J167" s="6"/>
      <c r="K167" s="6"/>
      <c r="L167" s="22"/>
      <c r="N167" s="21"/>
      <c r="O167" s="6" t="s">
        <v>312</v>
      </c>
      <c r="P167" s="6"/>
      <c r="Q167" s="6"/>
      <c r="R167" s="6"/>
      <c r="S167" s="6"/>
      <c r="T167" s="6"/>
      <c r="U167" s="6"/>
      <c r="V167" s="6"/>
      <c r="W167" s="22"/>
    </row>
    <row r="168" spans="3:23" x14ac:dyDescent="0.35">
      <c r="C168" s="21"/>
      <c r="D168" s="6">
        <f t="shared" si="5"/>
        <v>80</v>
      </c>
      <c r="E168" s="6" t="s">
        <v>137</v>
      </c>
      <c r="F168" s="22">
        <f t="shared" si="4"/>
        <v>0</v>
      </c>
      <c r="G168" s="6"/>
      <c r="H168" s="6"/>
      <c r="I168" s="6"/>
      <c r="J168" s="6"/>
      <c r="K168" s="6"/>
      <c r="L168" s="22"/>
      <c r="N168" s="21"/>
      <c r="O168" s="6" t="s">
        <v>308</v>
      </c>
      <c r="P168" s="6"/>
      <c r="Q168" s="6"/>
      <c r="R168" s="6"/>
      <c r="S168" s="6"/>
      <c r="T168" s="6"/>
      <c r="U168" s="6"/>
      <c r="V168" s="6"/>
      <c r="W168" s="22"/>
    </row>
    <row r="169" spans="3:23" x14ac:dyDescent="0.35">
      <c r="C169" s="21"/>
      <c r="D169" s="6">
        <f t="shared" si="5"/>
        <v>81</v>
      </c>
      <c r="E169" s="6" t="s">
        <v>138</v>
      </c>
      <c r="F169" s="22">
        <f t="shared" si="4"/>
        <v>0</v>
      </c>
      <c r="G169" s="6"/>
      <c r="H169" s="6"/>
      <c r="I169" s="6"/>
      <c r="J169" s="6"/>
      <c r="K169" s="6"/>
      <c r="L169" s="22"/>
      <c r="N169" s="21"/>
      <c r="O169" s="6"/>
      <c r="P169" s="6"/>
      <c r="Q169" s="6"/>
      <c r="R169" s="6"/>
      <c r="S169" s="6"/>
      <c r="T169" s="6"/>
      <c r="U169" s="6"/>
      <c r="V169" s="6"/>
      <c r="W169" s="22"/>
    </row>
    <row r="170" spans="3:23" x14ac:dyDescent="0.35">
      <c r="C170" s="21"/>
      <c r="D170" s="6">
        <f t="shared" si="5"/>
        <v>82</v>
      </c>
      <c r="E170" s="6" t="s">
        <v>139</v>
      </c>
      <c r="F170" s="22">
        <f t="shared" si="4"/>
        <v>0</v>
      </c>
      <c r="G170" s="6"/>
      <c r="H170" s="6"/>
      <c r="I170" s="6"/>
      <c r="J170" s="6"/>
      <c r="K170" s="6"/>
      <c r="L170" s="22"/>
      <c r="N170" s="21" t="s">
        <v>313</v>
      </c>
      <c r="O170" s="6"/>
      <c r="P170" s="6"/>
      <c r="Q170" s="6"/>
      <c r="R170" s="6"/>
      <c r="S170" s="6"/>
      <c r="T170" s="6"/>
      <c r="U170" s="6"/>
      <c r="V170" s="6"/>
      <c r="W170" s="22"/>
    </row>
    <row r="171" spans="3:23" x14ac:dyDescent="0.35">
      <c r="C171" s="21"/>
      <c r="D171" s="6">
        <f t="shared" si="5"/>
        <v>83</v>
      </c>
      <c r="E171" s="6" t="s">
        <v>140</v>
      </c>
      <c r="F171" s="22">
        <f t="shared" si="4"/>
        <v>0</v>
      </c>
      <c r="G171" s="6"/>
      <c r="H171" s="6"/>
      <c r="I171" s="6"/>
      <c r="J171" s="6"/>
      <c r="K171" s="6"/>
      <c r="L171" s="22"/>
      <c r="N171" s="21"/>
      <c r="O171" s="6" t="s">
        <v>315</v>
      </c>
      <c r="P171" s="6"/>
      <c r="Q171" s="6"/>
      <c r="R171" s="6"/>
      <c r="S171" s="6"/>
      <c r="T171" s="6"/>
      <c r="U171" s="6"/>
      <c r="V171" s="6"/>
      <c r="W171" s="22"/>
    </row>
    <row r="172" spans="3:23" x14ac:dyDescent="0.35">
      <c r="C172" s="21"/>
      <c r="D172" s="6">
        <f t="shared" si="5"/>
        <v>84</v>
      </c>
      <c r="E172" s="6" t="s">
        <v>141</v>
      </c>
      <c r="F172" s="22">
        <f t="shared" si="4"/>
        <v>0</v>
      </c>
      <c r="G172" s="6"/>
      <c r="H172" s="6"/>
      <c r="I172" s="6"/>
      <c r="J172" s="6"/>
      <c r="K172" s="6"/>
      <c r="L172" s="22"/>
      <c r="N172" s="21"/>
      <c r="O172" s="6" t="s">
        <v>314</v>
      </c>
      <c r="P172" s="6"/>
      <c r="Q172" s="6"/>
      <c r="R172" s="6"/>
      <c r="S172" s="6"/>
      <c r="T172" s="6"/>
      <c r="U172" s="6"/>
      <c r="V172" s="6"/>
      <c r="W172" s="22"/>
    </row>
    <row r="173" spans="3:23" x14ac:dyDescent="0.35">
      <c r="C173" s="21"/>
      <c r="D173" s="6">
        <f t="shared" si="5"/>
        <v>85</v>
      </c>
      <c r="E173" s="6" t="s">
        <v>142</v>
      </c>
      <c r="F173" s="22">
        <f t="shared" si="4"/>
        <v>0</v>
      </c>
      <c r="G173" s="6"/>
      <c r="H173" s="6"/>
      <c r="I173" s="6"/>
      <c r="J173" s="6"/>
      <c r="K173" s="6"/>
      <c r="L173" s="22"/>
      <c r="N173" s="21"/>
      <c r="O173" s="6"/>
      <c r="P173" s="6"/>
      <c r="Q173" s="6"/>
      <c r="R173" s="6"/>
      <c r="S173" s="6"/>
      <c r="T173" s="6"/>
      <c r="U173" s="6"/>
      <c r="V173" s="6"/>
      <c r="W173" s="22"/>
    </row>
    <row r="174" spans="3:23" x14ac:dyDescent="0.35">
      <c r="C174" s="21"/>
      <c r="D174" s="6">
        <f t="shared" si="5"/>
        <v>86</v>
      </c>
      <c r="E174" s="6" t="s">
        <v>143</v>
      </c>
      <c r="F174" s="22">
        <f t="shared" si="4"/>
        <v>0</v>
      </c>
      <c r="G174" s="6"/>
      <c r="H174" s="6"/>
      <c r="I174" s="6"/>
      <c r="J174" s="6"/>
      <c r="K174" s="6"/>
      <c r="L174" s="22"/>
      <c r="N174" s="21" t="s">
        <v>316</v>
      </c>
      <c r="O174" s="6"/>
      <c r="P174" s="6"/>
      <c r="Q174" s="6"/>
      <c r="R174" s="6"/>
      <c r="S174" s="6"/>
      <c r="T174" s="6"/>
      <c r="U174" s="6"/>
      <c r="V174" s="6"/>
      <c r="W174" s="22"/>
    </row>
    <row r="175" spans="3:23" x14ac:dyDescent="0.35">
      <c r="C175" s="21"/>
      <c r="D175" s="6">
        <f t="shared" si="5"/>
        <v>87</v>
      </c>
      <c r="E175" s="6" t="s">
        <v>144</v>
      </c>
      <c r="F175" s="22">
        <f t="shared" si="4"/>
        <v>0</v>
      </c>
      <c r="G175" s="6"/>
      <c r="H175" s="6"/>
      <c r="I175" s="6"/>
      <c r="J175" s="6"/>
      <c r="K175" s="6"/>
      <c r="L175" s="22"/>
      <c r="N175" s="21"/>
      <c r="O175" s="6" t="s">
        <v>318</v>
      </c>
      <c r="P175" s="6"/>
      <c r="Q175" s="6"/>
      <c r="R175" s="6"/>
      <c r="S175" s="6"/>
      <c r="T175" s="6"/>
      <c r="U175" s="6"/>
      <c r="V175" s="6"/>
      <c r="W175" s="22"/>
    </row>
    <row r="176" spans="3:23" x14ac:dyDescent="0.35">
      <c r="C176" s="21"/>
      <c r="D176" s="6">
        <f t="shared" si="5"/>
        <v>88</v>
      </c>
      <c r="E176" s="6" t="s">
        <v>145</v>
      </c>
      <c r="F176" s="22">
        <f t="shared" si="4"/>
        <v>0</v>
      </c>
      <c r="G176" s="6"/>
      <c r="H176" s="6"/>
      <c r="I176" s="6"/>
      <c r="J176" s="6"/>
      <c r="K176" s="6"/>
      <c r="L176" s="22"/>
      <c r="N176" s="21"/>
      <c r="O176" s="6" t="s">
        <v>319</v>
      </c>
      <c r="P176" s="6"/>
      <c r="Q176" s="6"/>
      <c r="R176" s="6"/>
      <c r="S176" s="6"/>
      <c r="T176" s="6"/>
      <c r="U176" s="6"/>
      <c r="V176" s="6"/>
      <c r="W176" s="22"/>
    </row>
    <row r="177" spans="3:23" x14ac:dyDescent="0.35">
      <c r="C177" s="21"/>
      <c r="D177" s="6">
        <f t="shared" si="5"/>
        <v>89</v>
      </c>
      <c r="E177" s="6" t="s">
        <v>146</v>
      </c>
      <c r="F177" s="22">
        <f t="shared" si="4"/>
        <v>0</v>
      </c>
      <c r="G177" s="6"/>
      <c r="H177" s="6"/>
      <c r="I177" s="6"/>
      <c r="J177" s="6"/>
      <c r="K177" s="6"/>
      <c r="L177" s="22"/>
      <c r="N177" s="21"/>
      <c r="O177" s="6" t="s">
        <v>320</v>
      </c>
      <c r="P177" s="6"/>
      <c r="Q177" s="6"/>
      <c r="R177" s="6"/>
      <c r="S177" s="6"/>
      <c r="T177" s="6"/>
      <c r="U177" s="6"/>
      <c r="V177" s="6"/>
      <c r="W177" s="22"/>
    </row>
    <row r="178" spans="3:23" x14ac:dyDescent="0.35">
      <c r="C178" s="21"/>
      <c r="D178" s="6">
        <f t="shared" si="5"/>
        <v>90</v>
      </c>
      <c r="E178" s="6" t="s">
        <v>147</v>
      </c>
      <c r="F178" s="22">
        <f t="shared" si="4"/>
        <v>0</v>
      </c>
      <c r="G178" s="6"/>
      <c r="H178" s="6"/>
      <c r="I178" s="6"/>
      <c r="J178" s="6"/>
      <c r="K178" s="6"/>
      <c r="L178" s="22"/>
      <c r="N178" s="21"/>
      <c r="O178" s="6" t="s">
        <v>321</v>
      </c>
      <c r="P178" s="6"/>
      <c r="Q178" s="6"/>
      <c r="R178" s="6"/>
      <c r="S178" s="6"/>
      <c r="T178" s="6"/>
      <c r="U178" s="6"/>
      <c r="V178" s="6"/>
      <c r="W178" s="22"/>
    </row>
    <row r="179" spans="3:23" x14ac:dyDescent="0.35">
      <c r="C179" s="21"/>
      <c r="D179" s="6">
        <f t="shared" si="5"/>
        <v>91</v>
      </c>
      <c r="E179" s="6" t="s">
        <v>148</v>
      </c>
      <c r="F179" s="22">
        <f t="shared" si="4"/>
        <v>0</v>
      </c>
      <c r="G179" s="6"/>
      <c r="H179" s="6"/>
      <c r="I179" s="6"/>
      <c r="J179" s="6"/>
      <c r="K179" s="6"/>
      <c r="L179" s="22"/>
      <c r="N179" s="21"/>
      <c r="O179" s="6" t="s">
        <v>322</v>
      </c>
      <c r="P179" s="6"/>
      <c r="Q179" s="6"/>
      <c r="R179" s="6"/>
      <c r="S179" s="6"/>
      <c r="T179" s="6"/>
      <c r="U179" s="6"/>
      <c r="V179" s="6"/>
      <c r="W179" s="22"/>
    </row>
    <row r="180" spans="3:23" x14ac:dyDescent="0.35">
      <c r="C180" s="21"/>
      <c r="D180" s="6">
        <f t="shared" si="5"/>
        <v>92</v>
      </c>
      <c r="E180" s="6" t="s">
        <v>149</v>
      </c>
      <c r="F180" s="22">
        <f t="shared" si="4"/>
        <v>0</v>
      </c>
      <c r="G180" s="6"/>
      <c r="H180" s="6"/>
      <c r="I180" s="6"/>
      <c r="J180" s="6"/>
      <c r="K180" s="6"/>
      <c r="L180" s="22"/>
      <c r="N180" s="21"/>
      <c r="O180" s="6" t="s">
        <v>323</v>
      </c>
      <c r="P180" s="6"/>
      <c r="Q180" s="6"/>
      <c r="R180" s="6"/>
      <c r="S180" s="6"/>
      <c r="T180" s="6"/>
      <c r="U180" s="6"/>
      <c r="V180" s="6"/>
      <c r="W180" s="22"/>
    </row>
    <row r="181" spans="3:23" x14ac:dyDescent="0.35">
      <c r="C181" s="21"/>
      <c r="D181" s="6">
        <f t="shared" si="5"/>
        <v>93</v>
      </c>
      <c r="E181" s="6" t="s">
        <v>150</v>
      </c>
      <c r="F181" s="22">
        <f t="shared" si="4"/>
        <v>0</v>
      </c>
      <c r="G181" s="6"/>
      <c r="H181" s="6"/>
      <c r="I181" s="6"/>
      <c r="J181" s="6"/>
      <c r="K181" s="6"/>
      <c r="L181" s="22"/>
      <c r="N181" s="21"/>
      <c r="O181" s="6" t="s">
        <v>324</v>
      </c>
      <c r="P181" s="6"/>
      <c r="Q181" s="6"/>
      <c r="R181" s="6"/>
      <c r="S181" s="6"/>
      <c r="T181" s="6"/>
      <c r="U181" s="6"/>
      <c r="V181" s="6"/>
      <c r="W181" s="22"/>
    </row>
    <row r="182" spans="3:23" x14ac:dyDescent="0.35">
      <c r="C182" s="21"/>
      <c r="D182" s="6">
        <f t="shared" si="5"/>
        <v>94</v>
      </c>
      <c r="E182" s="6" t="s">
        <v>151</v>
      </c>
      <c r="F182" s="22">
        <f t="shared" si="4"/>
        <v>0</v>
      </c>
      <c r="G182" s="6"/>
      <c r="H182" s="6"/>
      <c r="I182" s="6"/>
      <c r="J182" s="6"/>
      <c r="K182" s="6"/>
      <c r="L182" s="22"/>
      <c r="N182" s="21"/>
      <c r="O182" s="6" t="s">
        <v>317</v>
      </c>
      <c r="P182" s="6"/>
      <c r="Q182" s="6"/>
      <c r="R182" s="6"/>
      <c r="S182" s="6"/>
      <c r="T182" s="6"/>
      <c r="U182" s="6"/>
      <c r="V182" s="6"/>
      <c r="W182" s="22"/>
    </row>
    <row r="183" spans="3:23" x14ac:dyDescent="0.35">
      <c r="C183" s="21"/>
      <c r="D183" s="6">
        <f t="shared" si="5"/>
        <v>95</v>
      </c>
      <c r="E183" s="6" t="s">
        <v>152</v>
      </c>
      <c r="F183" s="22">
        <f t="shared" si="4"/>
        <v>0</v>
      </c>
      <c r="G183" s="6"/>
      <c r="H183" s="6"/>
      <c r="I183" s="6"/>
      <c r="J183" s="6"/>
      <c r="K183" s="6"/>
      <c r="L183" s="22"/>
      <c r="N183" s="21"/>
      <c r="O183" s="6"/>
      <c r="P183" s="6"/>
      <c r="Q183" s="6"/>
      <c r="R183" s="6"/>
      <c r="S183" s="6"/>
      <c r="T183" s="6"/>
      <c r="U183" s="6"/>
      <c r="V183" s="6"/>
      <c r="W183" s="22"/>
    </row>
    <row r="184" spans="3:23" x14ac:dyDescent="0.35">
      <c r="C184" s="21"/>
      <c r="D184" s="6">
        <f t="shared" si="5"/>
        <v>96</v>
      </c>
      <c r="E184" s="6" t="s">
        <v>153</v>
      </c>
      <c r="F184" s="22">
        <f t="shared" si="4"/>
        <v>0</v>
      </c>
      <c r="G184" s="6"/>
      <c r="H184" s="6"/>
      <c r="I184" s="6"/>
      <c r="J184" s="6"/>
      <c r="K184" s="6"/>
      <c r="L184" s="22"/>
      <c r="N184" s="21" t="s">
        <v>325</v>
      </c>
      <c r="O184" s="6"/>
      <c r="P184" s="6"/>
      <c r="Q184" s="6"/>
      <c r="R184" s="6"/>
      <c r="S184" s="6"/>
      <c r="T184" s="6"/>
      <c r="U184" s="6"/>
      <c r="V184" s="6"/>
      <c r="W184" s="22"/>
    </row>
    <row r="185" spans="3:23" x14ac:dyDescent="0.35">
      <c r="C185" s="21"/>
      <c r="D185" s="6">
        <f t="shared" si="5"/>
        <v>97</v>
      </c>
      <c r="E185" s="6" t="s">
        <v>154</v>
      </c>
      <c r="F185" s="22">
        <f t="shared" si="4"/>
        <v>0</v>
      </c>
      <c r="G185" s="6"/>
      <c r="H185" s="6"/>
      <c r="I185" s="6"/>
      <c r="J185" s="6"/>
      <c r="K185" s="6"/>
      <c r="L185" s="22"/>
      <c r="N185" s="21"/>
      <c r="O185" s="6">
        <v>1</v>
      </c>
      <c r="P185" s="6"/>
      <c r="Q185" s="6"/>
      <c r="R185" s="6"/>
      <c r="S185" s="6"/>
      <c r="T185" s="6"/>
      <c r="U185" s="6"/>
      <c r="V185" s="6"/>
      <c r="W185" s="22"/>
    </row>
    <row r="186" spans="3:23" x14ac:dyDescent="0.35">
      <c r="C186" s="21"/>
      <c r="D186" s="6">
        <f t="shared" si="5"/>
        <v>98</v>
      </c>
      <c r="E186" s="6" t="s">
        <v>155</v>
      </c>
      <c r="F186" s="22">
        <f t="shared" si="4"/>
        <v>0</v>
      </c>
      <c r="G186" s="6"/>
      <c r="H186" s="6"/>
      <c r="I186" s="6"/>
      <c r="J186" s="6"/>
      <c r="K186" s="6"/>
      <c r="L186" s="22"/>
      <c r="N186" s="21"/>
      <c r="O186" s="6">
        <v>2</v>
      </c>
      <c r="P186" s="6"/>
      <c r="Q186" s="6"/>
      <c r="R186" s="6"/>
      <c r="S186" s="6"/>
      <c r="T186" s="6"/>
      <c r="U186" s="6"/>
      <c r="V186" s="6"/>
      <c r="W186" s="22"/>
    </row>
    <row r="187" spans="3:23" x14ac:dyDescent="0.35">
      <c r="C187" s="21"/>
      <c r="D187" s="6">
        <f t="shared" si="5"/>
        <v>99</v>
      </c>
      <c r="E187" s="6" t="s">
        <v>156</v>
      </c>
      <c r="F187" s="22">
        <f t="shared" si="4"/>
        <v>0</v>
      </c>
      <c r="G187" s="6"/>
      <c r="H187" s="6"/>
      <c r="I187" s="6"/>
      <c r="J187" s="6"/>
      <c r="K187" s="6"/>
      <c r="L187" s="22"/>
      <c r="N187" s="21"/>
      <c r="O187" s="7" t="s">
        <v>326</v>
      </c>
      <c r="P187" s="6"/>
      <c r="Q187" s="6"/>
      <c r="R187" s="6"/>
      <c r="S187" s="6"/>
      <c r="T187" s="6"/>
      <c r="U187" s="6"/>
      <c r="V187" s="6"/>
      <c r="W187" s="22"/>
    </row>
    <row r="188" spans="3:23" x14ac:dyDescent="0.35">
      <c r="C188" s="21"/>
      <c r="D188" s="6">
        <f t="shared" si="5"/>
        <v>100</v>
      </c>
      <c r="E188" s="6" t="s">
        <v>157</v>
      </c>
      <c r="F188" s="22">
        <f t="shared" si="4"/>
        <v>0</v>
      </c>
      <c r="G188" s="6"/>
      <c r="H188" s="6"/>
      <c r="I188" s="6"/>
      <c r="J188" s="6"/>
      <c r="K188" s="6"/>
      <c r="L188" s="22"/>
      <c r="N188" s="21"/>
      <c r="O188" s="6">
        <v>128</v>
      </c>
      <c r="P188" s="6"/>
      <c r="Q188" s="6"/>
      <c r="R188" s="6"/>
      <c r="S188" s="6"/>
      <c r="T188" s="6"/>
      <c r="U188" s="6"/>
      <c r="V188" s="6"/>
      <c r="W188" s="22"/>
    </row>
    <row r="189" spans="3:23" x14ac:dyDescent="0.35">
      <c r="C189" s="21"/>
      <c r="D189" s="6">
        <f t="shared" si="5"/>
        <v>101</v>
      </c>
      <c r="E189" s="6" t="s">
        <v>158</v>
      </c>
      <c r="F189" s="22">
        <f t="shared" si="4"/>
        <v>0</v>
      </c>
      <c r="G189" s="6"/>
      <c r="H189" s="6"/>
      <c r="I189" s="6"/>
      <c r="J189" s="6"/>
      <c r="K189" s="6"/>
      <c r="L189" s="22"/>
      <c r="N189" s="21"/>
      <c r="O189" s="6"/>
      <c r="P189" s="6"/>
      <c r="Q189" s="6"/>
      <c r="R189" s="6"/>
      <c r="S189" s="6"/>
      <c r="T189" s="6"/>
      <c r="U189" s="6"/>
      <c r="V189" s="6"/>
      <c r="W189" s="22"/>
    </row>
    <row r="190" spans="3:23" x14ac:dyDescent="0.35">
      <c r="C190" s="21"/>
      <c r="D190" s="6">
        <f t="shared" si="5"/>
        <v>102</v>
      </c>
      <c r="E190" s="6" t="s">
        <v>159</v>
      </c>
      <c r="F190" s="22">
        <f t="shared" si="4"/>
        <v>0</v>
      </c>
      <c r="G190" s="6"/>
      <c r="H190" s="6"/>
      <c r="I190" s="6"/>
      <c r="J190" s="6"/>
      <c r="K190" s="6"/>
      <c r="L190" s="22"/>
      <c r="N190" s="21" t="s">
        <v>328</v>
      </c>
      <c r="O190" s="6"/>
      <c r="P190" s="6"/>
      <c r="Q190" s="6"/>
      <c r="R190" s="6"/>
      <c r="S190" s="6"/>
      <c r="T190" s="6"/>
      <c r="U190" s="6"/>
      <c r="V190" s="6"/>
      <c r="W190" s="22"/>
    </row>
    <row r="191" spans="3:23" x14ac:dyDescent="0.35">
      <c r="C191" s="21"/>
      <c r="D191" s="6">
        <f t="shared" si="5"/>
        <v>103</v>
      </c>
      <c r="E191" s="6" t="s">
        <v>160</v>
      </c>
      <c r="F191" s="22">
        <f t="shared" si="4"/>
        <v>0</v>
      </c>
      <c r="G191" s="6"/>
      <c r="H191" s="6"/>
      <c r="I191" s="6"/>
      <c r="J191" s="6"/>
      <c r="K191" s="6"/>
      <c r="L191" s="22"/>
      <c r="N191" s="21"/>
      <c r="O191" s="6" t="s">
        <v>329</v>
      </c>
      <c r="P191" s="6"/>
      <c r="Q191" s="6"/>
      <c r="R191" s="6"/>
      <c r="S191" s="6"/>
      <c r="T191" s="6"/>
      <c r="U191" s="6"/>
      <c r="V191" s="6"/>
      <c r="W191" s="22"/>
    </row>
    <row r="192" spans="3:23" x14ac:dyDescent="0.35">
      <c r="C192" s="21"/>
      <c r="D192" s="6">
        <f t="shared" si="5"/>
        <v>104</v>
      </c>
      <c r="E192" s="6" t="s">
        <v>161</v>
      </c>
      <c r="F192" s="22">
        <f t="shared" si="4"/>
        <v>0</v>
      </c>
      <c r="G192" s="6"/>
      <c r="H192" s="6"/>
      <c r="I192" s="6"/>
      <c r="J192" s="6"/>
      <c r="K192" s="6"/>
      <c r="L192" s="22"/>
      <c r="N192" s="21"/>
      <c r="O192" s="6" t="s">
        <v>330</v>
      </c>
      <c r="P192" s="6"/>
      <c r="Q192" s="6"/>
      <c r="R192" s="6"/>
      <c r="S192" s="6"/>
      <c r="T192" s="6"/>
      <c r="U192" s="6"/>
      <c r="V192" s="6"/>
      <c r="W192" s="22"/>
    </row>
    <row r="193" spans="3:23" x14ac:dyDescent="0.35">
      <c r="C193" s="21"/>
      <c r="D193" s="6">
        <f t="shared" si="5"/>
        <v>105</v>
      </c>
      <c r="E193" s="6" t="s">
        <v>162</v>
      </c>
      <c r="F193" s="22">
        <f t="shared" si="4"/>
        <v>0</v>
      </c>
      <c r="G193" s="6"/>
      <c r="H193" s="6"/>
      <c r="I193" s="6"/>
      <c r="J193" s="6"/>
      <c r="K193" s="6"/>
      <c r="L193" s="22"/>
      <c r="N193" s="21"/>
      <c r="O193" s="6" t="s">
        <v>331</v>
      </c>
      <c r="P193" s="6"/>
      <c r="Q193" s="6"/>
      <c r="R193" s="6"/>
      <c r="S193" s="6"/>
      <c r="T193" s="6"/>
      <c r="U193" s="6"/>
      <c r="V193" s="6"/>
      <c r="W193" s="22"/>
    </row>
    <row r="194" spans="3:23" x14ac:dyDescent="0.35">
      <c r="C194" s="21"/>
      <c r="D194" s="6">
        <f t="shared" si="5"/>
        <v>106</v>
      </c>
      <c r="E194" s="6" t="s">
        <v>163</v>
      </c>
      <c r="F194" s="22">
        <f t="shared" si="4"/>
        <v>0</v>
      </c>
      <c r="G194" s="6"/>
      <c r="H194" s="6"/>
      <c r="I194" s="6"/>
      <c r="J194" s="6"/>
      <c r="K194" s="6"/>
      <c r="L194" s="22"/>
      <c r="N194" s="21"/>
      <c r="O194" s="6" t="s">
        <v>332</v>
      </c>
      <c r="P194" s="6"/>
      <c r="Q194" s="6"/>
      <c r="R194" s="6"/>
      <c r="S194" s="6"/>
      <c r="T194" s="6"/>
      <c r="U194" s="6"/>
      <c r="V194" s="6"/>
      <c r="W194" s="22"/>
    </row>
    <row r="195" spans="3:23" x14ac:dyDescent="0.35">
      <c r="C195" s="21"/>
      <c r="D195" s="6">
        <f t="shared" si="5"/>
        <v>107</v>
      </c>
      <c r="E195" s="6" t="s">
        <v>164</v>
      </c>
      <c r="F195" s="22">
        <f t="shared" si="4"/>
        <v>0</v>
      </c>
      <c r="G195" s="6"/>
      <c r="H195" s="6"/>
      <c r="I195" s="6"/>
      <c r="J195" s="6"/>
      <c r="K195" s="6"/>
      <c r="L195" s="22"/>
      <c r="N195" s="21"/>
      <c r="O195" s="6" t="s">
        <v>333</v>
      </c>
      <c r="P195" s="6"/>
      <c r="Q195" s="6"/>
      <c r="R195" s="6"/>
      <c r="S195" s="6"/>
      <c r="T195" s="6"/>
      <c r="U195" s="6"/>
      <c r="V195" s="6"/>
      <c r="W195" s="22"/>
    </row>
    <row r="196" spans="3:23" x14ac:dyDescent="0.35">
      <c r="C196" s="21"/>
      <c r="D196" s="6">
        <f t="shared" si="5"/>
        <v>108</v>
      </c>
      <c r="E196" s="6" t="s">
        <v>165</v>
      </c>
      <c r="F196" s="22">
        <f t="shared" si="4"/>
        <v>0</v>
      </c>
      <c r="G196" s="6"/>
      <c r="H196" s="6"/>
      <c r="I196" s="6"/>
      <c r="J196" s="6"/>
      <c r="K196" s="6"/>
      <c r="L196" s="22"/>
      <c r="N196" s="21"/>
      <c r="O196" s="6" t="s">
        <v>334</v>
      </c>
      <c r="P196" s="6"/>
      <c r="Q196" s="6"/>
      <c r="R196" s="6"/>
      <c r="S196" s="6"/>
      <c r="T196" s="6"/>
      <c r="U196" s="6"/>
      <c r="V196" s="6"/>
      <c r="W196" s="22"/>
    </row>
    <row r="197" spans="3:23" x14ac:dyDescent="0.35">
      <c r="C197" s="21"/>
      <c r="D197" s="6">
        <f t="shared" si="5"/>
        <v>109</v>
      </c>
      <c r="E197" s="6" t="s">
        <v>166</v>
      </c>
      <c r="F197" s="22">
        <f t="shared" si="4"/>
        <v>0</v>
      </c>
      <c r="G197" s="6"/>
      <c r="H197" s="6"/>
      <c r="I197" s="6"/>
      <c r="J197" s="6"/>
      <c r="K197" s="6"/>
      <c r="L197" s="22"/>
      <c r="N197" s="21"/>
      <c r="O197" s="6" t="s">
        <v>335</v>
      </c>
      <c r="P197" s="6"/>
      <c r="Q197" s="6"/>
      <c r="R197" s="6"/>
      <c r="S197" s="6"/>
      <c r="T197" s="6"/>
      <c r="U197" s="6"/>
      <c r="V197" s="6"/>
      <c r="W197" s="22"/>
    </row>
    <row r="198" spans="3:23" x14ac:dyDescent="0.35">
      <c r="C198" s="21"/>
      <c r="D198" s="6">
        <f t="shared" si="5"/>
        <v>110</v>
      </c>
      <c r="E198" s="6" t="s">
        <v>167</v>
      </c>
      <c r="F198" s="22">
        <f t="shared" si="4"/>
        <v>0</v>
      </c>
      <c r="G198" s="6"/>
      <c r="H198" s="6"/>
      <c r="I198" s="6"/>
      <c r="J198" s="6"/>
      <c r="K198" s="6"/>
      <c r="L198" s="22"/>
      <c r="N198" s="21"/>
      <c r="O198" s="6" t="s">
        <v>327</v>
      </c>
      <c r="P198" s="6"/>
      <c r="Q198" s="6"/>
      <c r="R198" s="6"/>
      <c r="S198" s="6"/>
      <c r="T198" s="6"/>
      <c r="U198" s="6"/>
      <c r="V198" s="6"/>
      <c r="W198" s="22"/>
    </row>
    <row r="199" spans="3:23" x14ac:dyDescent="0.35">
      <c r="C199" s="21"/>
      <c r="D199" s="6">
        <f t="shared" si="5"/>
        <v>111</v>
      </c>
      <c r="E199" s="6" t="s">
        <v>168</v>
      </c>
      <c r="F199" s="22">
        <f t="shared" si="4"/>
        <v>0</v>
      </c>
      <c r="G199" s="6"/>
      <c r="H199" s="6"/>
      <c r="I199" s="6"/>
      <c r="J199" s="6"/>
      <c r="K199" s="6"/>
      <c r="L199" s="22"/>
      <c r="N199" s="21"/>
      <c r="O199" s="6"/>
      <c r="P199" s="6"/>
      <c r="Q199" s="6"/>
      <c r="R199" s="6"/>
      <c r="S199" s="6"/>
      <c r="T199" s="6"/>
      <c r="U199" s="6"/>
      <c r="V199" s="6"/>
      <c r="W199" s="22"/>
    </row>
    <row r="200" spans="3:23" x14ac:dyDescent="0.35">
      <c r="C200" s="21"/>
      <c r="D200" s="6">
        <f t="shared" si="5"/>
        <v>112</v>
      </c>
      <c r="E200" s="6" t="s">
        <v>169</v>
      </c>
      <c r="F200" s="22">
        <f t="shared" si="4"/>
        <v>0</v>
      </c>
      <c r="G200" s="6"/>
      <c r="H200" s="6"/>
      <c r="I200" s="6"/>
      <c r="J200" s="6"/>
      <c r="K200" s="6"/>
      <c r="L200" s="22"/>
      <c r="N200" s="21" t="s">
        <v>351</v>
      </c>
      <c r="O200" s="6"/>
      <c r="P200" s="6"/>
      <c r="Q200" s="6"/>
      <c r="R200" s="6"/>
      <c r="S200" s="6"/>
      <c r="T200" s="6"/>
      <c r="U200" s="6"/>
      <c r="V200" s="6"/>
      <c r="W200" s="22"/>
    </row>
    <row r="201" spans="3:23" x14ac:dyDescent="0.35">
      <c r="C201" s="21"/>
      <c r="D201" s="6">
        <f t="shared" si="5"/>
        <v>113</v>
      </c>
      <c r="E201" s="6" t="s">
        <v>170</v>
      </c>
      <c r="F201" s="22">
        <f t="shared" si="4"/>
        <v>0</v>
      </c>
      <c r="G201" s="6"/>
      <c r="H201" s="6"/>
      <c r="I201" s="6"/>
      <c r="J201" s="6"/>
      <c r="K201" s="6"/>
      <c r="L201" s="22"/>
      <c r="N201" s="21"/>
      <c r="O201" s="6" t="s">
        <v>356</v>
      </c>
      <c r="P201" s="6"/>
      <c r="Q201" s="6"/>
      <c r="R201" s="6"/>
      <c r="S201" s="6"/>
      <c r="T201" s="6">
        <f>$M$40</f>
        <v>4</v>
      </c>
      <c r="U201" s="6">
        <f>IF($O$79=O201, T201, 0)</f>
        <v>0</v>
      </c>
      <c r="V201" s="6"/>
      <c r="W201" s="22"/>
    </row>
    <row r="202" spans="3:23" x14ac:dyDescent="0.35">
      <c r="C202" s="21"/>
      <c r="D202" s="6">
        <f t="shared" si="5"/>
        <v>114</v>
      </c>
      <c r="E202" s="6" t="s">
        <v>171</v>
      </c>
      <c r="F202" s="22">
        <f t="shared" si="4"/>
        <v>0</v>
      </c>
      <c r="G202" s="6"/>
      <c r="H202" s="6"/>
      <c r="I202" s="6"/>
      <c r="J202" s="6"/>
      <c r="K202" s="6"/>
      <c r="L202" s="22"/>
      <c r="N202" s="21"/>
      <c r="O202" s="6" t="s">
        <v>359</v>
      </c>
      <c r="P202" s="6"/>
      <c r="Q202" s="6"/>
      <c r="R202" s="6"/>
      <c r="S202" s="6"/>
      <c r="T202" s="6">
        <f>$M$42</f>
        <v>200</v>
      </c>
      <c r="U202" s="6">
        <f t="shared" ref="U202:U209" si="6">IF($O$79=O202, T202, 0)</f>
        <v>200</v>
      </c>
      <c r="V202" s="6"/>
      <c r="W202" s="22"/>
    </row>
    <row r="203" spans="3:23" x14ac:dyDescent="0.35">
      <c r="C203" s="21"/>
      <c r="D203" s="6">
        <f t="shared" si="5"/>
        <v>115</v>
      </c>
      <c r="E203" s="6" t="s">
        <v>172</v>
      </c>
      <c r="F203" s="22">
        <f t="shared" si="4"/>
        <v>0</v>
      </c>
      <c r="G203" s="6"/>
      <c r="H203" s="6"/>
      <c r="I203" s="6"/>
      <c r="J203" s="6"/>
      <c r="K203" s="6"/>
      <c r="L203" s="22"/>
      <c r="N203" s="21"/>
      <c r="O203" s="6" t="s">
        <v>355</v>
      </c>
      <c r="P203" s="6"/>
      <c r="Q203" s="6"/>
      <c r="R203" s="6"/>
      <c r="S203" s="6"/>
      <c r="T203" s="6">
        <f>$M$44</f>
        <v>40</v>
      </c>
      <c r="U203" s="6">
        <f t="shared" si="6"/>
        <v>0</v>
      </c>
      <c r="V203" s="6"/>
      <c r="W203" s="22"/>
    </row>
    <row r="204" spans="3:23" x14ac:dyDescent="0.35">
      <c r="C204" s="21"/>
      <c r="D204" s="6">
        <f t="shared" si="5"/>
        <v>116</v>
      </c>
      <c r="E204" s="6" t="s">
        <v>173</v>
      </c>
      <c r="F204" s="22">
        <f t="shared" si="4"/>
        <v>0</v>
      </c>
      <c r="G204" s="6"/>
      <c r="H204" s="6"/>
      <c r="I204" s="6"/>
      <c r="J204" s="6"/>
      <c r="K204" s="6"/>
      <c r="L204" s="22"/>
      <c r="N204" s="21"/>
      <c r="O204" s="6" t="s">
        <v>387</v>
      </c>
      <c r="P204" s="6"/>
      <c r="Q204" s="6"/>
      <c r="R204" s="6"/>
      <c r="S204" s="6"/>
      <c r="T204" s="6">
        <f>$M$46</f>
        <v>8</v>
      </c>
      <c r="U204" s="6">
        <f t="shared" si="6"/>
        <v>0</v>
      </c>
      <c r="V204" s="6"/>
      <c r="W204" s="22"/>
    </row>
    <row r="205" spans="3:23" x14ac:dyDescent="0.35">
      <c r="C205" s="21"/>
      <c r="D205" s="6">
        <f t="shared" si="5"/>
        <v>117</v>
      </c>
      <c r="E205" s="6" t="s">
        <v>174</v>
      </c>
      <c r="F205" s="22">
        <f t="shared" si="4"/>
        <v>0</v>
      </c>
      <c r="G205" s="6"/>
      <c r="H205" s="6"/>
      <c r="I205" s="6"/>
      <c r="J205" s="6"/>
      <c r="K205" s="6"/>
      <c r="L205" s="22"/>
      <c r="N205" s="21"/>
      <c r="O205" s="6" t="s">
        <v>357</v>
      </c>
      <c r="P205" s="6"/>
      <c r="Q205" s="6"/>
      <c r="R205" s="6"/>
      <c r="S205" s="6"/>
      <c r="T205" s="6">
        <f>$M$48 * 0.001</f>
        <v>3.2000000000000001E-2</v>
      </c>
      <c r="U205" s="6">
        <f t="shared" si="6"/>
        <v>0</v>
      </c>
      <c r="V205" s="6"/>
      <c r="W205" s="22"/>
    </row>
    <row r="206" spans="3:23" x14ac:dyDescent="0.35">
      <c r="C206" s="21"/>
      <c r="D206" s="6">
        <f t="shared" si="5"/>
        <v>118</v>
      </c>
      <c r="E206" s="6" t="s">
        <v>175</v>
      </c>
      <c r="F206" s="22">
        <f t="shared" si="4"/>
        <v>0</v>
      </c>
      <c r="G206" s="6"/>
      <c r="H206" s="6"/>
      <c r="I206" s="6"/>
      <c r="J206" s="6"/>
      <c r="K206" s="6"/>
      <c r="L206" s="22"/>
      <c r="N206" s="21"/>
      <c r="O206" s="6" t="s">
        <v>358</v>
      </c>
      <c r="P206" s="6"/>
      <c r="Q206" s="6"/>
      <c r="R206" s="6"/>
      <c r="S206" s="6"/>
      <c r="T206" s="35">
        <f>$M$50 * 0.001</f>
        <v>0</v>
      </c>
      <c r="U206" s="6">
        <f t="shared" si="6"/>
        <v>0</v>
      </c>
      <c r="V206" s="6"/>
      <c r="W206" s="22"/>
    </row>
    <row r="207" spans="3:23" x14ac:dyDescent="0.35">
      <c r="C207" s="21"/>
      <c r="D207" s="6">
        <f t="shared" si="5"/>
        <v>119</v>
      </c>
      <c r="E207" s="6" t="s">
        <v>176</v>
      </c>
      <c r="F207" s="22">
        <f t="shared" si="4"/>
        <v>0</v>
      </c>
      <c r="G207" s="6"/>
      <c r="H207" s="6"/>
      <c r="I207" s="6"/>
      <c r="J207" s="6"/>
      <c r="K207" s="6"/>
      <c r="L207" s="22"/>
      <c r="N207" s="21"/>
      <c r="O207" s="6" t="s">
        <v>354</v>
      </c>
      <c r="P207" s="6"/>
      <c r="Q207" s="6"/>
      <c r="R207" s="6"/>
      <c r="S207" s="6"/>
      <c r="T207" s="6">
        <f>M71</f>
        <v>100</v>
      </c>
      <c r="U207" s="6">
        <f t="shared" si="6"/>
        <v>0</v>
      </c>
      <c r="V207" s="6"/>
      <c r="W207" s="22"/>
    </row>
    <row r="208" spans="3:23" x14ac:dyDescent="0.35">
      <c r="C208" s="21"/>
      <c r="D208" s="6">
        <f t="shared" si="5"/>
        <v>120</v>
      </c>
      <c r="E208" s="6" t="s">
        <v>177</v>
      </c>
      <c r="F208" s="22">
        <f t="shared" si="4"/>
        <v>0</v>
      </c>
      <c r="G208" s="6"/>
      <c r="H208" s="6"/>
      <c r="I208" s="6"/>
      <c r="J208" s="6"/>
      <c r="K208" s="6"/>
      <c r="L208" s="22"/>
      <c r="N208" s="21"/>
      <c r="O208" s="6" t="s">
        <v>353</v>
      </c>
      <c r="P208" s="6"/>
      <c r="Q208" s="6"/>
      <c r="R208" s="6"/>
      <c r="S208" s="6"/>
      <c r="T208" s="6">
        <f>M73</f>
        <v>200</v>
      </c>
      <c r="U208" s="6">
        <f t="shared" si="6"/>
        <v>0</v>
      </c>
      <c r="V208" s="6"/>
      <c r="W208" s="22"/>
    </row>
    <row r="209" spans="3:23" x14ac:dyDescent="0.35">
      <c r="C209" s="21"/>
      <c r="D209" s="6">
        <f t="shared" si="5"/>
        <v>121</v>
      </c>
      <c r="E209" s="6" t="s">
        <v>178</v>
      </c>
      <c r="F209" s="22">
        <f t="shared" si="4"/>
        <v>0</v>
      </c>
      <c r="G209" s="6"/>
      <c r="H209" s="6"/>
      <c r="I209" s="6"/>
      <c r="J209" s="6"/>
      <c r="K209" s="6"/>
      <c r="L209" s="22"/>
      <c r="N209" s="21"/>
      <c r="O209" s="6" t="s">
        <v>352</v>
      </c>
      <c r="P209" s="6"/>
      <c r="Q209" s="6"/>
      <c r="R209" s="6"/>
      <c r="S209" s="6"/>
      <c r="T209" s="6">
        <f>M75</f>
        <v>2</v>
      </c>
      <c r="U209" s="6">
        <f t="shared" si="6"/>
        <v>0</v>
      </c>
      <c r="V209" s="6"/>
      <c r="W209" s="22"/>
    </row>
    <row r="210" spans="3:23" x14ac:dyDescent="0.35">
      <c r="C210" s="21"/>
      <c r="D210" s="6">
        <f t="shared" si="5"/>
        <v>122</v>
      </c>
      <c r="E210" s="6" t="s">
        <v>179</v>
      </c>
      <c r="F210" s="22">
        <f t="shared" si="4"/>
        <v>0</v>
      </c>
      <c r="G210" s="6"/>
      <c r="H210" s="6"/>
      <c r="I210" s="6"/>
      <c r="J210" s="6"/>
      <c r="K210" s="6"/>
      <c r="L210" s="22"/>
      <c r="N210" s="21"/>
      <c r="O210" s="6"/>
      <c r="P210" s="6"/>
      <c r="Q210" s="6"/>
      <c r="R210" s="6"/>
      <c r="S210" s="6"/>
      <c r="T210" s="6"/>
      <c r="U210" s="6">
        <f>SUM(U201:U209)</f>
        <v>200</v>
      </c>
      <c r="V210" s="6"/>
      <c r="W210" s="22"/>
    </row>
    <row r="211" spans="3:23" x14ac:dyDescent="0.35">
      <c r="C211" s="21"/>
      <c r="D211" s="6">
        <f t="shared" si="5"/>
        <v>123</v>
      </c>
      <c r="E211" s="6" t="s">
        <v>180</v>
      </c>
      <c r="F211" s="22">
        <f t="shared" si="4"/>
        <v>0</v>
      </c>
      <c r="G211" s="6"/>
      <c r="H211" s="6"/>
      <c r="I211" s="6"/>
      <c r="J211" s="6"/>
      <c r="K211" s="6"/>
      <c r="L211" s="22"/>
      <c r="N211" s="21" t="s">
        <v>363</v>
      </c>
      <c r="O211" s="6" t="s">
        <v>389</v>
      </c>
      <c r="P211" s="6"/>
      <c r="Q211" s="6"/>
      <c r="R211" s="6"/>
      <c r="S211" s="6"/>
      <c r="T211" s="6"/>
      <c r="U211" s="6"/>
      <c r="V211" s="6"/>
      <c r="W211" s="22"/>
    </row>
    <row r="212" spans="3:23" x14ac:dyDescent="0.35">
      <c r="C212" s="21"/>
      <c r="D212" s="6">
        <f t="shared" si="5"/>
        <v>124</v>
      </c>
      <c r="E212" s="6" t="s">
        <v>181</v>
      </c>
      <c r="F212" s="22">
        <f t="shared" si="4"/>
        <v>0</v>
      </c>
      <c r="G212" s="6"/>
      <c r="H212" s="6"/>
      <c r="I212" s="6"/>
      <c r="J212" s="6"/>
      <c r="K212" s="6"/>
      <c r="L212" s="22"/>
      <c r="N212" s="21"/>
      <c r="O212" s="6" t="s">
        <v>365</v>
      </c>
      <c r="P212" s="6"/>
      <c r="Q212" s="6"/>
      <c r="R212" s="6"/>
      <c r="S212" s="6"/>
      <c r="T212" s="6">
        <v>1</v>
      </c>
      <c r="U212" s="6"/>
      <c r="V212" s="6"/>
      <c r="W212" s="22"/>
    </row>
    <row r="213" spans="3:23" x14ac:dyDescent="0.35">
      <c r="C213" s="21"/>
      <c r="D213" s="6">
        <f t="shared" si="5"/>
        <v>125</v>
      </c>
      <c r="E213" s="6" t="s">
        <v>182</v>
      </c>
      <c r="F213" s="22">
        <f t="shared" si="4"/>
        <v>0</v>
      </c>
      <c r="G213" s="6"/>
      <c r="H213" s="6"/>
      <c r="I213" s="6"/>
      <c r="J213" s="6"/>
      <c r="K213" s="6"/>
      <c r="L213" s="22"/>
      <c r="N213" s="21"/>
      <c r="O213" s="6" t="s">
        <v>366</v>
      </c>
      <c r="P213" s="6"/>
      <c r="Q213" s="6"/>
      <c r="R213" s="6"/>
      <c r="S213" s="6"/>
      <c r="T213" s="6">
        <v>2</v>
      </c>
      <c r="U213" s="6"/>
      <c r="V213" s="6"/>
      <c r="W213" s="22"/>
    </row>
    <row r="214" spans="3:23" x14ac:dyDescent="0.35">
      <c r="C214" s="21"/>
      <c r="D214" s="6">
        <f t="shared" si="5"/>
        <v>126</v>
      </c>
      <c r="E214" s="6" t="s">
        <v>183</v>
      </c>
      <c r="F214" s="22">
        <f t="shared" si="4"/>
        <v>0</v>
      </c>
      <c r="G214" s="6"/>
      <c r="H214" s="6"/>
      <c r="I214" s="6"/>
      <c r="J214" s="6"/>
      <c r="K214" s="6"/>
      <c r="L214" s="22"/>
      <c r="N214" s="21"/>
      <c r="O214" s="6" t="s">
        <v>367</v>
      </c>
      <c r="P214" s="6"/>
      <c r="Q214" s="6"/>
      <c r="R214" s="6"/>
      <c r="S214" s="6"/>
      <c r="T214" s="6">
        <v>4</v>
      </c>
      <c r="U214" s="6"/>
      <c r="V214" s="6"/>
      <c r="W214" s="22"/>
    </row>
    <row r="215" spans="3:23" x14ac:dyDescent="0.35">
      <c r="C215" s="21"/>
      <c r="D215" s="6">
        <f t="shared" si="5"/>
        <v>127</v>
      </c>
      <c r="E215" s="6" t="s">
        <v>184</v>
      </c>
      <c r="F215" s="22">
        <f t="shared" si="4"/>
        <v>0</v>
      </c>
      <c r="G215" s="6"/>
      <c r="H215" s="6"/>
      <c r="I215" s="6"/>
      <c r="J215" s="6"/>
      <c r="K215" s="6"/>
      <c r="L215" s="22"/>
      <c r="N215" s="21"/>
      <c r="O215" s="6" t="s">
        <v>368</v>
      </c>
      <c r="P215" s="6"/>
      <c r="Q215" s="6"/>
      <c r="R215" s="6"/>
      <c r="S215" s="6"/>
      <c r="T215" s="6">
        <v>8</v>
      </c>
      <c r="U215" s="6"/>
      <c r="V215" s="6"/>
      <c r="W215" s="22"/>
    </row>
    <row r="216" spans="3:23" x14ac:dyDescent="0.35">
      <c r="C216" s="21"/>
      <c r="D216" s="6">
        <f t="shared" si="5"/>
        <v>128</v>
      </c>
      <c r="E216" s="6" t="s">
        <v>3</v>
      </c>
      <c r="F216" s="22">
        <f t="shared" si="4"/>
        <v>0</v>
      </c>
      <c r="G216" s="6"/>
      <c r="H216" s="6"/>
      <c r="I216" s="6"/>
      <c r="J216" s="6"/>
      <c r="K216" s="6"/>
      <c r="L216" s="22"/>
      <c r="N216" s="21"/>
      <c r="O216" s="6" t="s">
        <v>369</v>
      </c>
      <c r="P216" s="6"/>
      <c r="Q216" s="6"/>
      <c r="R216" s="6"/>
      <c r="S216" s="6"/>
      <c r="T216" s="6">
        <v>16</v>
      </c>
      <c r="U216" s="6"/>
      <c r="V216" s="6"/>
      <c r="W216" s="22"/>
    </row>
    <row r="217" spans="3:23" ht="13.9" thickBot="1" x14ac:dyDescent="0.4">
      <c r="C217" s="24"/>
      <c r="D217" s="25"/>
      <c r="E217" s="25"/>
      <c r="F217" s="26">
        <f>SUM(F89:F216)</f>
        <v>50</v>
      </c>
      <c r="G217" s="25"/>
      <c r="H217" s="25"/>
      <c r="I217" s="25"/>
      <c r="J217" s="25"/>
      <c r="K217" s="25"/>
      <c r="L217" s="26"/>
      <c r="N217" s="21"/>
      <c r="O217" s="6" t="s">
        <v>370</v>
      </c>
      <c r="P217" s="6"/>
      <c r="Q217" s="6"/>
      <c r="R217" s="6"/>
      <c r="S217" s="6"/>
      <c r="T217" s="6">
        <v>32</v>
      </c>
      <c r="U217" s="6"/>
      <c r="V217" s="6"/>
      <c r="W217" s="22"/>
    </row>
    <row r="218" spans="3:23" x14ac:dyDescent="0.35">
      <c r="N218" s="21"/>
      <c r="O218" s="6" t="s">
        <v>371</v>
      </c>
      <c r="P218" s="6"/>
      <c r="Q218" s="6"/>
      <c r="R218" s="6"/>
      <c r="S218" s="6"/>
      <c r="T218" s="6">
        <v>64</v>
      </c>
      <c r="U218" s="6"/>
      <c r="V218" s="6"/>
      <c r="W218" s="22"/>
    </row>
    <row r="219" spans="3:23" x14ac:dyDescent="0.35">
      <c r="N219" s="21"/>
      <c r="O219" s="6" t="s">
        <v>372</v>
      </c>
      <c r="P219" s="6"/>
      <c r="Q219" s="6"/>
      <c r="R219" s="6"/>
      <c r="S219" s="6"/>
      <c r="T219" s="6">
        <v>128</v>
      </c>
      <c r="U219" s="6"/>
      <c r="V219" s="6"/>
      <c r="W219" s="22"/>
    </row>
    <row r="220" spans="3:23" x14ac:dyDescent="0.35">
      <c r="N220" s="21"/>
      <c r="O220" s="6" t="s">
        <v>373</v>
      </c>
      <c r="P220" s="6"/>
      <c r="Q220" s="6"/>
      <c r="R220" s="6"/>
      <c r="S220" s="6"/>
      <c r="T220" s="6">
        <v>256</v>
      </c>
      <c r="U220" s="6"/>
      <c r="V220" s="6"/>
      <c r="W220" s="22"/>
    </row>
    <row r="221" spans="3:23" x14ac:dyDescent="0.35">
      <c r="N221" s="21"/>
      <c r="O221" s="6" t="s">
        <v>374</v>
      </c>
      <c r="P221" s="6"/>
      <c r="Q221" s="6"/>
      <c r="R221" s="6"/>
      <c r="S221" s="6"/>
      <c r="T221" s="6">
        <v>512</v>
      </c>
      <c r="U221" s="6"/>
      <c r="V221" s="6"/>
      <c r="W221" s="22"/>
    </row>
    <row r="222" spans="3:23" x14ac:dyDescent="0.35">
      <c r="N222" s="21"/>
      <c r="O222" s="6" t="s">
        <v>375</v>
      </c>
      <c r="P222" s="6"/>
      <c r="Q222" s="6"/>
      <c r="R222" s="6"/>
      <c r="S222" s="6"/>
      <c r="T222" s="6">
        <v>1024</v>
      </c>
      <c r="U222" s="6"/>
      <c r="V222" s="6"/>
      <c r="W222" s="22"/>
    </row>
    <row r="223" spans="3:23" x14ac:dyDescent="0.35">
      <c r="N223" s="21"/>
      <c r="O223" s="6" t="s">
        <v>376</v>
      </c>
      <c r="P223" s="6"/>
      <c r="Q223" s="6"/>
      <c r="R223" s="6"/>
      <c r="S223" s="6"/>
      <c r="T223" s="6">
        <v>2048</v>
      </c>
      <c r="U223" s="6"/>
      <c r="V223" s="6"/>
      <c r="W223" s="22"/>
    </row>
    <row r="224" spans="3:23" x14ac:dyDescent="0.35">
      <c r="N224" s="21"/>
      <c r="O224" s="6" t="s">
        <v>377</v>
      </c>
      <c r="P224" s="6"/>
      <c r="Q224" s="6"/>
      <c r="R224" s="6"/>
      <c r="S224" s="6"/>
      <c r="T224" s="6">
        <v>4096</v>
      </c>
      <c r="U224" s="6"/>
      <c r="V224" s="6"/>
      <c r="W224" s="22"/>
    </row>
    <row r="225" spans="4:23" x14ac:dyDescent="0.35">
      <c r="N225" s="21"/>
      <c r="O225" s="6" t="s">
        <v>378</v>
      </c>
      <c r="P225" s="6"/>
      <c r="Q225" s="6"/>
      <c r="R225" s="6"/>
      <c r="S225" s="6"/>
      <c r="T225" s="6">
        <v>8192</v>
      </c>
      <c r="U225" s="6"/>
      <c r="V225" s="6"/>
      <c r="W225" s="22"/>
    </row>
    <row r="226" spans="4:23" x14ac:dyDescent="0.35">
      <c r="N226" s="21"/>
      <c r="O226" s="6" t="s">
        <v>379</v>
      </c>
      <c r="P226" s="6"/>
      <c r="Q226" s="6"/>
      <c r="R226" s="6"/>
      <c r="S226" s="6"/>
      <c r="T226" s="6">
        <v>16384</v>
      </c>
      <c r="U226" s="6"/>
      <c r="V226" s="6"/>
      <c r="W226" s="22"/>
    </row>
    <row r="227" spans="4:23" x14ac:dyDescent="0.35">
      <c r="N227" s="21"/>
      <c r="O227" s="6" t="s">
        <v>364</v>
      </c>
      <c r="P227" s="6"/>
      <c r="Q227" s="6"/>
      <c r="R227" s="6"/>
      <c r="S227" s="6"/>
      <c r="T227" s="6">
        <v>32768</v>
      </c>
      <c r="U227" s="6"/>
      <c r="V227" s="6"/>
      <c r="W227" s="22"/>
    </row>
    <row r="228" spans="4:23" x14ac:dyDescent="0.35">
      <c r="N228" s="21"/>
      <c r="O228" s="6"/>
      <c r="P228" s="6"/>
      <c r="Q228" s="6"/>
      <c r="R228" s="6"/>
      <c r="S228" s="6"/>
      <c r="T228" s="6"/>
      <c r="U228" s="6"/>
      <c r="V228" s="6"/>
      <c r="W228" s="22"/>
    </row>
    <row r="229" spans="4:23" x14ac:dyDescent="0.35">
      <c r="N229" s="21" t="s">
        <v>381</v>
      </c>
      <c r="O229" s="6"/>
      <c r="P229" s="6"/>
      <c r="Q229" s="6"/>
      <c r="R229" s="6"/>
      <c r="S229" s="6"/>
      <c r="T229" s="6"/>
      <c r="U229" s="6"/>
      <c r="V229" s="6"/>
      <c r="W229" s="22"/>
    </row>
    <row r="230" spans="4:23" x14ac:dyDescent="0.35">
      <c r="N230" s="21"/>
      <c r="O230" s="6">
        <v>1</v>
      </c>
      <c r="P230" s="6"/>
      <c r="S230" s="7" t="s">
        <v>388</v>
      </c>
      <c r="T230" s="37">
        <f>Q66+($Q$65/512)</f>
        <v>5.42578125</v>
      </c>
      <c r="V230" s="6"/>
      <c r="W230" s="22"/>
    </row>
    <row r="231" spans="4:23" x14ac:dyDescent="0.35">
      <c r="N231" s="21"/>
      <c r="O231" s="6">
        <v>2</v>
      </c>
      <c r="P231" s="6"/>
      <c r="Q231" s="6"/>
      <c r="R231" s="6"/>
      <c r="S231" s="6"/>
      <c r="T231" s="6"/>
      <c r="U231" s="6"/>
      <c r="V231" s="6"/>
      <c r="W231" s="22"/>
    </row>
    <row r="232" spans="4:23" x14ac:dyDescent="0.35">
      <c r="N232" s="21"/>
      <c r="O232" s="7" t="s">
        <v>326</v>
      </c>
      <c r="P232" s="6"/>
      <c r="Q232" s="6"/>
      <c r="R232" s="6"/>
      <c r="S232" s="6"/>
      <c r="U232" s="6"/>
      <c r="V232" s="6"/>
      <c r="W232" s="22"/>
    </row>
    <row r="233" spans="4:23" ht="13.9" thickBot="1" x14ac:dyDescent="0.4">
      <c r="N233" s="24"/>
      <c r="O233" s="25">
        <v>512</v>
      </c>
      <c r="P233" s="25"/>
      <c r="Q233" s="25"/>
      <c r="R233" s="25"/>
      <c r="S233" s="25"/>
      <c r="T233" s="25"/>
      <c r="U233" s="25"/>
      <c r="V233" s="25"/>
      <c r="W233" s="26"/>
    </row>
    <row r="236" spans="4:23" ht="13.9" thickBot="1" x14ac:dyDescent="0.4"/>
    <row r="237" spans="4:23" x14ac:dyDescent="0.35">
      <c r="D237" s="18" t="s">
        <v>212</v>
      </c>
      <c r="E237" s="19"/>
      <c r="F237" s="19"/>
      <c r="G237" s="19"/>
      <c r="H237" s="19"/>
      <c r="I237" s="19"/>
      <c r="J237" s="19"/>
      <c r="K237" s="19"/>
      <c r="L237" s="19"/>
      <c r="M237" s="19"/>
      <c r="N237" s="19"/>
      <c r="O237" s="19"/>
      <c r="P237" s="20"/>
    </row>
    <row r="238" spans="4:23" x14ac:dyDescent="0.35">
      <c r="D238" s="27" t="s">
        <v>217</v>
      </c>
      <c r="E238" s="28"/>
      <c r="F238" s="28" t="s">
        <v>213</v>
      </c>
      <c r="G238" s="28" t="s">
        <v>214</v>
      </c>
      <c r="H238" s="28" t="s">
        <v>215</v>
      </c>
      <c r="I238" s="28" t="s">
        <v>216</v>
      </c>
      <c r="J238" s="28" t="s">
        <v>221</v>
      </c>
      <c r="K238" s="28"/>
      <c r="L238" s="28"/>
      <c r="M238" s="28" t="s">
        <v>267</v>
      </c>
      <c r="N238" s="28"/>
      <c r="O238" s="28"/>
      <c r="P238" s="29"/>
    </row>
    <row r="239" spans="4:23" x14ac:dyDescent="0.35">
      <c r="D239" s="21"/>
      <c r="E239" s="6"/>
      <c r="F239" s="6"/>
      <c r="G239" s="6"/>
      <c r="H239" s="6"/>
      <c r="I239" s="6"/>
      <c r="J239" s="6"/>
      <c r="K239" s="6"/>
      <c r="L239" s="6"/>
      <c r="M239" s="6"/>
      <c r="N239" s="6"/>
      <c r="O239" s="6"/>
      <c r="P239" s="22"/>
    </row>
    <row r="240" spans="4:23" x14ac:dyDescent="0.35">
      <c r="D240" s="21" t="s">
        <v>218</v>
      </c>
      <c r="E240" s="6"/>
      <c r="F240" s="6" t="s">
        <v>219</v>
      </c>
      <c r="G240" s="6">
        <v>0</v>
      </c>
      <c r="H240" s="6">
        <v>64</v>
      </c>
      <c r="I240" s="31" t="s">
        <v>31</v>
      </c>
      <c r="J240" s="6" t="s">
        <v>38</v>
      </c>
      <c r="K240" s="6"/>
      <c r="L240" s="6"/>
      <c r="M240" s="6" t="s">
        <v>220</v>
      </c>
      <c r="N240" s="6"/>
      <c r="O240" s="6"/>
      <c r="P240" s="22"/>
      <c r="Q240" s="5">
        <f>IF(E22&gt;H240,1,0)</f>
        <v>0</v>
      </c>
    </row>
    <row r="241" spans="4:19" x14ac:dyDescent="0.35">
      <c r="D241" s="21" t="s">
        <v>222</v>
      </c>
      <c r="E241" s="6"/>
      <c r="F241" s="6" t="s">
        <v>219</v>
      </c>
      <c r="G241" s="6">
        <v>4</v>
      </c>
      <c r="H241" s="6">
        <v>32</v>
      </c>
      <c r="I241" s="31" t="s">
        <v>31</v>
      </c>
      <c r="J241" s="6" t="s">
        <v>39</v>
      </c>
      <c r="K241" s="6"/>
      <c r="L241" s="6"/>
      <c r="M241" s="6" t="s">
        <v>238</v>
      </c>
      <c r="N241" s="6"/>
      <c r="O241" s="6"/>
      <c r="P241" s="22"/>
      <c r="Q241" s="5">
        <f>IF($E$23&gt;$H$241,1,0)</f>
        <v>0</v>
      </c>
      <c r="R241" s="5">
        <f>IF($E$23&lt;$G$241,1,0)</f>
        <v>0</v>
      </c>
      <c r="S241" s="5">
        <f>SUM(Q241:R241)</f>
        <v>0</v>
      </c>
    </row>
    <row r="242" spans="4:19" x14ac:dyDescent="0.35">
      <c r="D242" s="21" t="s">
        <v>223</v>
      </c>
      <c r="E242" s="6"/>
      <c r="F242" s="6" t="s">
        <v>219</v>
      </c>
      <c r="G242" s="6">
        <v>32</v>
      </c>
      <c r="H242" s="6">
        <v>100</v>
      </c>
      <c r="I242" s="31" t="s">
        <v>57</v>
      </c>
      <c r="J242" s="6" t="s">
        <v>224</v>
      </c>
      <c r="K242" s="6"/>
      <c r="L242" s="6"/>
      <c r="M242" s="6" t="s">
        <v>238</v>
      </c>
      <c r="N242" s="6"/>
      <c r="O242" s="6"/>
      <c r="P242" s="22"/>
      <c r="Q242" s="5">
        <f>IF($G$46&gt;$H$242,1,0)</f>
        <v>0</v>
      </c>
      <c r="R242" s="5">
        <f>IF($G$46&lt;$G$242,1,0)</f>
        <v>1</v>
      </c>
      <c r="S242" s="5">
        <f>IF($I$51="OFF", 0, SUM($Q$242:$R$242))</f>
        <v>0</v>
      </c>
    </row>
    <row r="243" spans="4:19" x14ac:dyDescent="0.35">
      <c r="D243" s="21" t="s">
        <v>225</v>
      </c>
      <c r="E243" s="6"/>
      <c r="F243" s="6" t="s">
        <v>226</v>
      </c>
      <c r="G243" s="6">
        <v>0</v>
      </c>
      <c r="H243" s="6">
        <v>200</v>
      </c>
      <c r="I243" s="31" t="s">
        <v>31</v>
      </c>
      <c r="J243" s="6"/>
      <c r="K243" s="6"/>
      <c r="L243" s="6"/>
      <c r="M243" s="6" t="s">
        <v>227</v>
      </c>
      <c r="N243" s="6"/>
      <c r="O243" s="6"/>
      <c r="P243" s="22"/>
    </row>
    <row r="244" spans="4:19" x14ac:dyDescent="0.35">
      <c r="D244" s="21" t="s">
        <v>228</v>
      </c>
      <c r="E244" s="6"/>
      <c r="F244" s="6" t="s">
        <v>229</v>
      </c>
      <c r="G244" s="6">
        <v>0</v>
      </c>
      <c r="H244" s="6">
        <v>100</v>
      </c>
      <c r="I244" s="31" t="s">
        <v>31</v>
      </c>
      <c r="J244" s="6" t="s">
        <v>236</v>
      </c>
      <c r="K244" s="6"/>
      <c r="L244" s="6"/>
      <c r="M244" s="6" t="s">
        <v>230</v>
      </c>
      <c r="N244" s="6"/>
      <c r="O244" s="6"/>
      <c r="P244" s="22"/>
    </row>
    <row r="245" spans="4:19" x14ac:dyDescent="0.35">
      <c r="D245" s="21" t="s">
        <v>231</v>
      </c>
      <c r="E245" s="6"/>
      <c r="F245" s="6" t="s">
        <v>229</v>
      </c>
      <c r="G245" s="6">
        <v>0</v>
      </c>
      <c r="H245" s="6">
        <v>200</v>
      </c>
      <c r="I245" s="31" t="s">
        <v>31</v>
      </c>
      <c r="J245" s="6" t="s">
        <v>232</v>
      </c>
      <c r="K245" s="6"/>
      <c r="L245" s="6"/>
      <c r="M245" s="6"/>
      <c r="N245" s="6"/>
      <c r="O245" s="6"/>
      <c r="P245" s="22"/>
    </row>
    <row r="246" spans="4:19" x14ac:dyDescent="0.35">
      <c r="D246" s="21" t="s">
        <v>233</v>
      </c>
      <c r="E246" s="6"/>
      <c r="F246" s="6" t="s">
        <v>234</v>
      </c>
      <c r="G246" s="23" t="s">
        <v>237</v>
      </c>
      <c r="H246" s="6">
        <v>50</v>
      </c>
      <c r="I246" s="31" t="s">
        <v>31</v>
      </c>
      <c r="J246" s="6"/>
      <c r="K246" s="6"/>
      <c r="L246" s="6"/>
      <c r="M246" s="6" t="s">
        <v>235</v>
      </c>
      <c r="N246" s="6"/>
      <c r="O246" s="6"/>
      <c r="P246" s="22"/>
    </row>
    <row r="247" spans="4:19" x14ac:dyDescent="0.35">
      <c r="D247" s="21"/>
      <c r="E247" s="6"/>
      <c r="F247" s="6"/>
      <c r="G247" s="6"/>
      <c r="H247" s="6"/>
      <c r="I247" s="31"/>
      <c r="J247" s="6"/>
      <c r="K247" s="6"/>
      <c r="L247" s="6"/>
      <c r="M247" s="6"/>
      <c r="N247" s="6"/>
      <c r="O247" s="6"/>
      <c r="P247" s="22"/>
    </row>
    <row r="248" spans="4:19" x14ac:dyDescent="0.35">
      <c r="D248" s="21" t="s">
        <v>239</v>
      </c>
      <c r="E248" s="6"/>
      <c r="F248" s="6" t="s">
        <v>240</v>
      </c>
      <c r="G248" s="6">
        <v>5</v>
      </c>
      <c r="H248" s="6">
        <v>64</v>
      </c>
      <c r="I248" s="31" t="s">
        <v>31</v>
      </c>
      <c r="J248" s="6" t="s">
        <v>242</v>
      </c>
      <c r="K248" s="6"/>
      <c r="L248" s="6"/>
      <c r="M248" s="6" t="s">
        <v>241</v>
      </c>
      <c r="N248" s="6"/>
      <c r="O248" s="6"/>
      <c r="P248" s="22"/>
    </row>
    <row r="249" spans="4:19" x14ac:dyDescent="0.35">
      <c r="D249" s="21" t="s">
        <v>243</v>
      </c>
      <c r="E249" s="6"/>
      <c r="F249" s="6" t="s">
        <v>244</v>
      </c>
      <c r="G249" s="6">
        <v>350</v>
      </c>
      <c r="H249" s="6">
        <v>700</v>
      </c>
      <c r="I249" s="31" t="s">
        <v>31</v>
      </c>
      <c r="J249" s="6"/>
      <c r="K249" s="6"/>
      <c r="L249" s="6"/>
      <c r="M249" s="6" t="s">
        <v>245</v>
      </c>
      <c r="N249" s="6"/>
      <c r="O249" s="6"/>
      <c r="P249" s="22"/>
    </row>
    <row r="250" spans="4:19" x14ac:dyDescent="0.35">
      <c r="D250" s="21" t="s">
        <v>246</v>
      </c>
      <c r="E250" s="6"/>
      <c r="F250" s="6" t="s">
        <v>247</v>
      </c>
      <c r="G250" s="6">
        <v>10</v>
      </c>
      <c r="H250" s="6">
        <v>200</v>
      </c>
      <c r="I250" s="31" t="s">
        <v>31</v>
      </c>
      <c r="J250" s="6"/>
      <c r="K250" s="6"/>
      <c r="L250" s="6"/>
      <c r="M250" s="6" t="s">
        <v>248</v>
      </c>
      <c r="N250" s="6"/>
      <c r="O250" s="6"/>
      <c r="P250" s="22"/>
    </row>
    <row r="251" spans="4:19" ht="13.9" thickBot="1" x14ac:dyDescent="0.4">
      <c r="D251" s="24"/>
      <c r="E251" s="25"/>
      <c r="F251" s="25"/>
      <c r="G251" s="25"/>
      <c r="H251" s="25"/>
      <c r="I251" s="25"/>
      <c r="J251" s="25"/>
      <c r="K251" s="25"/>
      <c r="L251" s="25"/>
      <c r="M251" s="25"/>
      <c r="N251" s="25"/>
      <c r="O251" s="25"/>
      <c r="P251" s="26"/>
    </row>
    <row r="252" spans="4:19" x14ac:dyDescent="0.35">
      <c r="D252" s="6"/>
      <c r="E252" s="6"/>
      <c r="F252" s="6"/>
      <c r="G252" s="6"/>
      <c r="H252" s="6"/>
      <c r="I252" s="6"/>
      <c r="J252" s="6"/>
      <c r="K252" s="6"/>
      <c r="L252" s="6"/>
      <c r="M252" s="6"/>
      <c r="N252" s="6"/>
      <c r="O252" s="6"/>
      <c r="P252" s="6"/>
    </row>
    <row r="253" spans="4:19" ht="13.9" thickBot="1" x14ac:dyDescent="0.4"/>
    <row r="254" spans="4:19" x14ac:dyDescent="0.35">
      <c r="D254" s="18" t="s">
        <v>251</v>
      </c>
      <c r="E254" s="19"/>
      <c r="F254" s="19"/>
      <c r="G254" s="19"/>
      <c r="H254" s="19"/>
      <c r="I254" s="19"/>
      <c r="J254" s="19"/>
      <c r="K254" s="19"/>
      <c r="L254" s="19"/>
      <c r="M254" s="19"/>
      <c r="N254" s="20"/>
    </row>
    <row r="255" spans="4:19" x14ac:dyDescent="0.35">
      <c r="D255" s="27"/>
      <c r="E255" s="28" t="s">
        <v>250</v>
      </c>
      <c r="F255" s="28"/>
      <c r="G255" s="28"/>
      <c r="H255" s="28"/>
      <c r="I255" s="28"/>
      <c r="J255" s="28"/>
      <c r="K255" s="28"/>
      <c r="L255" s="28"/>
      <c r="M255" s="28"/>
      <c r="N255" s="29"/>
    </row>
    <row r="256" spans="4:19" x14ac:dyDescent="0.35">
      <c r="D256" s="21"/>
      <c r="E256" s="6" t="s">
        <v>249</v>
      </c>
      <c r="F256" s="6" t="b">
        <f>(M35="ON")</f>
        <v>0</v>
      </c>
      <c r="G256" s="6"/>
      <c r="H256" s="6" t="s">
        <v>254</v>
      </c>
      <c r="I256" s="6"/>
      <c r="J256" s="6"/>
      <c r="K256" s="6"/>
      <c r="L256" s="6"/>
      <c r="M256" s="6"/>
      <c r="N256" s="22"/>
    </row>
    <row r="257" spans="4:14" x14ac:dyDescent="0.35">
      <c r="D257" s="21"/>
      <c r="E257" s="6" t="s">
        <v>249</v>
      </c>
      <c r="F257" s="6" t="b">
        <f>AND(M35="ON", AND(F25&lt;&gt;24, F25&lt;&gt;12))</f>
        <v>0</v>
      </c>
      <c r="G257" s="6"/>
      <c r="H257" s="6" t="s">
        <v>255</v>
      </c>
      <c r="I257" s="6"/>
      <c r="J257" s="6"/>
      <c r="K257" s="6"/>
      <c r="L257" s="6"/>
      <c r="M257" s="6"/>
      <c r="N257" s="22"/>
    </row>
    <row r="258" spans="4:14" x14ac:dyDescent="0.35">
      <c r="D258" s="21"/>
      <c r="E258" s="6" t="s">
        <v>249</v>
      </c>
      <c r="F258" s="6" t="b">
        <f>AND(M28="FREQ_12MHz", F25=24)</f>
        <v>0</v>
      </c>
      <c r="G258" s="6"/>
      <c r="H258" s="6" t="s">
        <v>256</v>
      </c>
      <c r="I258" s="6"/>
      <c r="J258" s="6"/>
      <c r="K258" s="6"/>
      <c r="L258" s="6"/>
      <c r="M258" s="6"/>
      <c r="N258" s="22"/>
    </row>
    <row r="259" spans="4:14" x14ac:dyDescent="0.35">
      <c r="D259" s="21"/>
      <c r="E259" s="6" t="s">
        <v>249</v>
      </c>
      <c r="F259" s="6" t="b">
        <f>AND(M28="FREQ_24MHz", F25=12)</f>
        <v>0</v>
      </c>
      <c r="G259" s="6"/>
      <c r="H259" s="6" t="s">
        <v>257</v>
      </c>
      <c r="I259" s="6"/>
      <c r="J259" s="6"/>
      <c r="K259" s="6"/>
      <c r="L259" s="6"/>
      <c r="M259" s="6"/>
      <c r="N259" s="22"/>
    </row>
    <row r="260" spans="4:14" x14ac:dyDescent="0.35">
      <c r="D260" s="21"/>
      <c r="E260" s="6" t="s">
        <v>249</v>
      </c>
      <c r="F260" s="6" t="b">
        <f>AND(F256, OR(F257:F259))</f>
        <v>0</v>
      </c>
      <c r="G260" s="6"/>
      <c r="H260" s="6" t="s">
        <v>258</v>
      </c>
      <c r="I260" s="6"/>
      <c r="J260" s="6"/>
      <c r="K260" s="6"/>
      <c r="L260" s="6"/>
      <c r="M260" s="6"/>
      <c r="N260" s="22"/>
    </row>
    <row r="261" spans="4:14" x14ac:dyDescent="0.35">
      <c r="D261" s="21"/>
      <c r="E261" s="6"/>
      <c r="F261" s="6"/>
      <c r="G261" s="6"/>
      <c r="H261" s="6"/>
      <c r="I261" s="6"/>
      <c r="J261" s="6"/>
      <c r="K261" s="6"/>
      <c r="L261" s="6"/>
      <c r="M261" s="6"/>
      <c r="N261" s="22"/>
    </row>
    <row r="262" spans="4:14" x14ac:dyDescent="0.35">
      <c r="D262" s="21"/>
      <c r="E262" s="6" t="s">
        <v>252</v>
      </c>
      <c r="F262" s="6" t="b">
        <f>AND(G35="ON", I30="HS")</f>
        <v>0</v>
      </c>
      <c r="G262" s="6"/>
      <c r="H262" s="6" t="s">
        <v>259</v>
      </c>
      <c r="I262" s="6"/>
      <c r="J262" s="6"/>
      <c r="K262" s="6"/>
      <c r="L262" s="6"/>
      <c r="M262" s="6"/>
      <c r="N262" s="22"/>
    </row>
    <row r="263" spans="4:14" x14ac:dyDescent="0.35">
      <c r="D263" s="21"/>
      <c r="E263" s="6"/>
      <c r="F263" s="6"/>
      <c r="G263" s="6"/>
      <c r="H263" s="6"/>
      <c r="I263" s="6" t="s">
        <v>394</v>
      </c>
      <c r="J263" s="6"/>
      <c r="K263" s="6"/>
      <c r="L263" s="6"/>
      <c r="M263" s="6"/>
      <c r="N263" s="22"/>
    </row>
    <row r="264" spans="4:14" x14ac:dyDescent="0.35">
      <c r="D264" s="21"/>
      <c r="E264" s="6" t="s">
        <v>253</v>
      </c>
      <c r="F264" s="6">
        <f t="shared" ref="F264:F267" si="7">IF(OR($M$19&lt;K120,$M$19&gt;L120),1,0)</f>
        <v>1</v>
      </c>
      <c r="G264" s="6">
        <f>IF($O$23=I264,1,0)</f>
        <v>0</v>
      </c>
      <c r="H264" s="6">
        <f>IF(AND(F264,G264),1,0)</f>
        <v>0</v>
      </c>
      <c r="I264" s="6" t="s">
        <v>397</v>
      </c>
      <c r="J264" s="6"/>
      <c r="K264" s="6"/>
      <c r="L264" s="6"/>
      <c r="M264" s="6"/>
      <c r="N264" s="22"/>
    </row>
    <row r="265" spans="4:14" x14ac:dyDescent="0.35">
      <c r="D265" s="21"/>
      <c r="E265" s="6" t="s">
        <v>253</v>
      </c>
      <c r="F265" s="6">
        <f t="shared" si="7"/>
        <v>1</v>
      </c>
      <c r="G265" s="6">
        <f>IF($O$23=I265,1,0)</f>
        <v>0</v>
      </c>
      <c r="H265" s="6">
        <f t="shared" ref="H265:H268" si="8">IF(AND(F265,G265),1,0)</f>
        <v>0</v>
      </c>
      <c r="I265" s="6" t="s">
        <v>398</v>
      </c>
      <c r="J265" s="6"/>
      <c r="K265" s="6"/>
      <c r="L265" s="6"/>
      <c r="M265" s="6"/>
      <c r="N265" s="22"/>
    </row>
    <row r="266" spans="4:14" x14ac:dyDescent="0.35">
      <c r="D266" s="21"/>
      <c r="E266" s="6" t="s">
        <v>253</v>
      </c>
      <c r="F266" s="6">
        <f t="shared" si="7"/>
        <v>1</v>
      </c>
      <c r="G266" s="6">
        <f>IF($O$23=I266,1,0)</f>
        <v>0</v>
      </c>
      <c r="H266" s="6">
        <f t="shared" si="8"/>
        <v>0</v>
      </c>
      <c r="I266" s="6" t="s">
        <v>399</v>
      </c>
      <c r="J266" s="6"/>
      <c r="K266" s="6"/>
      <c r="L266" s="6"/>
      <c r="M266" s="6"/>
      <c r="N266" s="22"/>
    </row>
    <row r="267" spans="4:14" x14ac:dyDescent="0.35">
      <c r="D267" s="21"/>
      <c r="E267" s="6" t="s">
        <v>253</v>
      </c>
      <c r="F267" s="6">
        <f t="shared" si="7"/>
        <v>0</v>
      </c>
      <c r="G267" s="6">
        <f>IF($O$23=I267,1,0)</f>
        <v>1</v>
      </c>
      <c r="H267" s="6">
        <f t="shared" si="8"/>
        <v>0</v>
      </c>
      <c r="I267" s="6" t="s">
        <v>20</v>
      </c>
      <c r="J267" s="6"/>
      <c r="K267" s="6"/>
      <c r="L267" s="6"/>
      <c r="M267" s="6"/>
      <c r="N267" s="22"/>
    </row>
    <row r="268" spans="4:14" x14ac:dyDescent="0.35">
      <c r="D268" s="21"/>
      <c r="E268" s="6" t="s">
        <v>253</v>
      </c>
      <c r="F268" s="6">
        <f>IF(OR($M$19&lt;K124,$M$19&gt;L124),1,0)</f>
        <v>0</v>
      </c>
      <c r="G268" s="6">
        <f>IF($O$23=I268,1,0)</f>
        <v>0</v>
      </c>
      <c r="H268" s="6">
        <f t="shared" si="8"/>
        <v>0</v>
      </c>
      <c r="I268" s="6" t="s">
        <v>396</v>
      </c>
      <c r="J268" s="6"/>
      <c r="K268" s="6"/>
      <c r="L268" s="6"/>
      <c r="M268" s="6"/>
      <c r="N268" s="22"/>
    </row>
    <row r="269" spans="4:14" x14ac:dyDescent="0.35">
      <c r="D269" s="21"/>
      <c r="E269" s="6" t="s">
        <v>253</v>
      </c>
      <c r="F269" s="6"/>
      <c r="G269" s="6"/>
      <c r="H269" s="6">
        <v>0</v>
      </c>
      <c r="I269" s="6" t="s">
        <v>59</v>
      </c>
      <c r="J269" s="6"/>
      <c r="K269" s="6"/>
      <c r="L269" s="6"/>
      <c r="M269" s="6"/>
      <c r="N269" s="22"/>
    </row>
    <row r="270" spans="4:14" x14ac:dyDescent="0.35">
      <c r="D270" s="21"/>
      <c r="E270" s="6" t="s">
        <v>253</v>
      </c>
      <c r="F270" s="6"/>
      <c r="G270" s="6"/>
      <c r="H270" s="6">
        <f>SUM(H264:H269)</f>
        <v>0</v>
      </c>
      <c r="I270" s="6" t="s">
        <v>258</v>
      </c>
      <c r="J270" s="6"/>
      <c r="K270" s="6"/>
      <c r="L270" s="6"/>
      <c r="M270" s="6"/>
      <c r="N270" s="22"/>
    </row>
    <row r="271" spans="4:14" x14ac:dyDescent="0.35">
      <c r="D271" s="21"/>
      <c r="E271" s="6"/>
      <c r="F271" s="6"/>
      <c r="G271" s="6"/>
      <c r="H271" s="6"/>
      <c r="I271" s="6"/>
      <c r="J271" s="6"/>
      <c r="K271" s="6"/>
      <c r="L271" s="6"/>
      <c r="M271" s="6"/>
      <c r="N271" s="22"/>
    </row>
    <row r="272" spans="4:14" x14ac:dyDescent="0.35">
      <c r="D272" s="21"/>
      <c r="E272" s="6" t="s">
        <v>260</v>
      </c>
      <c r="F272" s="6">
        <f>IF(OR(P19&lt;G249,P19&gt;H249),1,0)</f>
        <v>0</v>
      </c>
      <c r="G272" s="6">
        <f>IF($O$23="Bypass",0,1)</f>
        <v>1</v>
      </c>
      <c r="H272" s="6" t="b">
        <f>AND(F272,G272)</f>
        <v>0</v>
      </c>
      <c r="I272" s="6" t="s">
        <v>262</v>
      </c>
      <c r="J272" s="6"/>
      <c r="K272" s="6"/>
      <c r="L272" s="6"/>
      <c r="M272" s="6"/>
      <c r="N272" s="22"/>
    </row>
    <row r="273" spans="4:18" x14ac:dyDescent="0.35">
      <c r="D273" s="21"/>
      <c r="E273" s="6"/>
      <c r="F273" s="6"/>
      <c r="G273" s="6"/>
      <c r="H273" s="6"/>
      <c r="I273" s="6"/>
      <c r="J273" s="6"/>
      <c r="K273" s="6"/>
      <c r="L273" s="6"/>
      <c r="M273" s="6"/>
      <c r="N273" s="22"/>
    </row>
    <row r="274" spans="4:18" x14ac:dyDescent="0.35">
      <c r="D274" s="21"/>
      <c r="E274" s="6" t="s">
        <v>261</v>
      </c>
      <c r="F274" s="6">
        <f>IF(OR(U18&lt;G250,U18&gt;H250),1,0)</f>
        <v>0</v>
      </c>
      <c r="G274" s="6">
        <f>IF($O$23="Bypass",0,1)</f>
        <v>1</v>
      </c>
      <c r="H274" s="6" t="b">
        <f>AND(F274,G274)</f>
        <v>0</v>
      </c>
      <c r="I274" s="6" t="s">
        <v>263</v>
      </c>
      <c r="J274" s="6"/>
      <c r="K274" s="6"/>
      <c r="L274" s="6"/>
      <c r="M274" s="6"/>
      <c r="N274" s="22"/>
    </row>
    <row r="275" spans="4:18" x14ac:dyDescent="0.35">
      <c r="D275" s="21"/>
      <c r="E275" s="6"/>
      <c r="F275" s="6"/>
      <c r="G275" s="6"/>
      <c r="H275" s="6"/>
      <c r="I275" s="6"/>
      <c r="J275" s="6"/>
      <c r="K275" s="6"/>
      <c r="L275" s="6"/>
      <c r="M275" s="6"/>
      <c r="N275" s="22"/>
    </row>
    <row r="276" spans="4:18" x14ac:dyDescent="0.35">
      <c r="D276" s="21"/>
      <c r="E276" s="6" t="s">
        <v>282</v>
      </c>
      <c r="F276" s="6">
        <f>IF(R49&gt;H243,1,0)</f>
        <v>0</v>
      </c>
      <c r="G276" s="6"/>
      <c r="H276" s="6" t="s">
        <v>283</v>
      </c>
      <c r="I276" s="6"/>
      <c r="J276" s="6"/>
      <c r="K276" s="6"/>
      <c r="L276" s="6"/>
      <c r="M276" s="6"/>
      <c r="N276" s="22"/>
    </row>
    <row r="277" spans="4:18" x14ac:dyDescent="0.35">
      <c r="D277" s="21"/>
      <c r="E277" s="6"/>
      <c r="F277" s="6"/>
      <c r="G277" s="6"/>
      <c r="H277" s="6"/>
      <c r="I277" s="6"/>
      <c r="J277" s="6"/>
      <c r="K277" s="6"/>
      <c r="L277" s="6"/>
      <c r="M277" s="6"/>
      <c r="N277" s="22"/>
    </row>
    <row r="278" spans="4:18" x14ac:dyDescent="0.35">
      <c r="D278" s="21"/>
      <c r="E278" s="6" t="s">
        <v>268</v>
      </c>
      <c r="F278" s="5">
        <f>IF(V28&gt;$H$244,1,0)</f>
        <v>0</v>
      </c>
      <c r="G278" s="6"/>
      <c r="H278" s="6" t="s">
        <v>271</v>
      </c>
      <c r="I278" s="6"/>
      <c r="J278" s="6"/>
      <c r="K278" s="6"/>
      <c r="L278" s="6"/>
      <c r="M278" s="6"/>
      <c r="N278" s="22"/>
    </row>
    <row r="279" spans="4:18" x14ac:dyDescent="0.35">
      <c r="D279" s="21"/>
      <c r="E279" s="6" t="s">
        <v>278</v>
      </c>
      <c r="F279" s="5">
        <f>IF(V31&gt;$H$244,1,0)</f>
        <v>0</v>
      </c>
      <c r="G279" s="6"/>
      <c r="H279" s="6" t="s">
        <v>272</v>
      </c>
      <c r="I279" s="6"/>
      <c r="J279" s="6"/>
      <c r="K279" s="6"/>
      <c r="L279" s="6"/>
      <c r="M279" s="6"/>
      <c r="N279" s="22"/>
    </row>
    <row r="280" spans="4:18" x14ac:dyDescent="0.35">
      <c r="D280" s="21"/>
      <c r="E280" s="6" t="s">
        <v>269</v>
      </c>
      <c r="F280" s="5">
        <f>IF(V34&gt;$H$244,1,0)</f>
        <v>0</v>
      </c>
      <c r="G280" s="6"/>
      <c r="H280" s="6" t="s">
        <v>273</v>
      </c>
      <c r="I280" s="6"/>
      <c r="J280" s="6"/>
      <c r="K280" s="6"/>
      <c r="L280" s="6"/>
      <c r="M280" s="6"/>
      <c r="N280" s="22"/>
    </row>
    <row r="281" spans="4:18" x14ac:dyDescent="0.35">
      <c r="D281" s="21"/>
      <c r="E281" s="6" t="s">
        <v>279</v>
      </c>
      <c r="F281" s="5">
        <f>IF(V37&gt;$H$244,1,0)</f>
        <v>0</v>
      </c>
      <c r="G281" s="6"/>
      <c r="H281" s="6" t="s">
        <v>274</v>
      </c>
      <c r="I281" s="6"/>
      <c r="J281" s="6"/>
      <c r="K281" s="6"/>
      <c r="L281" s="6"/>
      <c r="M281" s="6"/>
      <c r="N281" s="22"/>
    </row>
    <row r="282" spans="4:18" x14ac:dyDescent="0.35">
      <c r="D282" s="21"/>
      <c r="E282" s="6" t="s">
        <v>270</v>
      </c>
      <c r="F282" s="5">
        <f>IF(V40&gt;$H$244,1,0)</f>
        <v>0</v>
      </c>
      <c r="G282" s="6"/>
      <c r="H282" s="6" t="s">
        <v>275</v>
      </c>
      <c r="I282" s="6"/>
      <c r="J282" s="6"/>
      <c r="K282" s="6"/>
      <c r="L282" s="6"/>
      <c r="M282" s="6"/>
      <c r="N282" s="22"/>
      <c r="Q282" s="6"/>
      <c r="R282" s="6"/>
    </row>
    <row r="283" spans="4:18" x14ac:dyDescent="0.35">
      <c r="D283" s="21"/>
      <c r="E283" s="6" t="s">
        <v>280</v>
      </c>
      <c r="F283" s="5">
        <f>IF(V43&gt;$H$245,1,0)</f>
        <v>0</v>
      </c>
      <c r="G283" s="6"/>
      <c r="H283" s="6" t="s">
        <v>276</v>
      </c>
      <c r="I283" s="6"/>
      <c r="J283" s="6"/>
      <c r="K283" s="6"/>
      <c r="L283" s="6"/>
      <c r="M283" s="6"/>
      <c r="N283" s="22"/>
    </row>
    <row r="284" spans="4:18" x14ac:dyDescent="0.35">
      <c r="D284" s="21"/>
      <c r="E284" s="6" t="s">
        <v>281</v>
      </c>
      <c r="F284" s="5">
        <f>IF(V46&gt;$H$244,1,0)</f>
        <v>0</v>
      </c>
      <c r="G284" s="6"/>
      <c r="H284" s="6" t="s">
        <v>277</v>
      </c>
      <c r="I284" s="6"/>
      <c r="J284" s="6"/>
      <c r="K284" s="6"/>
      <c r="L284" s="6"/>
      <c r="M284" s="6"/>
      <c r="N284" s="22"/>
    </row>
    <row r="285" spans="4:18" x14ac:dyDescent="0.35">
      <c r="D285" s="21"/>
      <c r="E285" s="6"/>
      <c r="G285" s="6"/>
      <c r="H285" s="6"/>
      <c r="I285" s="6"/>
      <c r="J285" s="6"/>
      <c r="K285" s="6"/>
      <c r="L285" s="6"/>
      <c r="M285" s="6"/>
      <c r="N285" s="22"/>
    </row>
    <row r="286" spans="4:18" x14ac:dyDescent="0.35">
      <c r="D286" s="21"/>
      <c r="E286" s="6" t="s">
        <v>400</v>
      </c>
      <c r="F286" s="5">
        <f>IF($E$46&lt;32,1,0)</f>
        <v>0</v>
      </c>
      <c r="G286" s="6"/>
      <c r="H286" s="6" t="s">
        <v>401</v>
      </c>
      <c r="I286" s="6"/>
      <c r="J286" s="6"/>
      <c r="K286" s="6"/>
      <c r="L286" s="6"/>
      <c r="M286" s="6"/>
      <c r="N286" s="22"/>
    </row>
    <row r="287" spans="4:18" x14ac:dyDescent="0.35">
      <c r="D287" s="21"/>
      <c r="E287" s="6" t="s">
        <v>400</v>
      </c>
      <c r="F287" s="5">
        <f>IF($E$46&gt;100,1,0)</f>
        <v>0</v>
      </c>
      <c r="G287" s="6"/>
      <c r="H287" s="6" t="s">
        <v>402</v>
      </c>
      <c r="I287" s="6"/>
      <c r="J287" s="6"/>
      <c r="K287" s="6"/>
      <c r="L287" s="6"/>
      <c r="M287" s="6"/>
      <c r="N287" s="22"/>
    </row>
    <row r="288" spans="4:18" x14ac:dyDescent="0.35">
      <c r="D288" s="21"/>
      <c r="E288" s="6" t="s">
        <v>400</v>
      </c>
      <c r="F288" s="5">
        <f>SUM(F286:F287)</f>
        <v>0</v>
      </c>
      <c r="G288" s="6"/>
      <c r="H288" s="6" t="s">
        <v>403</v>
      </c>
      <c r="I288" s="6"/>
      <c r="J288" s="6"/>
      <c r="K288" s="6"/>
      <c r="L288" s="6"/>
      <c r="M288" s="6"/>
      <c r="N288" s="22"/>
    </row>
    <row r="289" spans="4:14" ht="13.9" thickBot="1" x14ac:dyDescent="0.4">
      <c r="D289" s="24"/>
      <c r="E289" s="25"/>
      <c r="F289" s="25"/>
      <c r="G289" s="25"/>
      <c r="H289" s="25"/>
      <c r="I289" s="25"/>
      <c r="J289" s="25"/>
      <c r="K289" s="25"/>
      <c r="L289" s="25"/>
      <c r="M289" s="25"/>
      <c r="N289" s="26"/>
    </row>
  </sheetData>
  <sheetProtection password="E325" sheet="1" objects="1" scenarios="1"/>
  <protectedRanges>
    <protectedRange sqref="O79:S79" name="Range26"/>
    <protectedRange sqref="I51" name="Range21"/>
    <protectedRange sqref="E46" name="Range20"/>
    <protectedRange sqref="S45" name="Range19"/>
    <protectedRange sqref="S42" name="Range18"/>
    <protectedRange sqref="S39" name="Range17"/>
    <protectedRange sqref="S36" name="Range16"/>
    <protectedRange sqref="S33" name="Range15"/>
    <protectedRange sqref="S30" name="Range14"/>
    <protectedRange sqref="S27" name="Range13"/>
    <protectedRange sqref="O23:Q23" name="Range8"/>
    <protectedRange sqref="E22" name="Range6"/>
    <protectedRange sqref="R16" name="Range5"/>
    <protectedRange sqref="O16" name="Range4"/>
    <protectedRange sqref="L16" name="Range3"/>
    <protectedRange sqref="I10:J10" name="Range1"/>
    <protectedRange sqref="I16" name="Range2"/>
    <protectedRange sqref="E23" name="Range7"/>
    <protectedRange sqref="I30" name="Range9"/>
    <protectedRange sqref="G35" name="Range10"/>
    <protectedRange sqref="M28" name="Range11"/>
    <protectedRange sqref="M35" name="Range12"/>
    <protectedRange sqref="O54" name="Range22"/>
    <protectedRange sqref="Q65" name="Range23"/>
    <protectedRange sqref="Q66" name="Range24"/>
    <protectedRange sqref="M75" name="Range25"/>
  </protectedRanges>
  <mergeCells count="4">
    <mergeCell ref="I10:J10"/>
    <mergeCell ref="M28:N28"/>
    <mergeCell ref="O79:S79"/>
    <mergeCell ref="O23:Q23"/>
  </mergeCells>
  <conditionalFormatting sqref="F25">
    <cfRule type="expression" dxfId="18" priority="28">
      <formula>$F$260</formula>
    </cfRule>
  </conditionalFormatting>
  <conditionalFormatting sqref="E31">
    <cfRule type="expression" dxfId="17" priority="25">
      <formula>$F$262</formula>
    </cfRule>
  </conditionalFormatting>
  <conditionalFormatting sqref="M19">
    <cfRule type="expression" dxfId="16" priority="24">
      <formula>$H$270</formula>
    </cfRule>
  </conditionalFormatting>
  <conditionalFormatting sqref="F272 F274:F277">
    <cfRule type="expression" dxfId="15" priority="32">
      <formula>#REF!</formula>
    </cfRule>
  </conditionalFormatting>
  <conditionalFormatting sqref="P19">
    <cfRule type="expression" dxfId="14" priority="22">
      <formula>$H$272</formula>
    </cfRule>
  </conditionalFormatting>
  <conditionalFormatting sqref="U18">
    <cfRule type="expression" dxfId="13" priority="20">
      <formula>$H$274</formula>
    </cfRule>
  </conditionalFormatting>
  <conditionalFormatting sqref="V28">
    <cfRule type="expression" dxfId="12" priority="19">
      <formula>$F$278</formula>
    </cfRule>
  </conditionalFormatting>
  <conditionalFormatting sqref="V31">
    <cfRule type="expression" dxfId="11" priority="18">
      <formula>$F$279</formula>
    </cfRule>
  </conditionalFormatting>
  <conditionalFormatting sqref="V34">
    <cfRule type="expression" dxfId="10" priority="17">
      <formula>$F$280</formula>
    </cfRule>
  </conditionalFormatting>
  <conditionalFormatting sqref="V37">
    <cfRule type="expression" dxfId="9" priority="16">
      <formula>$F$281</formula>
    </cfRule>
  </conditionalFormatting>
  <conditionalFormatting sqref="V40">
    <cfRule type="expression" dxfId="8" priority="15">
      <formula>$F$282</formula>
    </cfRule>
  </conditionalFormatting>
  <conditionalFormatting sqref="V43">
    <cfRule type="expression" dxfId="7" priority="13">
      <formula>$F$283</formula>
    </cfRule>
  </conditionalFormatting>
  <conditionalFormatting sqref="V46">
    <cfRule type="expression" dxfId="6" priority="12">
      <formula>$F$284</formula>
    </cfRule>
  </conditionalFormatting>
  <conditionalFormatting sqref="R49">
    <cfRule type="expression" dxfId="5" priority="11">
      <formula>$F$276</formula>
    </cfRule>
  </conditionalFormatting>
  <conditionalFormatting sqref="W68">
    <cfRule type="expression" dxfId="4" priority="8">
      <formula>$W$68&gt;$H$246</formula>
    </cfRule>
  </conditionalFormatting>
  <conditionalFormatting sqref="E22">
    <cfRule type="expression" dxfId="3" priority="7">
      <formula>$Q$240</formula>
    </cfRule>
  </conditionalFormatting>
  <conditionalFormatting sqref="E23">
    <cfRule type="expression" dxfId="2" priority="6">
      <formula>$S$241</formula>
    </cfRule>
  </conditionalFormatting>
  <conditionalFormatting sqref="W68">
    <cfRule type="expression" dxfId="1" priority="4">
      <formula>$W$68&gt;$H$246</formula>
    </cfRule>
  </conditionalFormatting>
  <conditionalFormatting sqref="E46">
    <cfRule type="expression" dxfId="0" priority="1">
      <formula>$F$288</formula>
    </cfRule>
  </conditionalFormatting>
  <dataValidations count="14">
    <dataValidation type="list" allowBlank="1" showInputMessage="1" showErrorMessage="1" sqref="S27 S30 S33 S36 S39 S42 S45" xr:uid="{00000000-0002-0000-0100-000000000000}">
      <formula1>$D$89:$D$216</formula1>
    </dataValidation>
    <dataValidation type="list" allowBlank="1" showInputMessage="1" showErrorMessage="1" sqref="O54" xr:uid="{00000000-0002-0000-0100-000001000000}">
      <formula1>$I$112:$I$117</formula1>
    </dataValidation>
    <dataValidation type="list" allowBlank="1" showInputMessage="1" showErrorMessage="1" sqref="I51" xr:uid="{00000000-0002-0000-0100-000002000000}">
      <formula1>$I$133:$I$134</formula1>
    </dataValidation>
    <dataValidation type="list" allowBlank="1" showInputMessage="1" showErrorMessage="1" sqref="M28" xr:uid="{00000000-0002-0000-0100-000003000000}">
      <formula1>$I$130:$I$131</formula1>
    </dataValidation>
    <dataValidation type="list" allowBlank="1" showInputMessage="1" showErrorMessage="1" sqref="M35" xr:uid="{00000000-0002-0000-0100-000004000000}">
      <formula1>$I$127:$I$128</formula1>
    </dataValidation>
    <dataValidation type="list" allowBlank="1" showInputMessage="1" showErrorMessage="1" sqref="I10" xr:uid="{00000000-0002-0000-0100-000005000000}">
      <formula1>$O$118:$O$125</formula1>
    </dataValidation>
    <dataValidation type="list" allowBlank="1" showInputMessage="1" showErrorMessage="1" sqref="I30" xr:uid="{00000000-0002-0000-0100-000006000000}">
      <formula1>$I$88:$I$90</formula1>
    </dataValidation>
    <dataValidation type="list" allowBlank="1" showInputMessage="1" showErrorMessage="1" sqref="I16" xr:uid="{00000000-0002-0000-0100-000007000000}">
      <formula1>$I$92:$I$93</formula1>
    </dataValidation>
    <dataValidation type="list" allowBlank="1" showInputMessage="1" showErrorMessage="1" sqref="L16" xr:uid="{00000000-0002-0000-0100-000008000000}">
      <formula1>$I$95:$I$102</formula1>
    </dataValidation>
    <dataValidation type="list" allowBlank="1" showInputMessage="1" showErrorMessage="1" sqref="O16" xr:uid="{00000000-0002-0000-0100-000009000000}">
      <formula1>$E$89:$E$216</formula1>
    </dataValidation>
    <dataValidation type="list" allowBlank="1" showInputMessage="1" showErrorMessage="1" sqref="R16" xr:uid="{00000000-0002-0000-0100-00000A000000}">
      <formula1>$I$105:$I$109</formula1>
    </dataValidation>
    <dataValidation type="list" allowBlank="1" showInputMessage="1" showErrorMessage="1" sqref="O23" xr:uid="{00000000-0002-0000-0100-00000B000000}">
      <formula1>$I$120:$I$125</formula1>
    </dataValidation>
    <dataValidation type="list" allowBlank="1" showInputMessage="1" showErrorMessage="1" sqref="G35" xr:uid="{00000000-0002-0000-0100-00000C000000}">
      <formula1>$I$136:$I$137</formula1>
    </dataValidation>
    <dataValidation type="list" allowBlank="1" showInputMessage="1" showErrorMessage="1" sqref="O79:S79" xr:uid="{00000000-0002-0000-0100-00000D000000}">
      <formula1>$O$201:$O$209</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25" x14ac:dyDescent="0.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K27" sqref="K2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H17"/>
  <sheetViews>
    <sheetView workbookViewId="0">
      <selection activeCell="D6" sqref="D6"/>
    </sheetView>
  </sheetViews>
  <sheetFormatPr defaultRowHeight="14.25" x14ac:dyDescent="0.45"/>
  <cols>
    <col min="1" max="1" width="10.73046875" customWidth="1"/>
    <col min="2" max="2" width="16.265625" customWidth="1"/>
    <col min="3" max="3" width="16.3984375" customWidth="1"/>
    <col min="4" max="4" width="21.73046875" customWidth="1"/>
    <col min="5" max="5" width="13.1328125" style="1" customWidth="1"/>
    <col min="6" max="6" width="8.86328125" customWidth="1"/>
    <col min="7" max="7" width="26.73046875" customWidth="1"/>
    <col min="8" max="9" width="9.73046875" customWidth="1"/>
    <col min="10" max="10" width="11.73046875" customWidth="1"/>
    <col min="13" max="13" width="10.3984375" customWidth="1"/>
    <col min="15" max="15" width="12.265625" customWidth="1"/>
    <col min="16" max="16" width="11.59765625" bestFit="1" customWidth="1"/>
    <col min="17" max="17" width="11.73046875" customWidth="1"/>
    <col min="257" max="257" width="4.1328125" customWidth="1"/>
    <col min="261" max="261" width="13.1328125" customWidth="1"/>
    <col min="262" max="262" width="8.86328125" customWidth="1"/>
    <col min="263" max="263" width="26.73046875" customWidth="1"/>
    <col min="264" max="265" width="9.73046875" customWidth="1"/>
    <col min="266" max="266" width="11.73046875" customWidth="1"/>
    <col min="269" max="269" width="10.3984375" customWidth="1"/>
    <col min="271" max="271" width="12.265625" customWidth="1"/>
    <col min="272" max="272" width="11.59765625" bestFit="1" customWidth="1"/>
    <col min="273" max="273" width="11.73046875" customWidth="1"/>
    <col min="513" max="513" width="4.1328125" customWidth="1"/>
    <col min="517" max="517" width="13.1328125" customWidth="1"/>
    <col min="518" max="518" width="8.86328125" customWidth="1"/>
    <col min="519" max="519" width="26.73046875" customWidth="1"/>
    <col min="520" max="521" width="9.73046875" customWidth="1"/>
    <col min="522" max="522" width="11.73046875" customWidth="1"/>
    <col min="525" max="525" width="10.3984375" customWidth="1"/>
    <col min="527" max="527" width="12.265625" customWidth="1"/>
    <col min="528" max="528" width="11.59765625" bestFit="1" customWidth="1"/>
    <col min="529" max="529" width="11.73046875" customWidth="1"/>
    <col min="769" max="769" width="4.1328125" customWidth="1"/>
    <col min="773" max="773" width="13.1328125" customWidth="1"/>
    <col min="774" max="774" width="8.86328125" customWidth="1"/>
    <col min="775" max="775" width="26.73046875" customWidth="1"/>
    <col min="776" max="777" width="9.73046875" customWidth="1"/>
    <col min="778" max="778" width="11.73046875" customWidth="1"/>
    <col min="781" max="781" width="10.3984375" customWidth="1"/>
    <col min="783" max="783" width="12.265625" customWidth="1"/>
    <col min="784" max="784" width="11.59765625" bestFit="1" customWidth="1"/>
    <col min="785" max="785" width="11.73046875" customWidth="1"/>
    <col min="1025" max="1025" width="4.1328125" customWidth="1"/>
    <col min="1029" max="1029" width="13.1328125" customWidth="1"/>
    <col min="1030" max="1030" width="8.86328125" customWidth="1"/>
    <col min="1031" max="1031" width="26.73046875" customWidth="1"/>
    <col min="1032" max="1033" width="9.73046875" customWidth="1"/>
    <col min="1034" max="1034" width="11.73046875" customWidth="1"/>
    <col min="1037" max="1037" width="10.3984375" customWidth="1"/>
    <col min="1039" max="1039" width="12.265625" customWidth="1"/>
    <col min="1040" max="1040" width="11.59765625" bestFit="1" customWidth="1"/>
    <col min="1041" max="1041" width="11.73046875" customWidth="1"/>
    <col min="1281" max="1281" width="4.1328125" customWidth="1"/>
    <col min="1285" max="1285" width="13.1328125" customWidth="1"/>
    <col min="1286" max="1286" width="8.86328125" customWidth="1"/>
    <col min="1287" max="1287" width="26.73046875" customWidth="1"/>
    <col min="1288" max="1289" width="9.73046875" customWidth="1"/>
    <col min="1290" max="1290" width="11.73046875" customWidth="1"/>
    <col min="1293" max="1293" width="10.3984375" customWidth="1"/>
    <col min="1295" max="1295" width="12.265625" customWidth="1"/>
    <col min="1296" max="1296" width="11.59765625" bestFit="1" customWidth="1"/>
    <col min="1297" max="1297" width="11.73046875" customWidth="1"/>
    <col min="1537" max="1537" width="4.1328125" customWidth="1"/>
    <col min="1541" max="1541" width="13.1328125" customWidth="1"/>
    <col min="1542" max="1542" width="8.86328125" customWidth="1"/>
    <col min="1543" max="1543" width="26.73046875" customWidth="1"/>
    <col min="1544" max="1545" width="9.73046875" customWidth="1"/>
    <col min="1546" max="1546" width="11.73046875" customWidth="1"/>
    <col min="1549" max="1549" width="10.3984375" customWidth="1"/>
    <col min="1551" max="1551" width="12.265625" customWidth="1"/>
    <col min="1552" max="1552" width="11.59765625" bestFit="1" customWidth="1"/>
    <col min="1553" max="1553" width="11.73046875" customWidth="1"/>
    <col min="1793" max="1793" width="4.1328125" customWidth="1"/>
    <col min="1797" max="1797" width="13.1328125" customWidth="1"/>
    <col min="1798" max="1798" width="8.86328125" customWidth="1"/>
    <col min="1799" max="1799" width="26.73046875" customWidth="1"/>
    <col min="1800" max="1801" width="9.73046875" customWidth="1"/>
    <col min="1802" max="1802" width="11.73046875" customWidth="1"/>
    <col min="1805" max="1805" width="10.3984375" customWidth="1"/>
    <col min="1807" max="1807" width="12.265625" customWidth="1"/>
    <col min="1808" max="1808" width="11.59765625" bestFit="1" customWidth="1"/>
    <col min="1809" max="1809" width="11.73046875" customWidth="1"/>
    <col min="2049" max="2049" width="4.1328125" customWidth="1"/>
    <col min="2053" max="2053" width="13.1328125" customWidth="1"/>
    <col min="2054" max="2054" width="8.86328125" customWidth="1"/>
    <col min="2055" max="2055" width="26.73046875" customWidth="1"/>
    <col min="2056" max="2057" width="9.73046875" customWidth="1"/>
    <col min="2058" max="2058" width="11.73046875" customWidth="1"/>
    <col min="2061" max="2061" width="10.3984375" customWidth="1"/>
    <col min="2063" max="2063" width="12.265625" customWidth="1"/>
    <col min="2064" max="2064" width="11.59765625" bestFit="1" customWidth="1"/>
    <col min="2065" max="2065" width="11.73046875" customWidth="1"/>
    <col min="2305" max="2305" width="4.1328125" customWidth="1"/>
    <col min="2309" max="2309" width="13.1328125" customWidth="1"/>
    <col min="2310" max="2310" width="8.86328125" customWidth="1"/>
    <col min="2311" max="2311" width="26.73046875" customWidth="1"/>
    <col min="2312" max="2313" width="9.73046875" customWidth="1"/>
    <col min="2314" max="2314" width="11.73046875" customWidth="1"/>
    <col min="2317" max="2317" width="10.3984375" customWidth="1"/>
    <col min="2319" max="2319" width="12.265625" customWidth="1"/>
    <col min="2320" max="2320" width="11.59765625" bestFit="1" customWidth="1"/>
    <col min="2321" max="2321" width="11.73046875" customWidth="1"/>
    <col min="2561" max="2561" width="4.1328125" customWidth="1"/>
    <col min="2565" max="2565" width="13.1328125" customWidth="1"/>
    <col min="2566" max="2566" width="8.86328125" customWidth="1"/>
    <col min="2567" max="2567" width="26.73046875" customWidth="1"/>
    <col min="2568" max="2569" width="9.73046875" customWidth="1"/>
    <col min="2570" max="2570" width="11.73046875" customWidth="1"/>
    <col min="2573" max="2573" width="10.3984375" customWidth="1"/>
    <col min="2575" max="2575" width="12.265625" customWidth="1"/>
    <col min="2576" max="2576" width="11.59765625" bestFit="1" customWidth="1"/>
    <col min="2577" max="2577" width="11.73046875" customWidth="1"/>
    <col min="2817" max="2817" width="4.1328125" customWidth="1"/>
    <col min="2821" max="2821" width="13.1328125" customWidth="1"/>
    <col min="2822" max="2822" width="8.86328125" customWidth="1"/>
    <col min="2823" max="2823" width="26.73046875" customWidth="1"/>
    <col min="2824" max="2825" width="9.73046875" customWidth="1"/>
    <col min="2826" max="2826" width="11.73046875" customWidth="1"/>
    <col min="2829" max="2829" width="10.3984375" customWidth="1"/>
    <col min="2831" max="2831" width="12.265625" customWidth="1"/>
    <col min="2832" max="2832" width="11.59765625" bestFit="1" customWidth="1"/>
    <col min="2833" max="2833" width="11.73046875" customWidth="1"/>
    <col min="3073" max="3073" width="4.1328125" customWidth="1"/>
    <col min="3077" max="3077" width="13.1328125" customWidth="1"/>
    <col min="3078" max="3078" width="8.86328125" customWidth="1"/>
    <col min="3079" max="3079" width="26.73046875" customWidth="1"/>
    <col min="3080" max="3081" width="9.73046875" customWidth="1"/>
    <col min="3082" max="3082" width="11.73046875" customWidth="1"/>
    <col min="3085" max="3085" width="10.3984375" customWidth="1"/>
    <col min="3087" max="3087" width="12.265625" customWidth="1"/>
    <col min="3088" max="3088" width="11.59765625" bestFit="1" customWidth="1"/>
    <col min="3089" max="3089" width="11.73046875" customWidth="1"/>
    <col min="3329" max="3329" width="4.1328125" customWidth="1"/>
    <col min="3333" max="3333" width="13.1328125" customWidth="1"/>
    <col min="3334" max="3334" width="8.86328125" customWidth="1"/>
    <col min="3335" max="3335" width="26.73046875" customWidth="1"/>
    <col min="3336" max="3337" width="9.73046875" customWidth="1"/>
    <col min="3338" max="3338" width="11.73046875" customWidth="1"/>
    <col min="3341" max="3341" width="10.3984375" customWidth="1"/>
    <col min="3343" max="3343" width="12.265625" customWidth="1"/>
    <col min="3344" max="3344" width="11.59765625" bestFit="1" customWidth="1"/>
    <col min="3345" max="3345" width="11.73046875" customWidth="1"/>
    <col min="3585" max="3585" width="4.1328125" customWidth="1"/>
    <col min="3589" max="3589" width="13.1328125" customWidth="1"/>
    <col min="3590" max="3590" width="8.86328125" customWidth="1"/>
    <col min="3591" max="3591" width="26.73046875" customWidth="1"/>
    <col min="3592" max="3593" width="9.73046875" customWidth="1"/>
    <col min="3594" max="3594" width="11.73046875" customWidth="1"/>
    <col min="3597" max="3597" width="10.3984375" customWidth="1"/>
    <col min="3599" max="3599" width="12.265625" customWidth="1"/>
    <col min="3600" max="3600" width="11.59765625" bestFit="1" customWidth="1"/>
    <col min="3601" max="3601" width="11.73046875" customWidth="1"/>
    <col min="3841" max="3841" width="4.1328125" customWidth="1"/>
    <col min="3845" max="3845" width="13.1328125" customWidth="1"/>
    <col min="3846" max="3846" width="8.86328125" customWidth="1"/>
    <col min="3847" max="3847" width="26.73046875" customWidth="1"/>
    <col min="3848" max="3849" width="9.73046875" customWidth="1"/>
    <col min="3850" max="3850" width="11.73046875" customWidth="1"/>
    <col min="3853" max="3853" width="10.3984375" customWidth="1"/>
    <col min="3855" max="3855" width="12.265625" customWidth="1"/>
    <col min="3856" max="3856" width="11.59765625" bestFit="1" customWidth="1"/>
    <col min="3857" max="3857" width="11.73046875" customWidth="1"/>
    <col min="4097" max="4097" width="4.1328125" customWidth="1"/>
    <col min="4101" max="4101" width="13.1328125" customWidth="1"/>
    <col min="4102" max="4102" width="8.86328125" customWidth="1"/>
    <col min="4103" max="4103" width="26.73046875" customWidth="1"/>
    <col min="4104" max="4105" width="9.73046875" customWidth="1"/>
    <col min="4106" max="4106" width="11.73046875" customWidth="1"/>
    <col min="4109" max="4109" width="10.3984375" customWidth="1"/>
    <col min="4111" max="4111" width="12.265625" customWidth="1"/>
    <col min="4112" max="4112" width="11.59765625" bestFit="1" customWidth="1"/>
    <col min="4113" max="4113" width="11.73046875" customWidth="1"/>
    <col min="4353" max="4353" width="4.1328125" customWidth="1"/>
    <col min="4357" max="4357" width="13.1328125" customWidth="1"/>
    <col min="4358" max="4358" width="8.86328125" customWidth="1"/>
    <col min="4359" max="4359" width="26.73046875" customWidth="1"/>
    <col min="4360" max="4361" width="9.73046875" customWidth="1"/>
    <col min="4362" max="4362" width="11.73046875" customWidth="1"/>
    <col min="4365" max="4365" width="10.3984375" customWidth="1"/>
    <col min="4367" max="4367" width="12.265625" customWidth="1"/>
    <col min="4368" max="4368" width="11.59765625" bestFit="1" customWidth="1"/>
    <col min="4369" max="4369" width="11.73046875" customWidth="1"/>
    <col min="4609" max="4609" width="4.1328125" customWidth="1"/>
    <col min="4613" max="4613" width="13.1328125" customWidth="1"/>
    <col min="4614" max="4614" width="8.86328125" customWidth="1"/>
    <col min="4615" max="4615" width="26.73046875" customWidth="1"/>
    <col min="4616" max="4617" width="9.73046875" customWidth="1"/>
    <col min="4618" max="4618" width="11.73046875" customWidth="1"/>
    <col min="4621" max="4621" width="10.3984375" customWidth="1"/>
    <col min="4623" max="4623" width="12.265625" customWidth="1"/>
    <col min="4624" max="4624" width="11.59765625" bestFit="1" customWidth="1"/>
    <col min="4625" max="4625" width="11.73046875" customWidth="1"/>
    <col min="4865" max="4865" width="4.1328125" customWidth="1"/>
    <col min="4869" max="4869" width="13.1328125" customWidth="1"/>
    <col min="4870" max="4870" width="8.86328125" customWidth="1"/>
    <col min="4871" max="4871" width="26.73046875" customWidth="1"/>
    <col min="4872" max="4873" width="9.73046875" customWidth="1"/>
    <col min="4874" max="4874" width="11.73046875" customWidth="1"/>
    <col min="4877" max="4877" width="10.3984375" customWidth="1"/>
    <col min="4879" max="4879" width="12.265625" customWidth="1"/>
    <col min="4880" max="4880" width="11.59765625" bestFit="1" customWidth="1"/>
    <col min="4881" max="4881" width="11.73046875" customWidth="1"/>
    <col min="5121" max="5121" width="4.1328125" customWidth="1"/>
    <col min="5125" max="5125" width="13.1328125" customWidth="1"/>
    <col min="5126" max="5126" width="8.86328125" customWidth="1"/>
    <col min="5127" max="5127" width="26.73046875" customWidth="1"/>
    <col min="5128" max="5129" width="9.73046875" customWidth="1"/>
    <col min="5130" max="5130" width="11.73046875" customWidth="1"/>
    <col min="5133" max="5133" width="10.3984375" customWidth="1"/>
    <col min="5135" max="5135" width="12.265625" customWidth="1"/>
    <col min="5136" max="5136" width="11.59765625" bestFit="1" customWidth="1"/>
    <col min="5137" max="5137" width="11.73046875" customWidth="1"/>
    <col min="5377" max="5377" width="4.1328125" customWidth="1"/>
    <col min="5381" max="5381" width="13.1328125" customWidth="1"/>
    <col min="5382" max="5382" width="8.86328125" customWidth="1"/>
    <col min="5383" max="5383" width="26.73046875" customWidth="1"/>
    <col min="5384" max="5385" width="9.73046875" customWidth="1"/>
    <col min="5386" max="5386" width="11.73046875" customWidth="1"/>
    <col min="5389" max="5389" width="10.3984375" customWidth="1"/>
    <col min="5391" max="5391" width="12.265625" customWidth="1"/>
    <col min="5392" max="5392" width="11.59765625" bestFit="1" customWidth="1"/>
    <col min="5393" max="5393" width="11.73046875" customWidth="1"/>
    <col min="5633" max="5633" width="4.1328125" customWidth="1"/>
    <col min="5637" max="5637" width="13.1328125" customWidth="1"/>
    <col min="5638" max="5638" width="8.86328125" customWidth="1"/>
    <col min="5639" max="5639" width="26.73046875" customWidth="1"/>
    <col min="5640" max="5641" width="9.73046875" customWidth="1"/>
    <col min="5642" max="5642" width="11.73046875" customWidth="1"/>
    <col min="5645" max="5645" width="10.3984375" customWidth="1"/>
    <col min="5647" max="5647" width="12.265625" customWidth="1"/>
    <col min="5648" max="5648" width="11.59765625" bestFit="1" customWidth="1"/>
    <col min="5649" max="5649" width="11.73046875" customWidth="1"/>
    <col min="5889" max="5889" width="4.1328125" customWidth="1"/>
    <col min="5893" max="5893" width="13.1328125" customWidth="1"/>
    <col min="5894" max="5894" width="8.86328125" customWidth="1"/>
    <col min="5895" max="5895" width="26.73046875" customWidth="1"/>
    <col min="5896" max="5897" width="9.73046875" customWidth="1"/>
    <col min="5898" max="5898" width="11.73046875" customWidth="1"/>
    <col min="5901" max="5901" width="10.3984375" customWidth="1"/>
    <col min="5903" max="5903" width="12.265625" customWidth="1"/>
    <col min="5904" max="5904" width="11.59765625" bestFit="1" customWidth="1"/>
    <col min="5905" max="5905" width="11.73046875" customWidth="1"/>
    <col min="6145" max="6145" width="4.1328125" customWidth="1"/>
    <col min="6149" max="6149" width="13.1328125" customWidth="1"/>
    <col min="6150" max="6150" width="8.86328125" customWidth="1"/>
    <col min="6151" max="6151" width="26.73046875" customWidth="1"/>
    <col min="6152" max="6153" width="9.73046875" customWidth="1"/>
    <col min="6154" max="6154" width="11.73046875" customWidth="1"/>
    <col min="6157" max="6157" width="10.3984375" customWidth="1"/>
    <col min="6159" max="6159" width="12.265625" customWidth="1"/>
    <col min="6160" max="6160" width="11.59765625" bestFit="1" customWidth="1"/>
    <col min="6161" max="6161" width="11.73046875" customWidth="1"/>
    <col min="6401" max="6401" width="4.1328125" customWidth="1"/>
    <col min="6405" max="6405" width="13.1328125" customWidth="1"/>
    <col min="6406" max="6406" width="8.86328125" customWidth="1"/>
    <col min="6407" max="6407" width="26.73046875" customWidth="1"/>
    <col min="6408" max="6409" width="9.73046875" customWidth="1"/>
    <col min="6410" max="6410" width="11.73046875" customWidth="1"/>
    <col min="6413" max="6413" width="10.3984375" customWidth="1"/>
    <col min="6415" max="6415" width="12.265625" customWidth="1"/>
    <col min="6416" max="6416" width="11.59765625" bestFit="1" customWidth="1"/>
    <col min="6417" max="6417" width="11.73046875" customWidth="1"/>
    <col min="6657" max="6657" width="4.1328125" customWidth="1"/>
    <col min="6661" max="6661" width="13.1328125" customWidth="1"/>
    <col min="6662" max="6662" width="8.86328125" customWidth="1"/>
    <col min="6663" max="6663" width="26.73046875" customWidth="1"/>
    <col min="6664" max="6665" width="9.73046875" customWidth="1"/>
    <col min="6666" max="6666" width="11.73046875" customWidth="1"/>
    <col min="6669" max="6669" width="10.3984375" customWidth="1"/>
    <col min="6671" max="6671" width="12.265625" customWidth="1"/>
    <col min="6672" max="6672" width="11.59765625" bestFit="1" customWidth="1"/>
    <col min="6673" max="6673" width="11.73046875" customWidth="1"/>
    <col min="6913" max="6913" width="4.1328125" customWidth="1"/>
    <col min="6917" max="6917" width="13.1328125" customWidth="1"/>
    <col min="6918" max="6918" width="8.86328125" customWidth="1"/>
    <col min="6919" max="6919" width="26.73046875" customWidth="1"/>
    <col min="6920" max="6921" width="9.73046875" customWidth="1"/>
    <col min="6922" max="6922" width="11.73046875" customWidth="1"/>
    <col min="6925" max="6925" width="10.3984375" customWidth="1"/>
    <col min="6927" max="6927" width="12.265625" customWidth="1"/>
    <col min="6928" max="6928" width="11.59765625" bestFit="1" customWidth="1"/>
    <col min="6929" max="6929" width="11.73046875" customWidth="1"/>
    <col min="7169" max="7169" width="4.1328125" customWidth="1"/>
    <col min="7173" max="7173" width="13.1328125" customWidth="1"/>
    <col min="7174" max="7174" width="8.86328125" customWidth="1"/>
    <col min="7175" max="7175" width="26.73046875" customWidth="1"/>
    <col min="7176" max="7177" width="9.73046875" customWidth="1"/>
    <col min="7178" max="7178" width="11.73046875" customWidth="1"/>
    <col min="7181" max="7181" width="10.3984375" customWidth="1"/>
    <col min="7183" max="7183" width="12.265625" customWidth="1"/>
    <col min="7184" max="7184" width="11.59765625" bestFit="1" customWidth="1"/>
    <col min="7185" max="7185" width="11.73046875" customWidth="1"/>
    <col min="7425" max="7425" width="4.1328125" customWidth="1"/>
    <col min="7429" max="7429" width="13.1328125" customWidth="1"/>
    <col min="7430" max="7430" width="8.86328125" customWidth="1"/>
    <col min="7431" max="7431" width="26.73046875" customWidth="1"/>
    <col min="7432" max="7433" width="9.73046875" customWidth="1"/>
    <col min="7434" max="7434" width="11.73046875" customWidth="1"/>
    <col min="7437" max="7437" width="10.3984375" customWidth="1"/>
    <col min="7439" max="7439" width="12.265625" customWidth="1"/>
    <col min="7440" max="7440" width="11.59765625" bestFit="1" customWidth="1"/>
    <col min="7441" max="7441" width="11.73046875" customWidth="1"/>
    <col min="7681" max="7681" width="4.1328125" customWidth="1"/>
    <col min="7685" max="7685" width="13.1328125" customWidth="1"/>
    <col min="7686" max="7686" width="8.86328125" customWidth="1"/>
    <col min="7687" max="7687" width="26.73046875" customWidth="1"/>
    <col min="7688" max="7689" width="9.73046875" customWidth="1"/>
    <col min="7690" max="7690" width="11.73046875" customWidth="1"/>
    <col min="7693" max="7693" width="10.3984375" customWidth="1"/>
    <col min="7695" max="7695" width="12.265625" customWidth="1"/>
    <col min="7696" max="7696" width="11.59765625" bestFit="1" customWidth="1"/>
    <col min="7697" max="7697" width="11.73046875" customWidth="1"/>
    <col min="7937" max="7937" width="4.1328125" customWidth="1"/>
    <col min="7941" max="7941" width="13.1328125" customWidth="1"/>
    <col min="7942" max="7942" width="8.86328125" customWidth="1"/>
    <col min="7943" max="7943" width="26.73046875" customWidth="1"/>
    <col min="7944" max="7945" width="9.73046875" customWidth="1"/>
    <col min="7946" max="7946" width="11.73046875" customWidth="1"/>
    <col min="7949" max="7949" width="10.3984375" customWidth="1"/>
    <col min="7951" max="7951" width="12.265625" customWidth="1"/>
    <col min="7952" max="7952" width="11.59765625" bestFit="1" customWidth="1"/>
    <col min="7953" max="7953" width="11.73046875" customWidth="1"/>
    <col min="8193" max="8193" width="4.1328125" customWidth="1"/>
    <col min="8197" max="8197" width="13.1328125" customWidth="1"/>
    <col min="8198" max="8198" width="8.86328125" customWidth="1"/>
    <col min="8199" max="8199" width="26.73046875" customWidth="1"/>
    <col min="8200" max="8201" width="9.73046875" customWidth="1"/>
    <col min="8202" max="8202" width="11.73046875" customWidth="1"/>
    <col min="8205" max="8205" width="10.3984375" customWidth="1"/>
    <col min="8207" max="8207" width="12.265625" customWidth="1"/>
    <col min="8208" max="8208" width="11.59765625" bestFit="1" customWidth="1"/>
    <col min="8209" max="8209" width="11.73046875" customWidth="1"/>
    <col min="8449" max="8449" width="4.1328125" customWidth="1"/>
    <col min="8453" max="8453" width="13.1328125" customWidth="1"/>
    <col min="8454" max="8454" width="8.86328125" customWidth="1"/>
    <col min="8455" max="8455" width="26.73046875" customWidth="1"/>
    <col min="8456" max="8457" width="9.73046875" customWidth="1"/>
    <col min="8458" max="8458" width="11.73046875" customWidth="1"/>
    <col min="8461" max="8461" width="10.3984375" customWidth="1"/>
    <col min="8463" max="8463" width="12.265625" customWidth="1"/>
    <col min="8464" max="8464" width="11.59765625" bestFit="1" customWidth="1"/>
    <col min="8465" max="8465" width="11.73046875" customWidth="1"/>
    <col min="8705" max="8705" width="4.1328125" customWidth="1"/>
    <col min="8709" max="8709" width="13.1328125" customWidth="1"/>
    <col min="8710" max="8710" width="8.86328125" customWidth="1"/>
    <col min="8711" max="8711" width="26.73046875" customWidth="1"/>
    <col min="8712" max="8713" width="9.73046875" customWidth="1"/>
    <col min="8714" max="8714" width="11.73046875" customWidth="1"/>
    <col min="8717" max="8717" width="10.3984375" customWidth="1"/>
    <col min="8719" max="8719" width="12.265625" customWidth="1"/>
    <col min="8720" max="8720" width="11.59765625" bestFit="1" customWidth="1"/>
    <col min="8721" max="8721" width="11.73046875" customWidth="1"/>
    <col min="8961" max="8961" width="4.1328125" customWidth="1"/>
    <col min="8965" max="8965" width="13.1328125" customWidth="1"/>
    <col min="8966" max="8966" width="8.86328125" customWidth="1"/>
    <col min="8967" max="8967" width="26.73046875" customWidth="1"/>
    <col min="8968" max="8969" width="9.73046875" customWidth="1"/>
    <col min="8970" max="8970" width="11.73046875" customWidth="1"/>
    <col min="8973" max="8973" width="10.3984375" customWidth="1"/>
    <col min="8975" max="8975" width="12.265625" customWidth="1"/>
    <col min="8976" max="8976" width="11.59765625" bestFit="1" customWidth="1"/>
    <col min="8977" max="8977" width="11.73046875" customWidth="1"/>
    <col min="9217" max="9217" width="4.1328125" customWidth="1"/>
    <col min="9221" max="9221" width="13.1328125" customWidth="1"/>
    <col min="9222" max="9222" width="8.86328125" customWidth="1"/>
    <col min="9223" max="9223" width="26.73046875" customWidth="1"/>
    <col min="9224" max="9225" width="9.73046875" customWidth="1"/>
    <col min="9226" max="9226" width="11.73046875" customWidth="1"/>
    <col min="9229" max="9229" width="10.3984375" customWidth="1"/>
    <col min="9231" max="9231" width="12.265625" customWidth="1"/>
    <col min="9232" max="9232" width="11.59765625" bestFit="1" customWidth="1"/>
    <col min="9233" max="9233" width="11.73046875" customWidth="1"/>
    <col min="9473" max="9473" width="4.1328125" customWidth="1"/>
    <col min="9477" max="9477" width="13.1328125" customWidth="1"/>
    <col min="9478" max="9478" width="8.86328125" customWidth="1"/>
    <col min="9479" max="9479" width="26.73046875" customWidth="1"/>
    <col min="9480" max="9481" width="9.73046875" customWidth="1"/>
    <col min="9482" max="9482" width="11.73046875" customWidth="1"/>
    <col min="9485" max="9485" width="10.3984375" customWidth="1"/>
    <col min="9487" max="9487" width="12.265625" customWidth="1"/>
    <col min="9488" max="9488" width="11.59765625" bestFit="1" customWidth="1"/>
    <col min="9489" max="9489" width="11.73046875" customWidth="1"/>
    <col min="9729" max="9729" width="4.1328125" customWidth="1"/>
    <col min="9733" max="9733" width="13.1328125" customWidth="1"/>
    <col min="9734" max="9734" width="8.86328125" customWidth="1"/>
    <col min="9735" max="9735" width="26.73046875" customWidth="1"/>
    <col min="9736" max="9737" width="9.73046875" customWidth="1"/>
    <col min="9738" max="9738" width="11.73046875" customWidth="1"/>
    <col min="9741" max="9741" width="10.3984375" customWidth="1"/>
    <col min="9743" max="9743" width="12.265625" customWidth="1"/>
    <col min="9744" max="9744" width="11.59765625" bestFit="1" customWidth="1"/>
    <col min="9745" max="9745" width="11.73046875" customWidth="1"/>
    <col min="9985" max="9985" width="4.1328125" customWidth="1"/>
    <col min="9989" max="9989" width="13.1328125" customWidth="1"/>
    <col min="9990" max="9990" width="8.86328125" customWidth="1"/>
    <col min="9991" max="9991" width="26.73046875" customWidth="1"/>
    <col min="9992" max="9993" width="9.73046875" customWidth="1"/>
    <col min="9994" max="9994" width="11.73046875" customWidth="1"/>
    <col min="9997" max="9997" width="10.3984375" customWidth="1"/>
    <col min="9999" max="9999" width="12.265625" customWidth="1"/>
    <col min="10000" max="10000" width="11.59765625" bestFit="1" customWidth="1"/>
    <col min="10001" max="10001" width="11.73046875" customWidth="1"/>
    <col min="10241" max="10241" width="4.1328125" customWidth="1"/>
    <col min="10245" max="10245" width="13.1328125" customWidth="1"/>
    <col min="10246" max="10246" width="8.86328125" customWidth="1"/>
    <col min="10247" max="10247" width="26.73046875" customWidth="1"/>
    <col min="10248" max="10249" width="9.73046875" customWidth="1"/>
    <col min="10250" max="10250" width="11.73046875" customWidth="1"/>
    <col min="10253" max="10253" width="10.3984375" customWidth="1"/>
    <col min="10255" max="10255" width="12.265625" customWidth="1"/>
    <col min="10256" max="10256" width="11.59765625" bestFit="1" customWidth="1"/>
    <col min="10257" max="10257" width="11.73046875" customWidth="1"/>
    <col min="10497" max="10497" width="4.1328125" customWidth="1"/>
    <col min="10501" max="10501" width="13.1328125" customWidth="1"/>
    <col min="10502" max="10502" width="8.86328125" customWidth="1"/>
    <col min="10503" max="10503" width="26.73046875" customWidth="1"/>
    <col min="10504" max="10505" width="9.73046875" customWidth="1"/>
    <col min="10506" max="10506" width="11.73046875" customWidth="1"/>
    <col min="10509" max="10509" width="10.3984375" customWidth="1"/>
    <col min="10511" max="10511" width="12.265625" customWidth="1"/>
    <col min="10512" max="10512" width="11.59765625" bestFit="1" customWidth="1"/>
    <col min="10513" max="10513" width="11.73046875" customWidth="1"/>
    <col min="10753" max="10753" width="4.1328125" customWidth="1"/>
    <col min="10757" max="10757" width="13.1328125" customWidth="1"/>
    <col min="10758" max="10758" width="8.86328125" customWidth="1"/>
    <col min="10759" max="10759" width="26.73046875" customWidth="1"/>
    <col min="10760" max="10761" width="9.73046875" customWidth="1"/>
    <col min="10762" max="10762" width="11.73046875" customWidth="1"/>
    <col min="10765" max="10765" width="10.3984375" customWidth="1"/>
    <col min="10767" max="10767" width="12.265625" customWidth="1"/>
    <col min="10768" max="10768" width="11.59765625" bestFit="1" customWidth="1"/>
    <col min="10769" max="10769" width="11.73046875" customWidth="1"/>
    <col min="11009" max="11009" width="4.1328125" customWidth="1"/>
    <col min="11013" max="11013" width="13.1328125" customWidth="1"/>
    <col min="11014" max="11014" width="8.86328125" customWidth="1"/>
    <col min="11015" max="11015" width="26.73046875" customWidth="1"/>
    <col min="11016" max="11017" width="9.73046875" customWidth="1"/>
    <col min="11018" max="11018" width="11.73046875" customWidth="1"/>
    <col min="11021" max="11021" width="10.3984375" customWidth="1"/>
    <col min="11023" max="11023" width="12.265625" customWidth="1"/>
    <col min="11024" max="11024" width="11.59765625" bestFit="1" customWidth="1"/>
    <col min="11025" max="11025" width="11.73046875" customWidth="1"/>
    <col min="11265" max="11265" width="4.1328125" customWidth="1"/>
    <col min="11269" max="11269" width="13.1328125" customWidth="1"/>
    <col min="11270" max="11270" width="8.86328125" customWidth="1"/>
    <col min="11271" max="11271" width="26.73046875" customWidth="1"/>
    <col min="11272" max="11273" width="9.73046875" customWidth="1"/>
    <col min="11274" max="11274" width="11.73046875" customWidth="1"/>
    <col min="11277" max="11277" width="10.3984375" customWidth="1"/>
    <col min="11279" max="11279" width="12.265625" customWidth="1"/>
    <col min="11280" max="11280" width="11.59765625" bestFit="1" customWidth="1"/>
    <col min="11281" max="11281" width="11.73046875" customWidth="1"/>
    <col min="11521" max="11521" width="4.1328125" customWidth="1"/>
    <col min="11525" max="11525" width="13.1328125" customWidth="1"/>
    <col min="11526" max="11526" width="8.86328125" customWidth="1"/>
    <col min="11527" max="11527" width="26.73046875" customWidth="1"/>
    <col min="11528" max="11529" width="9.73046875" customWidth="1"/>
    <col min="11530" max="11530" width="11.73046875" customWidth="1"/>
    <col min="11533" max="11533" width="10.3984375" customWidth="1"/>
    <col min="11535" max="11535" width="12.265625" customWidth="1"/>
    <col min="11536" max="11536" width="11.59765625" bestFit="1" customWidth="1"/>
    <col min="11537" max="11537" width="11.73046875" customWidth="1"/>
    <col min="11777" max="11777" width="4.1328125" customWidth="1"/>
    <col min="11781" max="11781" width="13.1328125" customWidth="1"/>
    <col min="11782" max="11782" width="8.86328125" customWidth="1"/>
    <col min="11783" max="11783" width="26.73046875" customWidth="1"/>
    <col min="11784" max="11785" width="9.73046875" customWidth="1"/>
    <col min="11786" max="11786" width="11.73046875" customWidth="1"/>
    <col min="11789" max="11789" width="10.3984375" customWidth="1"/>
    <col min="11791" max="11791" width="12.265625" customWidth="1"/>
    <col min="11792" max="11792" width="11.59765625" bestFit="1" customWidth="1"/>
    <col min="11793" max="11793" width="11.73046875" customWidth="1"/>
    <col min="12033" max="12033" width="4.1328125" customWidth="1"/>
    <col min="12037" max="12037" width="13.1328125" customWidth="1"/>
    <col min="12038" max="12038" width="8.86328125" customWidth="1"/>
    <col min="12039" max="12039" width="26.73046875" customWidth="1"/>
    <col min="12040" max="12041" width="9.73046875" customWidth="1"/>
    <col min="12042" max="12042" width="11.73046875" customWidth="1"/>
    <col min="12045" max="12045" width="10.3984375" customWidth="1"/>
    <col min="12047" max="12047" width="12.265625" customWidth="1"/>
    <col min="12048" max="12048" width="11.59765625" bestFit="1" customWidth="1"/>
    <col min="12049" max="12049" width="11.73046875" customWidth="1"/>
    <col min="12289" max="12289" width="4.1328125" customWidth="1"/>
    <col min="12293" max="12293" width="13.1328125" customWidth="1"/>
    <col min="12294" max="12294" width="8.86328125" customWidth="1"/>
    <col min="12295" max="12295" width="26.73046875" customWidth="1"/>
    <col min="12296" max="12297" width="9.73046875" customWidth="1"/>
    <col min="12298" max="12298" width="11.73046875" customWidth="1"/>
    <col min="12301" max="12301" width="10.3984375" customWidth="1"/>
    <col min="12303" max="12303" width="12.265625" customWidth="1"/>
    <col min="12304" max="12304" width="11.59765625" bestFit="1" customWidth="1"/>
    <col min="12305" max="12305" width="11.73046875" customWidth="1"/>
    <col min="12545" max="12545" width="4.1328125" customWidth="1"/>
    <col min="12549" max="12549" width="13.1328125" customWidth="1"/>
    <col min="12550" max="12550" width="8.86328125" customWidth="1"/>
    <col min="12551" max="12551" width="26.73046875" customWidth="1"/>
    <col min="12552" max="12553" width="9.73046875" customWidth="1"/>
    <col min="12554" max="12554" width="11.73046875" customWidth="1"/>
    <col min="12557" max="12557" width="10.3984375" customWidth="1"/>
    <col min="12559" max="12559" width="12.265625" customWidth="1"/>
    <col min="12560" max="12560" width="11.59765625" bestFit="1" customWidth="1"/>
    <col min="12561" max="12561" width="11.73046875" customWidth="1"/>
    <col min="12801" max="12801" width="4.1328125" customWidth="1"/>
    <col min="12805" max="12805" width="13.1328125" customWidth="1"/>
    <col min="12806" max="12806" width="8.86328125" customWidth="1"/>
    <col min="12807" max="12807" width="26.73046875" customWidth="1"/>
    <col min="12808" max="12809" width="9.73046875" customWidth="1"/>
    <col min="12810" max="12810" width="11.73046875" customWidth="1"/>
    <col min="12813" max="12813" width="10.3984375" customWidth="1"/>
    <col min="12815" max="12815" width="12.265625" customWidth="1"/>
    <col min="12816" max="12816" width="11.59765625" bestFit="1" customWidth="1"/>
    <col min="12817" max="12817" width="11.73046875" customWidth="1"/>
    <col min="13057" max="13057" width="4.1328125" customWidth="1"/>
    <col min="13061" max="13061" width="13.1328125" customWidth="1"/>
    <col min="13062" max="13062" width="8.86328125" customWidth="1"/>
    <col min="13063" max="13063" width="26.73046875" customWidth="1"/>
    <col min="13064" max="13065" width="9.73046875" customWidth="1"/>
    <col min="13066" max="13066" width="11.73046875" customWidth="1"/>
    <col min="13069" max="13069" width="10.3984375" customWidth="1"/>
    <col min="13071" max="13071" width="12.265625" customWidth="1"/>
    <col min="13072" max="13072" width="11.59765625" bestFit="1" customWidth="1"/>
    <col min="13073" max="13073" width="11.73046875" customWidth="1"/>
    <col min="13313" max="13313" width="4.1328125" customWidth="1"/>
    <col min="13317" max="13317" width="13.1328125" customWidth="1"/>
    <col min="13318" max="13318" width="8.86328125" customWidth="1"/>
    <col min="13319" max="13319" width="26.73046875" customWidth="1"/>
    <col min="13320" max="13321" width="9.73046875" customWidth="1"/>
    <col min="13322" max="13322" width="11.73046875" customWidth="1"/>
    <col min="13325" max="13325" width="10.3984375" customWidth="1"/>
    <col min="13327" max="13327" width="12.265625" customWidth="1"/>
    <col min="13328" max="13328" width="11.59765625" bestFit="1" customWidth="1"/>
    <col min="13329" max="13329" width="11.73046875" customWidth="1"/>
    <col min="13569" max="13569" width="4.1328125" customWidth="1"/>
    <col min="13573" max="13573" width="13.1328125" customWidth="1"/>
    <col min="13574" max="13574" width="8.86328125" customWidth="1"/>
    <col min="13575" max="13575" width="26.73046875" customWidth="1"/>
    <col min="13576" max="13577" width="9.73046875" customWidth="1"/>
    <col min="13578" max="13578" width="11.73046875" customWidth="1"/>
    <col min="13581" max="13581" width="10.3984375" customWidth="1"/>
    <col min="13583" max="13583" width="12.265625" customWidth="1"/>
    <col min="13584" max="13584" width="11.59765625" bestFit="1" customWidth="1"/>
    <col min="13585" max="13585" width="11.73046875" customWidth="1"/>
    <col min="13825" max="13825" width="4.1328125" customWidth="1"/>
    <col min="13829" max="13829" width="13.1328125" customWidth="1"/>
    <col min="13830" max="13830" width="8.86328125" customWidth="1"/>
    <col min="13831" max="13831" width="26.73046875" customWidth="1"/>
    <col min="13832" max="13833" width="9.73046875" customWidth="1"/>
    <col min="13834" max="13834" width="11.73046875" customWidth="1"/>
    <col min="13837" max="13837" width="10.3984375" customWidth="1"/>
    <col min="13839" max="13839" width="12.265625" customWidth="1"/>
    <col min="13840" max="13840" width="11.59765625" bestFit="1" customWidth="1"/>
    <col min="13841" max="13841" width="11.73046875" customWidth="1"/>
    <col min="14081" max="14081" width="4.1328125" customWidth="1"/>
    <col min="14085" max="14085" width="13.1328125" customWidth="1"/>
    <col min="14086" max="14086" width="8.86328125" customWidth="1"/>
    <col min="14087" max="14087" width="26.73046875" customWidth="1"/>
    <col min="14088" max="14089" width="9.73046875" customWidth="1"/>
    <col min="14090" max="14090" width="11.73046875" customWidth="1"/>
    <col min="14093" max="14093" width="10.3984375" customWidth="1"/>
    <col min="14095" max="14095" width="12.265625" customWidth="1"/>
    <col min="14096" max="14096" width="11.59765625" bestFit="1" customWidth="1"/>
    <col min="14097" max="14097" width="11.73046875" customWidth="1"/>
    <col min="14337" max="14337" width="4.1328125" customWidth="1"/>
    <col min="14341" max="14341" width="13.1328125" customWidth="1"/>
    <col min="14342" max="14342" width="8.86328125" customWidth="1"/>
    <col min="14343" max="14343" width="26.73046875" customWidth="1"/>
    <col min="14344" max="14345" width="9.73046875" customWidth="1"/>
    <col min="14346" max="14346" width="11.73046875" customWidth="1"/>
    <col min="14349" max="14349" width="10.3984375" customWidth="1"/>
    <col min="14351" max="14351" width="12.265625" customWidth="1"/>
    <col min="14352" max="14352" width="11.59765625" bestFit="1" customWidth="1"/>
    <col min="14353" max="14353" width="11.73046875" customWidth="1"/>
    <col min="14593" max="14593" width="4.1328125" customWidth="1"/>
    <col min="14597" max="14597" width="13.1328125" customWidth="1"/>
    <col min="14598" max="14598" width="8.86328125" customWidth="1"/>
    <col min="14599" max="14599" width="26.73046875" customWidth="1"/>
    <col min="14600" max="14601" width="9.73046875" customWidth="1"/>
    <col min="14602" max="14602" width="11.73046875" customWidth="1"/>
    <col min="14605" max="14605" width="10.3984375" customWidth="1"/>
    <col min="14607" max="14607" width="12.265625" customWidth="1"/>
    <col min="14608" max="14608" width="11.59765625" bestFit="1" customWidth="1"/>
    <col min="14609" max="14609" width="11.73046875" customWidth="1"/>
    <col min="14849" max="14849" width="4.1328125" customWidth="1"/>
    <col min="14853" max="14853" width="13.1328125" customWidth="1"/>
    <col min="14854" max="14854" width="8.86328125" customWidth="1"/>
    <col min="14855" max="14855" width="26.73046875" customWidth="1"/>
    <col min="14856" max="14857" width="9.73046875" customWidth="1"/>
    <col min="14858" max="14858" width="11.73046875" customWidth="1"/>
    <col min="14861" max="14861" width="10.3984375" customWidth="1"/>
    <col min="14863" max="14863" width="12.265625" customWidth="1"/>
    <col min="14864" max="14864" width="11.59765625" bestFit="1" customWidth="1"/>
    <col min="14865" max="14865" width="11.73046875" customWidth="1"/>
    <col min="15105" max="15105" width="4.1328125" customWidth="1"/>
    <col min="15109" max="15109" width="13.1328125" customWidth="1"/>
    <col min="15110" max="15110" width="8.86328125" customWidth="1"/>
    <col min="15111" max="15111" width="26.73046875" customWidth="1"/>
    <col min="15112" max="15113" width="9.73046875" customWidth="1"/>
    <col min="15114" max="15114" width="11.73046875" customWidth="1"/>
    <col min="15117" max="15117" width="10.3984375" customWidth="1"/>
    <col min="15119" max="15119" width="12.265625" customWidth="1"/>
    <col min="15120" max="15120" width="11.59765625" bestFit="1" customWidth="1"/>
    <col min="15121" max="15121" width="11.73046875" customWidth="1"/>
    <col min="15361" max="15361" width="4.1328125" customWidth="1"/>
    <col min="15365" max="15365" width="13.1328125" customWidth="1"/>
    <col min="15366" max="15366" width="8.86328125" customWidth="1"/>
    <col min="15367" max="15367" width="26.73046875" customWidth="1"/>
    <col min="15368" max="15369" width="9.73046875" customWidth="1"/>
    <col min="15370" max="15370" width="11.73046875" customWidth="1"/>
    <col min="15373" max="15373" width="10.3984375" customWidth="1"/>
    <col min="15375" max="15375" width="12.265625" customWidth="1"/>
    <col min="15376" max="15376" width="11.59765625" bestFit="1" customWidth="1"/>
    <col min="15377" max="15377" width="11.73046875" customWidth="1"/>
    <col min="15617" max="15617" width="4.1328125" customWidth="1"/>
    <col min="15621" max="15621" width="13.1328125" customWidth="1"/>
    <col min="15622" max="15622" width="8.86328125" customWidth="1"/>
    <col min="15623" max="15623" width="26.73046875" customWidth="1"/>
    <col min="15624" max="15625" width="9.73046875" customWidth="1"/>
    <col min="15626" max="15626" width="11.73046875" customWidth="1"/>
    <col min="15629" max="15629" width="10.3984375" customWidth="1"/>
    <col min="15631" max="15631" width="12.265625" customWidth="1"/>
    <col min="15632" max="15632" width="11.59765625" bestFit="1" customWidth="1"/>
    <col min="15633" max="15633" width="11.73046875" customWidth="1"/>
    <col min="15873" max="15873" width="4.1328125" customWidth="1"/>
    <col min="15877" max="15877" width="13.1328125" customWidth="1"/>
    <col min="15878" max="15878" width="8.86328125" customWidth="1"/>
    <col min="15879" max="15879" width="26.73046875" customWidth="1"/>
    <col min="15880" max="15881" width="9.73046875" customWidth="1"/>
    <col min="15882" max="15882" width="11.73046875" customWidth="1"/>
    <col min="15885" max="15885" width="10.3984375" customWidth="1"/>
    <col min="15887" max="15887" width="12.265625" customWidth="1"/>
    <col min="15888" max="15888" width="11.59765625" bestFit="1" customWidth="1"/>
    <col min="15889" max="15889" width="11.73046875" customWidth="1"/>
    <col min="16129" max="16129" width="4.1328125" customWidth="1"/>
    <col min="16133" max="16133" width="13.1328125" customWidth="1"/>
    <col min="16134" max="16134" width="8.86328125" customWidth="1"/>
    <col min="16135" max="16135" width="26.73046875" customWidth="1"/>
    <col min="16136" max="16137" width="9.73046875" customWidth="1"/>
    <col min="16138" max="16138" width="11.73046875" customWidth="1"/>
    <col min="16141" max="16141" width="10.3984375" customWidth="1"/>
    <col min="16143" max="16143" width="12.265625" customWidth="1"/>
    <col min="16144" max="16144" width="11.59765625" bestFit="1" customWidth="1"/>
    <col min="16145" max="16145" width="11.73046875" customWidth="1"/>
  </cols>
  <sheetData>
    <row r="1" spans="2:34" x14ac:dyDescent="0.45">
      <c r="I1" s="3"/>
    </row>
    <row r="2" spans="2:34" x14ac:dyDescent="0.45">
      <c r="I2" s="3"/>
    </row>
    <row r="3" spans="2:34" x14ac:dyDescent="0.45">
      <c r="B3" s="5" t="s">
        <v>391</v>
      </c>
      <c r="I3" s="3"/>
    </row>
    <row r="4" spans="2:34" x14ac:dyDescent="0.45">
      <c r="I4" s="3"/>
    </row>
    <row r="5" spans="2:34" x14ac:dyDescent="0.45">
      <c r="B5" s="5"/>
      <c r="C5" s="4" t="s">
        <v>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2:34" x14ac:dyDescent="0.45">
      <c r="B6" s="5"/>
      <c r="C6" s="4" t="s">
        <v>8</v>
      </c>
      <c r="D6" s="5" t="s">
        <v>6</v>
      </c>
      <c r="E6" s="5" t="s">
        <v>21</v>
      </c>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2:34" x14ac:dyDescent="0.45">
      <c r="B7" s="5"/>
      <c r="C7" s="4" t="s">
        <v>9</v>
      </c>
      <c r="D7" s="5" t="s">
        <v>0</v>
      </c>
      <c r="E7" s="5" t="s">
        <v>22</v>
      </c>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2:34" x14ac:dyDescent="0.45">
      <c r="B8" s="5"/>
      <c r="C8" s="4" t="s">
        <v>10</v>
      </c>
      <c r="D8" s="5" t="s">
        <v>7</v>
      </c>
      <c r="E8" s="5" t="s">
        <v>23</v>
      </c>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2:34" x14ac:dyDescent="0.45">
      <c r="B9" s="5"/>
      <c r="C9" s="4" t="s">
        <v>11</v>
      </c>
      <c r="D9" s="5" t="s">
        <v>7</v>
      </c>
      <c r="E9" s="5" t="s">
        <v>24</v>
      </c>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2:34" x14ac:dyDescent="0.45">
      <c r="B10" s="5"/>
      <c r="C10" s="4"/>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2:34" x14ac:dyDescent="0.45">
      <c r="B11" s="5"/>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2:34" x14ac:dyDescent="0.45">
      <c r="B12" s="5"/>
      <c r="C12" s="4" t="s">
        <v>14</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2:34" x14ac:dyDescent="0.45">
      <c r="B13" s="5"/>
      <c r="C13" s="4" t="s">
        <v>12</v>
      </c>
      <c r="D13" s="5" t="s">
        <v>19</v>
      </c>
      <c r="E13" s="5" t="s">
        <v>29</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row>
    <row r="14" spans="2:34" x14ac:dyDescent="0.45">
      <c r="B14" s="5"/>
      <c r="C14" s="4" t="s">
        <v>15</v>
      </c>
      <c r="D14" s="5" t="s">
        <v>3</v>
      </c>
      <c r="E14" s="5" t="s">
        <v>28</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2:34" x14ac:dyDescent="0.45">
      <c r="B15" s="5"/>
      <c r="C15" s="4" t="s">
        <v>16</v>
      </c>
      <c r="D15" s="5" t="s">
        <v>2</v>
      </c>
      <c r="E15" s="5" t="s">
        <v>27</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row>
    <row r="16" spans="2:34" x14ac:dyDescent="0.45">
      <c r="B16" s="5"/>
      <c r="C16" s="4" t="s">
        <v>17</v>
      </c>
      <c r="D16" s="5" t="s">
        <v>20</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row>
    <row r="17" spans="2:34" x14ac:dyDescent="0.45">
      <c r="B17" s="5"/>
      <c r="C17" s="4" t="s">
        <v>18</v>
      </c>
      <c r="D17" s="5" t="s">
        <v>1</v>
      </c>
      <c r="E17" s="5" t="s">
        <v>25</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row>
  </sheetData>
  <dataValidations count="1">
    <dataValidation type="list" allowBlank="1" showInputMessage="1" showErrorMessage="1" sqref="E65517 WVM983021 WLQ983021 WBU983021 VRY983021 VIC983021 UYG983021 UOK983021 UEO983021 TUS983021 TKW983021 TBA983021 SRE983021 SHI983021 RXM983021 RNQ983021 RDU983021 QTY983021 QKC983021 QAG983021 PQK983021 PGO983021 OWS983021 OMW983021 ODA983021 NTE983021 NJI983021 MZM983021 MPQ983021 MFU983021 LVY983021 LMC983021 LCG983021 KSK983021 KIO983021 JYS983021 JOW983021 JFA983021 IVE983021 ILI983021 IBM983021 HRQ983021 HHU983021 GXY983021 GOC983021 GEG983021 FUK983021 FKO983021 FAS983021 EQW983021 EHA983021 DXE983021 DNI983021 DDM983021 CTQ983021 CJU983021 BZY983021 BQC983021 BGG983021 AWK983021 AMO983021 ACS983021 SW983021 JA983021 E983021 WVM917485 WLQ917485 WBU917485 VRY917485 VIC917485 UYG917485 UOK917485 UEO917485 TUS917485 TKW917485 TBA917485 SRE917485 SHI917485 RXM917485 RNQ917485 RDU917485 QTY917485 QKC917485 QAG917485 PQK917485 PGO917485 OWS917485 OMW917485 ODA917485 NTE917485 NJI917485 MZM917485 MPQ917485 MFU917485 LVY917485 LMC917485 LCG917485 KSK917485 KIO917485 JYS917485 JOW917485 JFA917485 IVE917485 ILI917485 IBM917485 HRQ917485 HHU917485 GXY917485 GOC917485 GEG917485 FUK917485 FKO917485 FAS917485 EQW917485 EHA917485 DXE917485 DNI917485 DDM917485 CTQ917485 CJU917485 BZY917485 BQC917485 BGG917485 AWK917485 AMO917485 ACS917485 SW917485 JA917485 E917485 WVM851949 WLQ851949 WBU851949 VRY851949 VIC851949 UYG851949 UOK851949 UEO851949 TUS851949 TKW851949 TBA851949 SRE851949 SHI851949 RXM851949 RNQ851949 RDU851949 QTY851949 QKC851949 QAG851949 PQK851949 PGO851949 OWS851949 OMW851949 ODA851949 NTE851949 NJI851949 MZM851949 MPQ851949 MFU851949 LVY851949 LMC851949 LCG851949 KSK851949 KIO851949 JYS851949 JOW851949 JFA851949 IVE851949 ILI851949 IBM851949 HRQ851949 HHU851949 GXY851949 GOC851949 GEG851949 FUK851949 FKO851949 FAS851949 EQW851949 EHA851949 DXE851949 DNI851949 DDM851949 CTQ851949 CJU851949 BZY851949 BQC851949 BGG851949 AWK851949 AMO851949 ACS851949 SW851949 JA851949 E851949 WVM786413 WLQ786413 WBU786413 VRY786413 VIC786413 UYG786413 UOK786413 UEO786413 TUS786413 TKW786413 TBA786413 SRE786413 SHI786413 RXM786413 RNQ786413 RDU786413 QTY786413 QKC786413 QAG786413 PQK786413 PGO786413 OWS786413 OMW786413 ODA786413 NTE786413 NJI786413 MZM786413 MPQ786413 MFU786413 LVY786413 LMC786413 LCG786413 KSK786413 KIO786413 JYS786413 JOW786413 JFA786413 IVE786413 ILI786413 IBM786413 HRQ786413 HHU786413 GXY786413 GOC786413 GEG786413 FUK786413 FKO786413 FAS786413 EQW786413 EHA786413 DXE786413 DNI786413 DDM786413 CTQ786413 CJU786413 BZY786413 BQC786413 BGG786413 AWK786413 AMO786413 ACS786413 SW786413 JA786413 E786413 WVM720877 WLQ720877 WBU720877 VRY720877 VIC720877 UYG720877 UOK720877 UEO720877 TUS720877 TKW720877 TBA720877 SRE720877 SHI720877 RXM720877 RNQ720877 RDU720877 QTY720877 QKC720877 QAG720877 PQK720877 PGO720877 OWS720877 OMW720877 ODA720877 NTE720877 NJI720877 MZM720877 MPQ720877 MFU720877 LVY720877 LMC720877 LCG720877 KSK720877 KIO720877 JYS720877 JOW720877 JFA720877 IVE720877 ILI720877 IBM720877 HRQ720877 HHU720877 GXY720877 GOC720877 GEG720877 FUK720877 FKO720877 FAS720877 EQW720877 EHA720877 DXE720877 DNI720877 DDM720877 CTQ720877 CJU720877 BZY720877 BQC720877 BGG720877 AWK720877 AMO720877 ACS720877 SW720877 JA720877 E720877 WVM655341 WLQ655341 WBU655341 VRY655341 VIC655341 UYG655341 UOK655341 UEO655341 TUS655341 TKW655341 TBA655341 SRE655341 SHI655341 RXM655341 RNQ655341 RDU655341 QTY655341 QKC655341 QAG655341 PQK655341 PGO655341 OWS655341 OMW655341 ODA655341 NTE655341 NJI655341 MZM655341 MPQ655341 MFU655341 LVY655341 LMC655341 LCG655341 KSK655341 KIO655341 JYS655341 JOW655341 JFA655341 IVE655341 ILI655341 IBM655341 HRQ655341 HHU655341 GXY655341 GOC655341 GEG655341 FUK655341 FKO655341 FAS655341 EQW655341 EHA655341 DXE655341 DNI655341 DDM655341 CTQ655341 CJU655341 BZY655341 BQC655341 BGG655341 AWK655341 AMO655341 ACS655341 SW655341 JA655341 E655341 WVM589805 WLQ589805 WBU589805 VRY589805 VIC589805 UYG589805 UOK589805 UEO589805 TUS589805 TKW589805 TBA589805 SRE589805 SHI589805 RXM589805 RNQ589805 RDU589805 QTY589805 QKC589805 QAG589805 PQK589805 PGO589805 OWS589805 OMW589805 ODA589805 NTE589805 NJI589805 MZM589805 MPQ589805 MFU589805 LVY589805 LMC589805 LCG589805 KSK589805 KIO589805 JYS589805 JOW589805 JFA589805 IVE589805 ILI589805 IBM589805 HRQ589805 HHU589805 GXY589805 GOC589805 GEG589805 FUK589805 FKO589805 FAS589805 EQW589805 EHA589805 DXE589805 DNI589805 DDM589805 CTQ589805 CJU589805 BZY589805 BQC589805 BGG589805 AWK589805 AMO589805 ACS589805 SW589805 JA589805 E589805 WVM524269 WLQ524269 WBU524269 VRY524269 VIC524269 UYG524269 UOK524269 UEO524269 TUS524269 TKW524269 TBA524269 SRE524269 SHI524269 RXM524269 RNQ524269 RDU524269 QTY524269 QKC524269 QAG524269 PQK524269 PGO524269 OWS524269 OMW524269 ODA524269 NTE524269 NJI524269 MZM524269 MPQ524269 MFU524269 LVY524269 LMC524269 LCG524269 KSK524269 KIO524269 JYS524269 JOW524269 JFA524269 IVE524269 ILI524269 IBM524269 HRQ524269 HHU524269 GXY524269 GOC524269 GEG524269 FUK524269 FKO524269 FAS524269 EQW524269 EHA524269 DXE524269 DNI524269 DDM524269 CTQ524269 CJU524269 BZY524269 BQC524269 BGG524269 AWK524269 AMO524269 ACS524269 SW524269 JA524269 E524269 WVM458733 WLQ458733 WBU458733 VRY458733 VIC458733 UYG458733 UOK458733 UEO458733 TUS458733 TKW458733 TBA458733 SRE458733 SHI458733 RXM458733 RNQ458733 RDU458733 QTY458733 QKC458733 QAG458733 PQK458733 PGO458733 OWS458733 OMW458733 ODA458733 NTE458733 NJI458733 MZM458733 MPQ458733 MFU458733 LVY458733 LMC458733 LCG458733 KSK458733 KIO458733 JYS458733 JOW458733 JFA458733 IVE458733 ILI458733 IBM458733 HRQ458733 HHU458733 GXY458733 GOC458733 GEG458733 FUK458733 FKO458733 FAS458733 EQW458733 EHA458733 DXE458733 DNI458733 DDM458733 CTQ458733 CJU458733 BZY458733 BQC458733 BGG458733 AWK458733 AMO458733 ACS458733 SW458733 JA458733 E458733 WVM393197 WLQ393197 WBU393197 VRY393197 VIC393197 UYG393197 UOK393197 UEO393197 TUS393197 TKW393197 TBA393197 SRE393197 SHI393197 RXM393197 RNQ393197 RDU393197 QTY393197 QKC393197 QAG393197 PQK393197 PGO393197 OWS393197 OMW393197 ODA393197 NTE393197 NJI393197 MZM393197 MPQ393197 MFU393197 LVY393197 LMC393197 LCG393197 KSK393197 KIO393197 JYS393197 JOW393197 JFA393197 IVE393197 ILI393197 IBM393197 HRQ393197 HHU393197 GXY393197 GOC393197 GEG393197 FUK393197 FKO393197 FAS393197 EQW393197 EHA393197 DXE393197 DNI393197 DDM393197 CTQ393197 CJU393197 BZY393197 BQC393197 BGG393197 AWK393197 AMO393197 ACS393197 SW393197 JA393197 E393197 WVM327661 WLQ327661 WBU327661 VRY327661 VIC327661 UYG327661 UOK327661 UEO327661 TUS327661 TKW327661 TBA327661 SRE327661 SHI327661 RXM327661 RNQ327661 RDU327661 QTY327661 QKC327661 QAG327661 PQK327661 PGO327661 OWS327661 OMW327661 ODA327661 NTE327661 NJI327661 MZM327661 MPQ327661 MFU327661 LVY327661 LMC327661 LCG327661 KSK327661 KIO327661 JYS327661 JOW327661 JFA327661 IVE327661 ILI327661 IBM327661 HRQ327661 HHU327661 GXY327661 GOC327661 GEG327661 FUK327661 FKO327661 FAS327661 EQW327661 EHA327661 DXE327661 DNI327661 DDM327661 CTQ327661 CJU327661 BZY327661 BQC327661 BGG327661 AWK327661 AMO327661 ACS327661 SW327661 JA327661 E327661 WVM262125 WLQ262125 WBU262125 VRY262125 VIC262125 UYG262125 UOK262125 UEO262125 TUS262125 TKW262125 TBA262125 SRE262125 SHI262125 RXM262125 RNQ262125 RDU262125 QTY262125 QKC262125 QAG262125 PQK262125 PGO262125 OWS262125 OMW262125 ODA262125 NTE262125 NJI262125 MZM262125 MPQ262125 MFU262125 LVY262125 LMC262125 LCG262125 KSK262125 KIO262125 JYS262125 JOW262125 JFA262125 IVE262125 ILI262125 IBM262125 HRQ262125 HHU262125 GXY262125 GOC262125 GEG262125 FUK262125 FKO262125 FAS262125 EQW262125 EHA262125 DXE262125 DNI262125 DDM262125 CTQ262125 CJU262125 BZY262125 BQC262125 BGG262125 AWK262125 AMO262125 ACS262125 SW262125 JA262125 E262125 WVM196589 WLQ196589 WBU196589 VRY196589 VIC196589 UYG196589 UOK196589 UEO196589 TUS196589 TKW196589 TBA196589 SRE196589 SHI196589 RXM196589 RNQ196589 RDU196589 QTY196589 QKC196589 QAG196589 PQK196589 PGO196589 OWS196589 OMW196589 ODA196589 NTE196589 NJI196589 MZM196589 MPQ196589 MFU196589 LVY196589 LMC196589 LCG196589 KSK196589 KIO196589 JYS196589 JOW196589 JFA196589 IVE196589 ILI196589 IBM196589 HRQ196589 HHU196589 GXY196589 GOC196589 GEG196589 FUK196589 FKO196589 FAS196589 EQW196589 EHA196589 DXE196589 DNI196589 DDM196589 CTQ196589 CJU196589 BZY196589 BQC196589 BGG196589 AWK196589 AMO196589 ACS196589 SW196589 JA196589 E196589 WVM131053 WLQ131053 WBU131053 VRY131053 VIC131053 UYG131053 UOK131053 UEO131053 TUS131053 TKW131053 TBA131053 SRE131053 SHI131053 RXM131053 RNQ131053 RDU131053 QTY131053 QKC131053 QAG131053 PQK131053 PGO131053 OWS131053 OMW131053 ODA131053 NTE131053 NJI131053 MZM131053 MPQ131053 MFU131053 LVY131053 LMC131053 LCG131053 KSK131053 KIO131053 JYS131053 JOW131053 JFA131053 IVE131053 ILI131053 IBM131053 HRQ131053 HHU131053 GXY131053 GOC131053 GEG131053 FUK131053 FKO131053 FAS131053 EQW131053 EHA131053 DXE131053 DNI131053 DDM131053 CTQ131053 CJU131053 BZY131053 BQC131053 BGG131053 AWK131053 AMO131053 ACS131053 SW131053 JA131053 E131053 WVM65517 WLQ65517 WBU65517 VRY65517 VIC65517 UYG65517 UOK65517 UEO65517 TUS65517 TKW65517 TBA65517 SRE65517 SHI65517 RXM65517 RNQ65517 RDU65517 QTY65517 QKC65517 QAG65517 PQK65517 PGO65517 OWS65517 OMW65517 ODA65517 NTE65517 NJI65517 MZM65517 MPQ65517 MFU65517 LVY65517 LMC65517 LCG65517 KSK65517 KIO65517 JYS65517 JOW65517 JFA65517 IVE65517 ILI65517 IBM65517 HRQ65517 HHU65517 GXY65517 GOC65517 GEG65517 FUK65517 FKO65517 FAS65517 EQW65517 EHA65517 DXE65517 DNI65517 DDM65517 CTQ65517 CJU65517 BZY65517 BQC65517 BGG65517 AWK65517 AMO65517 ACS65517 SW65517 JA65517 E65527 WVM983031 WLQ983031 WBU983031 VRY983031 VIC983031 UYG983031 UOK983031 UEO983031 TUS983031 TKW983031 TBA983031 SRE983031 SHI983031 RXM983031 RNQ983031 RDU983031 QTY983031 QKC983031 QAG983031 PQK983031 PGO983031 OWS983031 OMW983031 ODA983031 NTE983031 NJI983031 MZM983031 MPQ983031 MFU983031 LVY983031 LMC983031 LCG983031 KSK983031 KIO983031 JYS983031 JOW983031 JFA983031 IVE983031 ILI983031 IBM983031 HRQ983031 HHU983031 GXY983031 GOC983031 GEG983031 FUK983031 FKO983031 FAS983031 EQW983031 EHA983031 DXE983031 DNI983031 DDM983031 CTQ983031 CJU983031 BZY983031 BQC983031 BGG983031 AWK983031 AMO983031 ACS983031 SW983031 JA983031 E983031 WVM917495 WLQ917495 WBU917495 VRY917495 VIC917495 UYG917495 UOK917495 UEO917495 TUS917495 TKW917495 TBA917495 SRE917495 SHI917495 RXM917495 RNQ917495 RDU917495 QTY917495 QKC917495 QAG917495 PQK917495 PGO917495 OWS917495 OMW917495 ODA917495 NTE917495 NJI917495 MZM917495 MPQ917495 MFU917495 LVY917495 LMC917495 LCG917495 KSK917495 KIO917495 JYS917495 JOW917495 JFA917495 IVE917495 ILI917495 IBM917495 HRQ917495 HHU917495 GXY917495 GOC917495 GEG917495 FUK917495 FKO917495 FAS917495 EQW917495 EHA917495 DXE917495 DNI917495 DDM917495 CTQ917495 CJU917495 BZY917495 BQC917495 BGG917495 AWK917495 AMO917495 ACS917495 SW917495 JA917495 E917495 WVM851959 WLQ851959 WBU851959 VRY851959 VIC851959 UYG851959 UOK851959 UEO851959 TUS851959 TKW851959 TBA851959 SRE851959 SHI851959 RXM851959 RNQ851959 RDU851959 QTY851959 QKC851959 QAG851959 PQK851959 PGO851959 OWS851959 OMW851959 ODA851959 NTE851959 NJI851959 MZM851959 MPQ851959 MFU851959 LVY851959 LMC851959 LCG851959 KSK851959 KIO851959 JYS851959 JOW851959 JFA851959 IVE851959 ILI851959 IBM851959 HRQ851959 HHU851959 GXY851959 GOC851959 GEG851959 FUK851959 FKO851959 FAS851959 EQW851959 EHA851959 DXE851959 DNI851959 DDM851959 CTQ851959 CJU851959 BZY851959 BQC851959 BGG851959 AWK851959 AMO851959 ACS851959 SW851959 JA851959 E851959 WVM786423 WLQ786423 WBU786423 VRY786423 VIC786423 UYG786423 UOK786423 UEO786423 TUS786423 TKW786423 TBA786423 SRE786423 SHI786423 RXM786423 RNQ786423 RDU786423 QTY786423 QKC786423 QAG786423 PQK786423 PGO786423 OWS786423 OMW786423 ODA786423 NTE786423 NJI786423 MZM786423 MPQ786423 MFU786423 LVY786423 LMC786423 LCG786423 KSK786423 KIO786423 JYS786423 JOW786423 JFA786423 IVE786423 ILI786423 IBM786423 HRQ786423 HHU786423 GXY786423 GOC786423 GEG786423 FUK786423 FKO786423 FAS786423 EQW786423 EHA786423 DXE786423 DNI786423 DDM786423 CTQ786423 CJU786423 BZY786423 BQC786423 BGG786423 AWK786423 AMO786423 ACS786423 SW786423 JA786423 E786423 WVM720887 WLQ720887 WBU720887 VRY720887 VIC720887 UYG720887 UOK720887 UEO720887 TUS720887 TKW720887 TBA720887 SRE720887 SHI720887 RXM720887 RNQ720887 RDU720887 QTY720887 QKC720887 QAG720887 PQK720887 PGO720887 OWS720887 OMW720887 ODA720887 NTE720887 NJI720887 MZM720887 MPQ720887 MFU720887 LVY720887 LMC720887 LCG720887 KSK720887 KIO720887 JYS720887 JOW720887 JFA720887 IVE720887 ILI720887 IBM720887 HRQ720887 HHU720887 GXY720887 GOC720887 GEG720887 FUK720887 FKO720887 FAS720887 EQW720887 EHA720887 DXE720887 DNI720887 DDM720887 CTQ720887 CJU720887 BZY720887 BQC720887 BGG720887 AWK720887 AMO720887 ACS720887 SW720887 JA720887 E720887 WVM655351 WLQ655351 WBU655351 VRY655351 VIC655351 UYG655351 UOK655351 UEO655351 TUS655351 TKW655351 TBA655351 SRE655351 SHI655351 RXM655351 RNQ655351 RDU655351 QTY655351 QKC655351 QAG655351 PQK655351 PGO655351 OWS655351 OMW655351 ODA655351 NTE655351 NJI655351 MZM655351 MPQ655351 MFU655351 LVY655351 LMC655351 LCG655351 KSK655351 KIO655351 JYS655351 JOW655351 JFA655351 IVE655351 ILI655351 IBM655351 HRQ655351 HHU655351 GXY655351 GOC655351 GEG655351 FUK655351 FKO655351 FAS655351 EQW655351 EHA655351 DXE655351 DNI655351 DDM655351 CTQ655351 CJU655351 BZY655351 BQC655351 BGG655351 AWK655351 AMO655351 ACS655351 SW655351 JA655351 E655351 WVM589815 WLQ589815 WBU589815 VRY589815 VIC589815 UYG589815 UOK589815 UEO589815 TUS589815 TKW589815 TBA589815 SRE589815 SHI589815 RXM589815 RNQ589815 RDU589815 QTY589815 QKC589815 QAG589815 PQK589815 PGO589815 OWS589815 OMW589815 ODA589815 NTE589815 NJI589815 MZM589815 MPQ589815 MFU589815 LVY589815 LMC589815 LCG589815 KSK589815 KIO589815 JYS589815 JOW589815 JFA589815 IVE589815 ILI589815 IBM589815 HRQ589815 HHU589815 GXY589815 GOC589815 GEG589815 FUK589815 FKO589815 FAS589815 EQW589815 EHA589815 DXE589815 DNI589815 DDM589815 CTQ589815 CJU589815 BZY589815 BQC589815 BGG589815 AWK589815 AMO589815 ACS589815 SW589815 JA589815 E589815 WVM524279 WLQ524279 WBU524279 VRY524279 VIC524279 UYG524279 UOK524279 UEO524279 TUS524279 TKW524279 TBA524279 SRE524279 SHI524279 RXM524279 RNQ524279 RDU524279 QTY524279 QKC524279 QAG524279 PQK524279 PGO524279 OWS524279 OMW524279 ODA524279 NTE524279 NJI524279 MZM524279 MPQ524279 MFU524279 LVY524279 LMC524279 LCG524279 KSK524279 KIO524279 JYS524279 JOW524279 JFA524279 IVE524279 ILI524279 IBM524279 HRQ524279 HHU524279 GXY524279 GOC524279 GEG524279 FUK524279 FKO524279 FAS524279 EQW524279 EHA524279 DXE524279 DNI524279 DDM524279 CTQ524279 CJU524279 BZY524279 BQC524279 BGG524279 AWK524279 AMO524279 ACS524279 SW524279 JA524279 E524279 WVM458743 WLQ458743 WBU458743 VRY458743 VIC458743 UYG458743 UOK458743 UEO458743 TUS458743 TKW458743 TBA458743 SRE458743 SHI458743 RXM458743 RNQ458743 RDU458743 QTY458743 QKC458743 QAG458743 PQK458743 PGO458743 OWS458743 OMW458743 ODA458743 NTE458743 NJI458743 MZM458743 MPQ458743 MFU458743 LVY458743 LMC458743 LCG458743 KSK458743 KIO458743 JYS458743 JOW458743 JFA458743 IVE458743 ILI458743 IBM458743 HRQ458743 HHU458743 GXY458743 GOC458743 GEG458743 FUK458743 FKO458743 FAS458743 EQW458743 EHA458743 DXE458743 DNI458743 DDM458743 CTQ458743 CJU458743 BZY458743 BQC458743 BGG458743 AWK458743 AMO458743 ACS458743 SW458743 JA458743 E458743 WVM393207 WLQ393207 WBU393207 VRY393207 VIC393207 UYG393207 UOK393207 UEO393207 TUS393207 TKW393207 TBA393207 SRE393207 SHI393207 RXM393207 RNQ393207 RDU393207 QTY393207 QKC393207 QAG393207 PQK393207 PGO393207 OWS393207 OMW393207 ODA393207 NTE393207 NJI393207 MZM393207 MPQ393207 MFU393207 LVY393207 LMC393207 LCG393207 KSK393207 KIO393207 JYS393207 JOW393207 JFA393207 IVE393207 ILI393207 IBM393207 HRQ393207 HHU393207 GXY393207 GOC393207 GEG393207 FUK393207 FKO393207 FAS393207 EQW393207 EHA393207 DXE393207 DNI393207 DDM393207 CTQ393207 CJU393207 BZY393207 BQC393207 BGG393207 AWK393207 AMO393207 ACS393207 SW393207 JA393207 E393207 WVM327671 WLQ327671 WBU327671 VRY327671 VIC327671 UYG327671 UOK327671 UEO327671 TUS327671 TKW327671 TBA327671 SRE327671 SHI327671 RXM327671 RNQ327671 RDU327671 QTY327671 QKC327671 QAG327671 PQK327671 PGO327671 OWS327671 OMW327671 ODA327671 NTE327671 NJI327671 MZM327671 MPQ327671 MFU327671 LVY327671 LMC327671 LCG327671 KSK327671 KIO327671 JYS327671 JOW327671 JFA327671 IVE327671 ILI327671 IBM327671 HRQ327671 HHU327671 GXY327671 GOC327671 GEG327671 FUK327671 FKO327671 FAS327671 EQW327671 EHA327671 DXE327671 DNI327671 DDM327671 CTQ327671 CJU327671 BZY327671 BQC327671 BGG327671 AWK327671 AMO327671 ACS327671 SW327671 JA327671 E327671 WVM262135 WLQ262135 WBU262135 VRY262135 VIC262135 UYG262135 UOK262135 UEO262135 TUS262135 TKW262135 TBA262135 SRE262135 SHI262135 RXM262135 RNQ262135 RDU262135 QTY262135 QKC262135 QAG262135 PQK262135 PGO262135 OWS262135 OMW262135 ODA262135 NTE262135 NJI262135 MZM262135 MPQ262135 MFU262135 LVY262135 LMC262135 LCG262135 KSK262135 KIO262135 JYS262135 JOW262135 JFA262135 IVE262135 ILI262135 IBM262135 HRQ262135 HHU262135 GXY262135 GOC262135 GEG262135 FUK262135 FKO262135 FAS262135 EQW262135 EHA262135 DXE262135 DNI262135 DDM262135 CTQ262135 CJU262135 BZY262135 BQC262135 BGG262135 AWK262135 AMO262135 ACS262135 SW262135 JA262135 E262135 WVM196599 WLQ196599 WBU196599 VRY196599 VIC196599 UYG196599 UOK196599 UEO196599 TUS196599 TKW196599 TBA196599 SRE196599 SHI196599 RXM196599 RNQ196599 RDU196599 QTY196599 QKC196599 QAG196599 PQK196599 PGO196599 OWS196599 OMW196599 ODA196599 NTE196599 NJI196599 MZM196599 MPQ196599 MFU196599 LVY196599 LMC196599 LCG196599 KSK196599 KIO196599 JYS196599 JOW196599 JFA196599 IVE196599 ILI196599 IBM196599 HRQ196599 HHU196599 GXY196599 GOC196599 GEG196599 FUK196599 FKO196599 FAS196599 EQW196599 EHA196599 DXE196599 DNI196599 DDM196599 CTQ196599 CJU196599 BZY196599 BQC196599 BGG196599 AWK196599 AMO196599 ACS196599 SW196599 JA196599 E196599 WVM131063 WLQ131063 WBU131063 VRY131063 VIC131063 UYG131063 UOK131063 UEO131063 TUS131063 TKW131063 TBA131063 SRE131063 SHI131063 RXM131063 RNQ131063 RDU131063 QTY131063 QKC131063 QAG131063 PQK131063 PGO131063 OWS131063 OMW131063 ODA131063 NTE131063 NJI131063 MZM131063 MPQ131063 MFU131063 LVY131063 LMC131063 LCG131063 KSK131063 KIO131063 JYS131063 JOW131063 JFA131063 IVE131063 ILI131063 IBM131063 HRQ131063 HHU131063 GXY131063 GOC131063 GEG131063 FUK131063 FKO131063 FAS131063 EQW131063 EHA131063 DXE131063 DNI131063 DDM131063 CTQ131063 CJU131063 BZY131063 BQC131063 BGG131063 AWK131063 AMO131063 ACS131063 SW131063 JA131063 E131063 WVM65527 WLQ65527 WBU65527 VRY65527 VIC65527 UYG65527 UOK65527 UEO65527 TUS65527 TKW65527 TBA65527 SRE65527 SHI65527 RXM65527 RNQ65527 RDU65527 QTY65527 QKC65527 QAG65527 PQK65527 PGO65527 OWS65527 OMW65527 ODA65527 NTE65527 NJI65527 MZM65527 MPQ65527 MFU65527 LVY65527 LMC65527 LCG65527 KSK65527 KIO65527 JYS65527 JOW65527 JFA65527 IVE65527 ILI65527 IBM65527 HRQ65527 HHU65527 GXY65527 GOC65527 GEG65527 FUK65527 FKO65527 FAS65527 EQW65527 EHA65527 DXE65527 DNI65527 DDM65527 CTQ65527 CJU65527 BZY65527 BQC65527 BGG65527 AWK65527 AMO65527 ACS65527 SW65527 JA65527 E65507 WVM983011 WLQ983011 WBU983011 VRY983011 VIC983011 UYG983011 UOK983011 UEO983011 TUS983011 TKW983011 TBA983011 SRE983011 SHI983011 RXM983011 RNQ983011 RDU983011 QTY983011 QKC983011 QAG983011 PQK983011 PGO983011 OWS983011 OMW983011 ODA983011 NTE983011 NJI983011 MZM983011 MPQ983011 MFU983011 LVY983011 LMC983011 LCG983011 KSK983011 KIO983011 JYS983011 JOW983011 JFA983011 IVE983011 ILI983011 IBM983011 HRQ983011 HHU983011 GXY983011 GOC983011 GEG983011 FUK983011 FKO983011 FAS983011 EQW983011 EHA983011 DXE983011 DNI983011 DDM983011 CTQ983011 CJU983011 BZY983011 BQC983011 BGG983011 AWK983011 AMO983011 ACS983011 SW983011 JA983011 E983011 WVM917475 WLQ917475 WBU917475 VRY917475 VIC917475 UYG917475 UOK917475 UEO917475 TUS917475 TKW917475 TBA917475 SRE917475 SHI917475 RXM917475 RNQ917475 RDU917475 QTY917475 QKC917475 QAG917475 PQK917475 PGO917475 OWS917475 OMW917475 ODA917475 NTE917475 NJI917475 MZM917475 MPQ917475 MFU917475 LVY917475 LMC917475 LCG917475 KSK917475 KIO917475 JYS917475 JOW917475 JFA917475 IVE917475 ILI917475 IBM917475 HRQ917475 HHU917475 GXY917475 GOC917475 GEG917475 FUK917475 FKO917475 FAS917475 EQW917475 EHA917475 DXE917475 DNI917475 DDM917475 CTQ917475 CJU917475 BZY917475 BQC917475 BGG917475 AWK917475 AMO917475 ACS917475 SW917475 JA917475 E917475 WVM851939 WLQ851939 WBU851939 VRY851939 VIC851939 UYG851939 UOK851939 UEO851939 TUS851939 TKW851939 TBA851939 SRE851939 SHI851939 RXM851939 RNQ851939 RDU851939 QTY851939 QKC851939 QAG851939 PQK851939 PGO851939 OWS851939 OMW851939 ODA851939 NTE851939 NJI851939 MZM851939 MPQ851939 MFU851939 LVY851939 LMC851939 LCG851939 KSK851939 KIO851939 JYS851939 JOW851939 JFA851939 IVE851939 ILI851939 IBM851939 HRQ851939 HHU851939 GXY851939 GOC851939 GEG851939 FUK851939 FKO851939 FAS851939 EQW851939 EHA851939 DXE851939 DNI851939 DDM851939 CTQ851939 CJU851939 BZY851939 BQC851939 BGG851939 AWK851939 AMO851939 ACS851939 SW851939 JA851939 E851939 WVM786403 WLQ786403 WBU786403 VRY786403 VIC786403 UYG786403 UOK786403 UEO786403 TUS786403 TKW786403 TBA786403 SRE786403 SHI786403 RXM786403 RNQ786403 RDU786403 QTY786403 QKC786403 QAG786403 PQK786403 PGO786403 OWS786403 OMW786403 ODA786403 NTE786403 NJI786403 MZM786403 MPQ786403 MFU786403 LVY786403 LMC786403 LCG786403 KSK786403 KIO786403 JYS786403 JOW786403 JFA786403 IVE786403 ILI786403 IBM786403 HRQ786403 HHU786403 GXY786403 GOC786403 GEG786403 FUK786403 FKO786403 FAS786403 EQW786403 EHA786403 DXE786403 DNI786403 DDM786403 CTQ786403 CJU786403 BZY786403 BQC786403 BGG786403 AWK786403 AMO786403 ACS786403 SW786403 JA786403 E786403 WVM720867 WLQ720867 WBU720867 VRY720867 VIC720867 UYG720867 UOK720867 UEO720867 TUS720867 TKW720867 TBA720867 SRE720867 SHI720867 RXM720867 RNQ720867 RDU720867 QTY720867 QKC720867 QAG720867 PQK720867 PGO720867 OWS720867 OMW720867 ODA720867 NTE720867 NJI720867 MZM720867 MPQ720867 MFU720867 LVY720867 LMC720867 LCG720867 KSK720867 KIO720867 JYS720867 JOW720867 JFA720867 IVE720867 ILI720867 IBM720867 HRQ720867 HHU720867 GXY720867 GOC720867 GEG720867 FUK720867 FKO720867 FAS720867 EQW720867 EHA720867 DXE720867 DNI720867 DDM720867 CTQ720867 CJU720867 BZY720867 BQC720867 BGG720867 AWK720867 AMO720867 ACS720867 SW720867 JA720867 E720867 WVM655331 WLQ655331 WBU655331 VRY655331 VIC655331 UYG655331 UOK655331 UEO655331 TUS655331 TKW655331 TBA655331 SRE655331 SHI655331 RXM655331 RNQ655331 RDU655331 QTY655331 QKC655331 QAG655331 PQK655331 PGO655331 OWS655331 OMW655331 ODA655331 NTE655331 NJI655331 MZM655331 MPQ655331 MFU655331 LVY655331 LMC655331 LCG655331 KSK655331 KIO655331 JYS655331 JOW655331 JFA655331 IVE655331 ILI655331 IBM655331 HRQ655331 HHU655331 GXY655331 GOC655331 GEG655331 FUK655331 FKO655331 FAS655331 EQW655331 EHA655331 DXE655331 DNI655331 DDM655331 CTQ655331 CJU655331 BZY655331 BQC655331 BGG655331 AWK655331 AMO655331 ACS655331 SW655331 JA655331 E655331 WVM589795 WLQ589795 WBU589795 VRY589795 VIC589795 UYG589795 UOK589795 UEO589795 TUS589795 TKW589795 TBA589795 SRE589795 SHI589795 RXM589795 RNQ589795 RDU589795 QTY589795 QKC589795 QAG589795 PQK589795 PGO589795 OWS589795 OMW589795 ODA589795 NTE589795 NJI589795 MZM589795 MPQ589795 MFU589795 LVY589795 LMC589795 LCG589795 KSK589795 KIO589795 JYS589795 JOW589795 JFA589795 IVE589795 ILI589795 IBM589795 HRQ589795 HHU589795 GXY589795 GOC589795 GEG589795 FUK589795 FKO589795 FAS589795 EQW589795 EHA589795 DXE589795 DNI589795 DDM589795 CTQ589795 CJU589795 BZY589795 BQC589795 BGG589795 AWK589795 AMO589795 ACS589795 SW589795 JA589795 E589795 WVM524259 WLQ524259 WBU524259 VRY524259 VIC524259 UYG524259 UOK524259 UEO524259 TUS524259 TKW524259 TBA524259 SRE524259 SHI524259 RXM524259 RNQ524259 RDU524259 QTY524259 QKC524259 QAG524259 PQK524259 PGO524259 OWS524259 OMW524259 ODA524259 NTE524259 NJI524259 MZM524259 MPQ524259 MFU524259 LVY524259 LMC524259 LCG524259 KSK524259 KIO524259 JYS524259 JOW524259 JFA524259 IVE524259 ILI524259 IBM524259 HRQ524259 HHU524259 GXY524259 GOC524259 GEG524259 FUK524259 FKO524259 FAS524259 EQW524259 EHA524259 DXE524259 DNI524259 DDM524259 CTQ524259 CJU524259 BZY524259 BQC524259 BGG524259 AWK524259 AMO524259 ACS524259 SW524259 JA524259 E524259 WVM458723 WLQ458723 WBU458723 VRY458723 VIC458723 UYG458723 UOK458723 UEO458723 TUS458723 TKW458723 TBA458723 SRE458723 SHI458723 RXM458723 RNQ458723 RDU458723 QTY458723 QKC458723 QAG458723 PQK458723 PGO458723 OWS458723 OMW458723 ODA458723 NTE458723 NJI458723 MZM458723 MPQ458723 MFU458723 LVY458723 LMC458723 LCG458723 KSK458723 KIO458723 JYS458723 JOW458723 JFA458723 IVE458723 ILI458723 IBM458723 HRQ458723 HHU458723 GXY458723 GOC458723 GEG458723 FUK458723 FKO458723 FAS458723 EQW458723 EHA458723 DXE458723 DNI458723 DDM458723 CTQ458723 CJU458723 BZY458723 BQC458723 BGG458723 AWK458723 AMO458723 ACS458723 SW458723 JA458723 E458723 WVM393187 WLQ393187 WBU393187 VRY393187 VIC393187 UYG393187 UOK393187 UEO393187 TUS393187 TKW393187 TBA393187 SRE393187 SHI393187 RXM393187 RNQ393187 RDU393187 QTY393187 QKC393187 QAG393187 PQK393187 PGO393187 OWS393187 OMW393187 ODA393187 NTE393187 NJI393187 MZM393187 MPQ393187 MFU393187 LVY393187 LMC393187 LCG393187 KSK393187 KIO393187 JYS393187 JOW393187 JFA393187 IVE393187 ILI393187 IBM393187 HRQ393187 HHU393187 GXY393187 GOC393187 GEG393187 FUK393187 FKO393187 FAS393187 EQW393187 EHA393187 DXE393187 DNI393187 DDM393187 CTQ393187 CJU393187 BZY393187 BQC393187 BGG393187 AWK393187 AMO393187 ACS393187 SW393187 JA393187 E393187 WVM327651 WLQ327651 WBU327651 VRY327651 VIC327651 UYG327651 UOK327651 UEO327651 TUS327651 TKW327651 TBA327651 SRE327651 SHI327651 RXM327651 RNQ327651 RDU327651 QTY327651 QKC327651 QAG327651 PQK327651 PGO327651 OWS327651 OMW327651 ODA327651 NTE327651 NJI327651 MZM327651 MPQ327651 MFU327651 LVY327651 LMC327651 LCG327651 KSK327651 KIO327651 JYS327651 JOW327651 JFA327651 IVE327651 ILI327651 IBM327651 HRQ327651 HHU327651 GXY327651 GOC327651 GEG327651 FUK327651 FKO327651 FAS327651 EQW327651 EHA327651 DXE327651 DNI327651 DDM327651 CTQ327651 CJU327651 BZY327651 BQC327651 BGG327651 AWK327651 AMO327651 ACS327651 SW327651 JA327651 E327651 WVM262115 WLQ262115 WBU262115 VRY262115 VIC262115 UYG262115 UOK262115 UEO262115 TUS262115 TKW262115 TBA262115 SRE262115 SHI262115 RXM262115 RNQ262115 RDU262115 QTY262115 QKC262115 QAG262115 PQK262115 PGO262115 OWS262115 OMW262115 ODA262115 NTE262115 NJI262115 MZM262115 MPQ262115 MFU262115 LVY262115 LMC262115 LCG262115 KSK262115 KIO262115 JYS262115 JOW262115 JFA262115 IVE262115 ILI262115 IBM262115 HRQ262115 HHU262115 GXY262115 GOC262115 GEG262115 FUK262115 FKO262115 FAS262115 EQW262115 EHA262115 DXE262115 DNI262115 DDM262115 CTQ262115 CJU262115 BZY262115 BQC262115 BGG262115 AWK262115 AMO262115 ACS262115 SW262115 JA262115 E262115 WVM196579 WLQ196579 WBU196579 VRY196579 VIC196579 UYG196579 UOK196579 UEO196579 TUS196579 TKW196579 TBA196579 SRE196579 SHI196579 RXM196579 RNQ196579 RDU196579 QTY196579 QKC196579 QAG196579 PQK196579 PGO196579 OWS196579 OMW196579 ODA196579 NTE196579 NJI196579 MZM196579 MPQ196579 MFU196579 LVY196579 LMC196579 LCG196579 KSK196579 KIO196579 JYS196579 JOW196579 JFA196579 IVE196579 ILI196579 IBM196579 HRQ196579 HHU196579 GXY196579 GOC196579 GEG196579 FUK196579 FKO196579 FAS196579 EQW196579 EHA196579 DXE196579 DNI196579 DDM196579 CTQ196579 CJU196579 BZY196579 BQC196579 BGG196579 AWK196579 AMO196579 ACS196579 SW196579 JA196579 E196579 WVM131043 WLQ131043 WBU131043 VRY131043 VIC131043 UYG131043 UOK131043 UEO131043 TUS131043 TKW131043 TBA131043 SRE131043 SHI131043 RXM131043 RNQ131043 RDU131043 QTY131043 QKC131043 QAG131043 PQK131043 PGO131043 OWS131043 OMW131043 ODA131043 NTE131043 NJI131043 MZM131043 MPQ131043 MFU131043 LVY131043 LMC131043 LCG131043 KSK131043 KIO131043 JYS131043 JOW131043 JFA131043 IVE131043 ILI131043 IBM131043 HRQ131043 HHU131043 GXY131043 GOC131043 GEG131043 FUK131043 FKO131043 FAS131043 EQW131043 EHA131043 DXE131043 DNI131043 DDM131043 CTQ131043 CJU131043 BZY131043 BQC131043 BGG131043 AWK131043 AMO131043 ACS131043 SW131043 JA131043 E131043 WVM65507 WLQ65507 WBU65507 VRY65507 VIC65507 UYG65507 UOK65507 UEO65507 TUS65507 TKW65507 TBA65507 SRE65507 SHI65507 RXM65507 RNQ65507 RDU65507 QTY65507 QKC65507 QAG65507 PQK65507 PGO65507 OWS65507 OMW65507 ODA65507 NTE65507 NJI65507 MZM65507 MPQ65507 MFU65507 LVY65507 LMC65507 LCG65507 KSK65507 KIO65507 JYS65507 JOW65507 JFA65507 IVE65507 ILI65507 IBM65507 HRQ65507 HHU65507 GXY65507 GOC65507 GEG65507 FUK65507 FKO65507 FAS65507 EQW65507 EHA65507 DXE65507 DNI65507 DDM65507 CTQ65507 CJU65507 BZY65507 BQC65507 BGG65507 AWK65507 AMO65507 ACS65507 SW65507 JA65507 E65512 WVM983016 WLQ983016 WBU983016 VRY983016 VIC983016 UYG983016 UOK983016 UEO983016 TUS983016 TKW983016 TBA983016 SRE983016 SHI983016 RXM983016 RNQ983016 RDU983016 QTY983016 QKC983016 QAG983016 PQK983016 PGO983016 OWS983016 OMW983016 ODA983016 NTE983016 NJI983016 MZM983016 MPQ983016 MFU983016 LVY983016 LMC983016 LCG983016 KSK983016 KIO983016 JYS983016 JOW983016 JFA983016 IVE983016 ILI983016 IBM983016 HRQ983016 HHU983016 GXY983016 GOC983016 GEG983016 FUK983016 FKO983016 FAS983016 EQW983016 EHA983016 DXE983016 DNI983016 DDM983016 CTQ983016 CJU983016 BZY983016 BQC983016 BGG983016 AWK983016 AMO983016 ACS983016 SW983016 JA983016 E983016 WVM917480 WLQ917480 WBU917480 VRY917480 VIC917480 UYG917480 UOK917480 UEO917480 TUS917480 TKW917480 TBA917480 SRE917480 SHI917480 RXM917480 RNQ917480 RDU917480 QTY917480 QKC917480 QAG917480 PQK917480 PGO917480 OWS917480 OMW917480 ODA917480 NTE917480 NJI917480 MZM917480 MPQ917480 MFU917480 LVY917480 LMC917480 LCG917480 KSK917480 KIO917480 JYS917480 JOW917480 JFA917480 IVE917480 ILI917480 IBM917480 HRQ917480 HHU917480 GXY917480 GOC917480 GEG917480 FUK917480 FKO917480 FAS917480 EQW917480 EHA917480 DXE917480 DNI917480 DDM917480 CTQ917480 CJU917480 BZY917480 BQC917480 BGG917480 AWK917480 AMO917480 ACS917480 SW917480 JA917480 E917480 WVM851944 WLQ851944 WBU851944 VRY851944 VIC851944 UYG851944 UOK851944 UEO851944 TUS851944 TKW851944 TBA851944 SRE851944 SHI851944 RXM851944 RNQ851944 RDU851944 QTY851944 QKC851944 QAG851944 PQK851944 PGO851944 OWS851944 OMW851944 ODA851944 NTE851944 NJI851944 MZM851944 MPQ851944 MFU851944 LVY851944 LMC851944 LCG851944 KSK851944 KIO851944 JYS851944 JOW851944 JFA851944 IVE851944 ILI851944 IBM851944 HRQ851944 HHU851944 GXY851944 GOC851944 GEG851944 FUK851944 FKO851944 FAS851944 EQW851944 EHA851944 DXE851944 DNI851944 DDM851944 CTQ851944 CJU851944 BZY851944 BQC851944 BGG851944 AWK851944 AMO851944 ACS851944 SW851944 JA851944 E851944 WVM786408 WLQ786408 WBU786408 VRY786408 VIC786408 UYG786408 UOK786408 UEO786408 TUS786408 TKW786408 TBA786408 SRE786408 SHI786408 RXM786408 RNQ786408 RDU786408 QTY786408 QKC786408 QAG786408 PQK786408 PGO786408 OWS786408 OMW786408 ODA786408 NTE786408 NJI786408 MZM786408 MPQ786408 MFU786408 LVY786408 LMC786408 LCG786408 KSK786408 KIO786408 JYS786408 JOW786408 JFA786408 IVE786408 ILI786408 IBM786408 HRQ786408 HHU786408 GXY786408 GOC786408 GEG786408 FUK786408 FKO786408 FAS786408 EQW786408 EHA786408 DXE786408 DNI786408 DDM786408 CTQ786408 CJU786408 BZY786408 BQC786408 BGG786408 AWK786408 AMO786408 ACS786408 SW786408 JA786408 E786408 WVM720872 WLQ720872 WBU720872 VRY720872 VIC720872 UYG720872 UOK720872 UEO720872 TUS720872 TKW720872 TBA720872 SRE720872 SHI720872 RXM720872 RNQ720872 RDU720872 QTY720872 QKC720872 QAG720872 PQK720872 PGO720872 OWS720872 OMW720872 ODA720872 NTE720872 NJI720872 MZM720872 MPQ720872 MFU720872 LVY720872 LMC720872 LCG720872 KSK720872 KIO720872 JYS720872 JOW720872 JFA720872 IVE720872 ILI720872 IBM720872 HRQ720872 HHU720872 GXY720872 GOC720872 GEG720872 FUK720872 FKO720872 FAS720872 EQW720872 EHA720872 DXE720872 DNI720872 DDM720872 CTQ720872 CJU720872 BZY720872 BQC720872 BGG720872 AWK720872 AMO720872 ACS720872 SW720872 JA720872 E720872 WVM655336 WLQ655336 WBU655336 VRY655336 VIC655336 UYG655336 UOK655336 UEO655336 TUS655336 TKW655336 TBA655336 SRE655336 SHI655336 RXM655336 RNQ655336 RDU655336 QTY655336 QKC655336 QAG655336 PQK655336 PGO655336 OWS655336 OMW655336 ODA655336 NTE655336 NJI655336 MZM655336 MPQ655336 MFU655336 LVY655336 LMC655336 LCG655336 KSK655336 KIO655336 JYS655336 JOW655336 JFA655336 IVE655336 ILI655336 IBM655336 HRQ655336 HHU655336 GXY655336 GOC655336 GEG655336 FUK655336 FKO655336 FAS655336 EQW655336 EHA655336 DXE655336 DNI655336 DDM655336 CTQ655336 CJU655336 BZY655336 BQC655336 BGG655336 AWK655336 AMO655336 ACS655336 SW655336 JA655336 E655336 WVM589800 WLQ589800 WBU589800 VRY589800 VIC589800 UYG589800 UOK589800 UEO589800 TUS589800 TKW589800 TBA589800 SRE589800 SHI589800 RXM589800 RNQ589800 RDU589800 QTY589800 QKC589800 QAG589800 PQK589800 PGO589800 OWS589800 OMW589800 ODA589800 NTE589800 NJI589800 MZM589800 MPQ589800 MFU589800 LVY589800 LMC589800 LCG589800 KSK589800 KIO589800 JYS589800 JOW589800 JFA589800 IVE589800 ILI589800 IBM589800 HRQ589800 HHU589800 GXY589800 GOC589800 GEG589800 FUK589800 FKO589800 FAS589800 EQW589800 EHA589800 DXE589800 DNI589800 DDM589800 CTQ589800 CJU589800 BZY589800 BQC589800 BGG589800 AWK589800 AMO589800 ACS589800 SW589800 JA589800 E589800 WVM524264 WLQ524264 WBU524264 VRY524264 VIC524264 UYG524264 UOK524264 UEO524264 TUS524264 TKW524264 TBA524264 SRE524264 SHI524264 RXM524264 RNQ524264 RDU524264 QTY524264 QKC524264 QAG524264 PQK524264 PGO524264 OWS524264 OMW524264 ODA524264 NTE524264 NJI524264 MZM524264 MPQ524264 MFU524264 LVY524264 LMC524264 LCG524264 KSK524264 KIO524264 JYS524264 JOW524264 JFA524264 IVE524264 ILI524264 IBM524264 HRQ524264 HHU524264 GXY524264 GOC524264 GEG524264 FUK524264 FKO524264 FAS524264 EQW524264 EHA524264 DXE524264 DNI524264 DDM524264 CTQ524264 CJU524264 BZY524264 BQC524264 BGG524264 AWK524264 AMO524264 ACS524264 SW524264 JA524264 E524264 WVM458728 WLQ458728 WBU458728 VRY458728 VIC458728 UYG458728 UOK458728 UEO458728 TUS458728 TKW458728 TBA458728 SRE458728 SHI458728 RXM458728 RNQ458728 RDU458728 QTY458728 QKC458728 QAG458728 PQK458728 PGO458728 OWS458728 OMW458728 ODA458728 NTE458728 NJI458728 MZM458728 MPQ458728 MFU458728 LVY458728 LMC458728 LCG458728 KSK458728 KIO458728 JYS458728 JOW458728 JFA458728 IVE458728 ILI458728 IBM458728 HRQ458728 HHU458728 GXY458728 GOC458728 GEG458728 FUK458728 FKO458728 FAS458728 EQW458728 EHA458728 DXE458728 DNI458728 DDM458728 CTQ458728 CJU458728 BZY458728 BQC458728 BGG458728 AWK458728 AMO458728 ACS458728 SW458728 JA458728 E458728 WVM393192 WLQ393192 WBU393192 VRY393192 VIC393192 UYG393192 UOK393192 UEO393192 TUS393192 TKW393192 TBA393192 SRE393192 SHI393192 RXM393192 RNQ393192 RDU393192 QTY393192 QKC393192 QAG393192 PQK393192 PGO393192 OWS393192 OMW393192 ODA393192 NTE393192 NJI393192 MZM393192 MPQ393192 MFU393192 LVY393192 LMC393192 LCG393192 KSK393192 KIO393192 JYS393192 JOW393192 JFA393192 IVE393192 ILI393192 IBM393192 HRQ393192 HHU393192 GXY393192 GOC393192 GEG393192 FUK393192 FKO393192 FAS393192 EQW393192 EHA393192 DXE393192 DNI393192 DDM393192 CTQ393192 CJU393192 BZY393192 BQC393192 BGG393192 AWK393192 AMO393192 ACS393192 SW393192 JA393192 E393192 WVM327656 WLQ327656 WBU327656 VRY327656 VIC327656 UYG327656 UOK327656 UEO327656 TUS327656 TKW327656 TBA327656 SRE327656 SHI327656 RXM327656 RNQ327656 RDU327656 QTY327656 QKC327656 QAG327656 PQK327656 PGO327656 OWS327656 OMW327656 ODA327656 NTE327656 NJI327656 MZM327656 MPQ327656 MFU327656 LVY327656 LMC327656 LCG327656 KSK327656 KIO327656 JYS327656 JOW327656 JFA327656 IVE327656 ILI327656 IBM327656 HRQ327656 HHU327656 GXY327656 GOC327656 GEG327656 FUK327656 FKO327656 FAS327656 EQW327656 EHA327656 DXE327656 DNI327656 DDM327656 CTQ327656 CJU327656 BZY327656 BQC327656 BGG327656 AWK327656 AMO327656 ACS327656 SW327656 JA327656 E327656 WVM262120 WLQ262120 WBU262120 VRY262120 VIC262120 UYG262120 UOK262120 UEO262120 TUS262120 TKW262120 TBA262120 SRE262120 SHI262120 RXM262120 RNQ262120 RDU262120 QTY262120 QKC262120 QAG262120 PQK262120 PGO262120 OWS262120 OMW262120 ODA262120 NTE262120 NJI262120 MZM262120 MPQ262120 MFU262120 LVY262120 LMC262120 LCG262120 KSK262120 KIO262120 JYS262120 JOW262120 JFA262120 IVE262120 ILI262120 IBM262120 HRQ262120 HHU262120 GXY262120 GOC262120 GEG262120 FUK262120 FKO262120 FAS262120 EQW262120 EHA262120 DXE262120 DNI262120 DDM262120 CTQ262120 CJU262120 BZY262120 BQC262120 BGG262120 AWK262120 AMO262120 ACS262120 SW262120 JA262120 E262120 WVM196584 WLQ196584 WBU196584 VRY196584 VIC196584 UYG196584 UOK196584 UEO196584 TUS196584 TKW196584 TBA196584 SRE196584 SHI196584 RXM196584 RNQ196584 RDU196584 QTY196584 QKC196584 QAG196584 PQK196584 PGO196584 OWS196584 OMW196584 ODA196584 NTE196584 NJI196584 MZM196584 MPQ196584 MFU196584 LVY196584 LMC196584 LCG196584 KSK196584 KIO196584 JYS196584 JOW196584 JFA196584 IVE196584 ILI196584 IBM196584 HRQ196584 HHU196584 GXY196584 GOC196584 GEG196584 FUK196584 FKO196584 FAS196584 EQW196584 EHA196584 DXE196584 DNI196584 DDM196584 CTQ196584 CJU196584 BZY196584 BQC196584 BGG196584 AWK196584 AMO196584 ACS196584 SW196584 JA196584 E196584 WVM131048 WLQ131048 WBU131048 VRY131048 VIC131048 UYG131048 UOK131048 UEO131048 TUS131048 TKW131048 TBA131048 SRE131048 SHI131048 RXM131048 RNQ131048 RDU131048 QTY131048 QKC131048 QAG131048 PQK131048 PGO131048 OWS131048 OMW131048 ODA131048 NTE131048 NJI131048 MZM131048 MPQ131048 MFU131048 LVY131048 LMC131048 LCG131048 KSK131048 KIO131048 JYS131048 JOW131048 JFA131048 IVE131048 ILI131048 IBM131048 HRQ131048 HHU131048 GXY131048 GOC131048 GEG131048 FUK131048 FKO131048 FAS131048 EQW131048 EHA131048 DXE131048 DNI131048 DDM131048 CTQ131048 CJU131048 BZY131048 BQC131048 BGG131048 AWK131048 AMO131048 ACS131048 SW131048 JA131048 E131048 WVM65512 WLQ65512 WBU65512 VRY65512 VIC65512 UYG65512 UOK65512 UEO65512 TUS65512 TKW65512 TBA65512 SRE65512 SHI65512 RXM65512 RNQ65512 RDU65512 QTY65512 QKC65512 QAG65512 PQK65512 PGO65512 OWS65512 OMW65512 ODA65512 NTE65512 NJI65512 MZM65512 MPQ65512 MFU65512 LVY65512 LMC65512 LCG65512 KSK65512 KIO65512 JYS65512 JOW65512 JFA65512 IVE65512 ILI65512 IBM65512 HRQ65512 HHU65512 GXY65512 GOC65512 GEG65512 FUK65512 FKO65512 FAS65512 EQW65512 EHA65512 DXE65512 DNI65512 DDM65512 CTQ65512 CJU65512 BZY65512 BQC65512 BGG65512 AWK65512 AMO65512 ACS65512 SW65512 JA65512" xr:uid="{00000000-0002-0000-0500-00000000000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PIC32MX Osc Config</vt:lpstr>
      <vt:lpstr>PIC32MZ Osc Config</vt:lpstr>
      <vt:lpstr>MX OSC Block Diag</vt:lpstr>
      <vt:lpstr>MZ Osc Block Diag</vt:lpstr>
      <vt:lpstr>MZ Clock to Periph Table</vt:lpstr>
      <vt:lpstr>Sheet1</vt:lpstr>
    </vt:vector>
  </TitlesOfParts>
  <Company>Microchip Technology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 - C13193</dc:creator>
  <cp:lastModifiedBy>home desktop PC</cp:lastModifiedBy>
  <dcterms:created xsi:type="dcterms:W3CDTF">2014-01-15T14:00:47Z</dcterms:created>
  <dcterms:modified xsi:type="dcterms:W3CDTF">2020-03-04T08:54:35Z</dcterms:modified>
</cp:coreProperties>
</file>