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ane/Documents/0 - Stage ENS/Fiches et présentations/émissions-citepa/"/>
    </mc:Choice>
  </mc:AlternateContent>
  <xr:revisionPtr revIDLastSave="0" documentId="13_ncr:1_{5B4CC469-807E-7047-A104-91BE396851F8}" xr6:coauthVersionLast="47" xr6:coauthVersionMax="47" xr10:uidLastSave="{00000000-0000-0000-0000-000000000000}"/>
  <bookViews>
    <workbookView xWindow="0" yWindow="500" windowWidth="12340" windowHeight="15380" xr2:uid="{DC769A4B-735A-FE45-9A0D-FA06ADF0F0B7}"/>
  </bookViews>
  <sheets>
    <sheet name="recap" sheetId="6" r:id="rId1"/>
    <sheet name="gnfr7" sheetId="11" r:id="rId2"/>
    <sheet name="gnfr2030" sheetId="1" r:id="rId3"/>
    <sheet name="gnfr2050" sheetId="10" r:id="rId4"/>
    <sheet name="Feuil1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6" l="1"/>
  <c r="E38" i="6"/>
  <c r="M26" i="10" s="1"/>
  <c r="D38" i="6"/>
  <c r="F32" i="6"/>
  <c r="E32" i="6"/>
  <c r="D32" i="6"/>
  <c r="F26" i="6"/>
  <c r="M36" i="1" s="1"/>
  <c r="E26" i="6"/>
  <c r="D26" i="6"/>
  <c r="L4" i="11"/>
  <c r="M4" i="11"/>
  <c r="N4" i="11"/>
  <c r="L5" i="11"/>
  <c r="M5" i="11"/>
  <c r="N5" i="11"/>
  <c r="L7" i="11"/>
  <c r="M7" i="11"/>
  <c r="N7" i="11"/>
  <c r="L8" i="11"/>
  <c r="M8" i="11"/>
  <c r="N8" i="11"/>
  <c r="L9" i="11"/>
  <c r="M9" i="11"/>
  <c r="N9" i="11"/>
  <c r="H7" i="11"/>
  <c r="I7" i="11"/>
  <c r="J7" i="11"/>
  <c r="H8" i="11"/>
  <c r="I8" i="11"/>
  <c r="J8" i="11"/>
  <c r="H9" i="11"/>
  <c r="I9" i="11"/>
  <c r="J9" i="11"/>
  <c r="H4" i="11"/>
  <c r="I4" i="11"/>
  <c r="J4" i="11"/>
  <c r="H5" i="11"/>
  <c r="I5" i="11"/>
  <c r="J5" i="11"/>
  <c r="K9" i="11"/>
  <c r="K8" i="11"/>
  <c r="K7" i="11"/>
  <c r="K5" i="11"/>
  <c r="K4" i="11"/>
  <c r="G9" i="11"/>
  <c r="G8" i="11"/>
  <c r="G7" i="11"/>
  <c r="G4" i="11"/>
  <c r="G5" i="11"/>
  <c r="AN54" i="12"/>
  <c r="AO54" i="12"/>
  <c r="AP54" i="12"/>
  <c r="AM54" i="12"/>
  <c r="AN48" i="12"/>
  <c r="AO48" i="12"/>
  <c r="AP48" i="12"/>
  <c r="AM48" i="12"/>
  <c r="AN42" i="12"/>
  <c r="AO42" i="12"/>
  <c r="AP42" i="12"/>
  <c r="AM42" i="12"/>
  <c r="AN36" i="12"/>
  <c r="AO36" i="12"/>
  <c r="AP36" i="12"/>
  <c r="AM36" i="12"/>
  <c r="AN30" i="12"/>
  <c r="AO30" i="12"/>
  <c r="AP30" i="12"/>
  <c r="AM30" i="12"/>
  <c r="AN24" i="12"/>
  <c r="AO24" i="12"/>
  <c r="AP24" i="12"/>
  <c r="AM24" i="12"/>
  <c r="AN18" i="12"/>
  <c r="AO18" i="12"/>
  <c r="AP18" i="12"/>
  <c r="AM18" i="12"/>
  <c r="AN12" i="12"/>
  <c r="AO12" i="12"/>
  <c r="AP12" i="12"/>
  <c r="AM12" i="12"/>
  <c r="AN6" i="12"/>
  <c r="AO6" i="12"/>
  <c r="AP6" i="12"/>
  <c r="AM6" i="12"/>
  <c r="AM5" i="12"/>
  <c r="AN5" i="12"/>
  <c r="AO5" i="12"/>
  <c r="AP5" i="12"/>
  <c r="AM7" i="12"/>
  <c r="AN7" i="12"/>
  <c r="AO7" i="12"/>
  <c r="AP7" i="12"/>
  <c r="AM8" i="12"/>
  <c r="AN8" i="12"/>
  <c r="AO8" i="12"/>
  <c r="AP8" i="12"/>
  <c r="AM9" i="12"/>
  <c r="AN9" i="12"/>
  <c r="AO9" i="12"/>
  <c r="AP9" i="12"/>
  <c r="AM10" i="12"/>
  <c r="AN10" i="12"/>
  <c r="AO10" i="12"/>
  <c r="AP10" i="12"/>
  <c r="AM11" i="12"/>
  <c r="AN11" i="12"/>
  <c r="AO11" i="12"/>
  <c r="AP11" i="12"/>
  <c r="AM13" i="12"/>
  <c r="AN13" i="12"/>
  <c r="AO13" i="12"/>
  <c r="AP13" i="12"/>
  <c r="AM14" i="12"/>
  <c r="AN14" i="12"/>
  <c r="AO14" i="12"/>
  <c r="AP14" i="12"/>
  <c r="AM15" i="12"/>
  <c r="AN15" i="12"/>
  <c r="AO15" i="12"/>
  <c r="AP15" i="12"/>
  <c r="AM16" i="12"/>
  <c r="AN16" i="12"/>
  <c r="AO16" i="12"/>
  <c r="AP16" i="12"/>
  <c r="AM17" i="12"/>
  <c r="AN17" i="12"/>
  <c r="AO17" i="12"/>
  <c r="AP17" i="12"/>
  <c r="AM19" i="12"/>
  <c r="AN19" i="12"/>
  <c r="AO19" i="12"/>
  <c r="AP19" i="12"/>
  <c r="AM20" i="12"/>
  <c r="AN20" i="12"/>
  <c r="AO20" i="12"/>
  <c r="AP20" i="12"/>
  <c r="AM21" i="12"/>
  <c r="AN21" i="12"/>
  <c r="AO21" i="12"/>
  <c r="AP21" i="12"/>
  <c r="AM22" i="12"/>
  <c r="AN22" i="12"/>
  <c r="AO22" i="12"/>
  <c r="AP22" i="12"/>
  <c r="AM23" i="12"/>
  <c r="AN23" i="12"/>
  <c r="AO23" i="12"/>
  <c r="AP23" i="12"/>
  <c r="AM25" i="12"/>
  <c r="AN25" i="12"/>
  <c r="AO25" i="12"/>
  <c r="AP25" i="12"/>
  <c r="AM26" i="12"/>
  <c r="AN26" i="12"/>
  <c r="AO26" i="12"/>
  <c r="AP26" i="12"/>
  <c r="AM27" i="12"/>
  <c r="AN27" i="12"/>
  <c r="AO27" i="12"/>
  <c r="AP27" i="12"/>
  <c r="AM28" i="12"/>
  <c r="AN28" i="12"/>
  <c r="AO28" i="12"/>
  <c r="AP28" i="12"/>
  <c r="AM29" i="12"/>
  <c r="AN29" i="12"/>
  <c r="AO29" i="12"/>
  <c r="AP29" i="12"/>
  <c r="AM31" i="12"/>
  <c r="AN31" i="12"/>
  <c r="AO31" i="12"/>
  <c r="AP31" i="12"/>
  <c r="AM32" i="12"/>
  <c r="AN32" i="12"/>
  <c r="AO32" i="12"/>
  <c r="AP32" i="12"/>
  <c r="AM33" i="12"/>
  <c r="AN33" i="12"/>
  <c r="AO33" i="12"/>
  <c r="AP33" i="12"/>
  <c r="AM34" i="12"/>
  <c r="AN34" i="12"/>
  <c r="AO34" i="12"/>
  <c r="AP34" i="12"/>
  <c r="AM35" i="12"/>
  <c r="AN35" i="12"/>
  <c r="AO35" i="12"/>
  <c r="AP35" i="12"/>
  <c r="AM37" i="12"/>
  <c r="AN37" i="12"/>
  <c r="AO37" i="12"/>
  <c r="AP37" i="12"/>
  <c r="AM38" i="12"/>
  <c r="AN38" i="12"/>
  <c r="AO38" i="12"/>
  <c r="AP38" i="12"/>
  <c r="AM39" i="12"/>
  <c r="AN39" i="12"/>
  <c r="AO39" i="12"/>
  <c r="AP39" i="12"/>
  <c r="AM40" i="12"/>
  <c r="AN40" i="12"/>
  <c r="AO40" i="12"/>
  <c r="AP40" i="12"/>
  <c r="AM41" i="12"/>
  <c r="AN41" i="12"/>
  <c r="AO41" i="12"/>
  <c r="AP41" i="12"/>
  <c r="AM43" i="12"/>
  <c r="AN43" i="12"/>
  <c r="AO43" i="12"/>
  <c r="AP43" i="12"/>
  <c r="AM44" i="12"/>
  <c r="AN44" i="12"/>
  <c r="AO44" i="12"/>
  <c r="AP44" i="12"/>
  <c r="AM45" i="12"/>
  <c r="AN45" i="12"/>
  <c r="AO45" i="12"/>
  <c r="AP45" i="12"/>
  <c r="AM46" i="12"/>
  <c r="AN46" i="12"/>
  <c r="AO46" i="12"/>
  <c r="AP46" i="12"/>
  <c r="AM47" i="12"/>
  <c r="AN47" i="12"/>
  <c r="AO47" i="12"/>
  <c r="AP47" i="12"/>
  <c r="AM49" i="12"/>
  <c r="AN49" i="12"/>
  <c r="AO49" i="12"/>
  <c r="AP49" i="12"/>
  <c r="AM50" i="12"/>
  <c r="AN50" i="12"/>
  <c r="AO50" i="12"/>
  <c r="AP50" i="12"/>
  <c r="AM51" i="12"/>
  <c r="AN51" i="12"/>
  <c r="AO51" i="12"/>
  <c r="AP51" i="12"/>
  <c r="AM52" i="12"/>
  <c r="AN52" i="12"/>
  <c r="AO52" i="12"/>
  <c r="AP52" i="12"/>
  <c r="AM53" i="12"/>
  <c r="AN53" i="12"/>
  <c r="AO53" i="12"/>
  <c r="AP53" i="12"/>
  <c r="AM55" i="12"/>
  <c r="AN55" i="12"/>
  <c r="AO55" i="12"/>
  <c r="AP55" i="12"/>
  <c r="AM56" i="12"/>
  <c r="AN56" i="12"/>
  <c r="AO56" i="12"/>
  <c r="AP56" i="12"/>
  <c r="AM57" i="12"/>
  <c r="AN57" i="12"/>
  <c r="AO57" i="12"/>
  <c r="AP57" i="12"/>
  <c r="AN4" i="12"/>
  <c r="AO4" i="12"/>
  <c r="AP4" i="12"/>
  <c r="AM4" i="12"/>
  <c r="Z57" i="12"/>
  <c r="Y57" i="12"/>
  <c r="X57" i="12"/>
  <c r="W57" i="12"/>
  <c r="Z56" i="12"/>
  <c r="Y56" i="12"/>
  <c r="X56" i="12"/>
  <c r="W56" i="12"/>
  <c r="Z55" i="12"/>
  <c r="Y55" i="12"/>
  <c r="X55" i="12"/>
  <c r="W55" i="12"/>
  <c r="K54" i="12"/>
  <c r="G54" i="12"/>
  <c r="C54" i="12"/>
  <c r="Z53" i="12"/>
  <c r="Y53" i="12"/>
  <c r="X53" i="12"/>
  <c r="W53" i="12"/>
  <c r="Z52" i="12"/>
  <c r="Y52" i="12"/>
  <c r="X52" i="12"/>
  <c r="W52" i="12"/>
  <c r="K48" i="12"/>
  <c r="G48" i="12"/>
  <c r="C48" i="12"/>
  <c r="K42" i="12"/>
  <c r="G42" i="12"/>
  <c r="C42" i="12"/>
  <c r="K36" i="12"/>
  <c r="G36" i="12"/>
  <c r="C36" i="12"/>
  <c r="Z33" i="12"/>
  <c r="Y33" i="12"/>
  <c r="X33" i="12"/>
  <c r="W33" i="12"/>
  <c r="Z32" i="12"/>
  <c r="Y32" i="12"/>
  <c r="X32" i="12"/>
  <c r="W32" i="12"/>
  <c r="Z31" i="12"/>
  <c r="Y31" i="12"/>
  <c r="X31" i="12"/>
  <c r="W31" i="12"/>
  <c r="K30" i="12"/>
  <c r="G30" i="12"/>
  <c r="C30" i="12"/>
  <c r="Z29" i="12"/>
  <c r="Y29" i="12"/>
  <c r="X29" i="12"/>
  <c r="W29" i="12"/>
  <c r="Z28" i="12"/>
  <c r="Y28" i="12"/>
  <c r="X28" i="12"/>
  <c r="W28" i="12"/>
  <c r="K24" i="12"/>
  <c r="G24" i="12"/>
  <c r="C24" i="12"/>
  <c r="F18" i="12"/>
  <c r="E18" i="12"/>
  <c r="D18" i="12"/>
  <c r="C18" i="12"/>
  <c r="F12" i="12"/>
  <c r="E12" i="12"/>
  <c r="D12" i="12"/>
  <c r="C12" i="12"/>
  <c r="F6" i="12"/>
  <c r="E6" i="12"/>
  <c r="D6" i="12"/>
  <c r="C6" i="12"/>
  <c r="V41" i="6"/>
  <c r="H39" i="10" s="1"/>
  <c r="V40" i="6"/>
  <c r="V39" i="6"/>
  <c r="V37" i="6"/>
  <c r="H35" i="10" s="1"/>
  <c r="V36" i="6"/>
  <c r="U41" i="6"/>
  <c r="U40" i="6"/>
  <c r="U39" i="6"/>
  <c r="H27" i="10" s="1"/>
  <c r="U37" i="6"/>
  <c r="U36" i="6"/>
  <c r="T41" i="6"/>
  <c r="T40" i="6"/>
  <c r="H18" i="10" s="1"/>
  <c r="T39" i="6"/>
  <c r="T37" i="6"/>
  <c r="T36" i="6"/>
  <c r="S41" i="6"/>
  <c r="S40" i="6"/>
  <c r="H8" i="10" s="1"/>
  <c r="S39" i="6"/>
  <c r="H7" i="10" s="1"/>
  <c r="S37" i="6"/>
  <c r="S36" i="6"/>
  <c r="H4" i="10" s="1"/>
  <c r="U29" i="6"/>
  <c r="T28" i="6"/>
  <c r="H18" i="1" s="1"/>
  <c r="V29" i="6"/>
  <c r="V28" i="6"/>
  <c r="V27" i="6"/>
  <c r="V25" i="6"/>
  <c r="V24" i="6"/>
  <c r="H34" i="1" s="1"/>
  <c r="U28" i="6"/>
  <c r="U27" i="6"/>
  <c r="U25" i="6"/>
  <c r="U24" i="6"/>
  <c r="H24" i="1" s="1"/>
  <c r="T29" i="6"/>
  <c r="T27" i="6"/>
  <c r="T25" i="6"/>
  <c r="T24" i="6"/>
  <c r="S29" i="6"/>
  <c r="S28" i="6"/>
  <c r="S27" i="6"/>
  <c r="H7" i="1" s="1"/>
  <c r="S25" i="6"/>
  <c r="S24" i="6"/>
  <c r="F57" i="11"/>
  <c r="E57" i="11"/>
  <c r="D57" i="11"/>
  <c r="C57" i="11"/>
  <c r="F56" i="11"/>
  <c r="E56" i="11"/>
  <c r="D56" i="11"/>
  <c r="C56" i="11"/>
  <c r="F55" i="11"/>
  <c r="E55" i="11"/>
  <c r="D55" i="11"/>
  <c r="C55" i="11"/>
  <c r="F53" i="11"/>
  <c r="E53" i="11"/>
  <c r="D53" i="11"/>
  <c r="C53" i="11"/>
  <c r="F52" i="11"/>
  <c r="E52" i="11"/>
  <c r="D52" i="11"/>
  <c r="C52" i="11"/>
  <c r="F33" i="11"/>
  <c r="E33" i="11"/>
  <c r="D33" i="11"/>
  <c r="C33" i="11"/>
  <c r="F32" i="11"/>
  <c r="E32" i="11"/>
  <c r="D32" i="11"/>
  <c r="C32" i="11"/>
  <c r="F31" i="11"/>
  <c r="E31" i="11"/>
  <c r="D31" i="11"/>
  <c r="C31" i="11"/>
  <c r="F29" i="11"/>
  <c r="E29" i="11"/>
  <c r="D29" i="11"/>
  <c r="C29" i="11"/>
  <c r="F28" i="11"/>
  <c r="E28" i="11"/>
  <c r="D28" i="11"/>
  <c r="C28" i="11"/>
  <c r="C28" i="1"/>
  <c r="C29" i="1"/>
  <c r="C27" i="1"/>
  <c r="C37" i="1"/>
  <c r="C24" i="1"/>
  <c r="C34" i="1"/>
  <c r="C7" i="1"/>
  <c r="M16" i="10"/>
  <c r="M36" i="10"/>
  <c r="M16" i="1"/>
  <c r="M26" i="1"/>
  <c r="J39" i="10"/>
  <c r="I39" i="10"/>
  <c r="G39" i="10"/>
  <c r="D39" i="10"/>
  <c r="C39" i="10"/>
  <c r="J29" i="10"/>
  <c r="I29" i="10"/>
  <c r="H29" i="10"/>
  <c r="G29" i="10"/>
  <c r="D29" i="10"/>
  <c r="C29" i="10"/>
  <c r="J19" i="10"/>
  <c r="I19" i="10"/>
  <c r="H19" i="10"/>
  <c r="G19" i="10"/>
  <c r="D19" i="10"/>
  <c r="C19" i="10"/>
  <c r="J9" i="10"/>
  <c r="I9" i="10"/>
  <c r="H9" i="10"/>
  <c r="G9" i="10"/>
  <c r="D9" i="10"/>
  <c r="C9" i="10"/>
  <c r="J38" i="10"/>
  <c r="I38" i="10"/>
  <c r="H38" i="10"/>
  <c r="G38" i="10"/>
  <c r="D38" i="10"/>
  <c r="C38" i="10"/>
  <c r="J28" i="10"/>
  <c r="I28" i="10"/>
  <c r="H28" i="10"/>
  <c r="G28" i="10"/>
  <c r="D28" i="10"/>
  <c r="C28" i="10"/>
  <c r="J18" i="10"/>
  <c r="I18" i="10"/>
  <c r="G18" i="10"/>
  <c r="D18" i="10"/>
  <c r="C18" i="10"/>
  <c r="J8" i="10"/>
  <c r="I8" i="10"/>
  <c r="G8" i="10"/>
  <c r="D8" i="10"/>
  <c r="C8" i="10"/>
  <c r="J37" i="10"/>
  <c r="I37" i="10"/>
  <c r="H37" i="10"/>
  <c r="G37" i="10"/>
  <c r="D37" i="10"/>
  <c r="C37" i="10"/>
  <c r="J27" i="10"/>
  <c r="I27" i="10"/>
  <c r="G27" i="10"/>
  <c r="D27" i="10"/>
  <c r="C27" i="10"/>
  <c r="J17" i="10"/>
  <c r="I17" i="10"/>
  <c r="H17" i="10"/>
  <c r="G17" i="10"/>
  <c r="D17" i="10"/>
  <c r="C17" i="10"/>
  <c r="J7" i="10"/>
  <c r="I7" i="10"/>
  <c r="G7" i="10"/>
  <c r="D7" i="10"/>
  <c r="C7" i="10"/>
  <c r="J35" i="10"/>
  <c r="I35" i="10"/>
  <c r="G35" i="10"/>
  <c r="D35" i="10"/>
  <c r="C35" i="10"/>
  <c r="J25" i="10"/>
  <c r="I25" i="10"/>
  <c r="H25" i="10"/>
  <c r="G25" i="10"/>
  <c r="D25" i="10"/>
  <c r="C25" i="10"/>
  <c r="J15" i="10"/>
  <c r="I15" i="10"/>
  <c r="H15" i="10"/>
  <c r="G15" i="10"/>
  <c r="D15" i="10"/>
  <c r="C15" i="10"/>
  <c r="J5" i="10"/>
  <c r="I5" i="10"/>
  <c r="H5" i="10"/>
  <c r="G5" i="10"/>
  <c r="D5" i="10"/>
  <c r="C5" i="10"/>
  <c r="J34" i="10"/>
  <c r="I34" i="10"/>
  <c r="H34" i="10"/>
  <c r="G34" i="10"/>
  <c r="D34" i="10"/>
  <c r="C34" i="10"/>
  <c r="J24" i="10"/>
  <c r="I24" i="10"/>
  <c r="H24" i="10"/>
  <c r="G24" i="10"/>
  <c r="D24" i="10"/>
  <c r="C24" i="10"/>
  <c r="J14" i="10"/>
  <c r="I14" i="10"/>
  <c r="H14" i="10"/>
  <c r="G14" i="10"/>
  <c r="D14" i="10"/>
  <c r="C14" i="10"/>
  <c r="J4" i="10"/>
  <c r="I4" i="10"/>
  <c r="G4" i="10"/>
  <c r="D4" i="10"/>
  <c r="C4" i="10"/>
  <c r="C39" i="1"/>
  <c r="C38" i="1"/>
  <c r="C35" i="1"/>
  <c r="C25" i="1"/>
  <c r="C19" i="1"/>
  <c r="C18" i="1"/>
  <c r="C17" i="1"/>
  <c r="C15" i="1"/>
  <c r="C14" i="1"/>
  <c r="C9" i="1"/>
  <c r="C8" i="1"/>
  <c r="C5" i="1"/>
  <c r="C4" i="1"/>
  <c r="G4" i="1"/>
  <c r="G35" i="1"/>
  <c r="H35" i="1"/>
  <c r="I35" i="1"/>
  <c r="J35" i="1"/>
  <c r="G37" i="1"/>
  <c r="H37" i="1"/>
  <c r="I37" i="1"/>
  <c r="J37" i="1"/>
  <c r="G38" i="1"/>
  <c r="H38" i="1"/>
  <c r="I38" i="1"/>
  <c r="J38" i="1"/>
  <c r="G39" i="1"/>
  <c r="H39" i="1"/>
  <c r="I39" i="1"/>
  <c r="J39" i="1"/>
  <c r="J34" i="1"/>
  <c r="I34" i="1"/>
  <c r="G34" i="1"/>
  <c r="G24" i="1"/>
  <c r="G25" i="1"/>
  <c r="H25" i="1"/>
  <c r="I25" i="1"/>
  <c r="J25" i="1"/>
  <c r="G27" i="1"/>
  <c r="H27" i="1"/>
  <c r="I27" i="1"/>
  <c r="J27" i="1"/>
  <c r="G28" i="1"/>
  <c r="H28" i="1"/>
  <c r="I28" i="1"/>
  <c r="J28" i="1"/>
  <c r="G29" i="1"/>
  <c r="H29" i="1"/>
  <c r="I29" i="1"/>
  <c r="J29" i="1"/>
  <c r="J24" i="1"/>
  <c r="I24" i="1"/>
  <c r="G14" i="1"/>
  <c r="G15" i="1"/>
  <c r="H15" i="1"/>
  <c r="I15" i="1"/>
  <c r="J15" i="1"/>
  <c r="G17" i="1"/>
  <c r="H17" i="1"/>
  <c r="I17" i="1"/>
  <c r="J17" i="1"/>
  <c r="G18" i="1"/>
  <c r="I18" i="1"/>
  <c r="J18" i="1"/>
  <c r="G19" i="1"/>
  <c r="H19" i="1"/>
  <c r="I19" i="1"/>
  <c r="J19" i="1"/>
  <c r="J14" i="1"/>
  <c r="I14" i="1"/>
  <c r="H14" i="1"/>
  <c r="G5" i="1"/>
  <c r="H5" i="1"/>
  <c r="I5" i="1"/>
  <c r="J5" i="1"/>
  <c r="G7" i="1"/>
  <c r="I7" i="1"/>
  <c r="J7" i="1"/>
  <c r="G8" i="1"/>
  <c r="H8" i="1"/>
  <c r="I8" i="1"/>
  <c r="J8" i="1"/>
  <c r="G9" i="1"/>
  <c r="H9" i="1"/>
  <c r="I9" i="1"/>
  <c r="J9" i="1"/>
  <c r="J4" i="1"/>
  <c r="I4" i="1"/>
  <c r="H4" i="1"/>
  <c r="D35" i="1"/>
  <c r="D37" i="1"/>
  <c r="D38" i="1"/>
  <c r="D39" i="1"/>
  <c r="D34" i="1"/>
  <c r="D25" i="1"/>
  <c r="D27" i="1"/>
  <c r="D28" i="1"/>
  <c r="D29" i="1"/>
  <c r="D24" i="1"/>
  <c r="D15" i="1"/>
  <c r="D17" i="1"/>
  <c r="D18" i="1"/>
  <c r="D19" i="1"/>
  <c r="D14" i="1"/>
  <c r="D5" i="1"/>
  <c r="D7" i="1"/>
  <c r="D8" i="1"/>
  <c r="D9" i="1"/>
  <c r="D4" i="1"/>
  <c r="C26" i="6"/>
  <c r="M6" i="1" s="1"/>
  <c r="C32" i="6"/>
  <c r="C38" i="6"/>
  <c r="M6" i="10" s="1"/>
  <c r="L26" i="10"/>
  <c r="L36" i="10"/>
  <c r="L16" i="10"/>
  <c r="G32" i="6"/>
  <c r="L26" i="1"/>
  <c r="L36" i="1"/>
  <c r="L16" i="1"/>
  <c r="G38" i="6" l="1"/>
  <c r="L6" i="10" s="1"/>
  <c r="G26" i="6"/>
  <c r="L6" i="1" s="1"/>
</calcChain>
</file>

<file path=xl/sharedStrings.xml><?xml version="1.0" encoding="utf-8"?>
<sst xmlns="http://schemas.openxmlformats.org/spreadsheetml/2006/main" count="437" uniqueCount="50">
  <si>
    <t>POLL</t>
  </si>
  <si>
    <t>GNFR1</t>
  </si>
  <si>
    <t>GNFR2</t>
  </si>
  <si>
    <t>GNFR3</t>
  </si>
  <si>
    <t>GNFR4</t>
  </si>
  <si>
    <t>GNFR5</t>
  </si>
  <si>
    <t>GNFR6</t>
  </si>
  <si>
    <t>GNFR7</t>
  </si>
  <si>
    <t>GNFR8</t>
  </si>
  <si>
    <t>GNFR9</t>
  </si>
  <si>
    <t>GNFR10</t>
  </si>
  <si>
    <t>GNFR11</t>
  </si>
  <si>
    <t>GNFR12</t>
  </si>
  <si>
    <t>NOx</t>
  </si>
  <si>
    <t>NMVOC</t>
  </si>
  <si>
    <t>NH3</t>
  </si>
  <si>
    <t>PPM25</t>
  </si>
  <si>
    <t>PPM10</t>
  </si>
  <si>
    <t>SOx</t>
  </si>
  <si>
    <t>S1</t>
  </si>
  <si>
    <t>S2</t>
  </si>
  <si>
    <t>S3</t>
  </si>
  <si>
    <t>S4</t>
  </si>
  <si>
    <t>COVNM</t>
  </si>
  <si>
    <t>PM2.5</t>
  </si>
  <si>
    <t>PM10</t>
  </si>
  <si>
    <t>SO2</t>
  </si>
  <si>
    <t>Agriculture</t>
  </si>
  <si>
    <t>Résidentiel</t>
  </si>
  <si>
    <t>Transport</t>
  </si>
  <si>
    <t>Industrie</t>
  </si>
  <si>
    <t>Culture</t>
  </si>
  <si>
    <t>Elevage</t>
  </si>
  <si>
    <t>Routier</t>
  </si>
  <si>
    <t>Ferroviaire</t>
  </si>
  <si>
    <t>Aviation</t>
  </si>
  <si>
    <t>Navigation</t>
  </si>
  <si>
    <t>Données issues du rapport CITEPA</t>
  </si>
  <si>
    <t>Données issues de l'EMEP</t>
  </si>
  <si>
    <t>Moyenne entre S2 et S3</t>
  </si>
  <si>
    <t>Somme du maritime nationale, du fluvial et du plaisance</t>
  </si>
  <si>
    <t>Pas de données</t>
  </si>
  <si>
    <t>Total</t>
  </si>
  <si>
    <t>Emissions en kt</t>
  </si>
  <si>
    <t>Désagrégation des GNFR11 et 12 (feuille 2)</t>
  </si>
  <si>
    <t>Données EMEP auxquelles le facteur de réduction de GAINS a été appliqué (feuille 3)</t>
  </si>
  <si>
    <t>Somme du maritime nationale et du fluvial</t>
  </si>
  <si>
    <t>Navigation EMEP</t>
  </si>
  <si>
    <t>Navigation (maritime + fluvial + plaisance)</t>
  </si>
  <si>
    <t>Navigation (maritime + fluvial)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</si>
</sst>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rgb="FFFF0000"/>
      <name val="Aptos Narrow"/>
      <scheme val="minor"/>
    </font>
    <font>
      <sz val="8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2" borderId="8" xfId="0" applyFill="1" applyBorder="1"/>
    <xf numFmtId="0" fontId="0" fillId="3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8" xfId="0" applyBorder="1" applyAlignment="1">
      <alignment horizontal="center"/>
    </xf>
    <xf numFmtId="0" fontId="0" fillId="3" borderId="13" xfId="0" applyFill="1" applyBorder="1"/>
    <xf numFmtId="0" fontId="0" fillId="3" borderId="6" xfId="0" applyFill="1" applyBorder="1"/>
    <xf numFmtId="0" fontId="0" fillId="3" borderId="16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14" xfId="0" applyFill="1" applyBorder="1"/>
    <xf numFmtId="0" fontId="0" fillId="3" borderId="11" xfId="0" applyFill="1" applyBorder="1"/>
    <xf numFmtId="0" fontId="0" fillId="3" borderId="17" xfId="0" applyFill="1" applyBorder="1"/>
    <xf numFmtId="0" fontId="0" fillId="4" borderId="3" xfId="0" applyFill="1" applyBorder="1"/>
    <xf numFmtId="0" fontId="0" fillId="4" borderId="13" xfId="0" applyFill="1" applyBorder="1"/>
    <xf numFmtId="0" fontId="0" fillId="4" borderId="16" xfId="0" applyFill="1" applyBorder="1"/>
    <xf numFmtId="0" fontId="0" fillId="4" borderId="14" xfId="0" applyFill="1" applyBorder="1"/>
    <xf numFmtId="0" fontId="0" fillId="4" borderId="17" xfId="0" applyFill="1" applyBorder="1"/>
    <xf numFmtId="0" fontId="0" fillId="0" borderId="2" xfId="0" applyBorder="1" applyAlignment="1">
      <alignment horizontal="center"/>
    </xf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2" xfId="0" applyFill="1" applyBorder="1"/>
    <xf numFmtId="0" fontId="0" fillId="5" borderId="8" xfId="0" applyFill="1" applyBorder="1"/>
    <xf numFmtId="0" fontId="0" fillId="5" borderId="1" xfId="0" applyFill="1" applyBorder="1"/>
    <xf numFmtId="0" fontId="0" fillId="5" borderId="4" xfId="0" applyFill="1" applyBorder="1"/>
    <xf numFmtId="0" fontId="0" fillId="5" borderId="9" xfId="0" applyFill="1" applyBorder="1"/>
    <xf numFmtId="0" fontId="0" fillId="5" borderId="13" xfId="0" applyFill="1" applyBorder="1"/>
    <xf numFmtId="0" fontId="0" fillId="5" borderId="6" xfId="0" applyFill="1" applyBorder="1"/>
    <xf numFmtId="0" fontId="0" fillId="5" borderId="16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3" xfId="0" applyFill="1" applyBorder="1"/>
    <xf numFmtId="0" fontId="0" fillId="5" borderId="14" xfId="0" applyFill="1" applyBorder="1"/>
    <xf numFmtId="0" fontId="0" fillId="5" borderId="11" xfId="0" applyFill="1" applyBorder="1"/>
    <xf numFmtId="0" fontId="0" fillId="5" borderId="17" xfId="0" applyFill="1" applyBorder="1"/>
    <xf numFmtId="0" fontId="0" fillId="5" borderId="10" xfId="0" applyFill="1" applyBorder="1"/>
    <xf numFmtId="0" fontId="0" fillId="5" borderId="12" xfId="0" applyFill="1" applyBorder="1"/>
    <xf numFmtId="0" fontId="0" fillId="3" borderId="0" xfId="0" applyFill="1"/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4" borderId="0" xfId="0" applyFill="1"/>
    <xf numFmtId="0" fontId="0" fillId="7" borderId="0" xfId="0" applyFill="1"/>
    <xf numFmtId="0" fontId="4" fillId="4" borderId="8" xfId="0" applyFont="1" applyFill="1" applyBorder="1"/>
    <xf numFmtId="0" fontId="4" fillId="4" borderId="1" xfId="0" applyFont="1" applyFill="1" applyBorder="1"/>
    <xf numFmtId="0" fontId="4" fillId="4" borderId="9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4" fillId="4" borderId="12" xfId="0" applyFont="1" applyFill="1" applyBorder="1"/>
    <xf numFmtId="0" fontId="4" fillId="6" borderId="5" xfId="0" applyFont="1" applyFill="1" applyBorder="1"/>
    <xf numFmtId="0" fontId="4" fillId="6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0" fontId="4" fillId="6" borderId="1" xfId="0" applyFont="1" applyFill="1" applyBorder="1"/>
    <xf numFmtId="0" fontId="4" fillId="6" borderId="9" xfId="0" applyFont="1" applyFill="1" applyBorder="1"/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0" fillId="5" borderId="27" xfId="0" applyFill="1" applyBorder="1"/>
    <xf numFmtId="0" fontId="4" fillId="7" borderId="1" xfId="0" applyFont="1" applyFill="1" applyBorder="1"/>
    <xf numFmtId="0" fontId="4" fillId="7" borderId="9" xfId="0" applyFont="1" applyFill="1" applyBorder="1"/>
    <xf numFmtId="0" fontId="4" fillId="2" borderId="8" xfId="0" applyFont="1" applyFill="1" applyBorder="1"/>
    <xf numFmtId="0" fontId="1" fillId="8" borderId="1" xfId="0" applyFont="1" applyFill="1" applyBorder="1"/>
    <xf numFmtId="1" fontId="1" fillId="0" borderId="1" xfId="1" applyNumberFormat="1" applyFont="1" applyBorder="1"/>
    <xf numFmtId="1" fontId="0" fillId="0" borderId="0" xfId="1" applyNumberFormat="1" applyFont="1"/>
    <xf numFmtId="1" fontId="1" fillId="8" borderId="1" xfId="1" applyNumberFormat="1" applyFont="1" applyFill="1" applyBorder="1"/>
    <xf numFmtId="1" fontId="6" fillId="0" borderId="1" xfId="0" applyNumberFormat="1" applyFont="1" applyBorder="1"/>
    <xf numFmtId="0" fontId="0" fillId="9" borderId="0" xfId="0" applyFill="1"/>
    <xf numFmtId="1" fontId="0" fillId="4" borderId="4" xfId="1" applyNumberFormat="1" applyFont="1" applyFill="1" applyBorder="1"/>
    <xf numFmtId="1" fontId="0" fillId="4" borderId="1" xfId="1" applyNumberFormat="1" applyFont="1" applyFill="1" applyBorder="1"/>
    <xf numFmtId="1" fontId="0" fillId="4" borderId="9" xfId="1" applyNumberFormat="1" applyFont="1" applyFill="1" applyBorder="1"/>
    <xf numFmtId="1" fontId="0" fillId="9" borderId="13" xfId="1" applyNumberFormat="1" applyFont="1" applyFill="1" applyBorder="1"/>
    <xf numFmtId="1" fontId="0" fillId="9" borderId="4" xfId="1" applyNumberFormat="1" applyFont="1" applyFill="1" applyBorder="1"/>
    <xf numFmtId="1" fontId="0" fillId="9" borderId="14" xfId="1" applyNumberFormat="1" applyFont="1" applyFill="1" applyBorder="1"/>
    <xf numFmtId="1" fontId="0" fillId="9" borderId="6" xfId="1" applyNumberFormat="1" applyFont="1" applyFill="1" applyBorder="1"/>
    <xf numFmtId="1" fontId="0" fillId="9" borderId="7" xfId="1" applyNumberFormat="1" applyFont="1" applyFill="1" applyBorder="1"/>
    <xf numFmtId="1" fontId="0" fillId="9" borderId="1" xfId="1" applyNumberFormat="1" applyFont="1" applyFill="1" applyBorder="1"/>
    <xf numFmtId="1" fontId="0" fillId="9" borderId="9" xfId="1" applyNumberFormat="1" applyFont="1" applyFill="1" applyBorder="1"/>
    <xf numFmtId="1" fontId="0" fillId="9" borderId="11" xfId="1" applyNumberFormat="1" applyFont="1" applyFill="1" applyBorder="1"/>
    <xf numFmtId="1" fontId="0" fillId="9" borderId="12" xfId="1" applyNumberFormat="1" applyFont="1" applyFill="1" applyBorder="1"/>
    <xf numFmtId="0" fontId="0" fillId="6" borderId="5" xfId="0" applyFill="1" applyBorder="1"/>
    <xf numFmtId="0" fontId="0" fillId="6" borderId="8" xfId="0" applyFill="1" applyBorder="1"/>
    <xf numFmtId="0" fontId="0" fillId="6" borderId="10" xfId="0" applyFill="1" applyBorder="1"/>
    <xf numFmtId="0" fontId="0" fillId="10" borderId="5" xfId="0" applyFill="1" applyBorder="1"/>
    <xf numFmtId="0" fontId="0" fillId="10" borderId="8" xfId="0" applyFill="1" applyBorder="1"/>
    <xf numFmtId="0" fontId="0" fillId="10" borderId="10" xfId="0" applyFill="1" applyBorder="1"/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Feuil1!$AS$5</c:f>
              <c:strCache>
                <c:ptCount val="1"/>
                <c:pt idx="0">
                  <c:v>NOx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Feuil1!$AT$4:$AW$4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2050</c:v>
                </c:pt>
              </c:numCache>
            </c:numRef>
          </c:xVal>
          <c:yVal>
            <c:numRef>
              <c:f>Feuil1!$AT$5:$AW$5</c:f>
              <c:numCache>
                <c:formatCode>General</c:formatCode>
                <c:ptCount val="4"/>
                <c:pt idx="0">
                  <c:v>833</c:v>
                </c:pt>
                <c:pt idx="1">
                  <c:v>558</c:v>
                </c:pt>
                <c:pt idx="2">
                  <c:v>283.58787878787882</c:v>
                </c:pt>
                <c:pt idx="3">
                  <c:v>119.85050505050505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D-7B42-B379-B14243668980}"/>
            </c:ext>
          </c:extLst>
        </c:ser>
        <c:ser>
          <c:idx val="1"/>
          <c:order val="1"/>
          <c:tx>
            <c:strRef>
              <c:f>Feuil1!$AS$6</c:f>
              <c:strCache>
                <c:ptCount val="1"/>
                <c:pt idx="0">
                  <c:v>COVNM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Feuil1!$AT$4:$AW$4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2050</c:v>
                </c:pt>
              </c:numCache>
            </c:numRef>
          </c:xVal>
          <c:yVal>
            <c:numRef>
              <c:f>Feuil1!$AT$6:$AW$6</c:f>
              <c:numCache>
                <c:formatCode>General</c:formatCode>
                <c:ptCount val="4"/>
                <c:pt idx="0">
                  <c:v>488</c:v>
                </c:pt>
                <c:pt idx="1">
                  <c:v>374</c:v>
                </c:pt>
                <c:pt idx="2">
                  <c:v>225.19054054054055</c:v>
                </c:pt>
                <c:pt idx="3">
                  <c:v>190.7908108108108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0D-7B42-B379-B14243668980}"/>
            </c:ext>
          </c:extLst>
        </c:ser>
        <c:ser>
          <c:idx val="2"/>
          <c:order val="2"/>
          <c:tx>
            <c:strRef>
              <c:f>Feuil1!$AS$7</c:f>
              <c:strCache>
                <c:ptCount val="1"/>
                <c:pt idx="0">
                  <c:v>NH3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Feuil1!$AT$4:$AW$4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2050</c:v>
                </c:pt>
              </c:numCache>
            </c:numRef>
          </c:xVal>
          <c:yVal>
            <c:numRef>
              <c:f>Feuil1!$AT$7:$AW$7</c:f>
              <c:numCache>
                <c:formatCode>General</c:formatCode>
                <c:ptCount val="4"/>
                <c:pt idx="0">
                  <c:v>570</c:v>
                </c:pt>
                <c:pt idx="1">
                  <c:v>514</c:v>
                </c:pt>
                <c:pt idx="2">
                  <c:v>417</c:v>
                </c:pt>
                <c:pt idx="3">
                  <c:v>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0D-7B42-B379-B14243668980}"/>
            </c:ext>
          </c:extLst>
        </c:ser>
        <c:ser>
          <c:idx val="3"/>
          <c:order val="3"/>
          <c:tx>
            <c:strRef>
              <c:f>Feuil1!$AS$8</c:f>
              <c:strCache>
                <c:ptCount val="1"/>
                <c:pt idx="0">
                  <c:v>PM2.5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Feuil1!$AT$4:$AW$4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2050</c:v>
                </c:pt>
              </c:numCache>
            </c:numRef>
          </c:xVal>
          <c:yVal>
            <c:numRef>
              <c:f>Feuil1!$AT$8:$AW$8</c:f>
              <c:numCache>
                <c:formatCode>General</c:formatCode>
                <c:ptCount val="4"/>
                <c:pt idx="0">
                  <c:v>192</c:v>
                </c:pt>
                <c:pt idx="1">
                  <c:v>147</c:v>
                </c:pt>
                <c:pt idx="2">
                  <c:v>57.08064516129032</c:v>
                </c:pt>
                <c:pt idx="3">
                  <c:v>39.261290322580642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0D-7B42-B379-B14243668980}"/>
            </c:ext>
          </c:extLst>
        </c:ser>
        <c:ser>
          <c:idx val="4"/>
          <c:order val="4"/>
          <c:tx>
            <c:strRef>
              <c:f>Feuil1!$AS$9</c:f>
              <c:strCache>
                <c:ptCount val="1"/>
                <c:pt idx="0">
                  <c:v>PM10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Feuil1!$AT$4:$AW$4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2050</c:v>
                </c:pt>
              </c:numCache>
            </c:numRef>
          </c:xVal>
          <c:yVal>
            <c:numRef>
              <c:f>Feuil1!$AT$9:$AW$9</c:f>
              <c:numCache>
                <c:formatCode>General</c:formatCode>
                <c:ptCount val="4"/>
                <c:pt idx="0">
                  <c:v>231</c:v>
                </c:pt>
                <c:pt idx="1">
                  <c:v>182</c:v>
                </c:pt>
                <c:pt idx="2">
                  <c:v>92.769565217391303</c:v>
                </c:pt>
                <c:pt idx="3">
                  <c:v>79.573913043478257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0D-7B42-B379-B14243668980}"/>
            </c:ext>
          </c:extLst>
        </c:ser>
        <c:ser>
          <c:idx val="5"/>
          <c:order val="5"/>
          <c:tx>
            <c:strRef>
              <c:f>Feuil1!$AS$10</c:f>
              <c:strCache>
                <c:ptCount val="1"/>
                <c:pt idx="0">
                  <c:v>SO2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Feuil1!$AT$4:$AW$4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2050</c:v>
                </c:pt>
              </c:numCache>
            </c:numRef>
          </c:xVal>
          <c:yVal>
            <c:numRef>
              <c:f>Feuil1!$AT$10:$AW$10</c:f>
              <c:numCache>
                <c:formatCode>General</c:formatCode>
                <c:ptCount val="4"/>
                <c:pt idx="0">
                  <c:v>107</c:v>
                </c:pt>
                <c:pt idx="1">
                  <c:v>74</c:v>
                </c:pt>
                <c:pt idx="2">
                  <c:v>50.103999999999999</c:v>
                </c:pt>
                <c:pt idx="3">
                  <c:v>45.7303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0D-7B42-B379-B14243668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859551"/>
        <c:axId val="543340991"/>
      </c:scatterChart>
      <c:valAx>
        <c:axId val="51885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340991"/>
        <c:crosses val="autoZero"/>
        <c:crossBetween val="midCat"/>
      </c:valAx>
      <c:valAx>
        <c:axId val="54334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885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Feuil1!$AS$13</c:f>
              <c:strCache>
                <c:ptCount val="1"/>
                <c:pt idx="0">
                  <c:v>NOx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Feuil1!$AT$12:$AW$12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2050</c:v>
                </c:pt>
              </c:numCache>
            </c:numRef>
          </c:xVal>
          <c:yVal>
            <c:numRef>
              <c:f>Feuil1!$AT$13:$AW$13</c:f>
              <c:numCache>
                <c:formatCode>General</c:formatCode>
                <c:ptCount val="4"/>
                <c:pt idx="0">
                  <c:v>833</c:v>
                </c:pt>
                <c:pt idx="1">
                  <c:v>558</c:v>
                </c:pt>
                <c:pt idx="2">
                  <c:v>326.28787878787875</c:v>
                </c:pt>
                <c:pt idx="3">
                  <c:v>127.05050505050505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BB-4848-AAC7-F85BC62AB39A}"/>
            </c:ext>
          </c:extLst>
        </c:ser>
        <c:ser>
          <c:idx val="1"/>
          <c:order val="1"/>
          <c:tx>
            <c:strRef>
              <c:f>Feuil1!$AS$14</c:f>
              <c:strCache>
                <c:ptCount val="1"/>
                <c:pt idx="0">
                  <c:v>COVNM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Feuil1!$AT$12:$AW$12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2050</c:v>
                </c:pt>
              </c:numCache>
            </c:numRef>
          </c:xVal>
          <c:yVal>
            <c:numRef>
              <c:f>Feuil1!$AT$14:$AW$14</c:f>
              <c:numCache>
                <c:formatCode>General</c:formatCode>
                <c:ptCount val="4"/>
                <c:pt idx="0">
                  <c:v>488</c:v>
                </c:pt>
                <c:pt idx="1">
                  <c:v>374</c:v>
                </c:pt>
                <c:pt idx="2">
                  <c:v>229.24054054054056</c:v>
                </c:pt>
                <c:pt idx="3">
                  <c:v>186.21081081081081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BB-4848-AAC7-F85BC62AB39A}"/>
            </c:ext>
          </c:extLst>
        </c:ser>
        <c:ser>
          <c:idx val="2"/>
          <c:order val="2"/>
          <c:tx>
            <c:strRef>
              <c:f>Feuil1!$AS$15</c:f>
              <c:strCache>
                <c:ptCount val="1"/>
                <c:pt idx="0">
                  <c:v>NH3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Feuil1!$AT$12:$AW$12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2050</c:v>
                </c:pt>
              </c:numCache>
            </c:numRef>
          </c:xVal>
          <c:yVal>
            <c:numRef>
              <c:f>Feuil1!$AT$15:$AW$15</c:f>
              <c:numCache>
                <c:formatCode>General</c:formatCode>
                <c:ptCount val="4"/>
                <c:pt idx="0">
                  <c:v>570</c:v>
                </c:pt>
                <c:pt idx="1">
                  <c:v>514</c:v>
                </c:pt>
                <c:pt idx="2">
                  <c:v>446</c:v>
                </c:pt>
                <c:pt idx="3">
                  <c:v>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BB-4848-AAC7-F85BC62AB39A}"/>
            </c:ext>
          </c:extLst>
        </c:ser>
        <c:ser>
          <c:idx val="3"/>
          <c:order val="3"/>
          <c:tx>
            <c:strRef>
              <c:f>Feuil1!$AS$16</c:f>
              <c:strCache>
                <c:ptCount val="1"/>
                <c:pt idx="0">
                  <c:v>PM2.5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Feuil1!$AT$12:$AW$12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2050</c:v>
                </c:pt>
              </c:numCache>
            </c:numRef>
          </c:xVal>
          <c:yVal>
            <c:numRef>
              <c:f>Feuil1!$AT$16:$AW$16</c:f>
              <c:numCache>
                <c:formatCode>General</c:formatCode>
                <c:ptCount val="4"/>
                <c:pt idx="0">
                  <c:v>192</c:v>
                </c:pt>
                <c:pt idx="1">
                  <c:v>147</c:v>
                </c:pt>
                <c:pt idx="2">
                  <c:v>54.280645161290337</c:v>
                </c:pt>
                <c:pt idx="3">
                  <c:v>41.29129032258065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BB-4848-AAC7-F85BC62AB39A}"/>
            </c:ext>
          </c:extLst>
        </c:ser>
        <c:ser>
          <c:idx val="4"/>
          <c:order val="4"/>
          <c:tx>
            <c:strRef>
              <c:f>Feuil1!$AS$17</c:f>
              <c:strCache>
                <c:ptCount val="1"/>
                <c:pt idx="0">
                  <c:v>PM10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Feuil1!$AT$12:$AW$12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2050</c:v>
                </c:pt>
              </c:numCache>
            </c:numRef>
          </c:xVal>
          <c:yVal>
            <c:numRef>
              <c:f>Feuil1!$AT$17:$AW$17</c:f>
              <c:numCache>
                <c:formatCode>General</c:formatCode>
                <c:ptCount val="4"/>
                <c:pt idx="0">
                  <c:v>231</c:v>
                </c:pt>
                <c:pt idx="1">
                  <c:v>182</c:v>
                </c:pt>
                <c:pt idx="2">
                  <c:v>90.769565217391317</c:v>
                </c:pt>
                <c:pt idx="3">
                  <c:v>83.003913043478263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BB-4848-AAC7-F85BC62AB39A}"/>
            </c:ext>
          </c:extLst>
        </c:ser>
        <c:ser>
          <c:idx val="5"/>
          <c:order val="5"/>
          <c:tx>
            <c:strRef>
              <c:f>Feuil1!$AS$18</c:f>
              <c:strCache>
                <c:ptCount val="1"/>
                <c:pt idx="0">
                  <c:v>SO2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Feuil1!$AT$12:$AW$12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2050</c:v>
                </c:pt>
              </c:numCache>
            </c:numRef>
          </c:xVal>
          <c:yVal>
            <c:numRef>
              <c:f>Feuil1!$AT$18:$AW$18</c:f>
              <c:numCache>
                <c:formatCode>General</c:formatCode>
                <c:ptCount val="4"/>
                <c:pt idx="0">
                  <c:v>107</c:v>
                </c:pt>
                <c:pt idx="1">
                  <c:v>74</c:v>
                </c:pt>
                <c:pt idx="2">
                  <c:v>49.706999999999994</c:v>
                </c:pt>
                <c:pt idx="3">
                  <c:v>45.43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BB-4848-AAC7-F85BC62AB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903119"/>
        <c:axId val="542142639"/>
      </c:scatterChart>
      <c:valAx>
        <c:axId val="51790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2142639"/>
        <c:crosses val="autoZero"/>
        <c:crossBetween val="midCat"/>
      </c:valAx>
      <c:valAx>
        <c:axId val="54214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7903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460909</xdr:colOff>
      <xdr:row>2</xdr:row>
      <xdr:rowOff>91040</xdr:rowOff>
    </xdr:from>
    <xdr:to>
      <xdr:col>55</xdr:col>
      <xdr:colOff>67066</xdr:colOff>
      <xdr:row>15</xdr:row>
      <xdr:rowOff>51656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4FDC0A3-DA76-093E-5CA8-314641B49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453690</xdr:colOff>
      <xdr:row>15</xdr:row>
      <xdr:rowOff>91040</xdr:rowOff>
    </xdr:from>
    <xdr:to>
      <xdr:col>55</xdr:col>
      <xdr:colOff>59847</xdr:colOff>
      <xdr:row>28</xdr:row>
      <xdr:rowOff>51656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5E34289-387F-D03F-74B5-005DB73D8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3A374-8284-1B45-AFBE-F94C619ABD2B}">
  <dimension ref="A2:AH56"/>
  <sheetViews>
    <sheetView tabSelected="1" topLeftCell="I20" zoomScale="85" zoomScaleNormal="80" workbookViewId="0">
      <selection activeCell="K34" sqref="K34"/>
    </sheetView>
  </sheetViews>
  <sheetFormatPr baseColWidth="10" defaultRowHeight="16" x14ac:dyDescent="0.2"/>
  <sheetData>
    <row r="2" spans="1:34" ht="17" thickBot="1" x14ac:dyDescent="0.25"/>
    <row r="3" spans="1:34" ht="17" thickBot="1" x14ac:dyDescent="0.25">
      <c r="A3" s="112" t="s">
        <v>43</v>
      </c>
      <c r="B3" s="113"/>
      <c r="C3" s="103" t="s">
        <v>27</v>
      </c>
      <c r="D3" s="103"/>
      <c r="E3" s="103"/>
      <c r="F3" s="103"/>
      <c r="G3" s="103"/>
      <c r="H3" s="103"/>
      <c r="I3" s="103"/>
      <c r="J3" s="104"/>
      <c r="K3" s="105" t="s">
        <v>28</v>
      </c>
      <c r="L3" s="106"/>
      <c r="M3" s="106"/>
      <c r="N3" s="107"/>
      <c r="O3" s="102" t="s">
        <v>29</v>
      </c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4"/>
      <c r="AE3" s="105" t="s">
        <v>30</v>
      </c>
      <c r="AF3" s="106"/>
      <c r="AG3" s="106"/>
      <c r="AH3" s="107"/>
    </row>
    <row r="4" spans="1:34" ht="17" thickBot="1" x14ac:dyDescent="0.25">
      <c r="A4" s="112"/>
      <c r="B4" s="113"/>
      <c r="C4" s="102" t="s">
        <v>31</v>
      </c>
      <c r="D4" s="103"/>
      <c r="E4" s="103"/>
      <c r="F4" s="104"/>
      <c r="G4" s="102" t="s">
        <v>32</v>
      </c>
      <c r="H4" s="103"/>
      <c r="I4" s="103"/>
      <c r="J4" s="104"/>
      <c r="K4" s="108"/>
      <c r="L4" s="109"/>
      <c r="M4" s="109"/>
      <c r="N4" s="110"/>
      <c r="O4" s="102" t="s">
        <v>33</v>
      </c>
      <c r="P4" s="103"/>
      <c r="Q4" s="103"/>
      <c r="R4" s="104"/>
      <c r="S4" s="102" t="s">
        <v>36</v>
      </c>
      <c r="T4" s="103"/>
      <c r="U4" s="103"/>
      <c r="V4" s="104"/>
      <c r="W4" s="102" t="s">
        <v>35</v>
      </c>
      <c r="X4" s="103"/>
      <c r="Y4" s="103"/>
      <c r="Z4" s="104"/>
      <c r="AA4" s="102" t="s">
        <v>34</v>
      </c>
      <c r="AB4" s="103"/>
      <c r="AC4" s="103"/>
      <c r="AD4" s="104"/>
      <c r="AE4" s="108"/>
      <c r="AF4" s="109"/>
      <c r="AG4" s="109"/>
      <c r="AH4" s="110"/>
    </row>
    <row r="5" spans="1:34" ht="17" thickBot="1" x14ac:dyDescent="0.25">
      <c r="A5" s="109"/>
      <c r="B5" s="110"/>
      <c r="C5" s="32" t="s">
        <v>19</v>
      </c>
      <c r="D5" s="32" t="s">
        <v>20</v>
      </c>
      <c r="E5" s="32" t="s">
        <v>21</v>
      </c>
      <c r="F5" s="32" t="s">
        <v>22</v>
      </c>
      <c r="G5" s="32" t="s">
        <v>19</v>
      </c>
      <c r="H5" s="32" t="s">
        <v>20</v>
      </c>
      <c r="I5" s="32" t="s">
        <v>21</v>
      </c>
      <c r="J5" s="32" t="s">
        <v>22</v>
      </c>
      <c r="K5" s="32" t="s">
        <v>19</v>
      </c>
      <c r="L5" s="32" t="s">
        <v>20</v>
      </c>
      <c r="M5" s="32" t="s">
        <v>21</v>
      </c>
      <c r="N5" s="16" t="s">
        <v>22</v>
      </c>
      <c r="O5" s="32" t="s">
        <v>19</v>
      </c>
      <c r="P5" s="32" t="s">
        <v>20</v>
      </c>
      <c r="Q5" s="32" t="s">
        <v>21</v>
      </c>
      <c r="R5" s="32" t="s">
        <v>22</v>
      </c>
      <c r="S5" s="32" t="s">
        <v>19</v>
      </c>
      <c r="T5" s="32" t="s">
        <v>20</v>
      </c>
      <c r="U5" s="32" t="s">
        <v>21</v>
      </c>
      <c r="V5" s="32" t="s">
        <v>22</v>
      </c>
      <c r="W5" s="32" t="s">
        <v>19</v>
      </c>
      <c r="X5" s="32" t="s">
        <v>20</v>
      </c>
      <c r="Y5" s="32" t="s">
        <v>21</v>
      </c>
      <c r="Z5" s="32" t="s">
        <v>22</v>
      </c>
      <c r="AA5" s="32" t="s">
        <v>19</v>
      </c>
      <c r="AB5" s="32" t="s">
        <v>20</v>
      </c>
      <c r="AC5" s="32" t="s">
        <v>21</v>
      </c>
      <c r="AD5" s="32" t="s">
        <v>22</v>
      </c>
      <c r="AE5" s="18" t="s">
        <v>19</v>
      </c>
      <c r="AF5" s="32" t="s">
        <v>20</v>
      </c>
      <c r="AG5" s="32" t="s">
        <v>21</v>
      </c>
      <c r="AH5" s="32" t="s">
        <v>22</v>
      </c>
    </row>
    <row r="6" spans="1:34" ht="17" thickBot="1" x14ac:dyDescent="0.25">
      <c r="A6" s="111">
        <v>2015</v>
      </c>
      <c r="B6" s="4" t="s">
        <v>13</v>
      </c>
      <c r="C6" s="6"/>
      <c r="D6" s="7"/>
      <c r="E6" s="7"/>
      <c r="F6" s="8"/>
      <c r="G6" s="6"/>
      <c r="H6" s="7"/>
      <c r="I6" s="7"/>
      <c r="J6" s="8"/>
      <c r="K6" s="42">
        <v>86</v>
      </c>
      <c r="L6" s="43">
        <v>86</v>
      </c>
      <c r="M6" s="43">
        <v>86</v>
      </c>
      <c r="N6" s="44">
        <v>86</v>
      </c>
      <c r="O6" s="45">
        <v>513</v>
      </c>
      <c r="P6" s="43">
        <v>513</v>
      </c>
      <c r="Q6" s="43">
        <v>513</v>
      </c>
      <c r="R6" s="46">
        <v>513</v>
      </c>
      <c r="S6" s="45">
        <v>4</v>
      </c>
      <c r="T6" s="43">
        <v>4</v>
      </c>
      <c r="U6" s="43">
        <v>4</v>
      </c>
      <c r="V6" s="46">
        <v>4</v>
      </c>
      <c r="W6" s="42">
        <v>10</v>
      </c>
      <c r="X6" s="43">
        <v>10</v>
      </c>
      <c r="Y6" s="43">
        <v>10</v>
      </c>
      <c r="Z6" s="44">
        <v>10</v>
      </c>
      <c r="AA6" s="45">
        <v>115</v>
      </c>
      <c r="AB6" s="43">
        <v>115</v>
      </c>
      <c r="AC6" s="43">
        <v>115</v>
      </c>
      <c r="AD6" s="46">
        <v>115</v>
      </c>
      <c r="AE6" s="42">
        <v>105</v>
      </c>
      <c r="AF6" s="43">
        <v>105</v>
      </c>
      <c r="AG6" s="43">
        <v>105</v>
      </c>
      <c r="AH6" s="46">
        <v>105</v>
      </c>
    </row>
    <row r="7" spans="1:34" ht="17" thickBot="1" x14ac:dyDescent="0.25">
      <c r="A7" s="111"/>
      <c r="B7" s="4" t="s">
        <v>23</v>
      </c>
      <c r="C7" s="9"/>
      <c r="D7" s="3"/>
      <c r="E7" s="3"/>
      <c r="F7" s="10"/>
      <c r="G7" s="9"/>
      <c r="H7" s="3"/>
      <c r="I7" s="3"/>
      <c r="J7" s="10"/>
      <c r="K7" s="40">
        <v>230</v>
      </c>
      <c r="L7" s="39">
        <v>230</v>
      </c>
      <c r="M7" s="39">
        <v>230</v>
      </c>
      <c r="N7" s="47">
        <v>230</v>
      </c>
      <c r="O7" s="38">
        <v>61</v>
      </c>
      <c r="P7" s="39">
        <v>61</v>
      </c>
      <c r="Q7" s="39">
        <v>61</v>
      </c>
      <c r="R7" s="41">
        <v>61</v>
      </c>
      <c r="S7" s="38">
        <v>0.5</v>
      </c>
      <c r="T7" s="39">
        <v>0.5</v>
      </c>
      <c r="U7" s="39">
        <v>0.5</v>
      </c>
      <c r="V7" s="41">
        <v>0.5</v>
      </c>
      <c r="W7" s="40">
        <v>1</v>
      </c>
      <c r="X7" s="39">
        <v>1</v>
      </c>
      <c r="Y7" s="39">
        <v>1</v>
      </c>
      <c r="Z7" s="47">
        <v>1</v>
      </c>
      <c r="AA7" s="38">
        <v>48</v>
      </c>
      <c r="AB7" s="39">
        <v>48</v>
      </c>
      <c r="AC7" s="39">
        <v>48</v>
      </c>
      <c r="AD7" s="41">
        <v>48</v>
      </c>
      <c r="AE7" s="40">
        <v>147</v>
      </c>
      <c r="AF7" s="39">
        <v>147</v>
      </c>
      <c r="AG7" s="39">
        <v>147</v>
      </c>
      <c r="AH7" s="41">
        <v>147</v>
      </c>
    </row>
    <row r="8" spans="1:34" ht="17" thickBot="1" x14ac:dyDescent="0.25">
      <c r="A8" s="111"/>
      <c r="B8" s="17" t="s">
        <v>15</v>
      </c>
      <c r="C8" s="38">
        <v>346</v>
      </c>
      <c r="D8" s="39">
        <v>346</v>
      </c>
      <c r="E8" s="40">
        <v>346</v>
      </c>
      <c r="F8" s="40">
        <v>346</v>
      </c>
      <c r="G8" s="38">
        <v>224</v>
      </c>
      <c r="H8" s="39">
        <v>224</v>
      </c>
      <c r="I8" s="39">
        <v>224</v>
      </c>
      <c r="J8" s="41">
        <v>224</v>
      </c>
      <c r="K8" s="5"/>
      <c r="L8" s="3"/>
      <c r="M8" s="3"/>
      <c r="N8" s="27"/>
      <c r="O8" s="9"/>
      <c r="P8" s="3"/>
      <c r="Q8" s="3"/>
      <c r="R8" s="10"/>
      <c r="S8" s="9"/>
      <c r="T8" s="3"/>
      <c r="U8" s="3"/>
      <c r="V8" s="10"/>
      <c r="W8" s="5"/>
      <c r="X8" s="3"/>
      <c r="Y8" s="3"/>
      <c r="Z8" s="27"/>
      <c r="AA8" s="9"/>
      <c r="AB8" s="3"/>
      <c r="AC8" s="3"/>
      <c r="AD8" s="10"/>
      <c r="AE8" s="5"/>
      <c r="AF8" s="3"/>
      <c r="AG8" s="3"/>
      <c r="AH8" s="10"/>
    </row>
    <row r="9" spans="1:34" ht="17" thickBot="1" x14ac:dyDescent="0.25">
      <c r="A9" s="111"/>
      <c r="B9" s="4" t="s">
        <v>24</v>
      </c>
      <c r="C9" s="9"/>
      <c r="D9" s="3"/>
      <c r="E9" s="3"/>
      <c r="F9" s="10"/>
      <c r="G9" s="9"/>
      <c r="H9" s="3"/>
      <c r="I9" s="3"/>
      <c r="J9" s="10"/>
      <c r="K9" s="40">
        <v>137</v>
      </c>
      <c r="L9" s="39">
        <v>137</v>
      </c>
      <c r="M9" s="39">
        <v>137</v>
      </c>
      <c r="N9" s="47">
        <v>137</v>
      </c>
      <c r="O9" s="38">
        <v>25</v>
      </c>
      <c r="P9" s="39">
        <v>25</v>
      </c>
      <c r="Q9" s="39">
        <v>25</v>
      </c>
      <c r="R9" s="41">
        <v>25</v>
      </c>
      <c r="S9" s="38">
        <v>0.4</v>
      </c>
      <c r="T9" s="39">
        <v>0.4</v>
      </c>
      <c r="U9" s="39">
        <v>0.4</v>
      </c>
      <c r="V9" s="41">
        <v>0.4</v>
      </c>
      <c r="W9" s="40">
        <v>0.13</v>
      </c>
      <c r="X9" s="39">
        <v>0.13</v>
      </c>
      <c r="Y9" s="39">
        <v>0.13</v>
      </c>
      <c r="Z9" s="47">
        <v>0.13</v>
      </c>
      <c r="AA9" s="38">
        <v>9.6999999999999993</v>
      </c>
      <c r="AB9" s="39">
        <v>9.6999999999999993</v>
      </c>
      <c r="AC9" s="39">
        <v>9.6999999999999993</v>
      </c>
      <c r="AD9" s="41">
        <v>9.6999999999999993</v>
      </c>
      <c r="AE9" s="40">
        <v>20</v>
      </c>
      <c r="AF9" s="39">
        <v>20</v>
      </c>
      <c r="AG9" s="39">
        <v>20</v>
      </c>
      <c r="AH9" s="41">
        <v>20</v>
      </c>
    </row>
    <row r="10" spans="1:34" ht="17" thickBot="1" x14ac:dyDescent="0.25">
      <c r="A10" s="111"/>
      <c r="B10" s="4" t="s">
        <v>25</v>
      </c>
      <c r="C10" s="9"/>
      <c r="D10" s="3"/>
      <c r="E10" s="3"/>
      <c r="F10" s="10"/>
      <c r="G10" s="9"/>
      <c r="H10" s="3"/>
      <c r="I10" s="3"/>
      <c r="J10" s="10"/>
      <c r="K10" s="40">
        <v>140</v>
      </c>
      <c r="L10" s="39">
        <v>140</v>
      </c>
      <c r="M10" s="39">
        <v>140</v>
      </c>
      <c r="N10" s="47">
        <v>140</v>
      </c>
      <c r="O10" s="38">
        <v>31</v>
      </c>
      <c r="P10" s="39">
        <v>31</v>
      </c>
      <c r="Q10" s="39">
        <v>31</v>
      </c>
      <c r="R10" s="41">
        <v>31</v>
      </c>
      <c r="S10" s="38">
        <v>0.4</v>
      </c>
      <c r="T10" s="39">
        <v>0.4</v>
      </c>
      <c r="U10" s="39">
        <v>0.4</v>
      </c>
      <c r="V10" s="41">
        <v>0.4</v>
      </c>
      <c r="W10" s="40">
        <v>0.2</v>
      </c>
      <c r="X10" s="39">
        <v>0.2</v>
      </c>
      <c r="Y10" s="39">
        <v>0.2</v>
      </c>
      <c r="Z10" s="47">
        <v>0.2</v>
      </c>
      <c r="AA10" s="38">
        <v>12</v>
      </c>
      <c r="AB10" s="39">
        <v>12</v>
      </c>
      <c r="AC10" s="39">
        <v>12</v>
      </c>
      <c r="AD10" s="41">
        <v>12</v>
      </c>
      <c r="AE10" s="40">
        <v>47</v>
      </c>
      <c r="AF10" s="39">
        <v>47</v>
      </c>
      <c r="AG10" s="39">
        <v>47</v>
      </c>
      <c r="AH10" s="41">
        <v>47</v>
      </c>
    </row>
    <row r="11" spans="1:34" ht="17" thickBot="1" x14ac:dyDescent="0.25">
      <c r="A11" s="111"/>
      <c r="B11" s="4" t="s">
        <v>26</v>
      </c>
      <c r="C11" s="13"/>
      <c r="D11" s="14"/>
      <c r="E11" s="14"/>
      <c r="F11" s="15"/>
      <c r="G11" s="13"/>
      <c r="H11" s="14"/>
      <c r="I11" s="14"/>
      <c r="J11" s="15"/>
      <c r="K11" s="48">
        <v>20</v>
      </c>
      <c r="L11" s="49">
        <v>20</v>
      </c>
      <c r="M11" s="49">
        <v>20</v>
      </c>
      <c r="N11" s="50">
        <v>20</v>
      </c>
      <c r="O11" s="51">
        <v>0.8</v>
      </c>
      <c r="P11" s="49">
        <v>0.8</v>
      </c>
      <c r="Q11" s="49">
        <v>0.8</v>
      </c>
      <c r="R11" s="52">
        <v>0.8</v>
      </c>
      <c r="S11" s="51">
        <v>1.2</v>
      </c>
      <c r="T11" s="49">
        <v>1.2</v>
      </c>
      <c r="U11" s="49">
        <v>1.2</v>
      </c>
      <c r="V11" s="52">
        <v>1.2</v>
      </c>
      <c r="W11" s="48">
        <v>0.7</v>
      </c>
      <c r="X11" s="49">
        <v>0.7</v>
      </c>
      <c r="Y11" s="49">
        <v>0.7</v>
      </c>
      <c r="Z11" s="50">
        <v>0.7</v>
      </c>
      <c r="AA11" s="51">
        <v>0.7</v>
      </c>
      <c r="AB11" s="49">
        <v>0.7</v>
      </c>
      <c r="AC11" s="49">
        <v>0.7</v>
      </c>
      <c r="AD11" s="52">
        <v>0.7</v>
      </c>
      <c r="AE11" s="48">
        <v>84</v>
      </c>
      <c r="AF11" s="49">
        <v>84</v>
      </c>
      <c r="AG11" s="49">
        <v>84</v>
      </c>
      <c r="AH11" s="52">
        <v>84</v>
      </c>
    </row>
    <row r="12" spans="1:34" ht="17" thickBot="1" x14ac:dyDescent="0.25">
      <c r="A12" s="111">
        <v>2019</v>
      </c>
      <c r="B12" s="4" t="s">
        <v>13</v>
      </c>
      <c r="C12" s="6"/>
      <c r="D12" s="7"/>
      <c r="E12" s="7"/>
      <c r="F12" s="8"/>
      <c r="G12" s="6"/>
      <c r="H12" s="7"/>
      <c r="I12" s="7"/>
      <c r="J12" s="8"/>
      <c r="K12" s="42">
        <v>79</v>
      </c>
      <c r="L12" s="43">
        <v>79</v>
      </c>
      <c r="M12" s="43">
        <v>79</v>
      </c>
      <c r="N12" s="44">
        <v>79</v>
      </c>
      <c r="O12" s="45">
        <v>406</v>
      </c>
      <c r="P12" s="43">
        <v>406</v>
      </c>
      <c r="Q12" s="43">
        <v>406</v>
      </c>
      <c r="R12" s="46">
        <v>406</v>
      </c>
      <c r="S12" s="45">
        <v>3.4</v>
      </c>
      <c r="T12" s="43">
        <v>3.4</v>
      </c>
      <c r="U12" s="43">
        <v>3.4</v>
      </c>
      <c r="V12" s="46">
        <v>3.4</v>
      </c>
      <c r="W12" s="42">
        <v>11</v>
      </c>
      <c r="X12" s="43">
        <v>11</v>
      </c>
      <c r="Y12" s="43">
        <v>11</v>
      </c>
      <c r="Z12" s="44">
        <v>11</v>
      </c>
      <c r="AA12" s="45">
        <v>75</v>
      </c>
      <c r="AB12" s="43">
        <v>75</v>
      </c>
      <c r="AC12" s="43">
        <v>75</v>
      </c>
      <c r="AD12" s="46">
        <v>75</v>
      </c>
      <c r="AE12" s="42">
        <v>89</v>
      </c>
      <c r="AF12" s="43">
        <v>89</v>
      </c>
      <c r="AG12" s="43">
        <v>89</v>
      </c>
      <c r="AH12" s="46">
        <v>89</v>
      </c>
    </row>
    <row r="13" spans="1:34" ht="17" thickBot="1" x14ac:dyDescent="0.25">
      <c r="A13" s="111"/>
      <c r="B13" s="4" t="s">
        <v>23</v>
      </c>
      <c r="C13" s="9"/>
      <c r="D13" s="3"/>
      <c r="E13" s="3"/>
      <c r="F13" s="10"/>
      <c r="G13" s="9"/>
      <c r="H13" s="3"/>
      <c r="I13" s="3"/>
      <c r="J13" s="10"/>
      <c r="K13" s="40">
        <v>196</v>
      </c>
      <c r="L13" s="39">
        <v>196</v>
      </c>
      <c r="M13" s="39">
        <v>196</v>
      </c>
      <c r="N13" s="47">
        <v>196</v>
      </c>
      <c r="O13" s="38">
        <v>50</v>
      </c>
      <c r="P13" s="39">
        <v>50</v>
      </c>
      <c r="Q13" s="39">
        <v>50</v>
      </c>
      <c r="R13" s="41">
        <v>50</v>
      </c>
      <c r="S13" s="38">
        <v>0.5</v>
      </c>
      <c r="T13" s="39">
        <v>0.5</v>
      </c>
      <c r="U13" s="39">
        <v>0.5</v>
      </c>
      <c r="V13" s="41">
        <v>0.5</v>
      </c>
      <c r="W13" s="40">
        <v>1</v>
      </c>
      <c r="X13" s="39">
        <v>1</v>
      </c>
      <c r="Y13" s="39">
        <v>1</v>
      </c>
      <c r="Z13" s="47">
        <v>1</v>
      </c>
      <c r="AA13" s="38">
        <v>34</v>
      </c>
      <c r="AB13" s="39">
        <v>34</v>
      </c>
      <c r="AC13" s="39">
        <v>34</v>
      </c>
      <c r="AD13" s="41">
        <v>34</v>
      </c>
      <c r="AE13" s="40">
        <v>142</v>
      </c>
      <c r="AF13" s="39">
        <v>142</v>
      </c>
      <c r="AG13" s="39">
        <v>142</v>
      </c>
      <c r="AH13" s="41">
        <v>142</v>
      </c>
    </row>
    <row r="14" spans="1:34" ht="17" thickBot="1" x14ac:dyDescent="0.25">
      <c r="A14" s="111"/>
      <c r="B14" s="17" t="s">
        <v>15</v>
      </c>
      <c r="C14" s="38">
        <v>338</v>
      </c>
      <c r="D14" s="39">
        <v>338</v>
      </c>
      <c r="E14" s="40">
        <v>338</v>
      </c>
      <c r="F14" s="40">
        <v>338</v>
      </c>
      <c r="G14" s="38">
        <v>210</v>
      </c>
      <c r="H14" s="39">
        <v>210</v>
      </c>
      <c r="I14" s="39">
        <v>210</v>
      </c>
      <c r="J14" s="41">
        <v>210</v>
      </c>
      <c r="K14" s="5"/>
      <c r="L14" s="3"/>
      <c r="M14" s="3"/>
      <c r="N14" s="27"/>
      <c r="O14" s="9"/>
      <c r="P14" s="3"/>
      <c r="Q14" s="3"/>
      <c r="R14" s="10"/>
      <c r="S14" s="9"/>
      <c r="T14" s="3"/>
      <c r="U14" s="3"/>
      <c r="V14" s="10"/>
      <c r="W14" s="5"/>
      <c r="X14" s="3"/>
      <c r="Y14" s="3"/>
      <c r="Z14" s="27"/>
      <c r="AA14" s="9"/>
      <c r="AB14" s="3"/>
      <c r="AC14" s="3"/>
      <c r="AD14" s="10"/>
      <c r="AE14" s="5"/>
      <c r="AF14" s="3"/>
      <c r="AG14" s="3"/>
      <c r="AH14" s="10"/>
    </row>
    <row r="15" spans="1:34" ht="17" thickBot="1" x14ac:dyDescent="0.25">
      <c r="A15" s="111"/>
      <c r="B15" s="4" t="s">
        <v>24</v>
      </c>
      <c r="C15" s="9"/>
      <c r="D15" s="3"/>
      <c r="E15" s="3"/>
      <c r="F15" s="10"/>
      <c r="G15" s="9"/>
      <c r="H15" s="3"/>
      <c r="I15" s="3"/>
      <c r="J15" s="10"/>
      <c r="K15" s="40">
        <v>123</v>
      </c>
      <c r="L15" s="39">
        <v>123</v>
      </c>
      <c r="M15" s="39">
        <v>123</v>
      </c>
      <c r="N15" s="47">
        <v>123</v>
      </c>
      <c r="O15" s="38">
        <v>18</v>
      </c>
      <c r="P15" s="39">
        <v>18</v>
      </c>
      <c r="Q15" s="39">
        <v>18</v>
      </c>
      <c r="R15" s="41">
        <v>18</v>
      </c>
      <c r="S15" s="38">
        <v>0.3</v>
      </c>
      <c r="T15" s="39">
        <v>0.3</v>
      </c>
      <c r="U15" s="39">
        <v>0.3</v>
      </c>
      <c r="V15" s="41">
        <v>0.3</v>
      </c>
      <c r="W15" s="40">
        <v>0.14000000000000001</v>
      </c>
      <c r="X15" s="39">
        <v>0.14000000000000001</v>
      </c>
      <c r="Y15" s="39">
        <v>0.14000000000000001</v>
      </c>
      <c r="Z15" s="47">
        <v>0.14000000000000001</v>
      </c>
      <c r="AA15" s="38">
        <v>6.5</v>
      </c>
      <c r="AB15" s="39">
        <v>6.5</v>
      </c>
      <c r="AC15" s="39">
        <v>6.5</v>
      </c>
      <c r="AD15" s="41">
        <v>6.5</v>
      </c>
      <c r="AE15" s="40">
        <v>20</v>
      </c>
      <c r="AF15" s="39">
        <v>20</v>
      </c>
      <c r="AG15" s="39">
        <v>20</v>
      </c>
      <c r="AH15" s="41">
        <v>20</v>
      </c>
    </row>
    <row r="16" spans="1:34" ht="17" thickBot="1" x14ac:dyDescent="0.25">
      <c r="A16" s="111"/>
      <c r="B16" s="4" t="s">
        <v>25</v>
      </c>
      <c r="C16" s="9"/>
      <c r="D16" s="3"/>
      <c r="E16" s="3"/>
      <c r="F16" s="10"/>
      <c r="G16" s="9"/>
      <c r="H16" s="3"/>
      <c r="I16" s="3"/>
      <c r="J16" s="10"/>
      <c r="K16" s="40">
        <v>126</v>
      </c>
      <c r="L16" s="39">
        <v>126</v>
      </c>
      <c r="M16" s="39">
        <v>126</v>
      </c>
      <c r="N16" s="47">
        <v>126</v>
      </c>
      <c r="O16" s="38">
        <v>25</v>
      </c>
      <c r="P16" s="39">
        <v>25</v>
      </c>
      <c r="Q16" s="39">
        <v>25</v>
      </c>
      <c r="R16" s="41">
        <v>25</v>
      </c>
      <c r="S16" s="38">
        <v>0.3</v>
      </c>
      <c r="T16" s="39">
        <v>0.3</v>
      </c>
      <c r="U16" s="39">
        <v>0.3</v>
      </c>
      <c r="V16" s="41">
        <v>0.3</v>
      </c>
      <c r="W16" s="40">
        <v>0.2</v>
      </c>
      <c r="X16" s="39">
        <v>0.2</v>
      </c>
      <c r="Y16" s="39">
        <v>0.2</v>
      </c>
      <c r="Z16" s="47">
        <v>0.2</v>
      </c>
      <c r="AA16" s="38">
        <v>9</v>
      </c>
      <c r="AB16" s="39">
        <v>9</v>
      </c>
      <c r="AC16" s="39">
        <v>9</v>
      </c>
      <c r="AD16" s="41">
        <v>9</v>
      </c>
      <c r="AE16" s="40">
        <v>49</v>
      </c>
      <c r="AF16" s="39">
        <v>49</v>
      </c>
      <c r="AG16" s="39">
        <v>49</v>
      </c>
      <c r="AH16" s="41">
        <v>49</v>
      </c>
    </row>
    <row r="17" spans="1:34" ht="17" thickBot="1" x14ac:dyDescent="0.25">
      <c r="A17" s="111"/>
      <c r="B17" s="4" t="s">
        <v>26</v>
      </c>
      <c r="C17" s="13"/>
      <c r="D17" s="14"/>
      <c r="E17" s="14"/>
      <c r="F17" s="15"/>
      <c r="G17" s="13"/>
      <c r="H17" s="14"/>
      <c r="I17" s="14"/>
      <c r="J17" s="15"/>
      <c r="K17" s="48">
        <v>16</v>
      </c>
      <c r="L17" s="49">
        <v>16</v>
      </c>
      <c r="M17" s="49">
        <v>16</v>
      </c>
      <c r="N17" s="50">
        <v>16</v>
      </c>
      <c r="O17" s="51">
        <v>0.8</v>
      </c>
      <c r="P17" s="49">
        <v>0.8</v>
      </c>
      <c r="Q17" s="49">
        <v>0.8</v>
      </c>
      <c r="R17" s="52">
        <v>0.8</v>
      </c>
      <c r="S17" s="51">
        <v>0.7</v>
      </c>
      <c r="T17" s="49">
        <v>0.7</v>
      </c>
      <c r="U17" s="49">
        <v>0.7</v>
      </c>
      <c r="V17" s="52">
        <v>0.7</v>
      </c>
      <c r="W17" s="48">
        <v>0.7</v>
      </c>
      <c r="X17" s="49">
        <v>0.7</v>
      </c>
      <c r="Y17" s="49">
        <v>0.7</v>
      </c>
      <c r="Z17" s="50">
        <v>0.7</v>
      </c>
      <c r="AA17" s="51">
        <v>0.7</v>
      </c>
      <c r="AB17" s="49">
        <v>0.7</v>
      </c>
      <c r="AC17" s="49">
        <v>0.7</v>
      </c>
      <c r="AD17" s="52">
        <v>0.7</v>
      </c>
      <c r="AE17" s="48">
        <v>61</v>
      </c>
      <c r="AF17" s="49">
        <v>61</v>
      </c>
      <c r="AG17" s="49">
        <v>61</v>
      </c>
      <c r="AH17" s="52">
        <v>61</v>
      </c>
    </row>
    <row r="18" spans="1:34" ht="17" thickBot="1" x14ac:dyDescent="0.25">
      <c r="A18" s="111">
        <v>2020</v>
      </c>
      <c r="B18" s="4" t="s">
        <v>13</v>
      </c>
      <c r="C18" s="6"/>
      <c r="D18" s="7"/>
      <c r="E18" s="7"/>
      <c r="F18" s="8"/>
      <c r="G18" s="6"/>
      <c r="H18" s="7"/>
      <c r="I18" s="7"/>
      <c r="J18" s="8"/>
      <c r="K18" s="42">
        <v>74</v>
      </c>
      <c r="L18" s="43">
        <v>74</v>
      </c>
      <c r="M18" s="43">
        <v>74</v>
      </c>
      <c r="N18" s="44">
        <v>74</v>
      </c>
      <c r="O18" s="45">
        <v>318</v>
      </c>
      <c r="P18" s="43">
        <v>318</v>
      </c>
      <c r="Q18" s="43">
        <v>318</v>
      </c>
      <c r="R18" s="46">
        <v>318</v>
      </c>
      <c r="S18" s="45">
        <v>3</v>
      </c>
      <c r="T18" s="43">
        <v>3</v>
      </c>
      <c r="U18" s="43">
        <v>3</v>
      </c>
      <c r="V18" s="46">
        <v>3</v>
      </c>
      <c r="W18" s="45">
        <v>4.8</v>
      </c>
      <c r="X18" s="43">
        <v>4.8</v>
      </c>
      <c r="Y18" s="43">
        <v>4.8</v>
      </c>
      <c r="Z18" s="46">
        <v>4.8</v>
      </c>
      <c r="AA18" s="45">
        <v>72</v>
      </c>
      <c r="AB18" s="43">
        <v>72</v>
      </c>
      <c r="AC18" s="43">
        <v>72</v>
      </c>
      <c r="AD18" s="46">
        <v>72</v>
      </c>
      <c r="AE18" s="42">
        <v>86</v>
      </c>
      <c r="AF18" s="43">
        <v>86</v>
      </c>
      <c r="AG18" s="43">
        <v>86</v>
      </c>
      <c r="AH18" s="46">
        <v>86</v>
      </c>
    </row>
    <row r="19" spans="1:34" ht="17" thickBot="1" x14ac:dyDescent="0.25">
      <c r="A19" s="111"/>
      <c r="B19" s="4" t="s">
        <v>23</v>
      </c>
      <c r="C19" s="9"/>
      <c r="D19" s="3"/>
      <c r="E19" s="3"/>
      <c r="F19" s="10"/>
      <c r="G19" s="9"/>
      <c r="H19" s="3"/>
      <c r="I19" s="3"/>
      <c r="J19" s="10"/>
      <c r="K19" s="40">
        <v>171</v>
      </c>
      <c r="L19" s="39">
        <v>171</v>
      </c>
      <c r="M19" s="39">
        <v>171</v>
      </c>
      <c r="N19" s="47">
        <v>171</v>
      </c>
      <c r="O19" s="38">
        <v>41</v>
      </c>
      <c r="P19" s="39">
        <v>41</v>
      </c>
      <c r="Q19" s="39">
        <v>41</v>
      </c>
      <c r="R19" s="41">
        <v>41</v>
      </c>
      <c r="S19" s="38">
        <v>0.4</v>
      </c>
      <c r="T19" s="39">
        <v>0.4</v>
      </c>
      <c r="U19" s="39">
        <v>0.4</v>
      </c>
      <c r="V19" s="41">
        <v>0.4</v>
      </c>
      <c r="W19" s="38">
        <v>0.5</v>
      </c>
      <c r="X19" s="39">
        <v>0.5</v>
      </c>
      <c r="Y19" s="39">
        <v>0.5</v>
      </c>
      <c r="Z19" s="41">
        <v>0.5</v>
      </c>
      <c r="AA19" s="38">
        <v>31</v>
      </c>
      <c r="AB19" s="39">
        <v>31</v>
      </c>
      <c r="AC19" s="39">
        <v>31</v>
      </c>
      <c r="AD19" s="41">
        <v>31</v>
      </c>
      <c r="AE19" s="40">
        <v>130</v>
      </c>
      <c r="AF19" s="39">
        <v>130</v>
      </c>
      <c r="AG19" s="39">
        <v>130</v>
      </c>
      <c r="AH19" s="41">
        <v>130</v>
      </c>
    </row>
    <row r="20" spans="1:34" ht="17" thickBot="1" x14ac:dyDescent="0.25">
      <c r="A20" s="111"/>
      <c r="B20" s="4" t="s">
        <v>15</v>
      </c>
      <c r="C20" s="39">
        <v>312</v>
      </c>
      <c r="D20" s="39">
        <v>312</v>
      </c>
      <c r="E20" s="39">
        <v>312</v>
      </c>
      <c r="F20" s="39">
        <v>312</v>
      </c>
      <c r="G20" s="38">
        <v>202</v>
      </c>
      <c r="H20" s="39">
        <v>202</v>
      </c>
      <c r="I20" s="39">
        <v>202</v>
      </c>
      <c r="J20" s="41">
        <v>202</v>
      </c>
      <c r="K20" s="5"/>
      <c r="L20" s="3"/>
      <c r="M20" s="3"/>
      <c r="N20" s="27"/>
      <c r="O20" s="9"/>
      <c r="P20" s="3"/>
      <c r="Q20" s="3"/>
      <c r="R20" s="10"/>
      <c r="S20" s="9"/>
      <c r="T20" s="3"/>
      <c r="U20" s="3"/>
      <c r="V20" s="10"/>
      <c r="W20" s="9"/>
      <c r="X20" s="3"/>
      <c r="Y20" s="3"/>
      <c r="Z20" s="10"/>
      <c r="AA20" s="9"/>
      <c r="AB20" s="3"/>
      <c r="AC20" s="3"/>
      <c r="AD20" s="10"/>
      <c r="AE20" s="5"/>
      <c r="AF20" s="3"/>
      <c r="AG20" s="3"/>
      <c r="AH20" s="10"/>
    </row>
    <row r="21" spans="1:34" ht="17" thickBot="1" x14ac:dyDescent="0.25">
      <c r="A21" s="111"/>
      <c r="B21" s="4" t="s">
        <v>24</v>
      </c>
      <c r="C21" s="9"/>
      <c r="D21" s="3"/>
      <c r="E21" s="3"/>
      <c r="F21" s="10"/>
      <c r="G21" s="9"/>
      <c r="H21" s="3"/>
      <c r="I21" s="3"/>
      <c r="J21" s="10"/>
      <c r="K21" s="40">
        <v>109</v>
      </c>
      <c r="L21" s="39">
        <v>109</v>
      </c>
      <c r="M21" s="39">
        <v>109</v>
      </c>
      <c r="N21" s="47">
        <v>109</v>
      </c>
      <c r="O21" s="38">
        <v>14</v>
      </c>
      <c r="P21" s="39">
        <v>14</v>
      </c>
      <c r="Q21" s="39">
        <v>14</v>
      </c>
      <c r="R21" s="41">
        <v>14</v>
      </c>
      <c r="S21" s="38">
        <v>0.2</v>
      </c>
      <c r="T21" s="39">
        <v>0.2</v>
      </c>
      <c r="U21" s="39">
        <v>0.2</v>
      </c>
      <c r="V21" s="41">
        <v>0.2</v>
      </c>
      <c r="W21" s="38">
        <v>0.06</v>
      </c>
      <c r="X21" s="39">
        <v>0.06</v>
      </c>
      <c r="Y21" s="39">
        <v>0.06</v>
      </c>
      <c r="Z21" s="41">
        <v>0.06</v>
      </c>
      <c r="AA21" s="38">
        <v>6.1</v>
      </c>
      <c r="AB21" s="39">
        <v>6.1</v>
      </c>
      <c r="AC21" s="39">
        <v>6.1</v>
      </c>
      <c r="AD21" s="41">
        <v>6.1</v>
      </c>
      <c r="AE21" s="40">
        <v>18</v>
      </c>
      <c r="AF21" s="39">
        <v>18</v>
      </c>
      <c r="AG21" s="39">
        <v>18</v>
      </c>
      <c r="AH21" s="41">
        <v>18</v>
      </c>
    </row>
    <row r="22" spans="1:34" ht="17" thickBot="1" x14ac:dyDescent="0.25">
      <c r="A22" s="111"/>
      <c r="B22" s="4" t="s">
        <v>25</v>
      </c>
      <c r="C22" s="9"/>
      <c r="D22" s="3"/>
      <c r="E22" s="3"/>
      <c r="F22" s="10"/>
      <c r="G22" s="9"/>
      <c r="H22" s="3"/>
      <c r="I22" s="3"/>
      <c r="J22" s="10"/>
      <c r="K22" s="40">
        <v>111</v>
      </c>
      <c r="L22" s="39">
        <v>111</v>
      </c>
      <c r="M22" s="39">
        <v>111</v>
      </c>
      <c r="N22" s="47">
        <v>111</v>
      </c>
      <c r="O22" s="38">
        <v>20</v>
      </c>
      <c r="P22" s="39">
        <v>20</v>
      </c>
      <c r="Q22" s="39">
        <v>20</v>
      </c>
      <c r="R22" s="41">
        <v>20</v>
      </c>
      <c r="S22" s="38">
        <v>0.2</v>
      </c>
      <c r="T22" s="39">
        <v>0.2</v>
      </c>
      <c r="U22" s="39">
        <v>0.2</v>
      </c>
      <c r="V22" s="41">
        <v>0.2</v>
      </c>
      <c r="W22" s="38">
        <v>0.1</v>
      </c>
      <c r="X22" s="39">
        <v>0.1</v>
      </c>
      <c r="Y22" s="39">
        <v>0.1</v>
      </c>
      <c r="Z22" s="41">
        <v>0.1</v>
      </c>
      <c r="AA22" s="38">
        <v>8</v>
      </c>
      <c r="AB22" s="39">
        <v>8</v>
      </c>
      <c r="AC22" s="39">
        <v>8</v>
      </c>
      <c r="AD22" s="41">
        <v>8</v>
      </c>
      <c r="AE22" s="40">
        <v>43</v>
      </c>
      <c r="AF22" s="39">
        <v>43</v>
      </c>
      <c r="AG22" s="39">
        <v>43</v>
      </c>
      <c r="AH22" s="41">
        <v>43</v>
      </c>
    </row>
    <row r="23" spans="1:34" ht="17" thickBot="1" x14ac:dyDescent="0.25">
      <c r="A23" s="111"/>
      <c r="B23" s="4" t="s">
        <v>26</v>
      </c>
      <c r="C23" s="13"/>
      <c r="D23" s="14"/>
      <c r="E23" s="14"/>
      <c r="F23" s="15"/>
      <c r="G23" s="13"/>
      <c r="H23" s="14"/>
      <c r="I23" s="14"/>
      <c r="J23" s="15"/>
      <c r="K23" s="48">
        <v>16</v>
      </c>
      <c r="L23" s="49">
        <v>16</v>
      </c>
      <c r="M23" s="49">
        <v>16</v>
      </c>
      <c r="N23" s="50">
        <v>16</v>
      </c>
      <c r="O23" s="51">
        <v>0.7</v>
      </c>
      <c r="P23" s="49">
        <v>0.7</v>
      </c>
      <c r="Q23" s="49">
        <v>0.7</v>
      </c>
      <c r="R23" s="52">
        <v>0.7</v>
      </c>
      <c r="S23" s="51">
        <v>0.1</v>
      </c>
      <c r="T23" s="49">
        <v>0.1</v>
      </c>
      <c r="U23" s="49">
        <v>0.1</v>
      </c>
      <c r="V23" s="52">
        <v>0.1</v>
      </c>
      <c r="W23" s="51">
        <v>0.3</v>
      </c>
      <c r="X23" s="49">
        <v>0.3</v>
      </c>
      <c r="Y23" s="49">
        <v>0.3</v>
      </c>
      <c r="Z23" s="52">
        <v>0.3</v>
      </c>
      <c r="AA23" s="51">
        <v>0.8</v>
      </c>
      <c r="AB23" s="49">
        <v>0.8</v>
      </c>
      <c r="AC23" s="49">
        <v>0.8</v>
      </c>
      <c r="AD23" s="52">
        <v>0.8</v>
      </c>
      <c r="AE23" s="48">
        <v>56</v>
      </c>
      <c r="AF23" s="49">
        <v>56</v>
      </c>
      <c r="AG23" s="49">
        <v>56</v>
      </c>
      <c r="AH23" s="52">
        <v>56</v>
      </c>
    </row>
    <row r="24" spans="1:34" ht="17" thickBot="1" x14ac:dyDescent="0.25">
      <c r="A24" s="111">
        <v>2030</v>
      </c>
      <c r="B24" s="4" t="s">
        <v>13</v>
      </c>
      <c r="C24" s="71"/>
      <c r="D24" s="72"/>
      <c r="E24" s="72"/>
      <c r="F24" s="73"/>
      <c r="G24" s="71"/>
      <c r="H24" s="72"/>
      <c r="I24" s="72"/>
      <c r="J24" s="73"/>
      <c r="K24" s="19">
        <v>30.3</v>
      </c>
      <c r="L24" s="20">
        <v>31.4</v>
      </c>
      <c r="M24" s="20">
        <v>30.6</v>
      </c>
      <c r="N24" s="21">
        <v>34.5</v>
      </c>
      <c r="O24" s="33">
        <v>143</v>
      </c>
      <c r="P24" s="20">
        <v>160</v>
      </c>
      <c r="Q24" s="20">
        <v>201</v>
      </c>
      <c r="R24" s="34">
        <v>217</v>
      </c>
      <c r="S24" s="65">
        <f>1.2+1.9</f>
        <v>3.0999999999999996</v>
      </c>
      <c r="T24" s="66">
        <f>1.4+2.3</f>
        <v>3.6999999999999997</v>
      </c>
      <c r="U24" s="66">
        <f>1.7+2</f>
        <v>3.7</v>
      </c>
      <c r="V24" s="67">
        <f>1.8+1.9</f>
        <v>3.7</v>
      </c>
      <c r="W24" s="19">
        <v>5.5</v>
      </c>
      <c r="X24" s="20">
        <v>6.9</v>
      </c>
      <c r="Y24" s="20">
        <v>9.1999999999999993</v>
      </c>
      <c r="Z24" s="21">
        <v>9.6999999999999993</v>
      </c>
      <c r="AA24" s="33">
        <v>1.6</v>
      </c>
      <c r="AB24" s="20">
        <v>0.8</v>
      </c>
      <c r="AC24" s="20">
        <v>1</v>
      </c>
      <c r="AD24" s="34">
        <v>0.5</v>
      </c>
      <c r="AE24" s="87">
        <v>80.787878787878782</v>
      </c>
      <c r="AF24" s="87">
        <v>80.787878787878782</v>
      </c>
      <c r="AG24" s="87">
        <v>80.787878787878782</v>
      </c>
      <c r="AH24" s="87">
        <v>80.787878787878782</v>
      </c>
    </row>
    <row r="25" spans="1:34" ht="17" thickBot="1" x14ac:dyDescent="0.25">
      <c r="A25" s="111"/>
      <c r="B25" s="4" t="s">
        <v>23</v>
      </c>
      <c r="C25" s="59"/>
      <c r="D25" s="60"/>
      <c r="E25" s="60"/>
      <c r="F25" s="61"/>
      <c r="G25" s="59"/>
      <c r="H25" s="60"/>
      <c r="I25" s="60"/>
      <c r="J25" s="61"/>
      <c r="K25" s="22">
        <v>62.3</v>
      </c>
      <c r="L25" s="2">
        <v>55.4</v>
      </c>
      <c r="M25" s="2">
        <v>48.3</v>
      </c>
      <c r="N25" s="23">
        <v>35.200000000000003</v>
      </c>
      <c r="O25" s="35">
        <v>30</v>
      </c>
      <c r="P25" s="2">
        <v>28</v>
      </c>
      <c r="Q25" s="2">
        <v>39</v>
      </c>
      <c r="R25" s="12">
        <v>34</v>
      </c>
      <c r="S25" s="68">
        <f>0.04+0.8</f>
        <v>0.84000000000000008</v>
      </c>
      <c r="T25" s="69">
        <f>0.05+0.8</f>
        <v>0.85000000000000009</v>
      </c>
      <c r="U25" s="69">
        <f>0.1+0.8</f>
        <v>0.9</v>
      </c>
      <c r="V25" s="70">
        <f>0.1+0.7</f>
        <v>0.79999999999999993</v>
      </c>
      <c r="W25" s="22">
        <v>0.3</v>
      </c>
      <c r="X25" s="2">
        <v>0.3</v>
      </c>
      <c r="Y25" s="2">
        <v>0.4</v>
      </c>
      <c r="Z25" s="23">
        <v>0.5</v>
      </c>
      <c r="AA25" s="35">
        <v>0.1</v>
      </c>
      <c r="AB25" s="2">
        <v>0.1</v>
      </c>
      <c r="AC25" s="2">
        <v>0.1</v>
      </c>
      <c r="AD25" s="12">
        <v>0</v>
      </c>
      <c r="AE25" s="88">
        <v>140.54054054054055</v>
      </c>
      <c r="AF25" s="88">
        <v>140.54054054054055</v>
      </c>
      <c r="AG25" s="88">
        <v>140.54054054054055</v>
      </c>
      <c r="AH25" s="88">
        <v>140.54054054054055</v>
      </c>
    </row>
    <row r="26" spans="1:34" ht="17" thickBot="1" x14ac:dyDescent="0.25">
      <c r="A26" s="111"/>
      <c r="B26" s="4" t="s">
        <v>15</v>
      </c>
      <c r="C26" s="77">
        <f t="shared" ref="C26:C38" si="0">(D26+E26)/2</f>
        <v>271.67650000000003</v>
      </c>
      <c r="D26" s="75">
        <f>257.744+0.551</f>
        <v>258.29500000000002</v>
      </c>
      <c r="E26" s="75">
        <f>284.504+0.554</f>
        <v>285.05799999999999</v>
      </c>
      <c r="F26" s="76">
        <f>284.179+0.578</f>
        <v>284.75699999999995</v>
      </c>
      <c r="G26" s="77">
        <f t="shared" ref="G26:G38" si="1">(H26+I26)/2</f>
        <v>159.89349999999999</v>
      </c>
      <c r="H26" s="75">
        <v>158.88999999999999</v>
      </c>
      <c r="I26" s="75">
        <v>160.89699999999999</v>
      </c>
      <c r="J26" s="76">
        <v>166.99100000000001</v>
      </c>
      <c r="K26" s="5"/>
      <c r="L26" s="3"/>
      <c r="M26" s="3"/>
      <c r="N26" s="27"/>
      <c r="O26" s="9"/>
      <c r="P26" s="3"/>
      <c r="Q26" s="3"/>
      <c r="R26" s="10"/>
      <c r="S26" s="59"/>
      <c r="T26" s="60"/>
      <c r="U26" s="60"/>
      <c r="V26" s="61"/>
      <c r="W26" s="5"/>
      <c r="X26" s="3"/>
      <c r="Y26" s="3"/>
      <c r="Z26" s="27"/>
      <c r="AA26" s="9"/>
      <c r="AB26" s="3"/>
      <c r="AC26" s="3"/>
      <c r="AD26" s="10"/>
      <c r="AE26" s="84"/>
      <c r="AF26" s="85"/>
      <c r="AG26" s="85"/>
      <c r="AH26" s="86"/>
    </row>
    <row r="27" spans="1:34" ht="17" thickBot="1" x14ac:dyDescent="0.25">
      <c r="A27" s="111"/>
      <c r="B27" s="4" t="s">
        <v>24</v>
      </c>
      <c r="C27" s="59"/>
      <c r="D27" s="60"/>
      <c r="E27" s="60"/>
      <c r="F27" s="61"/>
      <c r="G27" s="59"/>
      <c r="H27" s="60"/>
      <c r="I27" s="60"/>
      <c r="J27" s="61"/>
      <c r="K27" s="22">
        <v>30.6</v>
      </c>
      <c r="L27" s="2">
        <v>27.4</v>
      </c>
      <c r="M27" s="2">
        <v>22.7</v>
      </c>
      <c r="N27" s="23">
        <v>15.8</v>
      </c>
      <c r="O27" s="35">
        <v>9.5</v>
      </c>
      <c r="P27" s="2">
        <v>10</v>
      </c>
      <c r="Q27" s="2">
        <v>12</v>
      </c>
      <c r="R27" s="12">
        <v>14</v>
      </c>
      <c r="S27" s="68">
        <f>0.1+0.1</f>
        <v>0.2</v>
      </c>
      <c r="T27" s="69">
        <f>0.1+0.2</f>
        <v>0.30000000000000004</v>
      </c>
      <c r="U27" s="69">
        <f>0.1+0.1</f>
        <v>0.2</v>
      </c>
      <c r="V27" s="70">
        <f>0.1+0.1</f>
        <v>0.2</v>
      </c>
      <c r="W27" s="22">
        <v>0.1</v>
      </c>
      <c r="X27" s="2">
        <v>0.1</v>
      </c>
      <c r="Y27" s="2">
        <v>0.1</v>
      </c>
      <c r="Z27" s="23">
        <v>0.1</v>
      </c>
      <c r="AA27" s="35">
        <v>0.7</v>
      </c>
      <c r="AB27" s="2">
        <v>0.7</v>
      </c>
      <c r="AC27" s="2">
        <v>0.7</v>
      </c>
      <c r="AD27" s="12">
        <v>0.6</v>
      </c>
      <c r="AE27" s="88">
        <v>18.580645161290324</v>
      </c>
      <c r="AF27" s="88">
        <v>18.580645161290324</v>
      </c>
      <c r="AG27" s="88">
        <v>18.580645161290324</v>
      </c>
      <c r="AH27" s="88">
        <v>18.580645161290324</v>
      </c>
    </row>
    <row r="28" spans="1:34" ht="17" thickBot="1" x14ac:dyDescent="0.25">
      <c r="A28" s="111"/>
      <c r="B28" s="4" t="s">
        <v>25</v>
      </c>
      <c r="C28" s="59"/>
      <c r="D28" s="60"/>
      <c r="E28" s="60"/>
      <c r="F28" s="61"/>
      <c r="G28" s="59"/>
      <c r="H28" s="60"/>
      <c r="I28" s="60"/>
      <c r="J28" s="61"/>
      <c r="K28" s="22">
        <v>31.6</v>
      </c>
      <c r="L28" s="2">
        <v>28.3</v>
      </c>
      <c r="M28" s="2">
        <v>23.5</v>
      </c>
      <c r="N28" s="23">
        <v>16.3</v>
      </c>
      <c r="O28" s="35">
        <v>16</v>
      </c>
      <c r="P28" s="2">
        <v>17</v>
      </c>
      <c r="Q28" s="2">
        <v>20</v>
      </c>
      <c r="R28" s="12">
        <v>23</v>
      </c>
      <c r="S28" s="68">
        <f>0.1+0.1</f>
        <v>0.2</v>
      </c>
      <c r="T28" s="69">
        <f>0.1+0.2</f>
        <v>0.30000000000000004</v>
      </c>
      <c r="U28" s="69">
        <f>0.1+0.1</f>
        <v>0.2</v>
      </c>
      <c r="V28" s="70">
        <f>0.1+0.1</f>
        <v>0.2</v>
      </c>
      <c r="W28" s="22">
        <v>0.1</v>
      </c>
      <c r="X28" s="2">
        <v>0.1</v>
      </c>
      <c r="Y28" s="2">
        <v>0.2</v>
      </c>
      <c r="Z28" s="23">
        <v>0.2</v>
      </c>
      <c r="AA28" s="35">
        <v>2</v>
      </c>
      <c r="AB28" s="2">
        <v>2.2000000000000002</v>
      </c>
      <c r="AC28" s="2">
        <v>2</v>
      </c>
      <c r="AD28" s="12">
        <v>1.9</v>
      </c>
      <c r="AE28" s="88">
        <v>44.869565217391305</v>
      </c>
      <c r="AF28" s="88">
        <v>44.869565217391305</v>
      </c>
      <c r="AG28" s="88">
        <v>44.869565217391305</v>
      </c>
      <c r="AH28" s="88">
        <v>44.869565217391305</v>
      </c>
    </row>
    <row r="29" spans="1:34" ht="17" thickBot="1" x14ac:dyDescent="0.25">
      <c r="A29" s="111"/>
      <c r="B29" s="4" t="s">
        <v>26</v>
      </c>
      <c r="C29" s="62"/>
      <c r="D29" s="63"/>
      <c r="E29" s="63"/>
      <c r="F29" s="64"/>
      <c r="G29" s="62"/>
      <c r="H29" s="63"/>
      <c r="I29" s="63"/>
      <c r="J29" s="64"/>
      <c r="K29" s="22">
        <v>3.1</v>
      </c>
      <c r="L29" s="2">
        <v>4.0999999999999996</v>
      </c>
      <c r="M29" s="2">
        <v>3.4</v>
      </c>
      <c r="N29" s="23">
        <v>6.2</v>
      </c>
      <c r="O29" s="36">
        <v>0.6</v>
      </c>
      <c r="P29" s="25">
        <v>0.6</v>
      </c>
      <c r="Q29" s="25">
        <v>0.8</v>
      </c>
      <c r="R29" s="37">
        <v>0.8</v>
      </c>
      <c r="S29" s="68">
        <f>0.1+0.002</f>
        <v>0.10200000000000001</v>
      </c>
      <c r="T29" s="69">
        <f>0.2+0.003</f>
        <v>0.20300000000000001</v>
      </c>
      <c r="U29" s="69">
        <f>0.2+0.005</f>
        <v>0.20500000000000002</v>
      </c>
      <c r="V29" s="70">
        <f>0.2+0.003</f>
        <v>0.20300000000000001</v>
      </c>
      <c r="W29" s="24">
        <v>0.3</v>
      </c>
      <c r="X29" s="25">
        <v>0.4</v>
      </c>
      <c r="Y29" s="25">
        <v>0.5</v>
      </c>
      <c r="Z29" s="26">
        <v>0.6</v>
      </c>
      <c r="AA29" s="36">
        <v>3.0000000000000001E-3</v>
      </c>
      <c r="AB29" s="25">
        <v>1E-3</v>
      </c>
      <c r="AC29" s="25">
        <v>2E-3</v>
      </c>
      <c r="AD29" s="37">
        <v>1E-3</v>
      </c>
      <c r="AE29" s="89">
        <v>44.8</v>
      </c>
      <c r="AF29" s="89">
        <v>44.8</v>
      </c>
      <c r="AG29" s="89">
        <v>44.8</v>
      </c>
      <c r="AH29" s="89">
        <v>44.8</v>
      </c>
    </row>
    <row r="30" spans="1:34" ht="17" thickBot="1" x14ac:dyDescent="0.25">
      <c r="A30" s="111">
        <v>2040</v>
      </c>
      <c r="B30" s="4" t="s">
        <v>13</v>
      </c>
      <c r="C30" s="71"/>
      <c r="D30" s="72"/>
      <c r="E30" s="72"/>
      <c r="F30" s="73"/>
      <c r="G30" s="71"/>
      <c r="H30" s="72"/>
      <c r="I30" s="72"/>
      <c r="J30" s="73"/>
      <c r="K30" s="19">
        <v>22.4</v>
      </c>
      <c r="L30" s="20">
        <v>22.6</v>
      </c>
      <c r="M30" s="20">
        <v>22.6</v>
      </c>
      <c r="N30" s="34">
        <v>24.2</v>
      </c>
      <c r="O30" s="6"/>
      <c r="P30" s="7"/>
      <c r="Q30" s="7"/>
      <c r="R30" s="8"/>
      <c r="S30" s="71"/>
      <c r="T30" s="72"/>
      <c r="U30" s="72"/>
      <c r="V30" s="73"/>
      <c r="W30" s="6"/>
      <c r="X30" s="7"/>
      <c r="Y30" s="7"/>
      <c r="Z30" s="8"/>
      <c r="AA30" s="6"/>
      <c r="AB30" s="7"/>
      <c r="AC30" s="7"/>
      <c r="AD30" s="8"/>
      <c r="AE30" s="87">
        <v>79.919191919191917</v>
      </c>
      <c r="AF30" s="90">
        <v>79.919191919191917</v>
      </c>
      <c r="AG30" s="90">
        <v>79.919191919191917</v>
      </c>
      <c r="AH30" s="91">
        <v>79.919191919191917</v>
      </c>
    </row>
    <row r="31" spans="1:34" ht="17" thickBot="1" x14ac:dyDescent="0.25">
      <c r="A31" s="111"/>
      <c r="B31" s="4" t="s">
        <v>23</v>
      </c>
      <c r="C31" s="59"/>
      <c r="D31" s="60"/>
      <c r="E31" s="60"/>
      <c r="F31" s="61"/>
      <c r="G31" s="59"/>
      <c r="H31" s="60"/>
      <c r="I31" s="60"/>
      <c r="J31" s="61"/>
      <c r="K31" s="22">
        <v>47.1</v>
      </c>
      <c r="L31" s="2">
        <v>40.1</v>
      </c>
      <c r="M31" s="2">
        <v>34.6</v>
      </c>
      <c r="N31" s="12">
        <v>18.2</v>
      </c>
      <c r="O31" s="9"/>
      <c r="P31" s="3"/>
      <c r="Q31" s="3"/>
      <c r="R31" s="10"/>
      <c r="S31" s="59"/>
      <c r="T31" s="60"/>
      <c r="U31" s="60"/>
      <c r="V31" s="61"/>
      <c r="W31" s="9"/>
      <c r="X31" s="3"/>
      <c r="Y31" s="3"/>
      <c r="Z31" s="10"/>
      <c r="AA31" s="9"/>
      <c r="AB31" s="3"/>
      <c r="AC31" s="3"/>
      <c r="AD31" s="10"/>
      <c r="AE31" s="88">
        <v>144.05405405405406</v>
      </c>
      <c r="AF31" s="92">
        <v>144.05405405405406</v>
      </c>
      <c r="AG31" s="92">
        <v>144.05405405405406</v>
      </c>
      <c r="AH31" s="93">
        <v>144.05405405405406</v>
      </c>
    </row>
    <row r="32" spans="1:34" ht="17" thickBot="1" x14ac:dyDescent="0.25">
      <c r="A32" s="111"/>
      <c r="B32" s="4" t="s">
        <v>15</v>
      </c>
      <c r="C32" s="77">
        <f t="shared" si="0"/>
        <v>215.19</v>
      </c>
      <c r="D32" s="75">
        <f>193.377+0.551</f>
        <v>193.928</v>
      </c>
      <c r="E32" s="75">
        <f>235.933+0.519</f>
        <v>236.452</v>
      </c>
      <c r="F32" s="76">
        <f>248.109+0.579</f>
        <v>248.68800000000002</v>
      </c>
      <c r="G32" s="77">
        <f t="shared" si="1"/>
        <v>86.365000000000009</v>
      </c>
      <c r="H32" s="75">
        <v>84.756</v>
      </c>
      <c r="I32" s="75">
        <v>87.974000000000004</v>
      </c>
      <c r="J32" s="76">
        <v>96.253</v>
      </c>
      <c r="K32" s="5"/>
      <c r="L32" s="3"/>
      <c r="M32" s="3"/>
      <c r="N32" s="10"/>
      <c r="O32" s="9"/>
      <c r="P32" s="3"/>
      <c r="Q32" s="3"/>
      <c r="R32" s="10"/>
      <c r="S32" s="59"/>
      <c r="T32" s="60"/>
      <c r="U32" s="60"/>
      <c r="V32" s="61"/>
      <c r="W32" s="9"/>
      <c r="X32" s="3"/>
      <c r="Y32" s="3"/>
      <c r="Z32" s="10"/>
      <c r="AA32" s="9"/>
      <c r="AB32" s="3"/>
      <c r="AC32" s="3"/>
      <c r="AD32" s="10"/>
      <c r="AE32" s="84"/>
      <c r="AF32" s="85"/>
      <c r="AG32" s="85"/>
      <c r="AH32" s="86"/>
    </row>
    <row r="33" spans="1:34" ht="17" thickBot="1" x14ac:dyDescent="0.25">
      <c r="A33" s="111"/>
      <c r="B33" s="4" t="s">
        <v>24</v>
      </c>
      <c r="C33" s="59"/>
      <c r="D33" s="60"/>
      <c r="E33" s="60"/>
      <c r="F33" s="61"/>
      <c r="G33" s="59"/>
      <c r="H33" s="60"/>
      <c r="I33" s="60"/>
      <c r="J33" s="61"/>
      <c r="K33" s="22">
        <v>18.600000000000001</v>
      </c>
      <c r="L33" s="2">
        <v>16.5</v>
      </c>
      <c r="M33" s="2">
        <v>14.4</v>
      </c>
      <c r="N33" s="12">
        <v>7.4</v>
      </c>
      <c r="O33" s="9"/>
      <c r="P33" s="3"/>
      <c r="Q33" s="3"/>
      <c r="R33" s="10"/>
      <c r="S33" s="59"/>
      <c r="T33" s="60"/>
      <c r="U33" s="60"/>
      <c r="V33" s="61"/>
      <c r="W33" s="9"/>
      <c r="X33" s="3"/>
      <c r="Y33" s="3"/>
      <c r="Z33" s="10"/>
      <c r="AA33" s="9"/>
      <c r="AB33" s="3"/>
      <c r="AC33" s="3"/>
      <c r="AD33" s="10"/>
      <c r="AE33" s="88">
        <v>18.580645161290324</v>
      </c>
      <c r="AF33" s="92">
        <v>18.580645161290324</v>
      </c>
      <c r="AG33" s="92">
        <v>18.580645161290324</v>
      </c>
      <c r="AH33" s="93">
        <v>18.580645161290324</v>
      </c>
    </row>
    <row r="34" spans="1:34" ht="17" thickBot="1" x14ac:dyDescent="0.25">
      <c r="A34" s="111"/>
      <c r="B34" s="4" t="s">
        <v>25</v>
      </c>
      <c r="C34" s="59"/>
      <c r="D34" s="60"/>
      <c r="E34" s="60"/>
      <c r="F34" s="61"/>
      <c r="G34" s="59"/>
      <c r="H34" s="60"/>
      <c r="I34" s="60"/>
      <c r="J34" s="61"/>
      <c r="K34" s="22">
        <v>19.399999999999999</v>
      </c>
      <c r="L34" s="2">
        <v>17.2</v>
      </c>
      <c r="M34" s="2">
        <v>14.9</v>
      </c>
      <c r="N34" s="12">
        <v>7.6</v>
      </c>
      <c r="O34" s="9"/>
      <c r="P34" s="3"/>
      <c r="Q34" s="3"/>
      <c r="R34" s="10"/>
      <c r="S34" s="59"/>
      <c r="T34" s="60"/>
      <c r="U34" s="60"/>
      <c r="V34" s="61"/>
      <c r="W34" s="9"/>
      <c r="X34" s="3"/>
      <c r="Y34" s="3"/>
      <c r="Z34" s="10"/>
      <c r="AA34" s="9"/>
      <c r="AB34" s="3"/>
      <c r="AC34" s="3"/>
      <c r="AD34" s="10"/>
      <c r="AE34" s="88">
        <v>48.234782608695653</v>
      </c>
      <c r="AF34" s="92">
        <v>48.234782608695653</v>
      </c>
      <c r="AG34" s="92">
        <v>48.234782608695653</v>
      </c>
      <c r="AH34" s="93">
        <v>48.234782608695653</v>
      </c>
    </row>
    <row r="35" spans="1:34" ht="17" thickBot="1" x14ac:dyDescent="0.25">
      <c r="A35" s="111"/>
      <c r="B35" s="4" t="s">
        <v>26</v>
      </c>
      <c r="C35" s="62"/>
      <c r="D35" s="63"/>
      <c r="E35" s="63"/>
      <c r="F35" s="64"/>
      <c r="G35" s="62"/>
      <c r="H35" s="63"/>
      <c r="I35" s="63"/>
      <c r="J35" s="64"/>
      <c r="K35" s="24">
        <v>2.4</v>
      </c>
      <c r="L35" s="25">
        <v>2.1</v>
      </c>
      <c r="M35" s="25">
        <v>2</v>
      </c>
      <c r="N35" s="37">
        <v>3.3</v>
      </c>
      <c r="O35" s="13"/>
      <c r="P35" s="14"/>
      <c r="Q35" s="14"/>
      <c r="R35" s="15"/>
      <c r="S35" s="62"/>
      <c r="T35" s="63"/>
      <c r="U35" s="63"/>
      <c r="V35" s="64"/>
      <c r="W35" s="13"/>
      <c r="X35" s="14"/>
      <c r="Y35" s="14"/>
      <c r="Z35" s="15"/>
      <c r="AA35" s="13"/>
      <c r="AB35" s="14"/>
      <c r="AC35" s="14"/>
      <c r="AD35" s="15"/>
      <c r="AE35" s="89">
        <v>45.5</v>
      </c>
      <c r="AF35" s="94">
        <v>45.5</v>
      </c>
      <c r="AG35" s="94">
        <v>45.5</v>
      </c>
      <c r="AH35" s="95">
        <v>45.5</v>
      </c>
    </row>
    <row r="36" spans="1:34" ht="17" thickBot="1" x14ac:dyDescent="0.25">
      <c r="A36" s="111">
        <v>2050</v>
      </c>
      <c r="B36" s="4" t="s">
        <v>13</v>
      </c>
      <c r="C36" s="71"/>
      <c r="D36" s="72"/>
      <c r="E36" s="72"/>
      <c r="F36" s="73"/>
      <c r="G36" s="71"/>
      <c r="H36" s="72"/>
      <c r="I36" s="72"/>
      <c r="J36" s="73"/>
      <c r="K36" s="19">
        <v>20.399999999999999</v>
      </c>
      <c r="L36" s="20">
        <v>19.600000000000001</v>
      </c>
      <c r="M36" s="20">
        <v>18.399999999999999</v>
      </c>
      <c r="N36" s="21">
        <v>18.3</v>
      </c>
      <c r="O36" s="33">
        <v>15</v>
      </c>
      <c r="P36" s="20">
        <v>13</v>
      </c>
      <c r="Q36" s="20">
        <v>17</v>
      </c>
      <c r="R36" s="34">
        <v>15</v>
      </c>
      <c r="S36" s="65">
        <f>0.7+1.8</f>
        <v>2.5</v>
      </c>
      <c r="T36" s="66">
        <f>0.8+2.2</f>
        <v>3</v>
      </c>
      <c r="U36" s="66">
        <f>1.3+1.9</f>
        <v>3.2</v>
      </c>
      <c r="V36" s="67">
        <f>1.3+1.8</f>
        <v>3.1</v>
      </c>
      <c r="W36" s="19">
        <v>3.6</v>
      </c>
      <c r="X36" s="20">
        <v>4.8</v>
      </c>
      <c r="Y36" s="20">
        <v>9.4</v>
      </c>
      <c r="Z36" s="21">
        <v>10</v>
      </c>
      <c r="AA36" s="33">
        <v>0.9</v>
      </c>
      <c r="AB36" s="20">
        <v>0.4</v>
      </c>
      <c r="AC36" s="20">
        <v>0</v>
      </c>
      <c r="AD36" s="34">
        <v>0</v>
      </c>
      <c r="AE36" s="87">
        <v>79.050505050505052</v>
      </c>
      <c r="AF36" s="90">
        <v>79.050505050505052</v>
      </c>
      <c r="AG36" s="90">
        <v>79.050505050505052</v>
      </c>
      <c r="AH36" s="91">
        <v>79.050505050505052</v>
      </c>
    </row>
    <row r="37" spans="1:34" ht="17" thickBot="1" x14ac:dyDescent="0.25">
      <c r="A37" s="111"/>
      <c r="B37" s="4" t="s">
        <v>23</v>
      </c>
      <c r="C37" s="59"/>
      <c r="D37" s="60"/>
      <c r="E37" s="60"/>
      <c r="F37" s="61"/>
      <c r="G37" s="59"/>
      <c r="H37" s="60"/>
      <c r="I37" s="60"/>
      <c r="J37" s="61"/>
      <c r="K37" s="22">
        <v>48.2</v>
      </c>
      <c r="L37" s="2">
        <v>38.1</v>
      </c>
      <c r="M37" s="2">
        <v>29.7</v>
      </c>
      <c r="N37" s="23">
        <v>11.8</v>
      </c>
      <c r="O37" s="35">
        <v>6.7</v>
      </c>
      <c r="P37" s="2">
        <v>5.8</v>
      </c>
      <c r="Q37" s="2">
        <v>9.6</v>
      </c>
      <c r="R37" s="12">
        <v>9.9</v>
      </c>
      <c r="S37" s="68">
        <f>0.02+0.8</f>
        <v>0.82000000000000006</v>
      </c>
      <c r="T37" s="69">
        <f>0.03+0.9</f>
        <v>0.93</v>
      </c>
      <c r="U37" s="69">
        <f>0.1+0.8</f>
        <v>0.9</v>
      </c>
      <c r="V37" s="70">
        <f>0.1+0.8</f>
        <v>0.9</v>
      </c>
      <c r="W37" s="22">
        <v>0.1</v>
      </c>
      <c r="X37" s="2">
        <v>0.1</v>
      </c>
      <c r="Y37" s="2">
        <v>0.2</v>
      </c>
      <c r="Z37" s="23">
        <v>0.2</v>
      </c>
      <c r="AA37" s="35">
        <v>0.1</v>
      </c>
      <c r="AB37" s="2">
        <v>0.05</v>
      </c>
      <c r="AC37" s="2">
        <v>0</v>
      </c>
      <c r="AD37" s="12">
        <v>0</v>
      </c>
      <c r="AE37" s="88">
        <v>145.81081081081081</v>
      </c>
      <c r="AF37" s="92">
        <v>145.81081081081081</v>
      </c>
      <c r="AG37" s="92">
        <v>145.81081081081081</v>
      </c>
      <c r="AH37" s="93">
        <v>145.81081081081081</v>
      </c>
    </row>
    <row r="38" spans="1:34" ht="17" thickBot="1" x14ac:dyDescent="0.25">
      <c r="A38" s="111"/>
      <c r="B38" s="4" t="s">
        <v>15</v>
      </c>
      <c r="C38" s="77">
        <f t="shared" si="0"/>
        <v>150.52449999999999</v>
      </c>
      <c r="D38" s="75">
        <f>129.96+0.471</f>
        <v>130.43100000000001</v>
      </c>
      <c r="E38" s="75">
        <f>170.135+0.483</f>
        <v>170.61799999999999</v>
      </c>
      <c r="F38" s="76">
        <f>186.951+0.579</f>
        <v>187.53</v>
      </c>
      <c r="G38" s="77">
        <f t="shared" si="1"/>
        <v>37.933999999999997</v>
      </c>
      <c r="H38" s="75">
        <v>37.502000000000002</v>
      </c>
      <c r="I38" s="75">
        <v>38.366</v>
      </c>
      <c r="J38" s="76">
        <v>45.125999999999998</v>
      </c>
      <c r="K38" s="5"/>
      <c r="L38" s="3"/>
      <c r="M38" s="3"/>
      <c r="N38" s="27"/>
      <c r="O38" s="9"/>
      <c r="P38" s="3"/>
      <c r="Q38" s="3"/>
      <c r="R38" s="10"/>
      <c r="S38" s="59"/>
      <c r="T38" s="60"/>
      <c r="U38" s="60"/>
      <c r="V38" s="61"/>
      <c r="W38" s="5"/>
      <c r="X38" s="3"/>
      <c r="Y38" s="3"/>
      <c r="Z38" s="27"/>
      <c r="AA38" s="9"/>
      <c r="AB38" s="3"/>
      <c r="AC38" s="3"/>
      <c r="AD38" s="10"/>
      <c r="AE38" s="84"/>
      <c r="AF38" s="85"/>
      <c r="AG38" s="85"/>
      <c r="AH38" s="86"/>
    </row>
    <row r="39" spans="1:34" ht="17" thickBot="1" x14ac:dyDescent="0.25">
      <c r="A39" s="111"/>
      <c r="B39" s="4" t="s">
        <v>24</v>
      </c>
      <c r="C39" s="59"/>
      <c r="D39" s="60"/>
      <c r="E39" s="60"/>
      <c r="F39" s="61"/>
      <c r="G39" s="59"/>
      <c r="H39" s="60"/>
      <c r="I39" s="60"/>
      <c r="J39" s="61"/>
      <c r="K39" s="22">
        <v>15.5</v>
      </c>
      <c r="L39" s="2">
        <v>13.1</v>
      </c>
      <c r="M39" s="2">
        <v>11.3</v>
      </c>
      <c r="N39" s="23">
        <v>4.5999999999999996</v>
      </c>
      <c r="O39" s="35">
        <v>5.2</v>
      </c>
      <c r="P39" s="2">
        <v>5.8</v>
      </c>
      <c r="Q39" s="2">
        <v>10</v>
      </c>
      <c r="R39" s="12">
        <v>13</v>
      </c>
      <c r="S39" s="68">
        <f>0.04+0.1</f>
        <v>0.14000000000000001</v>
      </c>
      <c r="T39" s="69">
        <f>0.1+0.1</f>
        <v>0.2</v>
      </c>
      <c r="U39" s="69">
        <f>0.1+0.03</f>
        <v>0.13</v>
      </c>
      <c r="V39" s="70">
        <f>0.1+0.1</f>
        <v>0.2</v>
      </c>
      <c r="W39" s="22">
        <v>0</v>
      </c>
      <c r="X39" s="2">
        <v>0.1</v>
      </c>
      <c r="Y39" s="2">
        <v>0.1</v>
      </c>
      <c r="Z39" s="23">
        <v>0.1</v>
      </c>
      <c r="AA39" s="35">
        <v>0.7</v>
      </c>
      <c r="AB39" s="2">
        <v>0.9</v>
      </c>
      <c r="AC39" s="2">
        <v>0.6</v>
      </c>
      <c r="AD39" s="12">
        <v>0.6</v>
      </c>
      <c r="AE39" s="88">
        <v>19.161290322580644</v>
      </c>
      <c r="AF39" s="92">
        <v>19.161290322580644</v>
      </c>
      <c r="AG39" s="92">
        <v>19.161290322580644</v>
      </c>
      <c r="AH39" s="93">
        <v>19.161290322580644</v>
      </c>
    </row>
    <row r="40" spans="1:34" ht="17" thickBot="1" x14ac:dyDescent="0.25">
      <c r="A40" s="111"/>
      <c r="B40" s="4" t="s">
        <v>25</v>
      </c>
      <c r="C40" s="59"/>
      <c r="D40" s="60"/>
      <c r="E40" s="60"/>
      <c r="F40" s="61"/>
      <c r="G40" s="59"/>
      <c r="H40" s="60"/>
      <c r="I40" s="60"/>
      <c r="J40" s="61"/>
      <c r="K40" s="22">
        <v>16.2</v>
      </c>
      <c r="L40" s="2">
        <v>13.6</v>
      </c>
      <c r="M40" s="2">
        <v>11.7</v>
      </c>
      <c r="N40" s="23">
        <v>4.7</v>
      </c>
      <c r="O40" s="35">
        <v>9.4</v>
      </c>
      <c r="P40" s="2">
        <v>11</v>
      </c>
      <c r="Q40" s="2">
        <v>17</v>
      </c>
      <c r="R40" s="12">
        <v>24</v>
      </c>
      <c r="S40" s="68">
        <f>0.04+0.1</f>
        <v>0.14000000000000001</v>
      </c>
      <c r="T40" s="69">
        <f>0.1+0.1</f>
        <v>0.2</v>
      </c>
      <c r="U40" s="69">
        <f>0.1+0.03</f>
        <v>0.13</v>
      </c>
      <c r="V40" s="70">
        <f>0.1+0.1</f>
        <v>0.2</v>
      </c>
      <c r="W40" s="22">
        <v>0.1</v>
      </c>
      <c r="X40" s="2">
        <v>0.1</v>
      </c>
      <c r="Y40" s="2">
        <v>0.2</v>
      </c>
      <c r="Z40" s="23">
        <v>0.2</v>
      </c>
      <c r="AA40" s="35">
        <v>2.2000000000000002</v>
      </c>
      <c r="AB40" s="2">
        <v>2.7</v>
      </c>
      <c r="AC40" s="2">
        <v>2</v>
      </c>
      <c r="AD40" s="12">
        <v>1.8</v>
      </c>
      <c r="AE40" s="88">
        <v>51.973913043478262</v>
      </c>
      <c r="AF40" s="92">
        <v>51.973913043478262</v>
      </c>
      <c r="AG40" s="92">
        <v>51.973913043478262</v>
      </c>
      <c r="AH40" s="93">
        <v>51.973913043478262</v>
      </c>
    </row>
    <row r="41" spans="1:34" ht="17" thickBot="1" x14ac:dyDescent="0.25">
      <c r="A41" s="111"/>
      <c r="B41" s="4" t="s">
        <v>26</v>
      </c>
      <c r="C41" s="62"/>
      <c r="D41" s="63"/>
      <c r="E41" s="63"/>
      <c r="F41" s="64"/>
      <c r="G41" s="62"/>
      <c r="H41" s="63"/>
      <c r="I41" s="63"/>
      <c r="J41" s="64"/>
      <c r="K41" s="24">
        <v>2.5</v>
      </c>
      <c r="L41" s="25">
        <v>2.1</v>
      </c>
      <c r="M41" s="25">
        <v>1.7</v>
      </c>
      <c r="N41" s="26">
        <v>1.8</v>
      </c>
      <c r="O41" s="36">
        <v>0.1</v>
      </c>
      <c r="P41" s="25">
        <v>0.02</v>
      </c>
      <c r="Q41" s="25">
        <v>0.02</v>
      </c>
      <c r="R41" s="37">
        <v>0.05</v>
      </c>
      <c r="S41" s="68">
        <f>0.1+0.004</f>
        <v>0.10400000000000001</v>
      </c>
      <c r="T41" s="69">
        <f>0.1+0.01</f>
        <v>0.11</v>
      </c>
      <c r="U41" s="69">
        <f>0.1+0.01</f>
        <v>0.11</v>
      </c>
      <c r="V41" s="70">
        <f>0.1+0.004</f>
        <v>0.10400000000000001</v>
      </c>
      <c r="W41" s="24">
        <v>0.1</v>
      </c>
      <c r="X41" s="25">
        <v>0.1</v>
      </c>
      <c r="Y41" s="25">
        <v>0.2</v>
      </c>
      <c r="Z41" s="26">
        <v>0.2</v>
      </c>
      <c r="AA41" s="36">
        <v>5.0000000000000001E-3</v>
      </c>
      <c r="AB41" s="25">
        <v>2.9999999999999997E-4</v>
      </c>
      <c r="AC41" s="25">
        <v>0</v>
      </c>
      <c r="AD41" s="37">
        <v>0</v>
      </c>
      <c r="AE41" s="89">
        <v>43.4</v>
      </c>
      <c r="AF41" s="94">
        <v>43.4</v>
      </c>
      <c r="AG41" s="94">
        <v>43.4</v>
      </c>
      <c r="AH41" s="95">
        <v>43.4</v>
      </c>
    </row>
    <row r="44" spans="1:34" x14ac:dyDescent="0.2">
      <c r="A44" s="53"/>
      <c r="B44" t="s">
        <v>37</v>
      </c>
    </row>
    <row r="46" spans="1:34" x14ac:dyDescent="0.2">
      <c r="A46" s="54"/>
      <c r="B46" t="s">
        <v>38</v>
      </c>
    </row>
    <row r="48" spans="1:34" x14ac:dyDescent="0.2">
      <c r="A48" s="55"/>
      <c r="B48" t="s">
        <v>39</v>
      </c>
    </row>
    <row r="50" spans="1:2" x14ac:dyDescent="0.2">
      <c r="A50" s="56"/>
      <c r="B50" t="s">
        <v>46</v>
      </c>
    </row>
    <row r="52" spans="1:2" x14ac:dyDescent="0.2">
      <c r="A52" s="57"/>
      <c r="B52" t="s">
        <v>41</v>
      </c>
    </row>
    <row r="54" spans="1:2" x14ac:dyDescent="0.2">
      <c r="A54" s="58"/>
      <c r="B54" t="s">
        <v>44</v>
      </c>
    </row>
    <row r="56" spans="1:2" x14ac:dyDescent="0.2">
      <c r="A56" s="83"/>
      <c r="B56" t="s">
        <v>45</v>
      </c>
    </row>
  </sheetData>
  <mergeCells count="17">
    <mergeCell ref="AE3:AH4"/>
    <mergeCell ref="A36:A41"/>
    <mergeCell ref="A3:B5"/>
    <mergeCell ref="C4:F4"/>
    <mergeCell ref="G4:J4"/>
    <mergeCell ref="C3:J3"/>
    <mergeCell ref="A18:A23"/>
    <mergeCell ref="A24:A29"/>
    <mergeCell ref="A30:A35"/>
    <mergeCell ref="A6:A11"/>
    <mergeCell ref="K3:N4"/>
    <mergeCell ref="A12:A17"/>
    <mergeCell ref="O3:AD3"/>
    <mergeCell ref="O4:R4"/>
    <mergeCell ref="S4:V4"/>
    <mergeCell ref="W4:Z4"/>
    <mergeCell ref="AA4:AD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EED74-E3E1-274A-9590-1E663BDAB838}">
  <dimension ref="A1:N60"/>
  <sheetViews>
    <sheetView zoomScale="141" workbookViewId="0">
      <selection activeCell="M16" sqref="M16"/>
    </sheetView>
  </sheetViews>
  <sheetFormatPr baseColWidth="10" defaultRowHeight="16" x14ac:dyDescent="0.2"/>
  <sheetData>
    <row r="1" spans="1:14" ht="17" thickBot="1" x14ac:dyDescent="0.25"/>
    <row r="2" spans="1:14" ht="17" thickBot="1" x14ac:dyDescent="0.25">
      <c r="C2" s="102" t="s">
        <v>47</v>
      </c>
      <c r="D2" s="103"/>
      <c r="E2" s="103"/>
      <c r="F2" s="104"/>
      <c r="G2" s="102" t="s">
        <v>49</v>
      </c>
      <c r="H2" s="103"/>
      <c r="I2" s="103"/>
      <c r="J2" s="104"/>
      <c r="K2" s="102" t="s">
        <v>48</v>
      </c>
      <c r="L2" s="103"/>
      <c r="M2" s="103"/>
      <c r="N2" s="104"/>
    </row>
    <row r="3" spans="1:14" ht="17" thickBot="1" x14ac:dyDescent="0.25">
      <c r="C3" s="32" t="s">
        <v>19</v>
      </c>
      <c r="D3" s="32" t="s">
        <v>20</v>
      </c>
      <c r="E3" s="32" t="s">
        <v>21</v>
      </c>
      <c r="F3" s="32" t="s">
        <v>22</v>
      </c>
      <c r="G3" s="32" t="s">
        <v>19</v>
      </c>
      <c r="H3" s="32" t="s">
        <v>20</v>
      </c>
      <c r="I3" s="32" t="s">
        <v>21</v>
      </c>
      <c r="J3" s="32" t="s">
        <v>22</v>
      </c>
      <c r="K3" s="32" t="s">
        <v>19</v>
      </c>
      <c r="L3" s="32" t="s">
        <v>20</v>
      </c>
      <c r="M3" s="32" t="s">
        <v>21</v>
      </c>
      <c r="N3" s="32" t="s">
        <v>22</v>
      </c>
    </row>
    <row r="4" spans="1:14" ht="17" thickBot="1" x14ac:dyDescent="0.25">
      <c r="A4" s="111">
        <v>2015</v>
      </c>
      <c r="B4" s="4" t="s">
        <v>13</v>
      </c>
      <c r="C4" s="45">
        <v>4</v>
      </c>
      <c r="D4" s="43">
        <v>4</v>
      </c>
      <c r="E4" s="43">
        <v>4</v>
      </c>
      <c r="F4" s="46">
        <v>4</v>
      </c>
      <c r="G4" s="99">
        <f>1.6+3.8</f>
        <v>5.4</v>
      </c>
      <c r="H4" s="99">
        <f t="shared" ref="H4:J4" si="0">1.6+3.8</f>
        <v>5.4</v>
      </c>
      <c r="I4" s="99">
        <f t="shared" si="0"/>
        <v>5.4</v>
      </c>
      <c r="J4" s="99">
        <f t="shared" si="0"/>
        <v>5.4</v>
      </c>
      <c r="K4" s="96">
        <f>1.6+3.8+7.6</f>
        <v>13</v>
      </c>
      <c r="L4" s="96">
        <f t="shared" ref="L4:N4" si="1">1.6+3.8+7.6</f>
        <v>13</v>
      </c>
      <c r="M4" s="96">
        <f t="shared" si="1"/>
        <v>13</v>
      </c>
      <c r="N4" s="96">
        <f t="shared" si="1"/>
        <v>13</v>
      </c>
    </row>
    <row r="5" spans="1:14" ht="17" thickBot="1" x14ac:dyDescent="0.25">
      <c r="A5" s="111"/>
      <c r="B5" s="4" t="s">
        <v>23</v>
      </c>
      <c r="C5" s="38">
        <v>0.5</v>
      </c>
      <c r="D5" s="39">
        <v>0.5</v>
      </c>
      <c r="E5" s="39">
        <v>0.5</v>
      </c>
      <c r="F5" s="41">
        <v>0.5</v>
      </c>
      <c r="G5" s="100">
        <f>0.1+0.8</f>
        <v>0.9</v>
      </c>
      <c r="H5" s="100">
        <f t="shared" ref="H5:J5" si="2">0.1+0.8</f>
        <v>0.9</v>
      </c>
      <c r="I5" s="100">
        <f t="shared" si="2"/>
        <v>0.9</v>
      </c>
      <c r="J5" s="100">
        <f t="shared" si="2"/>
        <v>0.9</v>
      </c>
      <c r="K5" s="97">
        <f>0.1+0.8+30</f>
        <v>30.9</v>
      </c>
      <c r="L5" s="97">
        <f t="shared" ref="L5:N5" si="3">0.1+0.8+30</f>
        <v>30.9</v>
      </c>
      <c r="M5" s="97">
        <f t="shared" si="3"/>
        <v>30.9</v>
      </c>
      <c r="N5" s="97">
        <f t="shared" si="3"/>
        <v>30.9</v>
      </c>
    </row>
    <row r="6" spans="1:14" ht="17" thickBot="1" x14ac:dyDescent="0.25">
      <c r="A6" s="111"/>
      <c r="B6" s="17" t="s">
        <v>15</v>
      </c>
      <c r="C6" s="9"/>
      <c r="D6" s="3"/>
      <c r="E6" s="3"/>
      <c r="F6" s="10"/>
      <c r="G6" s="9"/>
      <c r="H6" s="3"/>
      <c r="I6" s="3"/>
      <c r="J6" s="10"/>
      <c r="K6" s="9"/>
      <c r="L6" s="9"/>
      <c r="M6" s="9"/>
      <c r="N6" s="9"/>
    </row>
    <row r="7" spans="1:14" ht="17" thickBot="1" x14ac:dyDescent="0.25">
      <c r="A7" s="111"/>
      <c r="B7" s="4" t="s">
        <v>24</v>
      </c>
      <c r="C7" s="38">
        <v>0.4</v>
      </c>
      <c r="D7" s="39">
        <v>0.4</v>
      </c>
      <c r="E7" s="39">
        <v>0.4</v>
      </c>
      <c r="F7" s="41">
        <v>0.4</v>
      </c>
      <c r="G7" s="100">
        <f>0.1+0.4</f>
        <v>0.5</v>
      </c>
      <c r="H7" s="100">
        <f t="shared" ref="H7:J8" si="4">0.1+0.4</f>
        <v>0.5</v>
      </c>
      <c r="I7" s="100">
        <f t="shared" si="4"/>
        <v>0.5</v>
      </c>
      <c r="J7" s="100">
        <f t="shared" si="4"/>
        <v>0.5</v>
      </c>
      <c r="K7" s="97">
        <f>0.1+0.4+1</f>
        <v>1.5</v>
      </c>
      <c r="L7" s="97">
        <f t="shared" ref="L7:N7" si="5">0.1+0.4+1</f>
        <v>1.5</v>
      </c>
      <c r="M7" s="97">
        <f t="shared" si="5"/>
        <v>1.5</v>
      </c>
      <c r="N7" s="97">
        <f t="shared" si="5"/>
        <v>1.5</v>
      </c>
    </row>
    <row r="8" spans="1:14" ht="17" thickBot="1" x14ac:dyDescent="0.25">
      <c r="A8" s="111"/>
      <c r="B8" s="4" t="s">
        <v>25</v>
      </c>
      <c r="C8" s="38">
        <v>0.4</v>
      </c>
      <c r="D8" s="39">
        <v>0.4</v>
      </c>
      <c r="E8" s="39">
        <v>0.4</v>
      </c>
      <c r="F8" s="41">
        <v>0.4</v>
      </c>
      <c r="G8" s="100">
        <f>0.1+0.4</f>
        <v>0.5</v>
      </c>
      <c r="H8" s="100">
        <f t="shared" si="4"/>
        <v>0.5</v>
      </c>
      <c r="I8" s="100">
        <f t="shared" si="4"/>
        <v>0.5</v>
      </c>
      <c r="J8" s="100">
        <f t="shared" si="4"/>
        <v>0.5</v>
      </c>
      <c r="K8" s="97">
        <f>0.1+0.4+1.2</f>
        <v>1.7</v>
      </c>
      <c r="L8" s="97">
        <f t="shared" ref="L8:N8" si="6">0.1+0.4+1.2</f>
        <v>1.7</v>
      </c>
      <c r="M8" s="97">
        <f t="shared" si="6"/>
        <v>1.7</v>
      </c>
      <c r="N8" s="97">
        <f t="shared" si="6"/>
        <v>1.7</v>
      </c>
    </row>
    <row r="9" spans="1:14" ht="17" thickBot="1" x14ac:dyDescent="0.25">
      <c r="A9" s="111"/>
      <c r="B9" s="4" t="s">
        <v>26</v>
      </c>
      <c r="C9" s="51">
        <v>1.2</v>
      </c>
      <c r="D9" s="49">
        <v>1.2</v>
      </c>
      <c r="E9" s="49">
        <v>1.2</v>
      </c>
      <c r="F9" s="52">
        <v>1.2</v>
      </c>
      <c r="G9" s="101">
        <f>1+0.002</f>
        <v>1.002</v>
      </c>
      <c r="H9" s="101">
        <f t="shared" ref="H9:J9" si="7">1+0.002</f>
        <v>1.002</v>
      </c>
      <c r="I9" s="101">
        <f t="shared" si="7"/>
        <v>1.002</v>
      </c>
      <c r="J9" s="101">
        <f t="shared" si="7"/>
        <v>1.002</v>
      </c>
      <c r="K9" s="98">
        <f>1+0.002+0.01</f>
        <v>1.012</v>
      </c>
      <c r="L9" s="98">
        <f t="shared" ref="L9:N9" si="8">1+0.002+0.01</f>
        <v>1.012</v>
      </c>
      <c r="M9" s="98">
        <f t="shared" si="8"/>
        <v>1.012</v>
      </c>
      <c r="N9" s="98">
        <f t="shared" si="8"/>
        <v>1.012</v>
      </c>
    </row>
    <row r="10" spans="1:14" ht="17" thickBot="1" x14ac:dyDescent="0.25">
      <c r="A10" s="111">
        <v>2019</v>
      </c>
      <c r="B10" s="4" t="s">
        <v>13</v>
      </c>
      <c r="C10" s="45">
        <v>3.4</v>
      </c>
      <c r="D10" s="43">
        <v>3.4</v>
      </c>
      <c r="E10" s="43">
        <v>3.4</v>
      </c>
      <c r="F10" s="46">
        <v>3.4</v>
      </c>
    </row>
    <row r="11" spans="1:14" ht="17" thickBot="1" x14ac:dyDescent="0.25">
      <c r="A11" s="111"/>
      <c r="B11" s="4" t="s">
        <v>23</v>
      </c>
      <c r="C11" s="38">
        <v>0.5</v>
      </c>
      <c r="D11" s="39">
        <v>0.5</v>
      </c>
      <c r="E11" s="39">
        <v>0.5</v>
      </c>
      <c r="F11" s="41">
        <v>0.5</v>
      </c>
    </row>
    <row r="12" spans="1:14" ht="17" thickBot="1" x14ac:dyDescent="0.25">
      <c r="A12" s="111"/>
      <c r="B12" s="17" t="s">
        <v>15</v>
      </c>
      <c r="C12" s="9"/>
      <c r="D12" s="3"/>
      <c r="E12" s="3"/>
      <c r="F12" s="10"/>
    </row>
    <row r="13" spans="1:14" ht="17" thickBot="1" x14ac:dyDescent="0.25">
      <c r="A13" s="111"/>
      <c r="B13" s="4" t="s">
        <v>24</v>
      </c>
      <c r="C13" s="38">
        <v>0.3</v>
      </c>
      <c r="D13" s="39">
        <v>0.3</v>
      </c>
      <c r="E13" s="39">
        <v>0.3</v>
      </c>
      <c r="F13" s="41">
        <v>0.3</v>
      </c>
    </row>
    <row r="14" spans="1:14" ht="17" thickBot="1" x14ac:dyDescent="0.25">
      <c r="A14" s="111"/>
      <c r="B14" s="4" t="s">
        <v>25</v>
      </c>
      <c r="C14" s="38">
        <v>0.3</v>
      </c>
      <c r="D14" s="39">
        <v>0.3</v>
      </c>
      <c r="E14" s="39">
        <v>0.3</v>
      </c>
      <c r="F14" s="41">
        <v>0.3</v>
      </c>
    </row>
    <row r="15" spans="1:14" ht="17" thickBot="1" x14ac:dyDescent="0.25">
      <c r="A15" s="111"/>
      <c r="B15" s="4" t="s">
        <v>26</v>
      </c>
      <c r="C15" s="51">
        <v>0.7</v>
      </c>
      <c r="D15" s="49">
        <v>0.7</v>
      </c>
      <c r="E15" s="49">
        <v>0.7</v>
      </c>
      <c r="F15" s="52">
        <v>0.7</v>
      </c>
    </row>
    <row r="16" spans="1:14" ht="17" thickBot="1" x14ac:dyDescent="0.25">
      <c r="A16" s="111">
        <v>2020</v>
      </c>
      <c r="B16" s="4" t="s">
        <v>13</v>
      </c>
      <c r="C16" s="45">
        <v>3</v>
      </c>
      <c r="D16" s="43">
        <v>3</v>
      </c>
      <c r="E16" s="43">
        <v>3</v>
      </c>
      <c r="F16" s="46">
        <v>3</v>
      </c>
    </row>
    <row r="17" spans="1:6" ht="17" thickBot="1" x14ac:dyDescent="0.25">
      <c r="A17" s="111"/>
      <c r="B17" s="4" t="s">
        <v>23</v>
      </c>
      <c r="C17" s="38">
        <v>0.4</v>
      </c>
      <c r="D17" s="39">
        <v>0.4</v>
      </c>
      <c r="E17" s="39">
        <v>0.4</v>
      </c>
      <c r="F17" s="41">
        <v>0.4</v>
      </c>
    </row>
    <row r="18" spans="1:6" ht="17" thickBot="1" x14ac:dyDescent="0.25">
      <c r="A18" s="111"/>
      <c r="B18" s="4" t="s">
        <v>15</v>
      </c>
      <c r="C18" s="9"/>
      <c r="D18" s="3"/>
      <c r="E18" s="3"/>
      <c r="F18" s="10"/>
    </row>
    <row r="19" spans="1:6" ht="17" thickBot="1" x14ac:dyDescent="0.25">
      <c r="A19" s="111"/>
      <c r="B19" s="4" t="s">
        <v>24</v>
      </c>
      <c r="C19" s="38">
        <v>0.2</v>
      </c>
      <c r="D19" s="39">
        <v>0.2</v>
      </c>
      <c r="E19" s="39">
        <v>0.2</v>
      </c>
      <c r="F19" s="41">
        <v>0.2</v>
      </c>
    </row>
    <row r="20" spans="1:6" ht="17" thickBot="1" x14ac:dyDescent="0.25">
      <c r="A20" s="111"/>
      <c r="B20" s="4" t="s">
        <v>25</v>
      </c>
      <c r="C20" s="38">
        <v>0.2</v>
      </c>
      <c r="D20" s="39">
        <v>0.2</v>
      </c>
      <c r="E20" s="39">
        <v>0.2</v>
      </c>
      <c r="F20" s="41">
        <v>0.2</v>
      </c>
    </row>
    <row r="21" spans="1:6" ht="17" thickBot="1" x14ac:dyDescent="0.25">
      <c r="A21" s="111"/>
      <c r="B21" s="4" t="s">
        <v>26</v>
      </c>
      <c r="C21" s="51">
        <v>0.1</v>
      </c>
      <c r="D21" s="49">
        <v>0.1</v>
      </c>
      <c r="E21" s="49">
        <v>0.1</v>
      </c>
      <c r="F21" s="52">
        <v>0.1</v>
      </c>
    </row>
    <row r="22" spans="1:6" ht="17" thickBot="1" x14ac:dyDescent="0.25">
      <c r="A22" s="111">
        <v>2025</v>
      </c>
      <c r="B22" s="4" t="s">
        <v>13</v>
      </c>
      <c r="C22" s="6"/>
      <c r="D22" s="7"/>
      <c r="E22" s="7"/>
      <c r="F22" s="8"/>
    </row>
    <row r="23" spans="1:6" ht="17" thickBot="1" x14ac:dyDescent="0.25">
      <c r="A23" s="111"/>
      <c r="B23" s="4" t="s">
        <v>23</v>
      </c>
      <c r="C23" s="9"/>
      <c r="D23" s="3"/>
      <c r="E23" s="3"/>
      <c r="F23" s="10"/>
    </row>
    <row r="24" spans="1:6" ht="17" thickBot="1" x14ac:dyDescent="0.25">
      <c r="A24" s="111"/>
      <c r="B24" s="4" t="s">
        <v>15</v>
      </c>
      <c r="C24" s="9"/>
      <c r="D24" s="3"/>
      <c r="E24" s="3"/>
      <c r="F24" s="10"/>
    </row>
    <row r="25" spans="1:6" ht="17" thickBot="1" x14ac:dyDescent="0.25">
      <c r="A25" s="111"/>
      <c r="B25" s="4" t="s">
        <v>24</v>
      </c>
      <c r="C25" s="9"/>
      <c r="D25" s="3"/>
      <c r="E25" s="3"/>
      <c r="F25" s="10"/>
    </row>
    <row r="26" spans="1:6" ht="17" thickBot="1" x14ac:dyDescent="0.25">
      <c r="A26" s="111"/>
      <c r="B26" s="4" t="s">
        <v>25</v>
      </c>
      <c r="C26" s="59"/>
      <c r="D26" s="60"/>
      <c r="E26" s="60"/>
      <c r="F26" s="61"/>
    </row>
    <row r="27" spans="1:6" ht="17" thickBot="1" x14ac:dyDescent="0.25">
      <c r="A27" s="111"/>
      <c r="B27" s="4" t="s">
        <v>26</v>
      </c>
      <c r="C27" s="62"/>
      <c r="D27" s="63"/>
      <c r="E27" s="63"/>
      <c r="F27" s="64"/>
    </row>
    <row r="28" spans="1:6" ht="17" thickBot="1" x14ac:dyDescent="0.25">
      <c r="A28" s="111">
        <v>2030</v>
      </c>
      <c r="B28" s="4" t="s">
        <v>13</v>
      </c>
      <c r="C28" s="65">
        <f>1.2+5.5+1.9</f>
        <v>8.6</v>
      </c>
      <c r="D28" s="66">
        <f>1.4+5.9+2.3</f>
        <v>9.6000000000000014</v>
      </c>
      <c r="E28" s="66">
        <f>1.7+2.8+2</f>
        <v>6.5</v>
      </c>
      <c r="F28" s="67">
        <f>1.8+5.2+1.9</f>
        <v>8.9</v>
      </c>
    </row>
    <row r="29" spans="1:6" ht="17" thickBot="1" x14ac:dyDescent="0.25">
      <c r="A29" s="111"/>
      <c r="B29" s="4" t="s">
        <v>23</v>
      </c>
      <c r="C29" s="68">
        <f>0.04+14+0.8</f>
        <v>14.84</v>
      </c>
      <c r="D29" s="69">
        <f>0.05+15+0.8</f>
        <v>15.850000000000001</v>
      </c>
      <c r="E29" s="69">
        <f>0.1+7.3+0.8</f>
        <v>8.1999999999999993</v>
      </c>
      <c r="F29" s="70">
        <f>0.1+14+0.7</f>
        <v>14.799999999999999</v>
      </c>
    </row>
    <row r="30" spans="1:6" ht="17" thickBot="1" x14ac:dyDescent="0.25">
      <c r="A30" s="111"/>
      <c r="B30" s="4" t="s">
        <v>15</v>
      </c>
      <c r="C30" s="59"/>
      <c r="D30" s="60"/>
      <c r="E30" s="60"/>
      <c r="F30" s="61"/>
    </row>
    <row r="31" spans="1:6" ht="17" thickBot="1" x14ac:dyDescent="0.25">
      <c r="A31" s="111"/>
      <c r="B31" s="4" t="s">
        <v>24</v>
      </c>
      <c r="C31" s="68">
        <f>0.1+1+0.1</f>
        <v>1.2000000000000002</v>
      </c>
      <c r="D31" s="69">
        <f>0.1+1+0.2</f>
        <v>1.3</v>
      </c>
      <c r="E31" s="69">
        <f>0.1+0.5+0.1</f>
        <v>0.7</v>
      </c>
      <c r="F31" s="70">
        <f>0.1+0.9+0.1</f>
        <v>1.1000000000000001</v>
      </c>
    </row>
    <row r="32" spans="1:6" ht="17" thickBot="1" x14ac:dyDescent="0.25">
      <c r="A32" s="111"/>
      <c r="B32" s="4" t="s">
        <v>25</v>
      </c>
      <c r="C32" s="68">
        <f>0.1+1.1+0.1</f>
        <v>1.3000000000000003</v>
      </c>
      <c r="D32" s="69">
        <f>0.1+1.2+0.2</f>
        <v>1.5</v>
      </c>
      <c r="E32" s="69">
        <f>0.1+0.6+0.1</f>
        <v>0.79999999999999993</v>
      </c>
      <c r="F32" s="70">
        <f>0.1+1.1+0.1</f>
        <v>1.3000000000000003</v>
      </c>
    </row>
    <row r="33" spans="1:6" ht="17" thickBot="1" x14ac:dyDescent="0.25">
      <c r="A33" s="111"/>
      <c r="B33" s="4" t="s">
        <v>26</v>
      </c>
      <c r="C33" s="68">
        <f>0.1+0.01+0.002</f>
        <v>0.112</v>
      </c>
      <c r="D33" s="69">
        <f>0.2+0.01+0.003</f>
        <v>0.21300000000000002</v>
      </c>
      <c r="E33" s="69">
        <f>0.2+0.003+0.005</f>
        <v>0.20800000000000002</v>
      </c>
      <c r="F33" s="70">
        <f>0.2+0.01+0.003</f>
        <v>0.21300000000000002</v>
      </c>
    </row>
    <row r="34" spans="1:6" ht="17" thickBot="1" x14ac:dyDescent="0.25">
      <c r="A34" s="111">
        <v>2035</v>
      </c>
      <c r="B34" s="4" t="s">
        <v>13</v>
      </c>
      <c r="C34" s="71"/>
      <c r="D34" s="72"/>
      <c r="E34" s="72"/>
      <c r="F34" s="73"/>
    </row>
    <row r="35" spans="1:6" ht="17" thickBot="1" x14ac:dyDescent="0.25">
      <c r="A35" s="111"/>
      <c r="B35" s="4" t="s">
        <v>23</v>
      </c>
      <c r="C35" s="59"/>
      <c r="D35" s="60"/>
      <c r="E35" s="60"/>
      <c r="F35" s="61"/>
    </row>
    <row r="36" spans="1:6" ht="17" thickBot="1" x14ac:dyDescent="0.25">
      <c r="A36" s="111"/>
      <c r="B36" s="4" t="s">
        <v>15</v>
      </c>
      <c r="C36" s="59"/>
      <c r="D36" s="60"/>
      <c r="E36" s="60"/>
      <c r="F36" s="61"/>
    </row>
    <row r="37" spans="1:6" ht="17" thickBot="1" x14ac:dyDescent="0.25">
      <c r="A37" s="111"/>
      <c r="B37" s="4" t="s">
        <v>24</v>
      </c>
      <c r="C37" s="59"/>
      <c r="D37" s="60"/>
      <c r="E37" s="60"/>
      <c r="F37" s="61"/>
    </row>
    <row r="38" spans="1:6" ht="17" thickBot="1" x14ac:dyDescent="0.25">
      <c r="A38" s="111"/>
      <c r="B38" s="4" t="s">
        <v>25</v>
      </c>
      <c r="C38" s="59"/>
      <c r="D38" s="60"/>
      <c r="E38" s="60"/>
      <c r="F38" s="61"/>
    </row>
    <row r="39" spans="1:6" ht="17" thickBot="1" x14ac:dyDescent="0.25">
      <c r="A39" s="111"/>
      <c r="B39" s="4" t="s">
        <v>26</v>
      </c>
      <c r="C39" s="62"/>
      <c r="D39" s="63"/>
      <c r="E39" s="63"/>
      <c r="F39" s="64"/>
    </row>
    <row r="40" spans="1:6" ht="17" thickBot="1" x14ac:dyDescent="0.25">
      <c r="A40" s="111">
        <v>2040</v>
      </c>
      <c r="B40" s="4" t="s">
        <v>13</v>
      </c>
      <c r="C40" s="71"/>
      <c r="D40" s="72"/>
      <c r="E40" s="72"/>
      <c r="F40" s="73"/>
    </row>
    <row r="41" spans="1:6" ht="17" thickBot="1" x14ac:dyDescent="0.25">
      <c r="A41" s="111"/>
      <c r="B41" s="4" t="s">
        <v>23</v>
      </c>
      <c r="C41" s="59"/>
      <c r="D41" s="60"/>
      <c r="E41" s="60"/>
      <c r="F41" s="61"/>
    </row>
    <row r="42" spans="1:6" ht="17" thickBot="1" x14ac:dyDescent="0.25">
      <c r="A42" s="111"/>
      <c r="B42" s="4" t="s">
        <v>15</v>
      </c>
      <c r="C42" s="59"/>
      <c r="D42" s="60"/>
      <c r="E42" s="60"/>
      <c r="F42" s="61"/>
    </row>
    <row r="43" spans="1:6" ht="17" thickBot="1" x14ac:dyDescent="0.25">
      <c r="A43" s="111"/>
      <c r="B43" s="4" t="s">
        <v>24</v>
      </c>
      <c r="C43" s="59"/>
      <c r="D43" s="60"/>
      <c r="E43" s="60"/>
      <c r="F43" s="61"/>
    </row>
    <row r="44" spans="1:6" ht="17" thickBot="1" x14ac:dyDescent="0.25">
      <c r="A44" s="111"/>
      <c r="B44" s="4" t="s">
        <v>25</v>
      </c>
      <c r="C44" s="59"/>
      <c r="D44" s="60"/>
      <c r="E44" s="60"/>
      <c r="F44" s="61"/>
    </row>
    <row r="45" spans="1:6" ht="17" thickBot="1" x14ac:dyDescent="0.25">
      <c r="A45" s="111"/>
      <c r="B45" s="4" t="s">
        <v>26</v>
      </c>
      <c r="C45" s="62"/>
      <c r="D45" s="63"/>
      <c r="E45" s="63"/>
      <c r="F45" s="64"/>
    </row>
    <row r="46" spans="1:6" ht="17" thickBot="1" x14ac:dyDescent="0.25">
      <c r="A46" s="111">
        <v>2045</v>
      </c>
      <c r="B46" s="4" t="s">
        <v>13</v>
      </c>
      <c r="C46" s="71"/>
      <c r="D46" s="72"/>
      <c r="E46" s="72"/>
      <c r="F46" s="73"/>
    </row>
    <row r="47" spans="1:6" ht="17" thickBot="1" x14ac:dyDescent="0.25">
      <c r="A47" s="111"/>
      <c r="B47" s="4" t="s">
        <v>23</v>
      </c>
      <c r="C47" s="59"/>
      <c r="D47" s="60"/>
      <c r="E47" s="60"/>
      <c r="F47" s="61"/>
    </row>
    <row r="48" spans="1:6" ht="17" thickBot="1" x14ac:dyDescent="0.25">
      <c r="A48" s="111"/>
      <c r="B48" s="4" t="s">
        <v>15</v>
      </c>
      <c r="C48" s="59"/>
      <c r="D48" s="60"/>
      <c r="E48" s="60"/>
      <c r="F48" s="61"/>
    </row>
    <row r="49" spans="1:6" ht="17" thickBot="1" x14ac:dyDescent="0.25">
      <c r="A49" s="111"/>
      <c r="B49" s="4" t="s">
        <v>24</v>
      </c>
      <c r="C49" s="59"/>
      <c r="D49" s="60"/>
      <c r="E49" s="60"/>
      <c r="F49" s="61"/>
    </row>
    <row r="50" spans="1:6" ht="17" thickBot="1" x14ac:dyDescent="0.25">
      <c r="A50" s="111"/>
      <c r="B50" s="4" t="s">
        <v>25</v>
      </c>
      <c r="C50" s="59"/>
      <c r="D50" s="60"/>
      <c r="E50" s="60"/>
      <c r="F50" s="61"/>
    </row>
    <row r="51" spans="1:6" ht="17" thickBot="1" x14ac:dyDescent="0.25">
      <c r="A51" s="111"/>
      <c r="B51" s="4" t="s">
        <v>26</v>
      </c>
      <c r="C51" s="62"/>
      <c r="D51" s="63"/>
      <c r="E51" s="63"/>
      <c r="F51" s="64"/>
    </row>
    <row r="52" spans="1:6" ht="17" thickBot="1" x14ac:dyDescent="0.25">
      <c r="A52" s="111">
        <v>2050</v>
      </c>
      <c r="B52" s="4" t="s">
        <v>13</v>
      </c>
      <c r="C52" s="65">
        <f>0.7+5.3+1.8</f>
        <v>7.8</v>
      </c>
      <c r="D52" s="66">
        <f>0.8+3.5+2.2</f>
        <v>6.5</v>
      </c>
      <c r="E52" s="66">
        <f>1.3+0.8+1.9</f>
        <v>4</v>
      </c>
      <c r="F52" s="67">
        <f>1.3+4.9+1.8</f>
        <v>8</v>
      </c>
    </row>
    <row r="53" spans="1:6" ht="17" thickBot="1" x14ac:dyDescent="0.25">
      <c r="A53" s="111"/>
      <c r="B53" s="4" t="s">
        <v>23</v>
      </c>
      <c r="C53" s="68">
        <f>0.02+14+0.8</f>
        <v>14.82</v>
      </c>
      <c r="D53" s="69">
        <f>0.03+9+0.9</f>
        <v>9.93</v>
      </c>
      <c r="E53" s="69">
        <f>0.1+2.2+0.8</f>
        <v>3.1000000000000005</v>
      </c>
      <c r="F53" s="70">
        <f>0.1+13+0.8</f>
        <v>13.9</v>
      </c>
    </row>
    <row r="54" spans="1:6" ht="17" thickBot="1" x14ac:dyDescent="0.25">
      <c r="A54" s="111"/>
      <c r="B54" s="4" t="s">
        <v>15</v>
      </c>
      <c r="C54" s="59"/>
      <c r="D54" s="60"/>
      <c r="E54" s="60"/>
      <c r="F54" s="61"/>
    </row>
    <row r="55" spans="1:6" ht="17" thickBot="1" x14ac:dyDescent="0.25">
      <c r="A55" s="111"/>
      <c r="B55" s="4" t="s">
        <v>24</v>
      </c>
      <c r="C55" s="68">
        <f>0.04+0.9+0.1</f>
        <v>1.04</v>
      </c>
      <c r="D55" s="69">
        <f>0.1+0.6+0.1</f>
        <v>0.79999999999999993</v>
      </c>
      <c r="E55" s="69">
        <f>0.1+0.1+0.03</f>
        <v>0.23</v>
      </c>
      <c r="F55" s="70">
        <f>0.1+0.9+0.1</f>
        <v>1.1000000000000001</v>
      </c>
    </row>
    <row r="56" spans="1:6" ht="17" thickBot="1" x14ac:dyDescent="0.25">
      <c r="A56" s="111"/>
      <c r="B56" s="4" t="s">
        <v>25</v>
      </c>
      <c r="C56" s="68">
        <f>0.04+1.1+0.1</f>
        <v>1.2400000000000002</v>
      </c>
      <c r="D56" s="69">
        <f>0.1+0.7+0.1</f>
        <v>0.89999999999999991</v>
      </c>
      <c r="E56" s="69">
        <f>0.1+0.2+0.03</f>
        <v>0.33000000000000007</v>
      </c>
      <c r="F56" s="70">
        <f>0.1+1+0.1</f>
        <v>1.2000000000000002</v>
      </c>
    </row>
    <row r="57" spans="1:6" ht="17" thickBot="1" x14ac:dyDescent="0.25">
      <c r="A57" s="111"/>
      <c r="B57" s="4" t="s">
        <v>26</v>
      </c>
      <c r="C57" s="68">
        <f>0.1+0.01+0.004</f>
        <v>0.114</v>
      </c>
      <c r="D57" s="69">
        <f>0.1+0.003+0.01</f>
        <v>0.113</v>
      </c>
      <c r="E57" s="69">
        <f>0.1+0.001+0.01</f>
        <v>0.111</v>
      </c>
      <c r="F57" s="70">
        <f>0.1+0.004+0.004</f>
        <v>0.10800000000000001</v>
      </c>
    </row>
    <row r="60" spans="1:6" x14ac:dyDescent="0.2">
      <c r="A60" s="56"/>
      <c r="B60" t="s">
        <v>40</v>
      </c>
    </row>
  </sheetData>
  <mergeCells count="12">
    <mergeCell ref="G2:J2"/>
    <mergeCell ref="K2:N2"/>
    <mergeCell ref="A40:A45"/>
    <mergeCell ref="A46:A51"/>
    <mergeCell ref="A52:A57"/>
    <mergeCell ref="C2:F2"/>
    <mergeCell ref="A4:A9"/>
    <mergeCell ref="A10:A15"/>
    <mergeCell ref="A16:A21"/>
    <mergeCell ref="A22:A27"/>
    <mergeCell ref="A28:A33"/>
    <mergeCell ref="A34:A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E7CCD-0E4A-D246-AFB5-FF30E0794657}">
  <dimension ref="A2:M39"/>
  <sheetViews>
    <sheetView workbookViewId="0">
      <selection activeCell="H13" sqref="H13"/>
    </sheetView>
  </sheetViews>
  <sheetFormatPr baseColWidth="10" defaultRowHeight="16" x14ac:dyDescent="0.2"/>
  <sheetData>
    <row r="2" spans="1:13" x14ac:dyDescent="0.2">
      <c r="A2" s="1" t="s">
        <v>19</v>
      </c>
    </row>
    <row r="3" spans="1:13" x14ac:dyDescent="0.2">
      <c r="A3" s="78" t="s">
        <v>0</v>
      </c>
      <c r="B3" s="78" t="s">
        <v>1</v>
      </c>
      <c r="C3" s="78" t="s">
        <v>2</v>
      </c>
      <c r="D3" s="78" t="s">
        <v>3</v>
      </c>
      <c r="E3" s="78" t="s">
        <v>4</v>
      </c>
      <c r="F3" s="78" t="s">
        <v>5</v>
      </c>
      <c r="G3" s="78" t="s">
        <v>6</v>
      </c>
      <c r="H3" s="78" t="s">
        <v>7</v>
      </c>
      <c r="I3" s="78" t="s">
        <v>8</v>
      </c>
      <c r="J3" s="78" t="s">
        <v>9</v>
      </c>
      <c r="K3" s="78" t="s">
        <v>10</v>
      </c>
      <c r="L3" s="78" t="s">
        <v>11</v>
      </c>
      <c r="M3" s="78" t="s">
        <v>12</v>
      </c>
    </row>
    <row r="4" spans="1:13" x14ac:dyDescent="0.2">
      <c r="A4" s="78" t="s">
        <v>13</v>
      </c>
      <c r="B4" s="79">
        <v>0</v>
      </c>
      <c r="C4" s="79">
        <f>100*(recap!AE12-recap!AE24)/recap!AE12</f>
        <v>9.2271024855294588</v>
      </c>
      <c r="D4" s="79">
        <f>100*(recap!K12-recap!K24)/recap!K12</f>
        <v>61.645569620253163</v>
      </c>
      <c r="E4" s="79">
        <v>0</v>
      </c>
      <c r="F4" s="79">
        <v>0</v>
      </c>
      <c r="G4" s="79">
        <f>100*(recap!O12-recap!O24)/recap!O12</f>
        <v>64.778325123152712</v>
      </c>
      <c r="H4" s="79">
        <f>100*(recap!S12-recap!S24)/recap!S12</f>
        <v>8.8235294117647136</v>
      </c>
      <c r="I4" s="79">
        <f>100*(recap!W12-recap!W24)/recap!W12</f>
        <v>50</v>
      </c>
      <c r="J4" s="79">
        <f>100*(recap!AA12-recap!AA24)/recap!AA12</f>
        <v>97.866666666666674</v>
      </c>
      <c r="K4" s="79">
        <v>0</v>
      </c>
      <c r="L4" s="79">
        <v>0</v>
      </c>
      <c r="M4" s="79">
        <v>0</v>
      </c>
    </row>
    <row r="5" spans="1:13" x14ac:dyDescent="0.2">
      <c r="A5" s="78" t="s">
        <v>14</v>
      </c>
      <c r="B5" s="79">
        <v>0</v>
      </c>
      <c r="C5" s="79">
        <f>100*(recap!AE13-recap!AE25)/recap!AE13</f>
        <v>1.0277883517320088</v>
      </c>
      <c r="D5" s="79">
        <f>100*(recap!K13-recap!K25)/recap!K13</f>
        <v>68.214285714285708</v>
      </c>
      <c r="E5" s="79">
        <v>0</v>
      </c>
      <c r="F5" s="79">
        <v>0</v>
      </c>
      <c r="G5" s="79">
        <f>100*(recap!O13-recap!O25)/recap!O13</f>
        <v>40</v>
      </c>
      <c r="H5" s="79">
        <f>100*(recap!S13-recap!S25)/recap!S13</f>
        <v>-68.000000000000014</v>
      </c>
      <c r="I5" s="79">
        <f>100*(recap!W13-recap!W25)/recap!W13</f>
        <v>70</v>
      </c>
      <c r="J5" s="79">
        <f>100*(recap!AA13-recap!AA25)/recap!AA13</f>
        <v>99.705882352941174</v>
      </c>
      <c r="K5" s="79">
        <v>0</v>
      </c>
      <c r="L5" s="79">
        <v>0</v>
      </c>
      <c r="M5" s="79">
        <v>0</v>
      </c>
    </row>
    <row r="6" spans="1:13" x14ac:dyDescent="0.2">
      <c r="A6" s="78" t="s">
        <v>15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79">
        <v>0</v>
      </c>
      <c r="K6" s="79">
        <v>0</v>
      </c>
      <c r="L6" s="79">
        <f>100*(recap!G14-recap!G26)/recap!C14</f>
        <v>14.824408284023672</v>
      </c>
      <c r="M6" s="79">
        <f>100*(recap!C14-recap!C26)/recap!C14</f>
        <v>19.6223372781065</v>
      </c>
    </row>
    <row r="7" spans="1:13" x14ac:dyDescent="0.2">
      <c r="A7" s="78" t="s">
        <v>16</v>
      </c>
      <c r="B7" s="79">
        <v>0</v>
      </c>
      <c r="C7" s="79">
        <f>100*(recap!AE15-recap!AE27)/recap!AE15</f>
        <v>7.0967741935483817</v>
      </c>
      <c r="D7" s="79">
        <f>100*(recap!K15-recap!K27)/recap!K15</f>
        <v>75.121951219512198</v>
      </c>
      <c r="E7" s="79">
        <v>0</v>
      </c>
      <c r="F7" s="79">
        <v>0</v>
      </c>
      <c r="G7" s="79">
        <f>100*(recap!O15-recap!O27)/recap!O15</f>
        <v>47.222222222222221</v>
      </c>
      <c r="H7" s="79">
        <f>100*(recap!S15-recap!S27)/recap!S15</f>
        <v>33.333333333333329</v>
      </c>
      <c r="I7" s="79">
        <f>100*(recap!W15-recap!W27)/recap!W15</f>
        <v>28.571428571428577</v>
      </c>
      <c r="J7" s="79">
        <f>100*(recap!AA15-recap!AA27)/recap!AA15</f>
        <v>89.230769230769226</v>
      </c>
      <c r="K7" s="79">
        <v>0</v>
      </c>
      <c r="L7" s="79">
        <v>0</v>
      </c>
      <c r="M7" s="79">
        <v>0</v>
      </c>
    </row>
    <row r="8" spans="1:13" x14ac:dyDescent="0.2">
      <c r="A8" s="78" t="s">
        <v>17</v>
      </c>
      <c r="B8" s="79">
        <v>0</v>
      </c>
      <c r="C8" s="79">
        <f>100*(recap!AE16-recap!AE28)/recap!AE16</f>
        <v>8.4294587400177452</v>
      </c>
      <c r="D8" s="79">
        <f>100*(recap!K16-recap!K28)/recap!K16</f>
        <v>74.920634920634924</v>
      </c>
      <c r="E8" s="79">
        <v>0</v>
      </c>
      <c r="F8" s="79">
        <v>0</v>
      </c>
      <c r="G8" s="79">
        <f>100*(recap!O16-recap!O28)/recap!O16</f>
        <v>36</v>
      </c>
      <c r="H8" s="79">
        <f>100*(recap!S16-recap!S28)/recap!S16</f>
        <v>33.333333333333329</v>
      </c>
      <c r="I8" s="79">
        <f>100*(recap!W16-recap!W28)/recap!W16</f>
        <v>50</v>
      </c>
      <c r="J8" s="79">
        <f>100*(recap!AA16-recap!AA28)/recap!AA16</f>
        <v>77.777777777777771</v>
      </c>
      <c r="K8" s="79">
        <v>0</v>
      </c>
      <c r="L8" s="79">
        <v>0</v>
      </c>
      <c r="M8" s="79">
        <v>0</v>
      </c>
    </row>
    <row r="9" spans="1:13" x14ac:dyDescent="0.2">
      <c r="A9" s="78" t="s">
        <v>18</v>
      </c>
      <c r="B9" s="79">
        <v>0</v>
      </c>
      <c r="C9" s="79">
        <f>100*(recap!AE17-recap!AE29)/recap!AE17</f>
        <v>26.557377049180332</v>
      </c>
      <c r="D9" s="79">
        <f>100*(recap!K17-recap!K29)/recap!K17</f>
        <v>80.625</v>
      </c>
      <c r="E9" s="79">
        <v>0</v>
      </c>
      <c r="F9" s="79">
        <v>0</v>
      </c>
      <c r="G9" s="79">
        <f>100*(recap!O17-recap!O29)/recap!O17</f>
        <v>25.000000000000007</v>
      </c>
      <c r="H9" s="79">
        <f>100*(recap!S17-recap!S29)/recap!S17</f>
        <v>85.428571428571431</v>
      </c>
      <c r="I9" s="79">
        <f>100*(recap!W17-recap!W29)/recap!W17</f>
        <v>57.142857142857146</v>
      </c>
      <c r="J9" s="79">
        <f>100*(recap!AA17-recap!AA29)/recap!AA17</f>
        <v>99.571428571428555</v>
      </c>
      <c r="K9" s="79">
        <v>0</v>
      </c>
      <c r="L9" s="79">
        <v>0</v>
      </c>
      <c r="M9" s="79">
        <v>0</v>
      </c>
    </row>
    <row r="10" spans="1:13" x14ac:dyDescent="0.2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</row>
    <row r="11" spans="1:13" x14ac:dyDescent="0.2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</row>
    <row r="12" spans="1:13" x14ac:dyDescent="0.2">
      <c r="A12" s="1" t="s">
        <v>20</v>
      </c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</row>
    <row r="13" spans="1:13" x14ac:dyDescent="0.2">
      <c r="A13" s="78" t="s">
        <v>0</v>
      </c>
      <c r="B13" s="81" t="s">
        <v>1</v>
      </c>
      <c r="C13" s="81" t="s">
        <v>2</v>
      </c>
      <c r="D13" s="81" t="s">
        <v>3</v>
      </c>
      <c r="E13" s="81" t="s">
        <v>4</v>
      </c>
      <c r="F13" s="81" t="s">
        <v>5</v>
      </c>
      <c r="G13" s="81" t="s">
        <v>6</v>
      </c>
      <c r="H13" s="81" t="s">
        <v>7</v>
      </c>
      <c r="I13" s="81" t="s">
        <v>8</v>
      </c>
      <c r="J13" s="81" t="s">
        <v>9</v>
      </c>
      <c r="K13" s="81" t="s">
        <v>10</v>
      </c>
      <c r="L13" s="81" t="s">
        <v>11</v>
      </c>
      <c r="M13" s="81" t="s">
        <v>12</v>
      </c>
    </row>
    <row r="14" spans="1:13" x14ac:dyDescent="0.2">
      <c r="A14" s="78" t="s">
        <v>13</v>
      </c>
      <c r="B14" s="79">
        <v>0</v>
      </c>
      <c r="C14" s="79">
        <f>100*(recap!AF12-recap!AF24)/recap!AF12</f>
        <v>9.2271024855294588</v>
      </c>
      <c r="D14" s="79">
        <f>100*(recap!L12-recap!L24)/recap!L12</f>
        <v>60.253164556962027</v>
      </c>
      <c r="E14" s="79">
        <v>0</v>
      </c>
      <c r="F14" s="79">
        <v>0</v>
      </c>
      <c r="G14" s="79">
        <f>100*(recap!P12-recap!P24)/recap!P12</f>
        <v>60.591133004926107</v>
      </c>
      <c r="H14" s="79">
        <f>100*(recap!T12-recap!T24)/recap!T12</f>
        <v>-8.8235294117647012</v>
      </c>
      <c r="I14" s="79">
        <f>100*(recap!X12-recap!X24)/recap!X12</f>
        <v>37.272727272727266</v>
      </c>
      <c r="J14" s="79">
        <f>100*(recap!AB12-recap!AB24)/recap!AB12</f>
        <v>98.933333333333337</v>
      </c>
      <c r="K14" s="79">
        <v>0</v>
      </c>
      <c r="L14" s="79">
        <v>0</v>
      </c>
      <c r="M14" s="79">
        <v>0</v>
      </c>
    </row>
    <row r="15" spans="1:13" x14ac:dyDescent="0.2">
      <c r="A15" s="78" t="s">
        <v>14</v>
      </c>
      <c r="B15" s="79">
        <v>0</v>
      </c>
      <c r="C15" s="79">
        <f>100*(recap!AF13-recap!AF25)/recap!AF13</f>
        <v>1.0277883517320088</v>
      </c>
      <c r="D15" s="79">
        <f>100*(recap!L13-recap!L25)/recap!L13</f>
        <v>71.734693877551024</v>
      </c>
      <c r="E15" s="79">
        <v>0</v>
      </c>
      <c r="F15" s="79">
        <v>0</v>
      </c>
      <c r="G15" s="79">
        <f>100*(recap!P13-recap!P25)/recap!P13</f>
        <v>44</v>
      </c>
      <c r="H15" s="79">
        <f>100*(recap!T13-recap!T25)/recap!T13</f>
        <v>-70.000000000000014</v>
      </c>
      <c r="I15" s="79">
        <f>100*(recap!X13-recap!X25)/recap!X13</f>
        <v>70</v>
      </c>
      <c r="J15" s="79">
        <f>100*(recap!AB13-recap!AB25)/recap!AB13</f>
        <v>99.705882352941174</v>
      </c>
      <c r="K15" s="79">
        <v>0</v>
      </c>
      <c r="L15" s="79">
        <v>0</v>
      </c>
      <c r="M15" s="79">
        <v>0</v>
      </c>
    </row>
    <row r="16" spans="1:13" x14ac:dyDescent="0.2">
      <c r="A16" s="78" t="s">
        <v>15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f>100*(recap!H14-recap!H26)/recap!H14</f>
        <v>24.338095238095246</v>
      </c>
      <c r="M16" s="79">
        <f>100*(recap!D14-recap!D26)/recap!D14</f>
        <v>23.581360946745558</v>
      </c>
    </row>
    <row r="17" spans="1:13" x14ac:dyDescent="0.2">
      <c r="A17" s="78" t="s">
        <v>16</v>
      </c>
      <c r="B17" s="79">
        <v>0</v>
      </c>
      <c r="C17" s="79">
        <f>100*(recap!AF15-recap!AF27)/recap!AF15</f>
        <v>7.0967741935483817</v>
      </c>
      <c r="D17" s="79">
        <f>100*(recap!L15-recap!L27)/recap!L15</f>
        <v>77.723577235772353</v>
      </c>
      <c r="E17" s="79">
        <v>0</v>
      </c>
      <c r="F17" s="79">
        <v>0</v>
      </c>
      <c r="G17" s="79">
        <f>100*(recap!P15-recap!P27)/recap!P15</f>
        <v>44.444444444444443</v>
      </c>
      <c r="H17" s="79">
        <f>100*(recap!T15-recap!T27)/recap!T15</f>
        <v>-1.8503717077085944E-14</v>
      </c>
      <c r="I17" s="79">
        <f>100*(recap!X15-recap!X27)/recap!X15</f>
        <v>28.571428571428577</v>
      </c>
      <c r="J17" s="79">
        <f>100*(recap!AB15-recap!AB27)/recap!AB15</f>
        <v>89.230769230769226</v>
      </c>
      <c r="K17" s="79">
        <v>0</v>
      </c>
      <c r="L17" s="79">
        <v>0</v>
      </c>
      <c r="M17" s="79">
        <v>0</v>
      </c>
    </row>
    <row r="18" spans="1:13" x14ac:dyDescent="0.2">
      <c r="A18" s="78" t="s">
        <v>17</v>
      </c>
      <c r="B18" s="79">
        <v>0</v>
      </c>
      <c r="C18" s="79">
        <f>100*(recap!AF16-recap!AF28)/recap!AF16</f>
        <v>8.4294587400177452</v>
      </c>
      <c r="D18" s="79">
        <f>100*(recap!L16-recap!L28)/recap!L16</f>
        <v>77.539682539682545</v>
      </c>
      <c r="E18" s="79">
        <v>0</v>
      </c>
      <c r="F18" s="79">
        <v>0</v>
      </c>
      <c r="G18" s="79">
        <f>100*(recap!P16-recap!P28)/recap!P16</f>
        <v>32</v>
      </c>
      <c r="H18" s="79">
        <f>100*(recap!T16-recap!T28)/recap!T16</f>
        <v>-1.8503717077085944E-14</v>
      </c>
      <c r="I18" s="79">
        <f>100*(recap!X16-recap!X28)/recap!X16</f>
        <v>50</v>
      </c>
      <c r="J18" s="79">
        <f>100*(recap!AB16-recap!AB28)/recap!AB16</f>
        <v>75.555555555555557</v>
      </c>
      <c r="K18" s="79">
        <v>0</v>
      </c>
      <c r="L18" s="79">
        <v>0</v>
      </c>
      <c r="M18" s="79">
        <v>0</v>
      </c>
    </row>
    <row r="19" spans="1:13" x14ac:dyDescent="0.2">
      <c r="A19" s="78" t="s">
        <v>18</v>
      </c>
      <c r="B19" s="79">
        <v>0</v>
      </c>
      <c r="C19" s="79">
        <f>100*(recap!AF17-recap!AF29)/recap!AF17</f>
        <v>26.557377049180332</v>
      </c>
      <c r="D19" s="79">
        <f>100*(recap!L17-recap!L29)/recap!L17</f>
        <v>74.375</v>
      </c>
      <c r="E19" s="79">
        <v>0</v>
      </c>
      <c r="F19" s="79">
        <v>0</v>
      </c>
      <c r="G19" s="79">
        <f>100*(recap!P17-recap!P29)/recap!P17</f>
        <v>25.000000000000007</v>
      </c>
      <c r="H19" s="79">
        <f>100*(recap!T17-recap!T29)/recap!T17</f>
        <v>71</v>
      </c>
      <c r="I19" s="79">
        <f>100*(recap!X17-recap!X29)/recap!X17</f>
        <v>42.857142857142847</v>
      </c>
      <c r="J19" s="79">
        <f>100*(recap!AB17-recap!AB29)/recap!AB17</f>
        <v>99.857142857142847</v>
      </c>
      <c r="K19" s="79">
        <v>0</v>
      </c>
      <c r="L19" s="79">
        <v>0</v>
      </c>
      <c r="M19" s="79">
        <v>0</v>
      </c>
    </row>
    <row r="20" spans="1:13" x14ac:dyDescent="0.2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</row>
    <row r="21" spans="1:13" x14ac:dyDescent="0.2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</row>
    <row r="22" spans="1:13" x14ac:dyDescent="0.2">
      <c r="A22" s="1" t="s">
        <v>21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</row>
    <row r="23" spans="1:13" x14ac:dyDescent="0.2">
      <c r="A23" s="78" t="s">
        <v>0</v>
      </c>
      <c r="B23" s="81" t="s">
        <v>1</v>
      </c>
      <c r="C23" s="81" t="s">
        <v>2</v>
      </c>
      <c r="D23" s="81" t="s">
        <v>3</v>
      </c>
      <c r="E23" s="81" t="s">
        <v>4</v>
      </c>
      <c r="F23" s="81" t="s">
        <v>5</v>
      </c>
      <c r="G23" s="81" t="s">
        <v>6</v>
      </c>
      <c r="H23" s="81" t="s">
        <v>7</v>
      </c>
      <c r="I23" s="81" t="s">
        <v>8</v>
      </c>
      <c r="J23" s="81" t="s">
        <v>9</v>
      </c>
      <c r="K23" s="81" t="s">
        <v>10</v>
      </c>
      <c r="L23" s="81" t="s">
        <v>11</v>
      </c>
      <c r="M23" s="81" t="s">
        <v>12</v>
      </c>
    </row>
    <row r="24" spans="1:13" x14ac:dyDescent="0.2">
      <c r="A24" s="78" t="s">
        <v>13</v>
      </c>
      <c r="B24" s="79">
        <v>0</v>
      </c>
      <c r="C24" s="79">
        <f>100*(recap!AG12-recap!AG24)/recap!AG12</f>
        <v>9.2271024855294588</v>
      </c>
      <c r="D24" s="82">
        <f>100*(recap!M12-recap!M24)/recap!M12</f>
        <v>61.265822784810126</v>
      </c>
      <c r="E24" s="79">
        <v>0</v>
      </c>
      <c r="F24" s="79">
        <v>0</v>
      </c>
      <c r="G24" s="79">
        <f>100*(recap!Q12-recap!Q24)/recap!Q12</f>
        <v>50.492610837438427</v>
      </c>
      <c r="H24" s="79">
        <f>100*(recap!U12-recap!U24)/recap!U12</f>
        <v>-8.8235294117647136</v>
      </c>
      <c r="I24" s="79">
        <f>100*(recap!Y12-recap!Y24)/recap!Y12</f>
        <v>16.36363636363637</v>
      </c>
      <c r="J24" s="79">
        <f>100*(recap!AC12-recap!AC24)/recap!AC12</f>
        <v>98.666666666666671</v>
      </c>
      <c r="K24" s="79">
        <v>0</v>
      </c>
      <c r="L24" s="79">
        <v>0</v>
      </c>
      <c r="M24" s="79">
        <v>0</v>
      </c>
    </row>
    <row r="25" spans="1:13" x14ac:dyDescent="0.2">
      <c r="A25" s="78" t="s">
        <v>14</v>
      </c>
      <c r="B25" s="79">
        <v>0</v>
      </c>
      <c r="C25" s="79">
        <f>100*(recap!AG13-recap!AG25)/recap!AG13</f>
        <v>1.0277883517320088</v>
      </c>
      <c r="D25" s="82">
        <f>100*(recap!M13-recap!M25)/recap!M13</f>
        <v>75.357142857142847</v>
      </c>
      <c r="E25" s="79">
        <v>0</v>
      </c>
      <c r="F25" s="79">
        <v>0</v>
      </c>
      <c r="G25" s="79">
        <f>100*(recap!Q13-recap!Q25)/recap!Q13</f>
        <v>22</v>
      </c>
      <c r="H25" s="79">
        <f>100*(recap!U13-recap!U25)/recap!U13</f>
        <v>-80</v>
      </c>
      <c r="I25" s="79">
        <f>100*(recap!Y13-recap!Y25)/recap!Y13</f>
        <v>60</v>
      </c>
      <c r="J25" s="79">
        <f>100*(recap!AC13-recap!AC25)/recap!AC13</f>
        <v>99.705882352941174</v>
      </c>
      <c r="K25" s="79">
        <v>0</v>
      </c>
      <c r="L25" s="79">
        <v>0</v>
      </c>
      <c r="M25" s="79">
        <v>0</v>
      </c>
    </row>
    <row r="26" spans="1:13" x14ac:dyDescent="0.2">
      <c r="A26" s="78" t="s">
        <v>15</v>
      </c>
      <c r="B26" s="79">
        <v>0</v>
      </c>
      <c r="C26" s="79">
        <v>0</v>
      </c>
      <c r="D26" s="82">
        <v>0</v>
      </c>
      <c r="E26" s="79">
        <v>0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f>100*(recap!I14-recap!I26)/recap!I14</f>
        <v>23.382380952380956</v>
      </c>
      <c r="M26" s="79">
        <f>100*(recap!E14-recap!E26)/recap!E14</f>
        <v>15.663313609467458</v>
      </c>
    </row>
    <row r="27" spans="1:13" x14ac:dyDescent="0.2">
      <c r="A27" s="78" t="s">
        <v>16</v>
      </c>
      <c r="B27" s="79">
        <v>0</v>
      </c>
      <c r="C27" s="79">
        <f>100*(recap!AG15-recap!AG27)/recap!AG15</f>
        <v>7.0967741935483817</v>
      </c>
      <c r="D27" s="82">
        <f>100*(recap!M15-recap!M27)/recap!M15</f>
        <v>81.544715447154474</v>
      </c>
      <c r="E27" s="79">
        <v>0</v>
      </c>
      <c r="F27" s="79">
        <v>0</v>
      </c>
      <c r="G27" s="79">
        <f>100*(recap!Q15-recap!Q27)/recap!Q15</f>
        <v>33.333333333333336</v>
      </c>
      <c r="H27" s="79">
        <f>100*(recap!U15-recap!U27)/recap!U15</f>
        <v>33.333333333333329</v>
      </c>
      <c r="I27" s="79">
        <f>100*(recap!Y15-recap!Y27)/recap!Y15</f>
        <v>28.571428571428577</v>
      </c>
      <c r="J27" s="79">
        <f>100*(recap!AC15-recap!AC27)/recap!AC15</f>
        <v>89.230769230769226</v>
      </c>
      <c r="K27" s="79">
        <v>0</v>
      </c>
      <c r="L27" s="79">
        <v>0</v>
      </c>
      <c r="M27" s="79">
        <v>0</v>
      </c>
    </row>
    <row r="28" spans="1:13" x14ac:dyDescent="0.2">
      <c r="A28" s="78" t="s">
        <v>17</v>
      </c>
      <c r="B28" s="79">
        <v>0</v>
      </c>
      <c r="C28" s="79">
        <f>100*(recap!AG16-recap!AG28)/recap!AG16</f>
        <v>8.4294587400177452</v>
      </c>
      <c r="D28" s="82">
        <f>100*(recap!M16-recap!M28)/recap!M16</f>
        <v>81.349206349206355</v>
      </c>
      <c r="E28" s="79">
        <v>0</v>
      </c>
      <c r="F28" s="79">
        <v>0</v>
      </c>
      <c r="G28" s="79">
        <f>100*(recap!Q16-recap!Q28)/recap!Q16</f>
        <v>20</v>
      </c>
      <c r="H28" s="79">
        <f>100*(recap!U16-recap!U28)/recap!U16</f>
        <v>33.333333333333329</v>
      </c>
      <c r="I28" s="79">
        <f>100*(recap!Y16-recap!Y28)/recap!Y16</f>
        <v>0</v>
      </c>
      <c r="J28" s="79">
        <f>100*(recap!AC16-recap!AC28)/recap!AC16</f>
        <v>77.777777777777771</v>
      </c>
      <c r="K28" s="79">
        <v>0</v>
      </c>
      <c r="L28" s="79">
        <v>0</v>
      </c>
      <c r="M28" s="79">
        <v>0</v>
      </c>
    </row>
    <row r="29" spans="1:13" x14ac:dyDescent="0.2">
      <c r="A29" s="78" t="s">
        <v>18</v>
      </c>
      <c r="B29" s="79">
        <v>0</v>
      </c>
      <c r="C29" s="79">
        <f>100*(recap!AG17-recap!AG29)/recap!AG17</f>
        <v>26.557377049180332</v>
      </c>
      <c r="D29" s="82">
        <f>100*(recap!M17-recap!M29)/recap!M17</f>
        <v>78.75</v>
      </c>
      <c r="E29" s="79">
        <v>0</v>
      </c>
      <c r="F29" s="79">
        <v>0</v>
      </c>
      <c r="G29" s="79">
        <f>100*(recap!Q17-recap!Q29)/recap!Q17</f>
        <v>0</v>
      </c>
      <c r="H29" s="79">
        <f>100*(recap!U17-recap!U29)/recap!U17</f>
        <v>70.714285714285708</v>
      </c>
      <c r="I29" s="79">
        <f>100*(recap!Y17-recap!Y29)/recap!Y17</f>
        <v>28.571428571428569</v>
      </c>
      <c r="J29" s="79">
        <f>100*(recap!AC17-recap!AC29)/recap!AC17</f>
        <v>99.714285714285722</v>
      </c>
      <c r="K29" s="79">
        <v>0</v>
      </c>
      <c r="L29" s="79">
        <v>0</v>
      </c>
      <c r="M29" s="79">
        <v>0</v>
      </c>
    </row>
    <row r="30" spans="1:13" x14ac:dyDescent="0.2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</row>
    <row r="31" spans="1:13" x14ac:dyDescent="0.2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</row>
    <row r="32" spans="1:13" x14ac:dyDescent="0.2">
      <c r="A32" s="1" t="s">
        <v>22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</row>
    <row r="33" spans="1:13" x14ac:dyDescent="0.2">
      <c r="A33" s="78" t="s">
        <v>0</v>
      </c>
      <c r="B33" s="81" t="s">
        <v>1</v>
      </c>
      <c r="C33" s="81" t="s">
        <v>2</v>
      </c>
      <c r="D33" s="81" t="s">
        <v>3</v>
      </c>
      <c r="E33" s="81" t="s">
        <v>4</v>
      </c>
      <c r="F33" s="81" t="s">
        <v>5</v>
      </c>
      <c r="G33" s="81" t="s">
        <v>6</v>
      </c>
      <c r="H33" s="81" t="s">
        <v>7</v>
      </c>
      <c r="I33" s="81" t="s">
        <v>8</v>
      </c>
      <c r="J33" s="81" t="s">
        <v>9</v>
      </c>
      <c r="K33" s="81" t="s">
        <v>10</v>
      </c>
      <c r="L33" s="81" t="s">
        <v>11</v>
      </c>
      <c r="M33" s="81" t="s">
        <v>12</v>
      </c>
    </row>
    <row r="34" spans="1:13" x14ac:dyDescent="0.2">
      <c r="A34" s="78" t="s">
        <v>13</v>
      </c>
      <c r="B34" s="79">
        <v>0</v>
      </c>
      <c r="C34" s="79">
        <f>100*(recap!AH12-recap!AH24)/recap!AH12</f>
        <v>9.2271024855294588</v>
      </c>
      <c r="D34" s="79">
        <f>100*(recap!N12-recap!N24)/recap!N12</f>
        <v>56.329113924050631</v>
      </c>
      <c r="E34" s="79">
        <v>0</v>
      </c>
      <c r="F34" s="79">
        <v>0</v>
      </c>
      <c r="G34" s="79">
        <f>100*(recap!R12-recap!R24)/recap!R12</f>
        <v>46.551724137931032</v>
      </c>
      <c r="H34" s="79">
        <f>100*(recap!V12-recap!V24)/recap!V12</f>
        <v>-8.8235294117647136</v>
      </c>
      <c r="I34" s="79">
        <f>100*(recap!Z12-recap!Z24)/recap!Z12</f>
        <v>11.818181818181824</v>
      </c>
      <c r="J34" s="79">
        <f>100*(recap!AD12-recap!AD24)/recap!AD12</f>
        <v>99.333333333333329</v>
      </c>
      <c r="K34" s="79">
        <v>0</v>
      </c>
      <c r="L34" s="79">
        <v>0</v>
      </c>
      <c r="M34" s="79">
        <v>0</v>
      </c>
    </row>
    <row r="35" spans="1:13" x14ac:dyDescent="0.2">
      <c r="A35" s="78" t="s">
        <v>14</v>
      </c>
      <c r="B35" s="79">
        <v>0</v>
      </c>
      <c r="C35" s="79">
        <f>100*(recap!AH13-recap!AH25)/recap!AH13</f>
        <v>1.0277883517320088</v>
      </c>
      <c r="D35" s="79">
        <f>100*(recap!N13-recap!N25)/recap!N13</f>
        <v>82.040816326530617</v>
      </c>
      <c r="E35" s="79">
        <v>0</v>
      </c>
      <c r="F35" s="79">
        <v>0</v>
      </c>
      <c r="G35" s="79">
        <f>100*(recap!R13-recap!R25)/recap!R13</f>
        <v>32</v>
      </c>
      <c r="H35" s="79">
        <f>100*(recap!V13-recap!V25)/recap!V13</f>
        <v>-59.999999999999986</v>
      </c>
      <c r="I35" s="79">
        <f>100*(recap!Z13-recap!Z25)/recap!Z13</f>
        <v>50</v>
      </c>
      <c r="J35" s="79">
        <f>100*(recap!AD13-recap!AD25)/recap!AD13</f>
        <v>100</v>
      </c>
      <c r="K35" s="79">
        <v>0</v>
      </c>
      <c r="L35" s="79">
        <v>0</v>
      </c>
      <c r="M35" s="79">
        <v>0</v>
      </c>
    </row>
    <row r="36" spans="1:13" x14ac:dyDescent="0.2">
      <c r="A36" s="78" t="s">
        <v>15</v>
      </c>
      <c r="B36" s="79">
        <v>0</v>
      </c>
      <c r="C36" s="79">
        <v>0</v>
      </c>
      <c r="D36" s="79">
        <v>0</v>
      </c>
      <c r="E36" s="79">
        <v>0</v>
      </c>
      <c r="F36" s="79">
        <v>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f>100*(recap!J14-recap!J26)/recap!J14</f>
        <v>20.480476190476185</v>
      </c>
      <c r="M36" s="79">
        <f>100*(recap!F14-recap!F26)/recap!F14</f>
        <v>15.752366863905339</v>
      </c>
    </row>
    <row r="37" spans="1:13" x14ac:dyDescent="0.2">
      <c r="A37" s="78" t="s">
        <v>16</v>
      </c>
      <c r="B37" s="79">
        <v>0</v>
      </c>
      <c r="C37" s="79">
        <f>100*(recap!AH15-recap!AH27)/recap!AH15</f>
        <v>7.0967741935483817</v>
      </c>
      <c r="D37" s="79">
        <f>100*(recap!N15-recap!N27)/recap!N15</f>
        <v>87.154471544715449</v>
      </c>
      <c r="E37" s="79">
        <v>0</v>
      </c>
      <c r="F37" s="79">
        <v>0</v>
      </c>
      <c r="G37" s="79">
        <f>100*(recap!R15-recap!R27)/recap!R15</f>
        <v>22.222222222222221</v>
      </c>
      <c r="H37" s="79">
        <f>100*(recap!V15-recap!V27)/recap!V15</f>
        <v>33.333333333333329</v>
      </c>
      <c r="I37" s="79">
        <f>100*(recap!Z15-recap!Z27)/recap!Z15</f>
        <v>28.571428571428577</v>
      </c>
      <c r="J37" s="79">
        <f>100*(recap!AD15-recap!AD27)/recap!AD15</f>
        <v>90.769230769230774</v>
      </c>
      <c r="K37" s="79">
        <v>0</v>
      </c>
      <c r="L37" s="79">
        <v>0</v>
      </c>
      <c r="M37" s="79">
        <v>0</v>
      </c>
    </row>
    <row r="38" spans="1:13" x14ac:dyDescent="0.2">
      <c r="A38" s="78" t="s">
        <v>17</v>
      </c>
      <c r="B38" s="79">
        <v>0</v>
      </c>
      <c r="C38" s="79">
        <f>100*(recap!AH16-recap!AH28)/recap!AH16</f>
        <v>8.4294587400177452</v>
      </c>
      <c r="D38" s="79">
        <f>100*(recap!N16-recap!N28)/recap!N16</f>
        <v>87.063492063492063</v>
      </c>
      <c r="E38" s="79">
        <v>0</v>
      </c>
      <c r="F38" s="79">
        <v>0</v>
      </c>
      <c r="G38" s="79">
        <f>100*(recap!R16-recap!R28)/recap!R16</f>
        <v>8</v>
      </c>
      <c r="H38" s="79">
        <f>100*(recap!V16-recap!V28)/recap!V16</f>
        <v>33.333333333333329</v>
      </c>
      <c r="I38" s="79">
        <f>100*(recap!Z16-recap!Z28)/recap!Z16</f>
        <v>0</v>
      </c>
      <c r="J38" s="79">
        <f>100*(recap!AD16-recap!AD28)/recap!AD16</f>
        <v>78.888888888888886</v>
      </c>
      <c r="K38" s="79">
        <v>0</v>
      </c>
      <c r="L38" s="79">
        <v>0</v>
      </c>
      <c r="M38" s="79">
        <v>0</v>
      </c>
    </row>
    <row r="39" spans="1:13" x14ac:dyDescent="0.2">
      <c r="A39" s="78" t="s">
        <v>18</v>
      </c>
      <c r="B39" s="79">
        <v>0</v>
      </c>
      <c r="C39" s="79">
        <f>100*(recap!AH17-recap!AH29)/recap!AH17</f>
        <v>26.557377049180332</v>
      </c>
      <c r="D39" s="79">
        <f>100*(recap!N17-recap!N29)/recap!N17</f>
        <v>61.250000000000007</v>
      </c>
      <c r="E39" s="79">
        <v>0</v>
      </c>
      <c r="F39" s="79">
        <v>0</v>
      </c>
      <c r="G39" s="79">
        <f>100*(recap!R17-recap!R29)/recap!R17</f>
        <v>0</v>
      </c>
      <c r="H39" s="79">
        <f>100*(recap!V17-recap!V29)/recap!V17</f>
        <v>71</v>
      </c>
      <c r="I39" s="79">
        <f>100*(recap!Z17-recap!Z29)/recap!Z17</f>
        <v>14.285714285714285</v>
      </c>
      <c r="J39" s="79">
        <f>100*(recap!AD17-recap!AD29)/recap!AD17</f>
        <v>99.857142857142847</v>
      </c>
      <c r="K39" s="79">
        <v>0</v>
      </c>
      <c r="L39" s="79">
        <v>0</v>
      </c>
      <c r="M39" s="7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71BE-8BCC-4E41-8BC5-852C810467C7}">
  <dimension ref="A2:M39"/>
  <sheetViews>
    <sheetView workbookViewId="0">
      <selection activeCell="D12" sqref="D12"/>
    </sheetView>
  </sheetViews>
  <sheetFormatPr baseColWidth="10" defaultRowHeight="16" x14ac:dyDescent="0.2"/>
  <sheetData>
    <row r="2" spans="1:13" x14ac:dyDescent="0.2">
      <c r="A2" s="1" t="s">
        <v>19</v>
      </c>
    </row>
    <row r="3" spans="1:13" x14ac:dyDescent="0.2">
      <c r="A3" s="78" t="s">
        <v>0</v>
      </c>
      <c r="B3" s="78" t="s">
        <v>1</v>
      </c>
      <c r="C3" s="78" t="s">
        <v>2</v>
      </c>
      <c r="D3" s="78" t="s">
        <v>3</v>
      </c>
      <c r="E3" s="78" t="s">
        <v>4</v>
      </c>
      <c r="F3" s="78" t="s">
        <v>5</v>
      </c>
      <c r="G3" s="78" t="s">
        <v>6</v>
      </c>
      <c r="H3" s="78" t="s">
        <v>7</v>
      </c>
      <c r="I3" s="78" t="s">
        <v>8</v>
      </c>
      <c r="J3" s="78" t="s">
        <v>9</v>
      </c>
      <c r="K3" s="78" t="s">
        <v>10</v>
      </c>
      <c r="L3" s="78" t="s">
        <v>11</v>
      </c>
      <c r="M3" s="78" t="s">
        <v>12</v>
      </c>
    </row>
    <row r="4" spans="1:13" x14ac:dyDescent="0.2">
      <c r="A4" s="78" t="s">
        <v>13</v>
      </c>
      <c r="B4" s="79">
        <v>0</v>
      </c>
      <c r="C4" s="79">
        <f>100*(recap!AE12-recap!AE36)/recap!AE12</f>
        <v>11.179207808421291</v>
      </c>
      <c r="D4" s="79">
        <f>100*(recap!K12-recap!K36)/recap!K12</f>
        <v>74.177215189873422</v>
      </c>
      <c r="E4" s="79">
        <v>0</v>
      </c>
      <c r="F4" s="79">
        <v>0</v>
      </c>
      <c r="G4" s="79">
        <f>100*(recap!O12-recap!O36)/recap!O12</f>
        <v>96.305418719211829</v>
      </c>
      <c r="H4" s="79">
        <f>100*(recap!S12-recap!S36)/recap!S12</f>
        <v>26.470588235294112</v>
      </c>
      <c r="I4" s="79">
        <f>100*(recap!W12-recap!W36)/recap!W12</f>
        <v>67.272727272727266</v>
      </c>
      <c r="J4" s="79">
        <f>100*(recap!AA12-recap!AA36)/recap!AA12</f>
        <v>98.799999999999983</v>
      </c>
      <c r="K4" s="79">
        <v>0</v>
      </c>
      <c r="L4" s="79">
        <v>0</v>
      </c>
      <c r="M4" s="79">
        <v>0</v>
      </c>
    </row>
    <row r="5" spans="1:13" x14ac:dyDescent="0.2">
      <c r="A5" s="78" t="s">
        <v>14</v>
      </c>
      <c r="B5" s="79">
        <v>0</v>
      </c>
      <c r="C5" s="79">
        <f>100*(recap!AE13-recap!AE37)/recap!AE13</f>
        <v>-2.6836695850780332</v>
      </c>
      <c r="D5" s="79">
        <f>100*(recap!K13-recap!K37)/recap!K13</f>
        <v>75.408163265306129</v>
      </c>
      <c r="E5" s="79">
        <v>0</v>
      </c>
      <c r="F5" s="79">
        <v>0</v>
      </c>
      <c r="G5" s="79">
        <f>100*(recap!O13-recap!O37)/recap!O13</f>
        <v>86.6</v>
      </c>
      <c r="H5" s="79">
        <f>100*(recap!S13-recap!S37)/recap!S13</f>
        <v>-64.000000000000014</v>
      </c>
      <c r="I5" s="79">
        <f>100*(recap!W13-recap!W37)/recap!W13</f>
        <v>90</v>
      </c>
      <c r="J5" s="79">
        <f>100*(recap!AA13-recap!AA37)/recap!AA13</f>
        <v>99.705882352941174</v>
      </c>
      <c r="K5" s="79">
        <v>0</v>
      </c>
      <c r="L5" s="79">
        <v>0</v>
      </c>
      <c r="M5" s="79">
        <v>0</v>
      </c>
    </row>
    <row r="6" spans="1:13" x14ac:dyDescent="0.2">
      <c r="A6" s="78" t="s">
        <v>15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79">
        <v>0</v>
      </c>
      <c r="K6" s="79">
        <v>0</v>
      </c>
      <c r="L6" s="79">
        <f>100*(recap!G14-recap!G38)/recap!C14</f>
        <v>50.907100591715974</v>
      </c>
      <c r="M6" s="79">
        <f>100*(recap!C14-recap!C38)/recap!C14</f>
        <v>55.466124260355038</v>
      </c>
    </row>
    <row r="7" spans="1:13" x14ac:dyDescent="0.2">
      <c r="A7" s="78" t="s">
        <v>16</v>
      </c>
      <c r="B7" s="79">
        <v>0</v>
      </c>
      <c r="C7" s="79">
        <f>100*(recap!AE15-recap!AE39)/recap!AE15</f>
        <v>4.1935483870967794</v>
      </c>
      <c r="D7" s="79">
        <f>100*(recap!K15-recap!K39)/recap!K15</f>
        <v>87.39837398373983</v>
      </c>
      <c r="E7" s="79">
        <v>0</v>
      </c>
      <c r="F7" s="79">
        <v>0</v>
      </c>
      <c r="G7" s="79">
        <f>100*(recap!O15-recap!O39)/recap!O15</f>
        <v>71.111111111111114</v>
      </c>
      <c r="H7" s="79">
        <f>100*(recap!S15-recap!S39)/recap!S15</f>
        <v>53.333333333333329</v>
      </c>
      <c r="I7" s="79">
        <f>100*(recap!W15-recap!W39)/recap!W15</f>
        <v>100</v>
      </c>
      <c r="J7" s="79">
        <f>100*(recap!AA15-recap!AA39)/recap!AA15</f>
        <v>89.230769230769226</v>
      </c>
      <c r="K7" s="79">
        <v>0</v>
      </c>
      <c r="L7" s="79">
        <v>0</v>
      </c>
      <c r="M7" s="79">
        <v>0</v>
      </c>
    </row>
    <row r="8" spans="1:13" x14ac:dyDescent="0.2">
      <c r="A8" s="78" t="s">
        <v>17</v>
      </c>
      <c r="B8" s="79">
        <v>0</v>
      </c>
      <c r="C8" s="79">
        <f>100*(recap!AE16-recap!AE40)/recap!AE16</f>
        <v>-6.0692102928127802</v>
      </c>
      <c r="D8" s="79">
        <f>100*(recap!K16-recap!K40)/recap!K16</f>
        <v>87.142857142857139</v>
      </c>
      <c r="E8" s="79">
        <v>0</v>
      </c>
      <c r="F8" s="79">
        <v>0</v>
      </c>
      <c r="G8" s="79">
        <f>100*(recap!O16-recap!O40)/recap!O16</f>
        <v>62.4</v>
      </c>
      <c r="H8" s="79">
        <f>100*(recap!S16-recap!S40)/recap!S16</f>
        <v>53.333333333333329</v>
      </c>
      <c r="I8" s="79">
        <f>100*(recap!W16-recap!W40)/recap!W16</f>
        <v>50</v>
      </c>
      <c r="J8" s="79">
        <f>100*(recap!AA16-recap!AA40)/recap!AA16</f>
        <v>75.555555555555557</v>
      </c>
      <c r="K8" s="79">
        <v>0</v>
      </c>
      <c r="L8" s="79">
        <v>0</v>
      </c>
      <c r="M8" s="79">
        <v>0</v>
      </c>
    </row>
    <row r="9" spans="1:13" x14ac:dyDescent="0.2">
      <c r="A9" s="78" t="s">
        <v>18</v>
      </c>
      <c r="B9" s="79">
        <v>0</v>
      </c>
      <c r="C9" s="79">
        <f>100*(recap!AE17-recap!AE41)/recap!AE17</f>
        <v>28.852459016393446</v>
      </c>
      <c r="D9" s="79">
        <f>100*(recap!K17-recap!K41)/recap!K17</f>
        <v>84.375</v>
      </c>
      <c r="E9" s="79">
        <v>0</v>
      </c>
      <c r="F9" s="79">
        <v>0</v>
      </c>
      <c r="G9" s="79">
        <f>100*(recap!O17-recap!O41)/recap!O17</f>
        <v>87.5</v>
      </c>
      <c r="H9" s="79">
        <f>100*(recap!S17-recap!S41)/recap!S17</f>
        <v>85.142857142857139</v>
      </c>
      <c r="I9" s="79">
        <f>100*(recap!W17-recap!W41)/recap!W17</f>
        <v>85.714285714285722</v>
      </c>
      <c r="J9" s="79">
        <f>100*(recap!AA17-recap!AA41)/recap!AA17</f>
        <v>99.285714285714292</v>
      </c>
      <c r="K9" s="79">
        <v>0</v>
      </c>
      <c r="L9" s="79">
        <v>0</v>
      </c>
      <c r="M9" s="79">
        <v>0</v>
      </c>
    </row>
    <row r="10" spans="1:13" x14ac:dyDescent="0.2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</row>
    <row r="11" spans="1:13" x14ac:dyDescent="0.2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</row>
    <row r="12" spans="1:13" x14ac:dyDescent="0.2">
      <c r="A12" s="1" t="s">
        <v>20</v>
      </c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</row>
    <row r="13" spans="1:13" x14ac:dyDescent="0.2">
      <c r="A13" s="78" t="s">
        <v>0</v>
      </c>
      <c r="B13" s="81" t="s">
        <v>1</v>
      </c>
      <c r="C13" s="81" t="s">
        <v>2</v>
      </c>
      <c r="D13" s="81" t="s">
        <v>3</v>
      </c>
      <c r="E13" s="81" t="s">
        <v>4</v>
      </c>
      <c r="F13" s="81" t="s">
        <v>5</v>
      </c>
      <c r="G13" s="81" t="s">
        <v>6</v>
      </c>
      <c r="H13" s="81" t="s">
        <v>7</v>
      </c>
      <c r="I13" s="81" t="s">
        <v>8</v>
      </c>
      <c r="J13" s="81" t="s">
        <v>9</v>
      </c>
      <c r="K13" s="81" t="s">
        <v>10</v>
      </c>
      <c r="L13" s="81" t="s">
        <v>11</v>
      </c>
      <c r="M13" s="81" t="s">
        <v>12</v>
      </c>
    </row>
    <row r="14" spans="1:13" x14ac:dyDescent="0.2">
      <c r="A14" s="78" t="s">
        <v>13</v>
      </c>
      <c r="B14" s="79">
        <v>0</v>
      </c>
      <c r="C14" s="79">
        <f>100*(recap!AF12-recap!AF36)/recap!AF12</f>
        <v>11.179207808421291</v>
      </c>
      <c r="D14" s="79">
        <f>100*(recap!L12-recap!L36)/recap!L12</f>
        <v>75.189873417721515</v>
      </c>
      <c r="E14" s="79">
        <v>0</v>
      </c>
      <c r="F14" s="79">
        <v>0</v>
      </c>
      <c r="G14" s="79">
        <f>100*(recap!P12-recap!P36)/recap!P12</f>
        <v>96.798029556650249</v>
      </c>
      <c r="H14" s="79">
        <f>100*(recap!T12-recap!T36)/recap!T12</f>
        <v>11.76470588235294</v>
      </c>
      <c r="I14" s="79">
        <f>100*(recap!X12-recap!X36)/recap!X12</f>
        <v>56.363636363636367</v>
      </c>
      <c r="J14" s="79">
        <f>100*(recap!AB12-recap!AB36)/recap!AB12</f>
        <v>99.466666666666654</v>
      </c>
      <c r="K14" s="79">
        <v>0</v>
      </c>
      <c r="L14" s="79">
        <v>0</v>
      </c>
      <c r="M14" s="79">
        <v>0</v>
      </c>
    </row>
    <row r="15" spans="1:13" x14ac:dyDescent="0.2">
      <c r="A15" s="78" t="s">
        <v>14</v>
      </c>
      <c r="B15" s="79">
        <v>0</v>
      </c>
      <c r="C15" s="79">
        <f>100*(recap!AF13-recap!AF37)/recap!AF13</f>
        <v>-2.6836695850780332</v>
      </c>
      <c r="D15" s="79">
        <f>100*(recap!L13-recap!L37)/recap!L13</f>
        <v>80.561224489795919</v>
      </c>
      <c r="E15" s="79">
        <v>0</v>
      </c>
      <c r="F15" s="79">
        <v>0</v>
      </c>
      <c r="G15" s="79">
        <f>100*(recap!P13-recap!P37)/recap!P13</f>
        <v>88.4</v>
      </c>
      <c r="H15" s="79">
        <f>100*(recap!T13-recap!T37)/recap!T13</f>
        <v>-86.000000000000014</v>
      </c>
      <c r="I15" s="79">
        <f>100*(recap!X13-recap!X37)/recap!X13</f>
        <v>90</v>
      </c>
      <c r="J15" s="79">
        <f>100*(recap!AB13-recap!AB37)/recap!AB13</f>
        <v>99.852941176470608</v>
      </c>
      <c r="K15" s="79">
        <v>0</v>
      </c>
      <c r="L15" s="79">
        <v>0</v>
      </c>
      <c r="M15" s="79">
        <v>0</v>
      </c>
    </row>
    <row r="16" spans="1:13" x14ac:dyDescent="0.2">
      <c r="A16" s="78" t="s">
        <v>15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f>100*(recap!H14-recap!H38)/recap!H14</f>
        <v>82.141904761904755</v>
      </c>
      <c r="M16" s="79">
        <f>100*(recap!D14-recap!D38)/recap!D14</f>
        <v>61.410946745562121</v>
      </c>
    </row>
    <row r="17" spans="1:13" x14ac:dyDescent="0.2">
      <c r="A17" s="78" t="s">
        <v>16</v>
      </c>
      <c r="B17" s="79">
        <v>0</v>
      </c>
      <c r="C17" s="79">
        <f>100*(recap!AF15-recap!AF39)/recap!AF15</f>
        <v>4.1935483870967794</v>
      </c>
      <c r="D17" s="79">
        <f>100*(recap!L15-recap!L39)/recap!L15</f>
        <v>89.349593495934954</v>
      </c>
      <c r="E17" s="79">
        <v>0</v>
      </c>
      <c r="F17" s="79">
        <v>0</v>
      </c>
      <c r="G17" s="79">
        <f>100*(recap!P15-recap!P39)/recap!P15</f>
        <v>67.777777777777771</v>
      </c>
      <c r="H17" s="79">
        <f>100*(recap!T15-recap!T39)/recap!T15</f>
        <v>33.333333333333329</v>
      </c>
      <c r="I17" s="79">
        <f>100*(recap!X15-recap!X39)/recap!X15</f>
        <v>28.571428571428577</v>
      </c>
      <c r="J17" s="79">
        <f>100*(recap!AB15-recap!AB39)/recap!AB15</f>
        <v>86.15384615384616</v>
      </c>
      <c r="K17" s="79">
        <v>0</v>
      </c>
      <c r="L17" s="79">
        <v>0</v>
      </c>
      <c r="M17" s="79">
        <v>0</v>
      </c>
    </row>
    <row r="18" spans="1:13" x14ac:dyDescent="0.2">
      <c r="A18" s="78" t="s">
        <v>17</v>
      </c>
      <c r="B18" s="79">
        <v>0</v>
      </c>
      <c r="C18" s="79">
        <f>100*(recap!AF16-recap!AF40)/recap!AF16</f>
        <v>-6.0692102928127802</v>
      </c>
      <c r="D18" s="79">
        <f>100*(recap!L16-recap!L40)/recap!L16</f>
        <v>89.206349206349202</v>
      </c>
      <c r="E18" s="79">
        <v>0</v>
      </c>
      <c r="F18" s="79">
        <v>0</v>
      </c>
      <c r="G18" s="79">
        <f>100*(recap!P16-recap!P40)/recap!P16</f>
        <v>56</v>
      </c>
      <c r="H18" s="79">
        <f>100*(recap!T16-recap!T40)/recap!T16</f>
        <v>33.333333333333329</v>
      </c>
      <c r="I18" s="79">
        <f>100*(recap!X16-recap!X40)/recap!X16</f>
        <v>50</v>
      </c>
      <c r="J18" s="79">
        <f>100*(recap!AB16-recap!AB40)/recap!AB16</f>
        <v>70</v>
      </c>
      <c r="K18" s="79">
        <v>0</v>
      </c>
      <c r="L18" s="79">
        <v>0</v>
      </c>
      <c r="M18" s="79">
        <v>0</v>
      </c>
    </row>
    <row r="19" spans="1:13" x14ac:dyDescent="0.2">
      <c r="A19" s="78" t="s">
        <v>18</v>
      </c>
      <c r="B19" s="79">
        <v>0</v>
      </c>
      <c r="C19" s="79">
        <f>100*(recap!AF17-recap!AF41)/recap!AF17</f>
        <v>28.852459016393446</v>
      </c>
      <c r="D19" s="79">
        <f>100*(recap!L17-recap!L41)/recap!L17</f>
        <v>86.875</v>
      </c>
      <c r="E19" s="79">
        <v>0</v>
      </c>
      <c r="F19" s="79">
        <v>0</v>
      </c>
      <c r="G19" s="79">
        <f>100*(recap!P17-recap!P41)/recap!P17</f>
        <v>97.5</v>
      </c>
      <c r="H19" s="79">
        <f>100*(recap!T17-recap!T41)/recap!T17</f>
        <v>84.285714285714292</v>
      </c>
      <c r="I19" s="79">
        <f>100*(recap!X17-recap!X41)/recap!X17</f>
        <v>85.714285714285722</v>
      </c>
      <c r="J19" s="79">
        <f>100*(recap!AB17-recap!AB41)/recap!AB17</f>
        <v>99.957142857142856</v>
      </c>
      <c r="K19" s="79">
        <v>0</v>
      </c>
      <c r="L19" s="79">
        <v>0</v>
      </c>
      <c r="M19" s="79">
        <v>0</v>
      </c>
    </row>
    <row r="20" spans="1:13" x14ac:dyDescent="0.2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</row>
    <row r="21" spans="1:13" x14ac:dyDescent="0.2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</row>
    <row r="22" spans="1:13" x14ac:dyDescent="0.2">
      <c r="A22" s="1" t="s">
        <v>21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</row>
    <row r="23" spans="1:13" x14ac:dyDescent="0.2">
      <c r="A23" s="78" t="s">
        <v>0</v>
      </c>
      <c r="B23" s="81" t="s">
        <v>1</v>
      </c>
      <c r="C23" s="81" t="s">
        <v>2</v>
      </c>
      <c r="D23" s="81" t="s">
        <v>3</v>
      </c>
      <c r="E23" s="81" t="s">
        <v>4</v>
      </c>
      <c r="F23" s="81" t="s">
        <v>5</v>
      </c>
      <c r="G23" s="81" t="s">
        <v>6</v>
      </c>
      <c r="H23" s="81" t="s">
        <v>7</v>
      </c>
      <c r="I23" s="81" t="s">
        <v>8</v>
      </c>
      <c r="J23" s="81" t="s">
        <v>9</v>
      </c>
      <c r="K23" s="81" t="s">
        <v>10</v>
      </c>
      <c r="L23" s="81" t="s">
        <v>11</v>
      </c>
      <c r="M23" s="81" t="s">
        <v>12</v>
      </c>
    </row>
    <row r="24" spans="1:13" x14ac:dyDescent="0.2">
      <c r="A24" s="78" t="s">
        <v>13</v>
      </c>
      <c r="B24" s="79">
        <v>0</v>
      </c>
      <c r="C24" s="79">
        <f>100*(recap!AG12-recap!AG36)/recap!AG12</f>
        <v>11.179207808421291</v>
      </c>
      <c r="D24" s="82">
        <f>100*(recap!M12-recap!M36)/recap!M12</f>
        <v>76.708860759493675</v>
      </c>
      <c r="E24" s="79">
        <v>0</v>
      </c>
      <c r="F24" s="79">
        <v>0</v>
      </c>
      <c r="G24" s="79">
        <f>100*(recap!Q12-recap!Q36)/recap!Q12</f>
        <v>95.812807881773395</v>
      </c>
      <c r="H24" s="79">
        <f>100*(recap!U12-recap!U36)/recap!U12</f>
        <v>5.8823529411764621</v>
      </c>
      <c r="I24" s="79">
        <f>100*(recap!Y12-recap!Y36)/recap!Y12</f>
        <v>14.545454545454543</v>
      </c>
      <c r="J24" s="79">
        <f>100*(recap!AC12-recap!AC36)/recap!AC12</f>
        <v>100</v>
      </c>
      <c r="K24" s="79">
        <v>0</v>
      </c>
      <c r="L24" s="79">
        <v>0</v>
      </c>
      <c r="M24" s="79">
        <v>0</v>
      </c>
    </row>
    <row r="25" spans="1:13" x14ac:dyDescent="0.2">
      <c r="A25" s="78" t="s">
        <v>14</v>
      </c>
      <c r="B25" s="79">
        <v>0</v>
      </c>
      <c r="C25" s="79">
        <f>100*(recap!AG13-recap!AG37)/recap!AG13</f>
        <v>-2.6836695850780332</v>
      </c>
      <c r="D25" s="82">
        <f>100*(recap!M13-recap!M37)/recap!M13</f>
        <v>84.84693877551021</v>
      </c>
      <c r="E25" s="79">
        <v>0</v>
      </c>
      <c r="F25" s="79">
        <v>0</v>
      </c>
      <c r="G25" s="79">
        <f>100*(recap!Q13-recap!Q37)/recap!Q13</f>
        <v>80.8</v>
      </c>
      <c r="H25" s="79">
        <f>100*(recap!U13-recap!U37)/recap!U13</f>
        <v>-80</v>
      </c>
      <c r="I25" s="79">
        <f>100*(recap!Y13-recap!Y37)/recap!Y13</f>
        <v>80</v>
      </c>
      <c r="J25" s="79">
        <f>100*(recap!AC13-recap!AC37)/recap!AC13</f>
        <v>100</v>
      </c>
      <c r="K25" s="79">
        <v>0</v>
      </c>
      <c r="L25" s="79">
        <v>0</v>
      </c>
      <c r="M25" s="79">
        <v>0</v>
      </c>
    </row>
    <row r="26" spans="1:13" x14ac:dyDescent="0.2">
      <c r="A26" s="78" t="s">
        <v>15</v>
      </c>
      <c r="B26" s="79">
        <v>0</v>
      </c>
      <c r="C26" s="79">
        <v>0</v>
      </c>
      <c r="D26" s="82">
        <v>0</v>
      </c>
      <c r="E26" s="79">
        <v>0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f>100*(recap!I14-recap!I38)/recap!I14</f>
        <v>81.730476190476196</v>
      </c>
      <c r="M26" s="79">
        <f>100*(recap!E14-recap!E38)/recap!E14</f>
        <v>49.521301775147933</v>
      </c>
    </row>
    <row r="27" spans="1:13" x14ac:dyDescent="0.2">
      <c r="A27" s="78" t="s">
        <v>16</v>
      </c>
      <c r="B27" s="79">
        <v>0</v>
      </c>
      <c r="C27" s="79">
        <f>100*(recap!AG15-recap!AG39)/recap!AG15</f>
        <v>4.1935483870967794</v>
      </c>
      <c r="D27" s="82">
        <f>100*(recap!M15-recap!M39)/recap!M15</f>
        <v>90.8130081300813</v>
      </c>
      <c r="E27" s="79">
        <v>0</v>
      </c>
      <c r="F27" s="79">
        <v>0</v>
      </c>
      <c r="G27" s="79">
        <f>100*(recap!Q15-recap!Q39)/recap!Q15</f>
        <v>44.444444444444443</v>
      </c>
      <c r="H27" s="79">
        <f>100*(recap!U15-recap!U39)/recap!U15</f>
        <v>56.666666666666671</v>
      </c>
      <c r="I27" s="79">
        <f>100*(recap!Y15-recap!Y39)/recap!Y15</f>
        <v>28.571428571428577</v>
      </c>
      <c r="J27" s="79">
        <f>100*(recap!AC15-recap!AC39)/recap!AC15</f>
        <v>90.769230769230774</v>
      </c>
      <c r="K27" s="79">
        <v>0</v>
      </c>
      <c r="L27" s="79">
        <v>0</v>
      </c>
      <c r="M27" s="79">
        <v>0</v>
      </c>
    </row>
    <row r="28" spans="1:13" x14ac:dyDescent="0.2">
      <c r="A28" s="78" t="s">
        <v>17</v>
      </c>
      <c r="B28" s="79">
        <v>0</v>
      </c>
      <c r="C28" s="79">
        <f>100*(recap!AG16-recap!AG40)/recap!AG16</f>
        <v>-6.0692102928127802</v>
      </c>
      <c r="D28" s="82">
        <f>100*(recap!M16-recap!M40)/recap!M16</f>
        <v>90.714285714285708</v>
      </c>
      <c r="E28" s="79">
        <v>0</v>
      </c>
      <c r="F28" s="79">
        <v>0</v>
      </c>
      <c r="G28" s="79">
        <f>100*(recap!Q16-recap!Q40)/recap!Q16</f>
        <v>32</v>
      </c>
      <c r="H28" s="79">
        <f>100*(recap!U16-recap!U40)/recap!U16</f>
        <v>56.666666666666671</v>
      </c>
      <c r="I28" s="79">
        <f>100*(recap!Y16-recap!Y40)/recap!Y16</f>
        <v>0</v>
      </c>
      <c r="J28" s="79">
        <f>100*(recap!AC16-recap!AC40)/recap!AC16</f>
        <v>77.777777777777771</v>
      </c>
      <c r="K28" s="79">
        <v>0</v>
      </c>
      <c r="L28" s="79">
        <v>0</v>
      </c>
      <c r="M28" s="79">
        <v>0</v>
      </c>
    </row>
    <row r="29" spans="1:13" x14ac:dyDescent="0.2">
      <c r="A29" s="78" t="s">
        <v>18</v>
      </c>
      <c r="B29" s="79">
        <v>0</v>
      </c>
      <c r="C29" s="79">
        <f>100*(recap!AG17-recap!AG41)/recap!AG17</f>
        <v>28.852459016393446</v>
      </c>
      <c r="D29" s="82">
        <f>100*(recap!M17-recap!M41)/recap!M17</f>
        <v>89.375</v>
      </c>
      <c r="E29" s="79">
        <v>0</v>
      </c>
      <c r="F29" s="79">
        <v>0</v>
      </c>
      <c r="G29" s="79">
        <f>100*(recap!Q17-recap!Q41)/recap!Q17</f>
        <v>97.5</v>
      </c>
      <c r="H29" s="79">
        <f>100*(recap!U17-recap!U41)/recap!U17</f>
        <v>84.285714285714292</v>
      </c>
      <c r="I29" s="79">
        <f>100*(recap!Y17-recap!Y41)/recap!Y17</f>
        <v>71.428571428571416</v>
      </c>
      <c r="J29" s="79">
        <f>100*(recap!AC17-recap!AC41)/recap!AC17</f>
        <v>100</v>
      </c>
      <c r="K29" s="79">
        <v>0</v>
      </c>
      <c r="L29" s="79">
        <v>0</v>
      </c>
      <c r="M29" s="79">
        <v>0</v>
      </c>
    </row>
    <row r="30" spans="1:13" x14ac:dyDescent="0.2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</row>
    <row r="31" spans="1:13" x14ac:dyDescent="0.2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</row>
    <row r="32" spans="1:13" x14ac:dyDescent="0.2">
      <c r="A32" s="1" t="s">
        <v>22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</row>
    <row r="33" spans="1:13" x14ac:dyDescent="0.2">
      <c r="A33" s="78" t="s">
        <v>0</v>
      </c>
      <c r="B33" s="81" t="s">
        <v>1</v>
      </c>
      <c r="C33" s="81" t="s">
        <v>2</v>
      </c>
      <c r="D33" s="81" t="s">
        <v>3</v>
      </c>
      <c r="E33" s="81" t="s">
        <v>4</v>
      </c>
      <c r="F33" s="81" t="s">
        <v>5</v>
      </c>
      <c r="G33" s="81" t="s">
        <v>6</v>
      </c>
      <c r="H33" s="81" t="s">
        <v>7</v>
      </c>
      <c r="I33" s="81" t="s">
        <v>8</v>
      </c>
      <c r="J33" s="81" t="s">
        <v>9</v>
      </c>
      <c r="K33" s="81" t="s">
        <v>10</v>
      </c>
      <c r="L33" s="81" t="s">
        <v>11</v>
      </c>
      <c r="M33" s="81" t="s">
        <v>12</v>
      </c>
    </row>
    <row r="34" spans="1:13" x14ac:dyDescent="0.2">
      <c r="A34" s="78" t="s">
        <v>13</v>
      </c>
      <c r="B34" s="79">
        <v>0</v>
      </c>
      <c r="C34" s="79">
        <f>100*(recap!AH12-recap!AH36)/recap!AH12</f>
        <v>11.179207808421291</v>
      </c>
      <c r="D34" s="79">
        <f>100*(recap!N12-recap!N36)/recap!N12</f>
        <v>76.835443037974684</v>
      </c>
      <c r="E34" s="79">
        <v>0</v>
      </c>
      <c r="F34" s="79">
        <v>0</v>
      </c>
      <c r="G34" s="79">
        <f>100*(recap!R12-recap!R36)/recap!R12</f>
        <v>96.305418719211829</v>
      </c>
      <c r="H34" s="79">
        <f>100*(recap!V12-recap!V36)/recap!V12</f>
        <v>8.8235294117647012</v>
      </c>
      <c r="I34" s="79">
        <f>100*(recap!Z12-recap!Z36)/recap!Z12</f>
        <v>9.0909090909090917</v>
      </c>
      <c r="J34" s="79">
        <f>100*(recap!AD12-recap!AD36)/recap!AD12</f>
        <v>100</v>
      </c>
      <c r="K34" s="79">
        <v>0</v>
      </c>
      <c r="L34" s="79">
        <v>0</v>
      </c>
      <c r="M34" s="79">
        <v>0</v>
      </c>
    </row>
    <row r="35" spans="1:13" x14ac:dyDescent="0.2">
      <c r="A35" s="78" t="s">
        <v>14</v>
      </c>
      <c r="B35" s="79">
        <v>0</v>
      </c>
      <c r="C35" s="79">
        <f>100*(recap!AH13-recap!AH37)/recap!AH13</f>
        <v>-2.6836695850780332</v>
      </c>
      <c r="D35" s="79">
        <f>100*(recap!N13-recap!N37)/recap!N13</f>
        <v>93.979591836734699</v>
      </c>
      <c r="E35" s="79">
        <v>0</v>
      </c>
      <c r="F35" s="79">
        <v>0</v>
      </c>
      <c r="G35" s="79">
        <f>100*(recap!R13-recap!R37)/recap!R13</f>
        <v>80.2</v>
      </c>
      <c r="H35" s="79">
        <f>100*(recap!V13-recap!V37)/recap!V13</f>
        <v>-80</v>
      </c>
      <c r="I35" s="79">
        <f>100*(recap!Z13-recap!Z37)/recap!Z13</f>
        <v>80</v>
      </c>
      <c r="J35" s="79">
        <f>100*(recap!AD13-recap!AD37)/recap!AD13</f>
        <v>100</v>
      </c>
      <c r="K35" s="79">
        <v>0</v>
      </c>
      <c r="L35" s="79">
        <v>0</v>
      </c>
      <c r="M35" s="79">
        <v>0</v>
      </c>
    </row>
    <row r="36" spans="1:13" x14ac:dyDescent="0.2">
      <c r="A36" s="78" t="s">
        <v>15</v>
      </c>
      <c r="B36" s="79">
        <v>0</v>
      </c>
      <c r="C36" s="79">
        <v>0</v>
      </c>
      <c r="D36" s="79">
        <v>0</v>
      </c>
      <c r="E36" s="79">
        <v>0</v>
      </c>
      <c r="F36" s="79">
        <v>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f>100*(recap!J14-recap!J38)/recap!J14</f>
        <v>78.511428571428567</v>
      </c>
      <c r="M36" s="79">
        <f>100*(recap!F14-recap!F38)/recap!F14</f>
        <v>44.517751479289942</v>
      </c>
    </row>
    <row r="37" spans="1:13" x14ac:dyDescent="0.2">
      <c r="A37" s="78" t="s">
        <v>16</v>
      </c>
      <c r="B37" s="79">
        <v>0</v>
      </c>
      <c r="C37" s="79">
        <f>100*(recap!AH15-recap!AH39)/recap!AH15</f>
        <v>4.1935483870967794</v>
      </c>
      <c r="D37" s="79">
        <f>100*(recap!N15-recap!N39)/recap!N15</f>
        <v>96.260162601626021</v>
      </c>
      <c r="E37" s="79">
        <v>0</v>
      </c>
      <c r="F37" s="79">
        <v>0</v>
      </c>
      <c r="G37" s="79">
        <f>100*(recap!R15-recap!R39)/recap!R15</f>
        <v>27.777777777777779</v>
      </c>
      <c r="H37" s="79">
        <f>100*(recap!V15-recap!V39)/recap!V15</f>
        <v>33.333333333333329</v>
      </c>
      <c r="I37" s="79">
        <f>100*(recap!Z15-recap!Z39)/recap!Z15</f>
        <v>28.571428571428577</v>
      </c>
      <c r="J37" s="79">
        <f>100*(recap!AD15-recap!AD39)/recap!AD15</f>
        <v>90.769230769230774</v>
      </c>
      <c r="K37" s="79">
        <v>0</v>
      </c>
      <c r="L37" s="79">
        <v>0</v>
      </c>
      <c r="M37" s="79">
        <v>0</v>
      </c>
    </row>
    <row r="38" spans="1:13" x14ac:dyDescent="0.2">
      <c r="A38" s="78" t="s">
        <v>17</v>
      </c>
      <c r="B38" s="79">
        <v>0</v>
      </c>
      <c r="C38" s="79">
        <f>100*(recap!AH16-recap!AH40)/recap!AH16</f>
        <v>-6.0692102928127802</v>
      </c>
      <c r="D38" s="79">
        <f>100*(recap!N16-recap!N40)/recap!N16</f>
        <v>96.269841269841265</v>
      </c>
      <c r="E38" s="79">
        <v>0</v>
      </c>
      <c r="F38" s="79">
        <v>0</v>
      </c>
      <c r="G38" s="79">
        <f>100*(recap!R16-recap!R40)/recap!R16</f>
        <v>4</v>
      </c>
      <c r="H38" s="79">
        <f>100*(recap!V16-recap!V40)/recap!V16</f>
        <v>33.333333333333329</v>
      </c>
      <c r="I38" s="79">
        <f>100*(recap!Z16-recap!Z40)/recap!Z16</f>
        <v>0</v>
      </c>
      <c r="J38" s="79">
        <f>100*(recap!AD16-recap!AD40)/recap!AD16</f>
        <v>80</v>
      </c>
      <c r="K38" s="79">
        <v>0</v>
      </c>
      <c r="L38" s="79">
        <v>0</v>
      </c>
      <c r="M38" s="79">
        <v>0</v>
      </c>
    </row>
    <row r="39" spans="1:13" x14ac:dyDescent="0.2">
      <c r="A39" s="78" t="s">
        <v>18</v>
      </c>
      <c r="B39" s="79">
        <v>0</v>
      </c>
      <c r="C39" s="79">
        <f>100*(recap!AH17-recap!AH41)/recap!AH17</f>
        <v>28.852459016393446</v>
      </c>
      <c r="D39" s="79">
        <f>100*(recap!N17-recap!N41)/recap!N17</f>
        <v>88.75</v>
      </c>
      <c r="E39" s="79">
        <v>0</v>
      </c>
      <c r="F39" s="79">
        <v>0</v>
      </c>
      <c r="G39" s="79">
        <f>100*(recap!R17-recap!R41)/recap!R17</f>
        <v>93.75</v>
      </c>
      <c r="H39" s="79">
        <f>100*(recap!V17-recap!V41)/recap!V17</f>
        <v>85.142857142857139</v>
      </c>
      <c r="I39" s="79">
        <f>100*(recap!Z17-recap!Z41)/recap!Z17</f>
        <v>71.428571428571416</v>
      </c>
      <c r="J39" s="79">
        <f>100*(recap!AD17-recap!AD41)/recap!AD17</f>
        <v>100</v>
      </c>
      <c r="K39" s="79">
        <v>0</v>
      </c>
      <c r="L39" s="79">
        <v>0</v>
      </c>
      <c r="M39" s="7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F018-0BF1-104D-98F4-654C0CFFF870}">
  <dimension ref="A1:AW57"/>
  <sheetViews>
    <sheetView topLeftCell="I1" zoomScale="83" workbookViewId="0">
      <selection activeCell="W2" sqref="W2:Z9"/>
    </sheetView>
  </sheetViews>
  <sheetFormatPr baseColWidth="10" defaultRowHeight="16" x14ac:dyDescent="0.2"/>
  <sheetData>
    <row r="1" spans="1:49" ht="17" thickBot="1" x14ac:dyDescent="0.25">
      <c r="A1" s="112" t="s">
        <v>43</v>
      </c>
      <c r="B1" s="113"/>
      <c r="C1" s="102" t="s">
        <v>27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4"/>
      <c r="O1" s="105" t="s">
        <v>28</v>
      </c>
      <c r="P1" s="106"/>
      <c r="Q1" s="106"/>
      <c r="R1" s="107"/>
      <c r="S1" s="102" t="s">
        <v>29</v>
      </c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4"/>
      <c r="AI1" s="105" t="s">
        <v>30</v>
      </c>
      <c r="AJ1" s="106"/>
      <c r="AK1" s="106"/>
      <c r="AL1" s="107"/>
      <c r="AM1" s="105" t="s">
        <v>42</v>
      </c>
      <c r="AN1" s="106"/>
      <c r="AO1" s="106"/>
      <c r="AP1" s="107"/>
    </row>
    <row r="2" spans="1:49" ht="17" thickBot="1" x14ac:dyDescent="0.25">
      <c r="A2" s="112"/>
      <c r="B2" s="113"/>
      <c r="C2" s="102" t="s">
        <v>42</v>
      </c>
      <c r="D2" s="103"/>
      <c r="E2" s="103"/>
      <c r="F2" s="104"/>
      <c r="G2" s="102" t="s">
        <v>31</v>
      </c>
      <c r="H2" s="103"/>
      <c r="I2" s="103"/>
      <c r="J2" s="104"/>
      <c r="K2" s="102" t="s">
        <v>32</v>
      </c>
      <c r="L2" s="103"/>
      <c r="M2" s="103"/>
      <c r="N2" s="104"/>
      <c r="O2" s="108"/>
      <c r="P2" s="109"/>
      <c r="Q2" s="109"/>
      <c r="R2" s="110"/>
      <c r="S2" s="102" t="s">
        <v>33</v>
      </c>
      <c r="T2" s="103"/>
      <c r="U2" s="103"/>
      <c r="V2" s="104"/>
      <c r="W2" s="102" t="s">
        <v>36</v>
      </c>
      <c r="X2" s="103"/>
      <c r="Y2" s="103"/>
      <c r="Z2" s="104"/>
      <c r="AA2" s="102" t="s">
        <v>35</v>
      </c>
      <c r="AB2" s="103"/>
      <c r="AC2" s="103"/>
      <c r="AD2" s="104"/>
      <c r="AE2" s="102" t="s">
        <v>34</v>
      </c>
      <c r="AF2" s="103"/>
      <c r="AG2" s="103"/>
      <c r="AH2" s="104"/>
      <c r="AI2" s="108"/>
      <c r="AJ2" s="109"/>
      <c r="AK2" s="109"/>
      <c r="AL2" s="110"/>
      <c r="AM2" s="108"/>
      <c r="AN2" s="109"/>
      <c r="AO2" s="109"/>
      <c r="AP2" s="110"/>
    </row>
    <row r="3" spans="1:49" ht="17" thickBot="1" x14ac:dyDescent="0.25">
      <c r="A3" s="109"/>
      <c r="B3" s="110"/>
      <c r="C3" s="32" t="s">
        <v>19</v>
      </c>
      <c r="D3" s="32" t="s">
        <v>20</v>
      </c>
      <c r="E3" s="32" t="s">
        <v>21</v>
      </c>
      <c r="F3" s="32" t="s">
        <v>22</v>
      </c>
      <c r="G3" s="32" t="s">
        <v>19</v>
      </c>
      <c r="H3" s="32" t="s">
        <v>20</v>
      </c>
      <c r="I3" s="32" t="s">
        <v>21</v>
      </c>
      <c r="J3" s="32" t="s">
        <v>22</v>
      </c>
      <c r="K3" s="32" t="s">
        <v>19</v>
      </c>
      <c r="L3" s="32" t="s">
        <v>20</v>
      </c>
      <c r="M3" s="32" t="s">
        <v>21</v>
      </c>
      <c r="N3" s="32" t="s">
        <v>22</v>
      </c>
      <c r="O3" s="32" t="s">
        <v>19</v>
      </c>
      <c r="P3" s="32" t="s">
        <v>20</v>
      </c>
      <c r="Q3" s="32" t="s">
        <v>21</v>
      </c>
      <c r="R3" s="16" t="s">
        <v>22</v>
      </c>
      <c r="S3" s="32" t="s">
        <v>19</v>
      </c>
      <c r="T3" s="32" t="s">
        <v>20</v>
      </c>
      <c r="U3" s="32" t="s">
        <v>21</v>
      </c>
      <c r="V3" s="32" t="s">
        <v>22</v>
      </c>
      <c r="W3" s="32" t="s">
        <v>19</v>
      </c>
      <c r="X3" s="32" t="s">
        <v>20</v>
      </c>
      <c r="Y3" s="32" t="s">
        <v>21</v>
      </c>
      <c r="Z3" s="32" t="s">
        <v>22</v>
      </c>
      <c r="AA3" s="32" t="s">
        <v>19</v>
      </c>
      <c r="AB3" s="32" t="s">
        <v>20</v>
      </c>
      <c r="AC3" s="32" t="s">
        <v>21</v>
      </c>
      <c r="AD3" s="32" t="s">
        <v>22</v>
      </c>
      <c r="AE3" s="32" t="s">
        <v>19</v>
      </c>
      <c r="AF3" s="32" t="s">
        <v>20</v>
      </c>
      <c r="AG3" s="32" t="s">
        <v>21</v>
      </c>
      <c r="AH3" s="32" t="s">
        <v>22</v>
      </c>
      <c r="AI3" s="18" t="s">
        <v>19</v>
      </c>
      <c r="AJ3" s="32" t="s">
        <v>20</v>
      </c>
      <c r="AK3" s="32" t="s">
        <v>21</v>
      </c>
      <c r="AL3" s="32" t="s">
        <v>22</v>
      </c>
      <c r="AM3" s="18" t="s">
        <v>19</v>
      </c>
      <c r="AN3" s="32" t="s">
        <v>20</v>
      </c>
      <c r="AO3" s="32" t="s">
        <v>21</v>
      </c>
      <c r="AP3" s="32" t="s">
        <v>22</v>
      </c>
    </row>
    <row r="4" spans="1:49" ht="17" thickBot="1" x14ac:dyDescent="0.25">
      <c r="A4" s="111">
        <v>2015</v>
      </c>
      <c r="B4" s="4" t="s">
        <v>13</v>
      </c>
      <c r="C4" s="6"/>
      <c r="D4" s="7"/>
      <c r="E4" s="7"/>
      <c r="F4" s="8"/>
      <c r="G4" s="6"/>
      <c r="H4" s="7"/>
      <c r="I4" s="7"/>
      <c r="J4" s="8"/>
      <c r="K4" s="6"/>
      <c r="L4" s="7"/>
      <c r="M4" s="7"/>
      <c r="N4" s="8"/>
      <c r="O4" s="42">
        <v>86</v>
      </c>
      <c r="P4" s="43">
        <v>86</v>
      </c>
      <c r="Q4" s="43">
        <v>86</v>
      </c>
      <c r="R4" s="44">
        <v>86</v>
      </c>
      <c r="S4" s="45">
        <v>513</v>
      </c>
      <c r="T4" s="43">
        <v>513</v>
      </c>
      <c r="U4" s="43">
        <v>513</v>
      </c>
      <c r="V4" s="46">
        <v>513</v>
      </c>
      <c r="W4" s="45">
        <v>4</v>
      </c>
      <c r="X4" s="43">
        <v>4</v>
      </c>
      <c r="Y4" s="43">
        <v>4</v>
      </c>
      <c r="Z4" s="46">
        <v>4</v>
      </c>
      <c r="AA4" s="42">
        <v>10</v>
      </c>
      <c r="AB4" s="43">
        <v>10</v>
      </c>
      <c r="AC4" s="43">
        <v>10</v>
      </c>
      <c r="AD4" s="44">
        <v>10</v>
      </c>
      <c r="AE4" s="45">
        <v>115</v>
      </c>
      <c r="AF4" s="43">
        <v>115</v>
      </c>
      <c r="AG4" s="43">
        <v>115</v>
      </c>
      <c r="AH4" s="46">
        <v>115</v>
      </c>
      <c r="AI4" s="42">
        <v>105</v>
      </c>
      <c r="AJ4" s="43">
        <v>105</v>
      </c>
      <c r="AK4" s="43">
        <v>105</v>
      </c>
      <c r="AL4" s="46">
        <v>105</v>
      </c>
      <c r="AM4">
        <f>O4+S4+W4+AA4+AE4+AI4</f>
        <v>833</v>
      </c>
      <c r="AN4">
        <f t="shared" ref="AN4:AP4" si="0">P4+T4+X4+AB4+AF4+AJ4</f>
        <v>833</v>
      </c>
      <c r="AO4">
        <f t="shared" si="0"/>
        <v>833</v>
      </c>
      <c r="AP4">
        <f t="shared" si="0"/>
        <v>833</v>
      </c>
      <c r="AT4">
        <v>2015</v>
      </c>
      <c r="AU4">
        <v>2020</v>
      </c>
      <c r="AV4">
        <v>2030</v>
      </c>
      <c r="AW4">
        <v>2050</v>
      </c>
    </row>
    <row r="5" spans="1:49" ht="17" thickBot="1" x14ac:dyDescent="0.25">
      <c r="A5" s="111"/>
      <c r="B5" s="4" t="s">
        <v>23</v>
      </c>
      <c r="C5" s="9"/>
      <c r="D5" s="3"/>
      <c r="E5" s="3"/>
      <c r="F5" s="10"/>
      <c r="G5" s="9"/>
      <c r="H5" s="3"/>
      <c r="I5" s="3"/>
      <c r="J5" s="10"/>
      <c r="K5" s="9"/>
      <c r="L5" s="3"/>
      <c r="M5" s="3"/>
      <c r="N5" s="10"/>
      <c r="O5" s="40">
        <v>230</v>
      </c>
      <c r="P5" s="39">
        <v>230</v>
      </c>
      <c r="Q5" s="39">
        <v>230</v>
      </c>
      <c r="R5" s="47">
        <v>230</v>
      </c>
      <c r="S5" s="38">
        <v>61</v>
      </c>
      <c r="T5" s="39">
        <v>61</v>
      </c>
      <c r="U5" s="39">
        <v>61</v>
      </c>
      <c r="V5" s="41">
        <v>61</v>
      </c>
      <c r="W5" s="38">
        <v>0.5</v>
      </c>
      <c r="X5" s="39">
        <v>0.5</v>
      </c>
      <c r="Y5" s="39">
        <v>0.5</v>
      </c>
      <c r="Z5" s="41">
        <v>0.5</v>
      </c>
      <c r="AA5" s="40">
        <v>1</v>
      </c>
      <c r="AB5" s="39">
        <v>1</v>
      </c>
      <c r="AC5" s="39">
        <v>1</v>
      </c>
      <c r="AD5" s="47">
        <v>1</v>
      </c>
      <c r="AE5" s="38">
        <v>48</v>
      </c>
      <c r="AF5" s="39">
        <v>48</v>
      </c>
      <c r="AG5" s="39">
        <v>48</v>
      </c>
      <c r="AH5" s="41">
        <v>48</v>
      </c>
      <c r="AI5" s="40">
        <v>147</v>
      </c>
      <c r="AJ5" s="39">
        <v>147</v>
      </c>
      <c r="AK5" s="39">
        <v>147</v>
      </c>
      <c r="AL5" s="41">
        <v>147</v>
      </c>
      <c r="AM5">
        <f t="shared" ref="AM5:AM57" si="1">O5+S5+W5+AA5+AE5+AI5</f>
        <v>487.5</v>
      </c>
      <c r="AN5">
        <f t="shared" ref="AN5:AN57" si="2">P5+T5+X5+AB5+AF5+AJ5</f>
        <v>487.5</v>
      </c>
      <c r="AO5">
        <f t="shared" ref="AO5:AO57" si="3">Q5+U5+Y5+AC5+AG5+AK5</f>
        <v>487.5</v>
      </c>
      <c r="AP5">
        <f t="shared" ref="AP5:AP57" si="4">R5+V5+Z5+AD5+AH5+AL5</f>
        <v>487.5</v>
      </c>
      <c r="AR5" t="s">
        <v>20</v>
      </c>
      <c r="AS5" t="s">
        <v>13</v>
      </c>
      <c r="AT5">
        <v>833</v>
      </c>
      <c r="AU5">
        <v>558</v>
      </c>
      <c r="AV5">
        <v>283.58787878787882</v>
      </c>
      <c r="AW5">
        <v>119.85050505050505</v>
      </c>
    </row>
    <row r="6" spans="1:49" ht="17" thickBot="1" x14ac:dyDescent="0.25">
      <c r="A6" s="111"/>
      <c r="B6" s="17" t="s">
        <v>15</v>
      </c>
      <c r="C6" s="74">
        <f>G6+K6</f>
        <v>570</v>
      </c>
      <c r="D6" s="39">
        <f t="shared" ref="D6:F6" si="5">H6+L6</f>
        <v>570</v>
      </c>
      <c r="E6" s="39">
        <f t="shared" si="5"/>
        <v>570</v>
      </c>
      <c r="F6" s="40">
        <f t="shared" si="5"/>
        <v>570</v>
      </c>
      <c r="G6" s="38">
        <v>346</v>
      </c>
      <c r="H6" s="39">
        <v>346</v>
      </c>
      <c r="I6" s="40">
        <v>346</v>
      </c>
      <c r="J6" s="40">
        <v>346</v>
      </c>
      <c r="K6" s="38">
        <v>224</v>
      </c>
      <c r="L6" s="39">
        <v>224</v>
      </c>
      <c r="M6" s="39">
        <v>224</v>
      </c>
      <c r="N6" s="41">
        <v>224</v>
      </c>
      <c r="O6" s="5"/>
      <c r="P6" s="3"/>
      <c r="Q6" s="3"/>
      <c r="R6" s="27"/>
      <c r="S6" s="9"/>
      <c r="T6" s="3"/>
      <c r="U6" s="3"/>
      <c r="V6" s="10"/>
      <c r="W6" s="9"/>
      <c r="X6" s="3"/>
      <c r="Y6" s="3"/>
      <c r="Z6" s="10"/>
      <c r="AA6" s="5"/>
      <c r="AB6" s="3"/>
      <c r="AC6" s="3"/>
      <c r="AD6" s="27"/>
      <c r="AE6" s="9"/>
      <c r="AF6" s="3"/>
      <c r="AG6" s="3"/>
      <c r="AH6" s="10"/>
      <c r="AI6" s="5"/>
      <c r="AJ6" s="3"/>
      <c r="AK6" s="3"/>
      <c r="AL6" s="10"/>
      <c r="AM6">
        <f>C6</f>
        <v>570</v>
      </c>
      <c r="AN6">
        <f t="shared" ref="AN6:AP6" si="6">D6</f>
        <v>570</v>
      </c>
      <c r="AO6">
        <f t="shared" si="6"/>
        <v>570</v>
      </c>
      <c r="AP6">
        <f t="shared" si="6"/>
        <v>570</v>
      </c>
      <c r="AS6" t="s">
        <v>23</v>
      </c>
      <c r="AT6">
        <v>488</v>
      </c>
      <c r="AU6">
        <v>374</v>
      </c>
      <c r="AV6">
        <v>225.19054054054055</v>
      </c>
      <c r="AW6">
        <v>190.7908108108108</v>
      </c>
    </row>
    <row r="7" spans="1:49" ht="17" thickBot="1" x14ac:dyDescent="0.25">
      <c r="A7" s="111"/>
      <c r="B7" s="4" t="s">
        <v>24</v>
      </c>
      <c r="C7" s="9"/>
      <c r="D7" s="3"/>
      <c r="E7" s="3"/>
      <c r="F7" s="10"/>
      <c r="G7" s="9"/>
      <c r="H7" s="3"/>
      <c r="I7" s="3"/>
      <c r="J7" s="10"/>
      <c r="K7" s="9"/>
      <c r="L7" s="3"/>
      <c r="M7" s="3"/>
      <c r="N7" s="10"/>
      <c r="O7" s="40">
        <v>137</v>
      </c>
      <c r="P7" s="39">
        <v>137</v>
      </c>
      <c r="Q7" s="39">
        <v>137</v>
      </c>
      <c r="R7" s="47">
        <v>137</v>
      </c>
      <c r="S7" s="38">
        <v>25</v>
      </c>
      <c r="T7" s="39">
        <v>25</v>
      </c>
      <c r="U7" s="39">
        <v>25</v>
      </c>
      <c r="V7" s="41">
        <v>25</v>
      </c>
      <c r="W7" s="38">
        <v>0.4</v>
      </c>
      <c r="X7" s="39">
        <v>0.4</v>
      </c>
      <c r="Y7" s="39">
        <v>0.4</v>
      </c>
      <c r="Z7" s="41">
        <v>0.4</v>
      </c>
      <c r="AA7" s="40">
        <v>0.13</v>
      </c>
      <c r="AB7" s="39">
        <v>0.13</v>
      </c>
      <c r="AC7" s="39">
        <v>0.13</v>
      </c>
      <c r="AD7" s="47">
        <v>0.13</v>
      </c>
      <c r="AE7" s="38">
        <v>9.6999999999999993</v>
      </c>
      <c r="AF7" s="39">
        <v>9.6999999999999993</v>
      </c>
      <c r="AG7" s="39">
        <v>9.6999999999999993</v>
      </c>
      <c r="AH7" s="41">
        <v>9.6999999999999993</v>
      </c>
      <c r="AI7" s="40">
        <v>20</v>
      </c>
      <c r="AJ7" s="39">
        <v>20</v>
      </c>
      <c r="AK7" s="39">
        <v>20</v>
      </c>
      <c r="AL7" s="41">
        <v>20</v>
      </c>
      <c r="AM7">
        <f t="shared" si="1"/>
        <v>192.23</v>
      </c>
      <c r="AN7">
        <f t="shared" si="2"/>
        <v>192.23</v>
      </c>
      <c r="AO7">
        <f t="shared" si="3"/>
        <v>192.23</v>
      </c>
      <c r="AP7">
        <f t="shared" si="4"/>
        <v>192.23</v>
      </c>
      <c r="AS7" t="s">
        <v>15</v>
      </c>
      <c r="AT7">
        <v>570</v>
      </c>
      <c r="AU7">
        <v>514</v>
      </c>
      <c r="AV7">
        <v>417</v>
      </c>
      <c r="AW7">
        <v>168</v>
      </c>
    </row>
    <row r="8" spans="1:49" ht="17" thickBot="1" x14ac:dyDescent="0.25">
      <c r="A8" s="111"/>
      <c r="B8" s="4" t="s">
        <v>25</v>
      </c>
      <c r="C8" s="9"/>
      <c r="D8" s="3"/>
      <c r="E8" s="3"/>
      <c r="F8" s="10"/>
      <c r="G8" s="9"/>
      <c r="H8" s="3"/>
      <c r="I8" s="3"/>
      <c r="J8" s="10"/>
      <c r="K8" s="9"/>
      <c r="L8" s="3"/>
      <c r="M8" s="3"/>
      <c r="N8" s="10"/>
      <c r="O8" s="40">
        <v>140</v>
      </c>
      <c r="P8" s="39">
        <v>140</v>
      </c>
      <c r="Q8" s="39">
        <v>140</v>
      </c>
      <c r="R8" s="47">
        <v>140</v>
      </c>
      <c r="S8" s="38">
        <v>31</v>
      </c>
      <c r="T8" s="39">
        <v>31</v>
      </c>
      <c r="U8" s="39">
        <v>31</v>
      </c>
      <c r="V8" s="41">
        <v>31</v>
      </c>
      <c r="W8" s="38">
        <v>0.4</v>
      </c>
      <c r="X8" s="39">
        <v>0.4</v>
      </c>
      <c r="Y8" s="39">
        <v>0.4</v>
      </c>
      <c r="Z8" s="41">
        <v>0.4</v>
      </c>
      <c r="AA8" s="40">
        <v>0.2</v>
      </c>
      <c r="AB8" s="39">
        <v>0.2</v>
      </c>
      <c r="AC8" s="39">
        <v>0.2</v>
      </c>
      <c r="AD8" s="47">
        <v>0.2</v>
      </c>
      <c r="AE8" s="38">
        <v>12</v>
      </c>
      <c r="AF8" s="39">
        <v>12</v>
      </c>
      <c r="AG8" s="39">
        <v>12</v>
      </c>
      <c r="AH8" s="41">
        <v>12</v>
      </c>
      <c r="AI8" s="40">
        <v>47</v>
      </c>
      <c r="AJ8" s="39">
        <v>47</v>
      </c>
      <c r="AK8" s="39">
        <v>47</v>
      </c>
      <c r="AL8" s="41">
        <v>47</v>
      </c>
      <c r="AM8">
        <f t="shared" si="1"/>
        <v>230.6</v>
      </c>
      <c r="AN8">
        <f t="shared" si="2"/>
        <v>230.6</v>
      </c>
      <c r="AO8">
        <f t="shared" si="3"/>
        <v>230.6</v>
      </c>
      <c r="AP8">
        <f t="shared" si="4"/>
        <v>230.6</v>
      </c>
      <c r="AS8" t="s">
        <v>24</v>
      </c>
      <c r="AT8">
        <v>192</v>
      </c>
      <c r="AU8">
        <v>147</v>
      </c>
      <c r="AV8">
        <v>57.08064516129032</v>
      </c>
      <c r="AW8">
        <v>39.261290322580642</v>
      </c>
    </row>
    <row r="9" spans="1:49" ht="17" thickBot="1" x14ac:dyDescent="0.25">
      <c r="A9" s="111"/>
      <c r="B9" s="4" t="s">
        <v>26</v>
      </c>
      <c r="C9" s="13"/>
      <c r="D9" s="14"/>
      <c r="E9" s="14"/>
      <c r="F9" s="15"/>
      <c r="G9" s="13"/>
      <c r="H9" s="14"/>
      <c r="I9" s="14"/>
      <c r="J9" s="15"/>
      <c r="K9" s="13"/>
      <c r="L9" s="14"/>
      <c r="M9" s="14"/>
      <c r="N9" s="15"/>
      <c r="O9" s="48">
        <v>20</v>
      </c>
      <c r="P9" s="49">
        <v>20</v>
      </c>
      <c r="Q9" s="49">
        <v>20</v>
      </c>
      <c r="R9" s="50">
        <v>20</v>
      </c>
      <c r="S9" s="51">
        <v>0.8</v>
      </c>
      <c r="T9" s="49">
        <v>0.8</v>
      </c>
      <c r="U9" s="49">
        <v>0.8</v>
      </c>
      <c r="V9" s="52">
        <v>0.8</v>
      </c>
      <c r="W9" s="51">
        <v>1.2</v>
      </c>
      <c r="X9" s="49">
        <v>1.2</v>
      </c>
      <c r="Y9" s="49">
        <v>1.2</v>
      </c>
      <c r="Z9" s="52">
        <v>1.2</v>
      </c>
      <c r="AA9" s="48">
        <v>0.7</v>
      </c>
      <c r="AB9" s="49">
        <v>0.7</v>
      </c>
      <c r="AC9" s="49">
        <v>0.7</v>
      </c>
      <c r="AD9" s="50">
        <v>0.7</v>
      </c>
      <c r="AE9" s="51">
        <v>0.7</v>
      </c>
      <c r="AF9" s="49">
        <v>0.7</v>
      </c>
      <c r="AG9" s="49">
        <v>0.7</v>
      </c>
      <c r="AH9" s="52">
        <v>0.7</v>
      </c>
      <c r="AI9" s="48">
        <v>84</v>
      </c>
      <c r="AJ9" s="49">
        <v>84</v>
      </c>
      <c r="AK9" s="49">
        <v>84</v>
      </c>
      <c r="AL9" s="52">
        <v>84</v>
      </c>
      <c r="AM9">
        <f t="shared" si="1"/>
        <v>107.4</v>
      </c>
      <c r="AN9">
        <f t="shared" si="2"/>
        <v>107.4</v>
      </c>
      <c r="AO9">
        <f t="shared" si="3"/>
        <v>107.4</v>
      </c>
      <c r="AP9">
        <f t="shared" si="4"/>
        <v>107.4</v>
      </c>
      <c r="AS9" t="s">
        <v>25</v>
      </c>
      <c r="AT9">
        <v>231</v>
      </c>
      <c r="AU9">
        <v>182</v>
      </c>
      <c r="AV9">
        <v>92.769565217391303</v>
      </c>
      <c r="AW9">
        <v>79.573913043478257</v>
      </c>
    </row>
    <row r="10" spans="1:49" ht="17" thickBot="1" x14ac:dyDescent="0.25">
      <c r="A10" s="111">
        <v>2019</v>
      </c>
      <c r="B10" s="4" t="s">
        <v>13</v>
      </c>
      <c r="C10" s="6"/>
      <c r="D10" s="7"/>
      <c r="E10" s="7"/>
      <c r="F10" s="8"/>
      <c r="G10" s="6"/>
      <c r="H10" s="7"/>
      <c r="I10" s="7"/>
      <c r="J10" s="8"/>
      <c r="K10" s="6"/>
      <c r="L10" s="7"/>
      <c r="M10" s="7"/>
      <c r="N10" s="8"/>
      <c r="O10" s="42">
        <v>79</v>
      </c>
      <c r="P10" s="43">
        <v>79</v>
      </c>
      <c r="Q10" s="43">
        <v>79</v>
      </c>
      <c r="R10" s="44">
        <v>79</v>
      </c>
      <c r="S10" s="45">
        <v>406</v>
      </c>
      <c r="T10" s="43">
        <v>406</v>
      </c>
      <c r="U10" s="43">
        <v>406</v>
      </c>
      <c r="V10" s="46">
        <v>406</v>
      </c>
      <c r="W10" s="45">
        <v>3.4</v>
      </c>
      <c r="X10" s="43">
        <v>3.4</v>
      </c>
      <c r="Y10" s="43">
        <v>3.4</v>
      </c>
      <c r="Z10" s="46">
        <v>3.4</v>
      </c>
      <c r="AA10" s="42">
        <v>11</v>
      </c>
      <c r="AB10" s="43">
        <v>11</v>
      </c>
      <c r="AC10" s="43">
        <v>11</v>
      </c>
      <c r="AD10" s="44">
        <v>11</v>
      </c>
      <c r="AE10" s="45">
        <v>75</v>
      </c>
      <c r="AF10" s="43">
        <v>75</v>
      </c>
      <c r="AG10" s="43">
        <v>75</v>
      </c>
      <c r="AH10" s="46">
        <v>75</v>
      </c>
      <c r="AI10" s="42">
        <v>89</v>
      </c>
      <c r="AJ10" s="43">
        <v>89</v>
      </c>
      <c r="AK10" s="43">
        <v>89</v>
      </c>
      <c r="AL10" s="46">
        <v>89</v>
      </c>
      <c r="AM10">
        <f t="shared" si="1"/>
        <v>663.4</v>
      </c>
      <c r="AN10">
        <f t="shared" si="2"/>
        <v>663.4</v>
      </c>
      <c r="AO10">
        <f t="shared" si="3"/>
        <v>663.4</v>
      </c>
      <c r="AP10">
        <f t="shared" si="4"/>
        <v>663.4</v>
      </c>
      <c r="AS10" t="s">
        <v>26</v>
      </c>
      <c r="AT10">
        <v>107</v>
      </c>
      <c r="AU10">
        <v>74</v>
      </c>
      <c r="AV10">
        <v>50.103999999999999</v>
      </c>
      <c r="AW10">
        <v>45.7303</v>
      </c>
    </row>
    <row r="11" spans="1:49" ht="17" thickBot="1" x14ac:dyDescent="0.25">
      <c r="A11" s="111"/>
      <c r="B11" s="4" t="s">
        <v>23</v>
      </c>
      <c r="C11" s="9"/>
      <c r="D11" s="3"/>
      <c r="E11" s="3"/>
      <c r="F11" s="10"/>
      <c r="G11" s="9"/>
      <c r="H11" s="3"/>
      <c r="I11" s="3"/>
      <c r="J11" s="10"/>
      <c r="K11" s="9"/>
      <c r="L11" s="3"/>
      <c r="M11" s="3"/>
      <c r="N11" s="10"/>
      <c r="O11" s="40">
        <v>196</v>
      </c>
      <c r="P11" s="39">
        <v>196</v>
      </c>
      <c r="Q11" s="39">
        <v>196</v>
      </c>
      <c r="R11" s="47">
        <v>196</v>
      </c>
      <c r="S11" s="38">
        <v>50</v>
      </c>
      <c r="T11" s="39">
        <v>50</v>
      </c>
      <c r="U11" s="39">
        <v>50</v>
      </c>
      <c r="V11" s="41">
        <v>50</v>
      </c>
      <c r="W11" s="38">
        <v>0.5</v>
      </c>
      <c r="X11" s="39">
        <v>0.5</v>
      </c>
      <c r="Y11" s="39">
        <v>0.5</v>
      </c>
      <c r="Z11" s="41">
        <v>0.5</v>
      </c>
      <c r="AA11" s="40">
        <v>1</v>
      </c>
      <c r="AB11" s="39">
        <v>1</v>
      </c>
      <c r="AC11" s="39">
        <v>1</v>
      </c>
      <c r="AD11" s="47">
        <v>1</v>
      </c>
      <c r="AE11" s="38">
        <v>34</v>
      </c>
      <c r="AF11" s="39">
        <v>34</v>
      </c>
      <c r="AG11" s="39">
        <v>34</v>
      </c>
      <c r="AH11" s="41">
        <v>34</v>
      </c>
      <c r="AI11" s="40">
        <v>142</v>
      </c>
      <c r="AJ11" s="39">
        <v>142</v>
      </c>
      <c r="AK11" s="39">
        <v>142</v>
      </c>
      <c r="AL11" s="41">
        <v>142</v>
      </c>
      <c r="AM11">
        <f t="shared" si="1"/>
        <v>423.5</v>
      </c>
      <c r="AN11">
        <f t="shared" si="2"/>
        <v>423.5</v>
      </c>
      <c r="AO11">
        <f t="shared" si="3"/>
        <v>423.5</v>
      </c>
      <c r="AP11">
        <f t="shared" si="4"/>
        <v>423.5</v>
      </c>
    </row>
    <row r="12" spans="1:49" ht="17" thickBot="1" x14ac:dyDescent="0.25">
      <c r="A12" s="111"/>
      <c r="B12" s="17" t="s">
        <v>15</v>
      </c>
      <c r="C12" s="74">
        <f>G12+K12</f>
        <v>548</v>
      </c>
      <c r="D12" s="39">
        <f t="shared" ref="D12:F12" si="7">H12+L12</f>
        <v>548</v>
      </c>
      <c r="E12" s="39">
        <f t="shared" si="7"/>
        <v>548</v>
      </c>
      <c r="F12" s="40">
        <f t="shared" si="7"/>
        <v>548</v>
      </c>
      <c r="G12" s="38">
        <v>338</v>
      </c>
      <c r="H12" s="39">
        <v>338</v>
      </c>
      <c r="I12" s="40">
        <v>338</v>
      </c>
      <c r="J12" s="40">
        <v>338</v>
      </c>
      <c r="K12" s="38">
        <v>210</v>
      </c>
      <c r="L12" s="39">
        <v>210</v>
      </c>
      <c r="M12" s="39">
        <v>210</v>
      </c>
      <c r="N12" s="41">
        <v>210</v>
      </c>
      <c r="O12" s="5"/>
      <c r="P12" s="3"/>
      <c r="Q12" s="3"/>
      <c r="R12" s="27"/>
      <c r="S12" s="9"/>
      <c r="T12" s="3"/>
      <c r="U12" s="3"/>
      <c r="V12" s="10"/>
      <c r="W12" s="9"/>
      <c r="X12" s="3"/>
      <c r="Y12" s="3"/>
      <c r="Z12" s="10"/>
      <c r="AA12" s="5"/>
      <c r="AB12" s="3"/>
      <c r="AC12" s="3"/>
      <c r="AD12" s="27"/>
      <c r="AE12" s="9"/>
      <c r="AF12" s="3"/>
      <c r="AG12" s="3"/>
      <c r="AH12" s="10"/>
      <c r="AI12" s="5"/>
      <c r="AJ12" s="3"/>
      <c r="AK12" s="3"/>
      <c r="AL12" s="10"/>
      <c r="AM12">
        <f>C12</f>
        <v>548</v>
      </c>
      <c r="AN12">
        <f t="shared" ref="AN12:AP12" si="8">D12</f>
        <v>548</v>
      </c>
      <c r="AO12">
        <f t="shared" si="8"/>
        <v>548</v>
      </c>
      <c r="AP12">
        <f t="shared" si="8"/>
        <v>548</v>
      </c>
      <c r="AT12">
        <v>2015</v>
      </c>
      <c r="AU12">
        <v>2020</v>
      </c>
      <c r="AV12">
        <v>2030</v>
      </c>
      <c r="AW12">
        <v>2050</v>
      </c>
    </row>
    <row r="13" spans="1:49" ht="17" thickBot="1" x14ac:dyDescent="0.25">
      <c r="A13" s="111"/>
      <c r="B13" s="4" t="s">
        <v>24</v>
      </c>
      <c r="C13" s="9"/>
      <c r="D13" s="3"/>
      <c r="E13" s="3"/>
      <c r="F13" s="10"/>
      <c r="G13" s="9"/>
      <c r="H13" s="3"/>
      <c r="I13" s="3"/>
      <c r="J13" s="10"/>
      <c r="K13" s="9"/>
      <c r="L13" s="3"/>
      <c r="M13" s="3"/>
      <c r="N13" s="10"/>
      <c r="O13" s="40">
        <v>123</v>
      </c>
      <c r="P13" s="39">
        <v>123</v>
      </c>
      <c r="Q13" s="39">
        <v>123</v>
      </c>
      <c r="R13" s="47">
        <v>123</v>
      </c>
      <c r="S13" s="38">
        <v>18</v>
      </c>
      <c r="T13" s="39">
        <v>18</v>
      </c>
      <c r="U13" s="39">
        <v>18</v>
      </c>
      <c r="V13" s="41">
        <v>18</v>
      </c>
      <c r="W13" s="38">
        <v>0.3</v>
      </c>
      <c r="X13" s="39">
        <v>0.3</v>
      </c>
      <c r="Y13" s="39">
        <v>0.3</v>
      </c>
      <c r="Z13" s="41">
        <v>0.3</v>
      </c>
      <c r="AA13" s="40">
        <v>0.14000000000000001</v>
      </c>
      <c r="AB13" s="39">
        <v>0.14000000000000001</v>
      </c>
      <c r="AC13" s="39">
        <v>0.14000000000000001</v>
      </c>
      <c r="AD13" s="47">
        <v>0.14000000000000001</v>
      </c>
      <c r="AE13" s="38">
        <v>6.5</v>
      </c>
      <c r="AF13" s="39">
        <v>6.5</v>
      </c>
      <c r="AG13" s="39">
        <v>6.5</v>
      </c>
      <c r="AH13" s="41">
        <v>6.5</v>
      </c>
      <c r="AI13" s="40">
        <v>20</v>
      </c>
      <c r="AJ13" s="39">
        <v>20</v>
      </c>
      <c r="AK13" s="39">
        <v>20</v>
      </c>
      <c r="AL13" s="41">
        <v>20</v>
      </c>
      <c r="AM13">
        <f t="shared" si="1"/>
        <v>167.94</v>
      </c>
      <c r="AN13">
        <f t="shared" si="2"/>
        <v>167.94</v>
      </c>
      <c r="AO13">
        <f t="shared" si="3"/>
        <v>167.94</v>
      </c>
      <c r="AP13">
        <f t="shared" si="4"/>
        <v>167.94</v>
      </c>
      <c r="AR13" t="s">
        <v>21</v>
      </c>
      <c r="AS13" t="s">
        <v>13</v>
      </c>
      <c r="AT13">
        <v>833</v>
      </c>
      <c r="AU13">
        <v>558</v>
      </c>
      <c r="AV13">
        <v>326.28787878787875</v>
      </c>
      <c r="AW13">
        <v>127.05050505050505</v>
      </c>
    </row>
    <row r="14" spans="1:49" ht="17" thickBot="1" x14ac:dyDescent="0.25">
      <c r="A14" s="111"/>
      <c r="B14" s="4" t="s">
        <v>25</v>
      </c>
      <c r="C14" s="9"/>
      <c r="D14" s="3"/>
      <c r="E14" s="3"/>
      <c r="F14" s="10"/>
      <c r="G14" s="9"/>
      <c r="H14" s="3"/>
      <c r="I14" s="3"/>
      <c r="J14" s="10"/>
      <c r="K14" s="9"/>
      <c r="L14" s="3"/>
      <c r="M14" s="3"/>
      <c r="N14" s="10"/>
      <c r="O14" s="40">
        <v>126</v>
      </c>
      <c r="P14" s="39">
        <v>126</v>
      </c>
      <c r="Q14" s="39">
        <v>126</v>
      </c>
      <c r="R14" s="47">
        <v>126</v>
      </c>
      <c r="S14" s="38">
        <v>25</v>
      </c>
      <c r="T14" s="39">
        <v>25</v>
      </c>
      <c r="U14" s="39">
        <v>25</v>
      </c>
      <c r="V14" s="41">
        <v>25</v>
      </c>
      <c r="W14" s="38">
        <v>0.3</v>
      </c>
      <c r="X14" s="39">
        <v>0.3</v>
      </c>
      <c r="Y14" s="39">
        <v>0.3</v>
      </c>
      <c r="Z14" s="41">
        <v>0.3</v>
      </c>
      <c r="AA14" s="40">
        <v>0.2</v>
      </c>
      <c r="AB14" s="39">
        <v>0.2</v>
      </c>
      <c r="AC14" s="39">
        <v>0.2</v>
      </c>
      <c r="AD14" s="47">
        <v>0.2</v>
      </c>
      <c r="AE14" s="38">
        <v>9</v>
      </c>
      <c r="AF14" s="39">
        <v>9</v>
      </c>
      <c r="AG14" s="39">
        <v>9</v>
      </c>
      <c r="AH14" s="41">
        <v>9</v>
      </c>
      <c r="AI14" s="40">
        <v>49</v>
      </c>
      <c r="AJ14" s="39">
        <v>49</v>
      </c>
      <c r="AK14" s="39">
        <v>49</v>
      </c>
      <c r="AL14" s="41">
        <v>49</v>
      </c>
      <c r="AM14">
        <f t="shared" si="1"/>
        <v>209.5</v>
      </c>
      <c r="AN14">
        <f t="shared" si="2"/>
        <v>209.5</v>
      </c>
      <c r="AO14">
        <f t="shared" si="3"/>
        <v>209.5</v>
      </c>
      <c r="AP14">
        <f t="shared" si="4"/>
        <v>209.5</v>
      </c>
      <c r="AS14" t="s">
        <v>23</v>
      </c>
      <c r="AT14">
        <v>488</v>
      </c>
      <c r="AU14">
        <v>374</v>
      </c>
      <c r="AV14">
        <v>229.24054054054056</v>
      </c>
      <c r="AW14">
        <v>186.21081081081081</v>
      </c>
    </row>
    <row r="15" spans="1:49" ht="17" thickBot="1" x14ac:dyDescent="0.25">
      <c r="A15" s="111"/>
      <c r="B15" s="4" t="s">
        <v>26</v>
      </c>
      <c r="C15" s="13"/>
      <c r="D15" s="14"/>
      <c r="E15" s="14"/>
      <c r="F15" s="15"/>
      <c r="G15" s="13"/>
      <c r="H15" s="14"/>
      <c r="I15" s="14"/>
      <c r="J15" s="15"/>
      <c r="K15" s="13"/>
      <c r="L15" s="14"/>
      <c r="M15" s="14"/>
      <c r="N15" s="15"/>
      <c r="O15" s="48">
        <v>16</v>
      </c>
      <c r="P15" s="49">
        <v>16</v>
      </c>
      <c r="Q15" s="49">
        <v>16</v>
      </c>
      <c r="R15" s="50">
        <v>16</v>
      </c>
      <c r="S15" s="51">
        <v>0.8</v>
      </c>
      <c r="T15" s="49">
        <v>0.8</v>
      </c>
      <c r="U15" s="49">
        <v>0.8</v>
      </c>
      <c r="V15" s="52">
        <v>0.8</v>
      </c>
      <c r="W15" s="51">
        <v>0.7</v>
      </c>
      <c r="X15" s="49">
        <v>0.7</v>
      </c>
      <c r="Y15" s="49">
        <v>0.7</v>
      </c>
      <c r="Z15" s="52">
        <v>0.7</v>
      </c>
      <c r="AA15" s="48">
        <v>0.7</v>
      </c>
      <c r="AB15" s="49">
        <v>0.7</v>
      </c>
      <c r="AC15" s="49">
        <v>0.7</v>
      </c>
      <c r="AD15" s="50">
        <v>0.7</v>
      </c>
      <c r="AE15" s="51">
        <v>0.7</v>
      </c>
      <c r="AF15" s="49">
        <v>0.7</v>
      </c>
      <c r="AG15" s="49">
        <v>0.7</v>
      </c>
      <c r="AH15" s="52">
        <v>0.7</v>
      </c>
      <c r="AI15" s="48">
        <v>61</v>
      </c>
      <c r="AJ15" s="49">
        <v>61</v>
      </c>
      <c r="AK15" s="49">
        <v>61</v>
      </c>
      <c r="AL15" s="52">
        <v>61</v>
      </c>
      <c r="AM15">
        <f t="shared" si="1"/>
        <v>79.900000000000006</v>
      </c>
      <c r="AN15">
        <f t="shared" si="2"/>
        <v>79.900000000000006</v>
      </c>
      <c r="AO15">
        <f t="shared" si="3"/>
        <v>79.900000000000006</v>
      </c>
      <c r="AP15">
        <f t="shared" si="4"/>
        <v>79.900000000000006</v>
      </c>
      <c r="AS15" t="s">
        <v>15</v>
      </c>
      <c r="AT15">
        <v>570</v>
      </c>
      <c r="AU15">
        <v>514</v>
      </c>
      <c r="AV15">
        <v>446</v>
      </c>
      <c r="AW15">
        <v>209</v>
      </c>
    </row>
    <row r="16" spans="1:49" ht="17" thickBot="1" x14ac:dyDescent="0.25">
      <c r="A16" s="111">
        <v>2020</v>
      </c>
      <c r="B16" s="4" t="s">
        <v>13</v>
      </c>
      <c r="C16" s="6"/>
      <c r="D16" s="7"/>
      <c r="E16" s="7"/>
      <c r="F16" s="8"/>
      <c r="G16" s="6"/>
      <c r="H16" s="7"/>
      <c r="I16" s="7"/>
      <c r="J16" s="8"/>
      <c r="K16" s="6"/>
      <c r="L16" s="7"/>
      <c r="M16" s="7"/>
      <c r="N16" s="8"/>
      <c r="O16" s="42">
        <v>74</v>
      </c>
      <c r="P16" s="43">
        <v>74</v>
      </c>
      <c r="Q16" s="43">
        <v>74</v>
      </c>
      <c r="R16" s="44">
        <v>74</v>
      </c>
      <c r="S16" s="45">
        <v>318</v>
      </c>
      <c r="T16" s="43">
        <v>318</v>
      </c>
      <c r="U16" s="43">
        <v>318</v>
      </c>
      <c r="V16" s="46">
        <v>318</v>
      </c>
      <c r="W16" s="45">
        <v>3</v>
      </c>
      <c r="X16" s="43">
        <v>3</v>
      </c>
      <c r="Y16" s="43">
        <v>3</v>
      </c>
      <c r="Z16" s="46">
        <v>3</v>
      </c>
      <c r="AA16" s="45">
        <v>4.8</v>
      </c>
      <c r="AB16" s="43">
        <v>4.8</v>
      </c>
      <c r="AC16" s="43">
        <v>4.8</v>
      </c>
      <c r="AD16" s="46">
        <v>4.8</v>
      </c>
      <c r="AE16" s="45">
        <v>72</v>
      </c>
      <c r="AF16" s="43">
        <v>72</v>
      </c>
      <c r="AG16" s="43">
        <v>72</v>
      </c>
      <c r="AH16" s="46">
        <v>72</v>
      </c>
      <c r="AI16" s="42">
        <v>86</v>
      </c>
      <c r="AJ16" s="43">
        <v>86</v>
      </c>
      <c r="AK16" s="43">
        <v>86</v>
      </c>
      <c r="AL16" s="46">
        <v>86</v>
      </c>
      <c r="AM16">
        <f t="shared" si="1"/>
        <v>557.79999999999995</v>
      </c>
      <c r="AN16">
        <f t="shared" si="2"/>
        <v>557.79999999999995</v>
      </c>
      <c r="AO16">
        <f t="shared" si="3"/>
        <v>557.79999999999995</v>
      </c>
      <c r="AP16">
        <f t="shared" si="4"/>
        <v>557.79999999999995</v>
      </c>
      <c r="AS16" t="s">
        <v>24</v>
      </c>
      <c r="AT16">
        <v>192</v>
      </c>
      <c r="AU16">
        <v>147</v>
      </c>
      <c r="AV16">
        <v>54.280645161290337</v>
      </c>
      <c r="AW16">
        <v>41.29129032258065</v>
      </c>
    </row>
    <row r="17" spans="1:49" ht="17" thickBot="1" x14ac:dyDescent="0.25">
      <c r="A17" s="111"/>
      <c r="B17" s="4" t="s">
        <v>23</v>
      </c>
      <c r="C17" s="9"/>
      <c r="D17" s="3"/>
      <c r="E17" s="3"/>
      <c r="F17" s="10"/>
      <c r="G17" s="9"/>
      <c r="H17" s="3"/>
      <c r="I17" s="3"/>
      <c r="J17" s="10"/>
      <c r="K17" s="9"/>
      <c r="L17" s="3"/>
      <c r="M17" s="3"/>
      <c r="N17" s="10"/>
      <c r="O17" s="40">
        <v>171</v>
      </c>
      <c r="P17" s="39">
        <v>171</v>
      </c>
      <c r="Q17" s="39">
        <v>171</v>
      </c>
      <c r="R17" s="47">
        <v>171</v>
      </c>
      <c r="S17" s="38">
        <v>41</v>
      </c>
      <c r="T17" s="39">
        <v>41</v>
      </c>
      <c r="U17" s="39">
        <v>41</v>
      </c>
      <c r="V17" s="41">
        <v>41</v>
      </c>
      <c r="W17" s="38">
        <v>0.4</v>
      </c>
      <c r="X17" s="39">
        <v>0.4</v>
      </c>
      <c r="Y17" s="39">
        <v>0.4</v>
      </c>
      <c r="Z17" s="41">
        <v>0.4</v>
      </c>
      <c r="AA17" s="38">
        <v>0.5</v>
      </c>
      <c r="AB17" s="39">
        <v>0.5</v>
      </c>
      <c r="AC17" s="39">
        <v>0.5</v>
      </c>
      <c r="AD17" s="41">
        <v>0.5</v>
      </c>
      <c r="AE17" s="38">
        <v>31</v>
      </c>
      <c r="AF17" s="39">
        <v>31</v>
      </c>
      <c r="AG17" s="39">
        <v>31</v>
      </c>
      <c r="AH17" s="41">
        <v>31</v>
      </c>
      <c r="AI17" s="40">
        <v>130</v>
      </c>
      <c r="AJ17" s="39">
        <v>130</v>
      </c>
      <c r="AK17" s="39">
        <v>130</v>
      </c>
      <c r="AL17" s="41">
        <v>130</v>
      </c>
      <c r="AM17">
        <f t="shared" si="1"/>
        <v>373.9</v>
      </c>
      <c r="AN17">
        <f t="shared" si="2"/>
        <v>373.9</v>
      </c>
      <c r="AO17">
        <f t="shared" si="3"/>
        <v>373.9</v>
      </c>
      <c r="AP17">
        <f t="shared" si="4"/>
        <v>373.9</v>
      </c>
      <c r="AS17" t="s">
        <v>25</v>
      </c>
      <c r="AT17">
        <v>231</v>
      </c>
      <c r="AU17">
        <v>182</v>
      </c>
      <c r="AV17">
        <v>90.769565217391317</v>
      </c>
      <c r="AW17">
        <v>83.003913043478263</v>
      </c>
    </row>
    <row r="18" spans="1:49" ht="17" thickBot="1" x14ac:dyDescent="0.25">
      <c r="A18" s="111"/>
      <c r="B18" s="4" t="s">
        <v>15</v>
      </c>
      <c r="C18" s="39">
        <f>G18+K18</f>
        <v>514</v>
      </c>
      <c r="D18" s="39">
        <f t="shared" ref="D18:F18" si="9">H18+L18</f>
        <v>514</v>
      </c>
      <c r="E18" s="39">
        <f t="shared" si="9"/>
        <v>514</v>
      </c>
      <c r="F18" s="39">
        <f t="shared" si="9"/>
        <v>514</v>
      </c>
      <c r="G18" s="39">
        <v>312</v>
      </c>
      <c r="H18" s="39">
        <v>312</v>
      </c>
      <c r="I18" s="39">
        <v>312</v>
      </c>
      <c r="J18" s="39">
        <v>312</v>
      </c>
      <c r="K18" s="38">
        <v>202</v>
      </c>
      <c r="L18" s="39">
        <v>202</v>
      </c>
      <c r="M18" s="39">
        <v>202</v>
      </c>
      <c r="N18" s="41">
        <v>202</v>
      </c>
      <c r="O18" s="5"/>
      <c r="P18" s="3"/>
      <c r="Q18" s="3"/>
      <c r="R18" s="27"/>
      <c r="S18" s="9"/>
      <c r="T18" s="3"/>
      <c r="U18" s="3"/>
      <c r="V18" s="10"/>
      <c r="W18" s="9"/>
      <c r="X18" s="3"/>
      <c r="Y18" s="3"/>
      <c r="Z18" s="10"/>
      <c r="AA18" s="9"/>
      <c r="AB18" s="3"/>
      <c r="AC18" s="3"/>
      <c r="AD18" s="10"/>
      <c r="AE18" s="9"/>
      <c r="AF18" s="3"/>
      <c r="AG18" s="3"/>
      <c r="AH18" s="10"/>
      <c r="AI18" s="5"/>
      <c r="AJ18" s="3"/>
      <c r="AK18" s="3"/>
      <c r="AL18" s="10"/>
      <c r="AM18">
        <f>C18</f>
        <v>514</v>
      </c>
      <c r="AN18">
        <f t="shared" ref="AN18:AP18" si="10">D18</f>
        <v>514</v>
      </c>
      <c r="AO18">
        <f t="shared" si="10"/>
        <v>514</v>
      </c>
      <c r="AP18">
        <f t="shared" si="10"/>
        <v>514</v>
      </c>
      <c r="AS18" t="s">
        <v>26</v>
      </c>
      <c r="AT18">
        <v>107</v>
      </c>
      <c r="AU18">
        <v>74</v>
      </c>
      <c r="AV18">
        <v>49.706999999999994</v>
      </c>
      <c r="AW18">
        <v>45.43</v>
      </c>
    </row>
    <row r="19" spans="1:49" ht="17" thickBot="1" x14ac:dyDescent="0.25">
      <c r="A19" s="111"/>
      <c r="B19" s="4" t="s">
        <v>24</v>
      </c>
      <c r="C19" s="9"/>
      <c r="D19" s="3"/>
      <c r="E19" s="3"/>
      <c r="F19" s="10"/>
      <c r="G19" s="9"/>
      <c r="H19" s="3"/>
      <c r="I19" s="3"/>
      <c r="J19" s="10"/>
      <c r="K19" s="9"/>
      <c r="L19" s="3"/>
      <c r="M19" s="3"/>
      <c r="N19" s="10"/>
      <c r="O19" s="40">
        <v>109</v>
      </c>
      <c r="P19" s="39">
        <v>109</v>
      </c>
      <c r="Q19" s="39">
        <v>109</v>
      </c>
      <c r="R19" s="47">
        <v>109</v>
      </c>
      <c r="S19" s="38">
        <v>14</v>
      </c>
      <c r="T19" s="39">
        <v>14</v>
      </c>
      <c r="U19" s="39">
        <v>14</v>
      </c>
      <c r="V19" s="41">
        <v>14</v>
      </c>
      <c r="W19" s="38">
        <v>0.2</v>
      </c>
      <c r="X19" s="39">
        <v>0.2</v>
      </c>
      <c r="Y19" s="39">
        <v>0.2</v>
      </c>
      <c r="Z19" s="41">
        <v>0.2</v>
      </c>
      <c r="AA19" s="38">
        <v>0.06</v>
      </c>
      <c r="AB19" s="39">
        <v>0.06</v>
      </c>
      <c r="AC19" s="39">
        <v>0.06</v>
      </c>
      <c r="AD19" s="41">
        <v>0.06</v>
      </c>
      <c r="AE19" s="38">
        <v>6.1</v>
      </c>
      <c r="AF19" s="39">
        <v>6.1</v>
      </c>
      <c r="AG19" s="39">
        <v>6.1</v>
      </c>
      <c r="AH19" s="41">
        <v>6.1</v>
      </c>
      <c r="AI19" s="40">
        <v>18</v>
      </c>
      <c r="AJ19" s="39">
        <v>18</v>
      </c>
      <c r="AK19" s="39">
        <v>18</v>
      </c>
      <c r="AL19" s="41">
        <v>18</v>
      </c>
      <c r="AM19">
        <f t="shared" si="1"/>
        <v>147.36000000000001</v>
      </c>
      <c r="AN19">
        <f t="shared" si="2"/>
        <v>147.36000000000001</v>
      </c>
      <c r="AO19">
        <f t="shared" si="3"/>
        <v>147.36000000000001</v>
      </c>
      <c r="AP19">
        <f t="shared" si="4"/>
        <v>147.36000000000001</v>
      </c>
    </row>
    <row r="20" spans="1:49" ht="17" thickBot="1" x14ac:dyDescent="0.25">
      <c r="A20" s="111"/>
      <c r="B20" s="4" t="s">
        <v>25</v>
      </c>
      <c r="C20" s="9"/>
      <c r="D20" s="3"/>
      <c r="E20" s="3"/>
      <c r="F20" s="10"/>
      <c r="G20" s="9"/>
      <c r="H20" s="3"/>
      <c r="I20" s="3"/>
      <c r="J20" s="10"/>
      <c r="K20" s="9"/>
      <c r="L20" s="3"/>
      <c r="M20" s="3"/>
      <c r="N20" s="10"/>
      <c r="O20" s="40">
        <v>111</v>
      </c>
      <c r="P20" s="39">
        <v>111</v>
      </c>
      <c r="Q20" s="39">
        <v>111</v>
      </c>
      <c r="R20" s="47">
        <v>111</v>
      </c>
      <c r="S20" s="38">
        <v>20</v>
      </c>
      <c r="T20" s="39">
        <v>20</v>
      </c>
      <c r="U20" s="39">
        <v>20</v>
      </c>
      <c r="V20" s="41">
        <v>20</v>
      </c>
      <c r="W20" s="38">
        <v>0.2</v>
      </c>
      <c r="X20" s="39">
        <v>0.2</v>
      </c>
      <c r="Y20" s="39">
        <v>0.2</v>
      </c>
      <c r="Z20" s="41">
        <v>0.2</v>
      </c>
      <c r="AA20" s="38">
        <v>0.1</v>
      </c>
      <c r="AB20" s="39">
        <v>0.1</v>
      </c>
      <c r="AC20" s="39">
        <v>0.1</v>
      </c>
      <c r="AD20" s="41">
        <v>0.1</v>
      </c>
      <c r="AE20" s="38">
        <v>8</v>
      </c>
      <c r="AF20" s="39">
        <v>8</v>
      </c>
      <c r="AG20" s="39">
        <v>8</v>
      </c>
      <c r="AH20" s="41">
        <v>8</v>
      </c>
      <c r="AI20" s="40">
        <v>43</v>
      </c>
      <c r="AJ20" s="39">
        <v>43</v>
      </c>
      <c r="AK20" s="39">
        <v>43</v>
      </c>
      <c r="AL20" s="41">
        <v>43</v>
      </c>
      <c r="AM20">
        <f t="shared" si="1"/>
        <v>182.29999999999998</v>
      </c>
      <c r="AN20">
        <f t="shared" si="2"/>
        <v>182.29999999999998</v>
      </c>
      <c r="AO20">
        <f t="shared" si="3"/>
        <v>182.29999999999998</v>
      </c>
      <c r="AP20">
        <f t="shared" si="4"/>
        <v>182.29999999999998</v>
      </c>
    </row>
    <row r="21" spans="1:49" ht="17" thickBot="1" x14ac:dyDescent="0.25">
      <c r="A21" s="111"/>
      <c r="B21" s="4" t="s">
        <v>26</v>
      </c>
      <c r="C21" s="13"/>
      <c r="D21" s="14"/>
      <c r="E21" s="14"/>
      <c r="F21" s="15"/>
      <c r="G21" s="13"/>
      <c r="H21" s="14"/>
      <c r="I21" s="14"/>
      <c r="J21" s="15"/>
      <c r="K21" s="13"/>
      <c r="L21" s="14"/>
      <c r="M21" s="14"/>
      <c r="N21" s="15"/>
      <c r="O21" s="48">
        <v>16</v>
      </c>
      <c r="P21" s="49">
        <v>16</v>
      </c>
      <c r="Q21" s="49">
        <v>16</v>
      </c>
      <c r="R21" s="50">
        <v>16</v>
      </c>
      <c r="S21" s="51">
        <v>0.7</v>
      </c>
      <c r="T21" s="49">
        <v>0.7</v>
      </c>
      <c r="U21" s="49">
        <v>0.7</v>
      </c>
      <c r="V21" s="52">
        <v>0.7</v>
      </c>
      <c r="W21" s="51">
        <v>0.1</v>
      </c>
      <c r="X21" s="49">
        <v>0.1</v>
      </c>
      <c r="Y21" s="49">
        <v>0.1</v>
      </c>
      <c r="Z21" s="52">
        <v>0.1</v>
      </c>
      <c r="AA21" s="51">
        <v>0.3</v>
      </c>
      <c r="AB21" s="49">
        <v>0.3</v>
      </c>
      <c r="AC21" s="49">
        <v>0.3</v>
      </c>
      <c r="AD21" s="52">
        <v>0.3</v>
      </c>
      <c r="AE21" s="51">
        <v>0.8</v>
      </c>
      <c r="AF21" s="49">
        <v>0.8</v>
      </c>
      <c r="AG21" s="49">
        <v>0.8</v>
      </c>
      <c r="AH21" s="52">
        <v>0.8</v>
      </c>
      <c r="AI21" s="48">
        <v>56</v>
      </c>
      <c r="AJ21" s="49">
        <v>56</v>
      </c>
      <c r="AK21" s="49">
        <v>56</v>
      </c>
      <c r="AL21" s="52">
        <v>56</v>
      </c>
      <c r="AM21">
        <f t="shared" si="1"/>
        <v>73.900000000000006</v>
      </c>
      <c r="AN21">
        <f t="shared" si="2"/>
        <v>73.900000000000006</v>
      </c>
      <c r="AO21">
        <f t="shared" si="3"/>
        <v>73.900000000000006</v>
      </c>
      <c r="AP21">
        <f t="shared" si="4"/>
        <v>73.900000000000006</v>
      </c>
    </row>
    <row r="22" spans="1:49" ht="17" thickBot="1" x14ac:dyDescent="0.25">
      <c r="A22" s="111">
        <v>2025</v>
      </c>
      <c r="B22" s="4" t="s">
        <v>13</v>
      </c>
      <c r="C22" s="6"/>
      <c r="D22" s="7"/>
      <c r="E22" s="7"/>
      <c r="F22" s="8"/>
      <c r="G22" s="6"/>
      <c r="H22" s="7"/>
      <c r="I22" s="7"/>
      <c r="J22" s="8"/>
      <c r="K22" s="6"/>
      <c r="L22" s="7"/>
      <c r="M22" s="7"/>
      <c r="N22" s="8"/>
      <c r="O22" s="28"/>
      <c r="P22" s="7"/>
      <c r="Q22" s="7"/>
      <c r="R22" s="29"/>
      <c r="S22" s="6"/>
      <c r="T22" s="7"/>
      <c r="U22" s="7"/>
      <c r="V22" s="8"/>
      <c r="W22" s="6"/>
      <c r="X22" s="7"/>
      <c r="Y22" s="7"/>
      <c r="Z22" s="8"/>
      <c r="AA22" s="6"/>
      <c r="AB22" s="7"/>
      <c r="AC22" s="7"/>
      <c r="AD22" s="8"/>
      <c r="AE22" s="6"/>
      <c r="AF22" s="7"/>
      <c r="AG22" s="7"/>
      <c r="AH22" s="8"/>
      <c r="AI22" s="87">
        <v>85.131313131313135</v>
      </c>
      <c r="AJ22" s="87">
        <v>85.131313131313135</v>
      </c>
      <c r="AK22" s="87">
        <v>85.131313131313135</v>
      </c>
      <c r="AL22" s="87">
        <v>85.131313131313135</v>
      </c>
      <c r="AM22">
        <f t="shared" si="1"/>
        <v>85.131313131313135</v>
      </c>
      <c r="AN22">
        <f t="shared" si="2"/>
        <v>85.131313131313135</v>
      </c>
      <c r="AO22">
        <f t="shared" si="3"/>
        <v>85.131313131313135</v>
      </c>
      <c r="AP22">
        <f t="shared" si="4"/>
        <v>85.131313131313135</v>
      </c>
    </row>
    <row r="23" spans="1:49" ht="17" thickBot="1" x14ac:dyDescent="0.25">
      <c r="A23" s="111"/>
      <c r="B23" s="4" t="s">
        <v>23</v>
      </c>
      <c r="C23" s="9"/>
      <c r="D23" s="3"/>
      <c r="E23" s="3"/>
      <c r="F23" s="10"/>
      <c r="G23" s="9"/>
      <c r="H23" s="3"/>
      <c r="I23" s="3"/>
      <c r="J23" s="10"/>
      <c r="K23" s="9"/>
      <c r="L23" s="3"/>
      <c r="M23" s="3"/>
      <c r="N23" s="10"/>
      <c r="O23" s="5"/>
      <c r="P23" s="3"/>
      <c r="Q23" s="3"/>
      <c r="R23" s="27"/>
      <c r="S23" s="9"/>
      <c r="T23" s="3"/>
      <c r="U23" s="3"/>
      <c r="V23" s="10"/>
      <c r="W23" s="9"/>
      <c r="X23" s="3"/>
      <c r="Y23" s="3"/>
      <c r="Z23" s="10"/>
      <c r="AA23" s="9"/>
      <c r="AB23" s="3"/>
      <c r="AC23" s="3"/>
      <c r="AD23" s="10"/>
      <c r="AE23" s="9"/>
      <c r="AF23" s="3"/>
      <c r="AG23" s="3"/>
      <c r="AH23" s="10"/>
      <c r="AI23" s="88">
        <v>135.27027027027026</v>
      </c>
      <c r="AJ23" s="88">
        <v>135.27027027027026</v>
      </c>
      <c r="AK23" s="88">
        <v>135.27027027027026</v>
      </c>
      <c r="AL23" s="88">
        <v>135.27027027027026</v>
      </c>
      <c r="AM23">
        <f t="shared" si="1"/>
        <v>135.27027027027026</v>
      </c>
      <c r="AN23">
        <f t="shared" si="2"/>
        <v>135.27027027027026</v>
      </c>
      <c r="AO23">
        <f t="shared" si="3"/>
        <v>135.27027027027026</v>
      </c>
      <c r="AP23">
        <f t="shared" si="4"/>
        <v>135.27027027027026</v>
      </c>
    </row>
    <row r="24" spans="1:49" ht="17" thickBot="1" x14ac:dyDescent="0.25">
      <c r="A24" s="111"/>
      <c r="B24" s="4" t="s">
        <v>15</v>
      </c>
      <c r="C24" s="11">
        <f>(D24+E24)/2</f>
        <v>488</v>
      </c>
      <c r="D24" s="2">
        <v>480</v>
      </c>
      <c r="E24" s="2">
        <v>496</v>
      </c>
      <c r="F24" s="12">
        <v>500</v>
      </c>
      <c r="G24" s="77">
        <f>(H24+I24)/2</f>
        <v>271</v>
      </c>
      <c r="H24" s="75">
        <v>265</v>
      </c>
      <c r="I24" s="75">
        <v>277</v>
      </c>
      <c r="J24" s="76">
        <v>283</v>
      </c>
      <c r="K24" s="77">
        <f>(L24+M24)/2</f>
        <v>217</v>
      </c>
      <c r="L24" s="75">
        <v>215</v>
      </c>
      <c r="M24" s="75">
        <v>219</v>
      </c>
      <c r="N24" s="76">
        <v>217</v>
      </c>
      <c r="O24" s="5"/>
      <c r="P24" s="3"/>
      <c r="Q24" s="3"/>
      <c r="R24" s="27"/>
      <c r="S24" s="9"/>
      <c r="T24" s="3"/>
      <c r="U24" s="3"/>
      <c r="V24" s="10"/>
      <c r="W24" s="9"/>
      <c r="X24" s="3"/>
      <c r="Y24" s="3"/>
      <c r="Z24" s="10"/>
      <c r="AA24" s="9"/>
      <c r="AB24" s="3"/>
      <c r="AC24" s="3"/>
      <c r="AD24" s="10"/>
      <c r="AE24" s="9"/>
      <c r="AF24" s="3"/>
      <c r="AG24" s="3"/>
      <c r="AH24" s="10"/>
      <c r="AI24" s="84"/>
      <c r="AJ24" s="85"/>
      <c r="AK24" s="85"/>
      <c r="AL24" s="86"/>
      <c r="AM24">
        <f>C24</f>
        <v>488</v>
      </c>
      <c r="AN24">
        <f t="shared" ref="AN24:AP24" si="11">D24</f>
        <v>480</v>
      </c>
      <c r="AO24">
        <f t="shared" si="11"/>
        <v>496</v>
      </c>
      <c r="AP24">
        <f t="shared" si="11"/>
        <v>500</v>
      </c>
    </row>
    <row r="25" spans="1:49" ht="17" thickBot="1" x14ac:dyDescent="0.25">
      <c r="A25" s="111"/>
      <c r="B25" s="4" t="s">
        <v>24</v>
      </c>
      <c r="C25" s="9"/>
      <c r="D25" s="3"/>
      <c r="E25" s="3"/>
      <c r="F25" s="10"/>
      <c r="G25" s="59"/>
      <c r="H25" s="60"/>
      <c r="I25" s="60"/>
      <c r="J25" s="61"/>
      <c r="K25" s="59"/>
      <c r="L25" s="60"/>
      <c r="M25" s="60"/>
      <c r="N25" s="61"/>
      <c r="O25" s="5"/>
      <c r="P25" s="3"/>
      <c r="Q25" s="3"/>
      <c r="R25" s="27"/>
      <c r="S25" s="9"/>
      <c r="T25" s="3"/>
      <c r="U25" s="3"/>
      <c r="V25" s="10"/>
      <c r="W25" s="9"/>
      <c r="X25" s="3"/>
      <c r="Y25" s="3"/>
      <c r="Z25" s="10"/>
      <c r="AA25" s="9"/>
      <c r="AB25" s="3"/>
      <c r="AC25" s="3"/>
      <c r="AD25" s="10"/>
      <c r="AE25" s="9"/>
      <c r="AF25" s="3"/>
      <c r="AG25" s="3"/>
      <c r="AH25" s="10"/>
      <c r="AI25" s="88">
        <v>18.580645161290324</v>
      </c>
      <c r="AJ25" s="88">
        <v>18.580645161290324</v>
      </c>
      <c r="AK25" s="88">
        <v>18.580645161290324</v>
      </c>
      <c r="AL25" s="88">
        <v>18.580645161290324</v>
      </c>
      <c r="AM25">
        <f t="shared" si="1"/>
        <v>18.580645161290324</v>
      </c>
      <c r="AN25">
        <f t="shared" si="2"/>
        <v>18.580645161290324</v>
      </c>
      <c r="AO25">
        <f t="shared" si="3"/>
        <v>18.580645161290324</v>
      </c>
      <c r="AP25">
        <f t="shared" si="4"/>
        <v>18.580645161290324</v>
      </c>
    </row>
    <row r="26" spans="1:49" ht="17" thickBot="1" x14ac:dyDescent="0.25">
      <c r="A26" s="111"/>
      <c r="B26" s="4" t="s">
        <v>25</v>
      </c>
      <c r="C26" s="9"/>
      <c r="D26" s="3"/>
      <c r="E26" s="3"/>
      <c r="F26" s="10"/>
      <c r="G26" s="59"/>
      <c r="H26" s="60"/>
      <c r="I26" s="60"/>
      <c r="J26" s="61"/>
      <c r="K26" s="59"/>
      <c r="L26" s="60"/>
      <c r="M26" s="60"/>
      <c r="N26" s="61"/>
      <c r="O26" s="5"/>
      <c r="P26" s="3"/>
      <c r="Q26" s="3"/>
      <c r="R26" s="27"/>
      <c r="S26" s="9"/>
      <c r="T26" s="3"/>
      <c r="U26" s="3"/>
      <c r="V26" s="10"/>
      <c r="W26" s="59"/>
      <c r="X26" s="60"/>
      <c r="Y26" s="60"/>
      <c r="Z26" s="61"/>
      <c r="AA26" s="9"/>
      <c r="AB26" s="3"/>
      <c r="AC26" s="3"/>
      <c r="AD26" s="10"/>
      <c r="AE26" s="9"/>
      <c r="AF26" s="3"/>
      <c r="AG26" s="3"/>
      <c r="AH26" s="10"/>
      <c r="AI26" s="88">
        <v>44.121739130434783</v>
      </c>
      <c r="AJ26" s="88">
        <v>44.121739130434783</v>
      </c>
      <c r="AK26" s="88">
        <v>44.121739130434783</v>
      </c>
      <c r="AL26" s="88">
        <v>44.121739130434783</v>
      </c>
      <c r="AM26">
        <f t="shared" si="1"/>
        <v>44.121739130434783</v>
      </c>
      <c r="AN26">
        <f t="shared" si="2"/>
        <v>44.121739130434783</v>
      </c>
      <c r="AO26">
        <f t="shared" si="3"/>
        <v>44.121739130434783</v>
      </c>
      <c r="AP26">
        <f t="shared" si="4"/>
        <v>44.121739130434783</v>
      </c>
    </row>
    <row r="27" spans="1:49" ht="17" thickBot="1" x14ac:dyDescent="0.25">
      <c r="A27" s="111"/>
      <c r="B27" s="4" t="s">
        <v>26</v>
      </c>
      <c r="C27" s="13"/>
      <c r="D27" s="14"/>
      <c r="E27" s="14"/>
      <c r="F27" s="15"/>
      <c r="G27" s="62"/>
      <c r="H27" s="63"/>
      <c r="I27" s="63"/>
      <c r="J27" s="64"/>
      <c r="K27" s="62"/>
      <c r="L27" s="63"/>
      <c r="M27" s="63"/>
      <c r="N27" s="64"/>
      <c r="O27" s="30"/>
      <c r="P27" s="14"/>
      <c r="Q27" s="14"/>
      <c r="R27" s="31"/>
      <c r="S27" s="13"/>
      <c r="T27" s="14"/>
      <c r="U27" s="14"/>
      <c r="V27" s="15"/>
      <c r="W27" s="62"/>
      <c r="X27" s="63"/>
      <c r="Y27" s="63"/>
      <c r="Z27" s="64"/>
      <c r="AA27" s="13"/>
      <c r="AB27" s="14"/>
      <c r="AC27" s="14"/>
      <c r="AD27" s="15"/>
      <c r="AE27" s="13"/>
      <c r="AF27" s="14"/>
      <c r="AG27" s="14"/>
      <c r="AH27" s="15"/>
      <c r="AI27" s="89">
        <v>49</v>
      </c>
      <c r="AJ27" s="89">
        <v>49</v>
      </c>
      <c r="AK27" s="89">
        <v>49</v>
      </c>
      <c r="AL27" s="89">
        <v>49</v>
      </c>
      <c r="AM27">
        <f t="shared" si="1"/>
        <v>49</v>
      </c>
      <c r="AN27">
        <f t="shared" si="2"/>
        <v>49</v>
      </c>
      <c r="AO27">
        <f t="shared" si="3"/>
        <v>49</v>
      </c>
      <c r="AP27">
        <f t="shared" si="4"/>
        <v>49</v>
      </c>
    </row>
    <row r="28" spans="1:49" ht="17" thickBot="1" x14ac:dyDescent="0.25">
      <c r="A28" s="111">
        <v>2030</v>
      </c>
      <c r="B28" s="4" t="s">
        <v>13</v>
      </c>
      <c r="C28" s="6"/>
      <c r="D28" s="7"/>
      <c r="E28" s="7"/>
      <c r="F28" s="8"/>
      <c r="G28" s="71"/>
      <c r="H28" s="72"/>
      <c r="I28" s="72"/>
      <c r="J28" s="73"/>
      <c r="K28" s="71"/>
      <c r="L28" s="72"/>
      <c r="M28" s="72"/>
      <c r="N28" s="73"/>
      <c r="O28" s="19">
        <v>30.3</v>
      </c>
      <c r="P28" s="20">
        <v>31.4</v>
      </c>
      <c r="Q28" s="20">
        <v>30.6</v>
      </c>
      <c r="R28" s="21">
        <v>34.5</v>
      </c>
      <c r="S28" s="33">
        <v>143</v>
      </c>
      <c r="T28" s="20">
        <v>160</v>
      </c>
      <c r="U28" s="20">
        <v>201</v>
      </c>
      <c r="V28" s="34">
        <v>217</v>
      </c>
      <c r="W28" s="65">
        <f>1.2+1.9</f>
        <v>3.0999999999999996</v>
      </c>
      <c r="X28" s="66">
        <f>1.4+2.3</f>
        <v>3.6999999999999997</v>
      </c>
      <c r="Y28" s="66">
        <f>1.7+2</f>
        <v>3.7</v>
      </c>
      <c r="Z28" s="67">
        <f>1.8+1.9</f>
        <v>3.7</v>
      </c>
      <c r="AA28" s="19">
        <v>5.5</v>
      </c>
      <c r="AB28" s="20">
        <v>6.9</v>
      </c>
      <c r="AC28" s="20">
        <v>9.1999999999999993</v>
      </c>
      <c r="AD28" s="21">
        <v>9.6999999999999993</v>
      </c>
      <c r="AE28" s="33">
        <v>1.6</v>
      </c>
      <c r="AF28" s="20">
        <v>0.8</v>
      </c>
      <c r="AG28" s="20">
        <v>1</v>
      </c>
      <c r="AH28" s="34">
        <v>0.5</v>
      </c>
      <c r="AI28" s="87">
        <v>80.787878787878782</v>
      </c>
      <c r="AJ28" s="87">
        <v>80.787878787878782</v>
      </c>
      <c r="AK28" s="87">
        <v>80.787878787878782</v>
      </c>
      <c r="AL28" s="87">
        <v>80.787878787878782</v>
      </c>
      <c r="AM28">
        <f t="shared" si="1"/>
        <v>264.28787878787875</v>
      </c>
      <c r="AN28">
        <f t="shared" si="2"/>
        <v>283.58787878787882</v>
      </c>
      <c r="AO28">
        <f t="shared" si="3"/>
        <v>326.28787878787875</v>
      </c>
      <c r="AP28">
        <f t="shared" si="4"/>
        <v>346.18787878787873</v>
      </c>
    </row>
    <row r="29" spans="1:49" ht="17" thickBot="1" x14ac:dyDescent="0.25">
      <c r="A29" s="111"/>
      <c r="B29" s="4" t="s">
        <v>23</v>
      </c>
      <c r="C29" s="9"/>
      <c r="D29" s="3"/>
      <c r="E29" s="3"/>
      <c r="F29" s="10"/>
      <c r="G29" s="59"/>
      <c r="H29" s="60"/>
      <c r="I29" s="60"/>
      <c r="J29" s="61"/>
      <c r="K29" s="59"/>
      <c r="L29" s="60"/>
      <c r="M29" s="60"/>
      <c r="N29" s="61"/>
      <c r="O29" s="22">
        <v>62.3</v>
      </c>
      <c r="P29" s="2">
        <v>55.4</v>
      </c>
      <c r="Q29" s="2">
        <v>48.3</v>
      </c>
      <c r="R29" s="23">
        <v>35.200000000000003</v>
      </c>
      <c r="S29" s="35">
        <v>30</v>
      </c>
      <c r="T29" s="2">
        <v>28</v>
      </c>
      <c r="U29" s="2">
        <v>39</v>
      </c>
      <c r="V29" s="12">
        <v>34</v>
      </c>
      <c r="W29" s="68">
        <f>0.04+0.8</f>
        <v>0.84000000000000008</v>
      </c>
      <c r="X29" s="69">
        <f>0.05+0.8</f>
        <v>0.85000000000000009</v>
      </c>
      <c r="Y29" s="69">
        <f>0.1+0.8</f>
        <v>0.9</v>
      </c>
      <c r="Z29" s="70">
        <f>0.1+0.7</f>
        <v>0.79999999999999993</v>
      </c>
      <c r="AA29" s="22">
        <v>0.3</v>
      </c>
      <c r="AB29" s="2">
        <v>0.3</v>
      </c>
      <c r="AC29" s="2">
        <v>0.4</v>
      </c>
      <c r="AD29" s="23">
        <v>0.5</v>
      </c>
      <c r="AE29" s="35">
        <v>0.1</v>
      </c>
      <c r="AF29" s="2">
        <v>0.1</v>
      </c>
      <c r="AG29" s="2">
        <v>0.1</v>
      </c>
      <c r="AH29" s="12">
        <v>0</v>
      </c>
      <c r="AI29" s="88">
        <v>140.54054054054055</v>
      </c>
      <c r="AJ29" s="88">
        <v>140.54054054054055</v>
      </c>
      <c r="AK29" s="88">
        <v>140.54054054054055</v>
      </c>
      <c r="AL29" s="88">
        <v>140.54054054054055</v>
      </c>
      <c r="AM29">
        <f t="shared" si="1"/>
        <v>234.08054054054054</v>
      </c>
      <c r="AN29">
        <f t="shared" si="2"/>
        <v>225.19054054054055</v>
      </c>
      <c r="AO29">
        <f t="shared" si="3"/>
        <v>229.24054054054056</v>
      </c>
      <c r="AP29">
        <f t="shared" si="4"/>
        <v>211.04054054054055</v>
      </c>
    </row>
    <row r="30" spans="1:49" ht="17" thickBot="1" x14ac:dyDescent="0.25">
      <c r="A30" s="111"/>
      <c r="B30" s="4" t="s">
        <v>15</v>
      </c>
      <c r="C30" s="11">
        <f t="shared" ref="C30" si="12">(D30+E30)/2</f>
        <v>431.5</v>
      </c>
      <c r="D30" s="2">
        <v>417</v>
      </c>
      <c r="E30" s="2">
        <v>446</v>
      </c>
      <c r="F30" s="12">
        <v>452</v>
      </c>
      <c r="G30" s="77">
        <f t="shared" ref="G30:G54" si="13">(H30+I30)/2</f>
        <v>235</v>
      </c>
      <c r="H30" s="75">
        <v>224</v>
      </c>
      <c r="I30" s="75">
        <v>246</v>
      </c>
      <c r="J30" s="76">
        <v>258</v>
      </c>
      <c r="K30" s="77">
        <f t="shared" ref="K30:K54" si="14">(L30+M30)/2</f>
        <v>196.5</v>
      </c>
      <c r="L30" s="75">
        <v>193</v>
      </c>
      <c r="M30" s="75">
        <v>200</v>
      </c>
      <c r="N30" s="76">
        <v>194</v>
      </c>
      <c r="O30" s="5"/>
      <c r="P30" s="3"/>
      <c r="Q30" s="3"/>
      <c r="R30" s="27"/>
      <c r="S30" s="9"/>
      <c r="T30" s="3"/>
      <c r="U30" s="3"/>
      <c r="V30" s="10"/>
      <c r="W30" s="59"/>
      <c r="X30" s="60"/>
      <c r="Y30" s="60"/>
      <c r="Z30" s="61"/>
      <c r="AA30" s="5"/>
      <c r="AB30" s="3"/>
      <c r="AC30" s="3"/>
      <c r="AD30" s="27"/>
      <c r="AE30" s="9"/>
      <c r="AF30" s="3"/>
      <c r="AG30" s="3"/>
      <c r="AH30" s="10"/>
      <c r="AI30" s="84"/>
      <c r="AJ30" s="85"/>
      <c r="AK30" s="85"/>
      <c r="AL30" s="86"/>
      <c r="AM30">
        <f>C30</f>
        <v>431.5</v>
      </c>
      <c r="AN30">
        <f t="shared" ref="AN30:AP30" si="15">D30</f>
        <v>417</v>
      </c>
      <c r="AO30">
        <f t="shared" si="15"/>
        <v>446</v>
      </c>
      <c r="AP30">
        <f t="shared" si="15"/>
        <v>452</v>
      </c>
    </row>
    <row r="31" spans="1:49" ht="17" thickBot="1" x14ac:dyDescent="0.25">
      <c r="A31" s="111"/>
      <c r="B31" s="4" t="s">
        <v>24</v>
      </c>
      <c r="C31" s="9"/>
      <c r="D31" s="3"/>
      <c r="E31" s="3"/>
      <c r="F31" s="10"/>
      <c r="G31" s="59"/>
      <c r="H31" s="60"/>
      <c r="I31" s="60"/>
      <c r="J31" s="61"/>
      <c r="K31" s="59"/>
      <c r="L31" s="60"/>
      <c r="M31" s="60"/>
      <c r="N31" s="61"/>
      <c r="O31" s="22">
        <v>30.6</v>
      </c>
      <c r="P31" s="2">
        <v>27.4</v>
      </c>
      <c r="Q31" s="2">
        <v>22.7</v>
      </c>
      <c r="R31" s="23">
        <v>15.8</v>
      </c>
      <c r="S31" s="35">
        <v>9.5</v>
      </c>
      <c r="T31" s="2">
        <v>10</v>
      </c>
      <c r="U31" s="2">
        <v>12</v>
      </c>
      <c r="V31" s="12">
        <v>14</v>
      </c>
      <c r="W31" s="68">
        <f>0.1+0.1</f>
        <v>0.2</v>
      </c>
      <c r="X31" s="69">
        <f>0.1+0.2</f>
        <v>0.30000000000000004</v>
      </c>
      <c r="Y31" s="69">
        <f>0.1+0.1</f>
        <v>0.2</v>
      </c>
      <c r="Z31" s="70">
        <f>0.1+0.1</f>
        <v>0.2</v>
      </c>
      <c r="AA31" s="22">
        <v>0.1</v>
      </c>
      <c r="AB31" s="2">
        <v>0.1</v>
      </c>
      <c r="AC31" s="2">
        <v>0.1</v>
      </c>
      <c r="AD31" s="23">
        <v>0.1</v>
      </c>
      <c r="AE31" s="35">
        <v>0.7</v>
      </c>
      <c r="AF31" s="2">
        <v>0.7</v>
      </c>
      <c r="AG31" s="2">
        <v>0.7</v>
      </c>
      <c r="AH31" s="12">
        <v>0.6</v>
      </c>
      <c r="AI31" s="88">
        <v>18.580645161290324</v>
      </c>
      <c r="AJ31" s="88">
        <v>18.580645161290324</v>
      </c>
      <c r="AK31" s="88">
        <v>18.580645161290324</v>
      </c>
      <c r="AL31" s="88">
        <v>18.580645161290324</v>
      </c>
      <c r="AM31">
        <f t="shared" si="1"/>
        <v>59.680645161290329</v>
      </c>
      <c r="AN31">
        <f t="shared" si="2"/>
        <v>57.08064516129032</v>
      </c>
      <c r="AO31">
        <f t="shared" si="3"/>
        <v>54.280645161290337</v>
      </c>
      <c r="AP31">
        <f t="shared" si="4"/>
        <v>49.280645161290323</v>
      </c>
    </row>
    <row r="32" spans="1:49" ht="17" thickBot="1" x14ac:dyDescent="0.25">
      <c r="A32" s="111"/>
      <c r="B32" s="4" t="s">
        <v>25</v>
      </c>
      <c r="C32" s="9"/>
      <c r="D32" s="3"/>
      <c r="E32" s="3"/>
      <c r="F32" s="10"/>
      <c r="G32" s="59"/>
      <c r="H32" s="60"/>
      <c r="I32" s="60"/>
      <c r="J32" s="61"/>
      <c r="K32" s="59"/>
      <c r="L32" s="60"/>
      <c r="M32" s="60"/>
      <c r="N32" s="61"/>
      <c r="O32" s="22">
        <v>31.6</v>
      </c>
      <c r="P32" s="2">
        <v>28.3</v>
      </c>
      <c r="Q32" s="2">
        <v>23.5</v>
      </c>
      <c r="R32" s="23">
        <v>16.3</v>
      </c>
      <c r="S32" s="35">
        <v>16</v>
      </c>
      <c r="T32" s="2">
        <v>17</v>
      </c>
      <c r="U32" s="2">
        <v>20</v>
      </c>
      <c r="V32" s="12">
        <v>23</v>
      </c>
      <c r="W32" s="68">
        <f>0.1+0.1</f>
        <v>0.2</v>
      </c>
      <c r="X32" s="69">
        <f>0.1+0.2</f>
        <v>0.30000000000000004</v>
      </c>
      <c r="Y32" s="69">
        <f>0.1+0.1</f>
        <v>0.2</v>
      </c>
      <c r="Z32" s="70">
        <f>0.1+0.1</f>
        <v>0.2</v>
      </c>
      <c r="AA32" s="22">
        <v>0.1</v>
      </c>
      <c r="AB32" s="2">
        <v>0.1</v>
      </c>
      <c r="AC32" s="2">
        <v>0.2</v>
      </c>
      <c r="AD32" s="23">
        <v>0.2</v>
      </c>
      <c r="AE32" s="35">
        <v>2</v>
      </c>
      <c r="AF32" s="2">
        <v>2.2000000000000002</v>
      </c>
      <c r="AG32" s="2">
        <v>2</v>
      </c>
      <c r="AH32" s="12">
        <v>1.9</v>
      </c>
      <c r="AI32" s="88">
        <v>44.869565217391305</v>
      </c>
      <c r="AJ32" s="88">
        <v>44.869565217391305</v>
      </c>
      <c r="AK32" s="88">
        <v>44.869565217391305</v>
      </c>
      <c r="AL32" s="88">
        <v>44.869565217391305</v>
      </c>
      <c r="AM32">
        <f t="shared" si="1"/>
        <v>94.769565217391317</v>
      </c>
      <c r="AN32">
        <f t="shared" si="2"/>
        <v>92.769565217391303</v>
      </c>
      <c r="AO32">
        <f t="shared" si="3"/>
        <v>90.769565217391317</v>
      </c>
      <c r="AP32">
        <f t="shared" si="4"/>
        <v>86.469565217391306</v>
      </c>
    </row>
    <row r="33" spans="1:42" ht="17" thickBot="1" x14ac:dyDescent="0.25">
      <c r="A33" s="111"/>
      <c r="B33" s="4" t="s">
        <v>26</v>
      </c>
      <c r="C33" s="13"/>
      <c r="D33" s="14"/>
      <c r="E33" s="14"/>
      <c r="F33" s="15"/>
      <c r="G33" s="62"/>
      <c r="H33" s="63"/>
      <c r="I33" s="63"/>
      <c r="J33" s="64"/>
      <c r="K33" s="62"/>
      <c r="L33" s="63"/>
      <c r="M33" s="63"/>
      <c r="N33" s="64"/>
      <c r="O33" s="22">
        <v>3.1</v>
      </c>
      <c r="P33" s="2">
        <v>4.0999999999999996</v>
      </c>
      <c r="Q33" s="2">
        <v>3.4</v>
      </c>
      <c r="R33" s="23">
        <v>6.2</v>
      </c>
      <c r="S33" s="36">
        <v>0.6</v>
      </c>
      <c r="T33" s="25">
        <v>0.6</v>
      </c>
      <c r="U33" s="25">
        <v>0.8</v>
      </c>
      <c r="V33" s="37">
        <v>0.8</v>
      </c>
      <c r="W33" s="68">
        <f>0.1+0.002</f>
        <v>0.10200000000000001</v>
      </c>
      <c r="X33" s="69">
        <f>0.2+0.003</f>
        <v>0.20300000000000001</v>
      </c>
      <c r="Y33" s="69">
        <f>0.2+0.005</f>
        <v>0.20500000000000002</v>
      </c>
      <c r="Z33" s="70">
        <f>0.2+0.003</f>
        <v>0.20300000000000001</v>
      </c>
      <c r="AA33" s="24">
        <v>0.3</v>
      </c>
      <c r="AB33" s="25">
        <v>0.4</v>
      </c>
      <c r="AC33" s="25">
        <v>0.5</v>
      </c>
      <c r="AD33" s="26">
        <v>0.6</v>
      </c>
      <c r="AE33" s="36">
        <v>3.0000000000000001E-3</v>
      </c>
      <c r="AF33" s="25">
        <v>1E-3</v>
      </c>
      <c r="AG33" s="25">
        <v>2E-3</v>
      </c>
      <c r="AH33" s="37">
        <v>1E-3</v>
      </c>
      <c r="AI33" s="89">
        <v>44.8</v>
      </c>
      <c r="AJ33" s="89">
        <v>44.8</v>
      </c>
      <c r="AK33" s="89">
        <v>44.8</v>
      </c>
      <c r="AL33" s="89">
        <v>44.8</v>
      </c>
      <c r="AM33">
        <f t="shared" si="1"/>
        <v>48.905000000000001</v>
      </c>
      <c r="AN33">
        <f t="shared" si="2"/>
        <v>50.103999999999999</v>
      </c>
      <c r="AO33">
        <f t="shared" si="3"/>
        <v>49.706999999999994</v>
      </c>
      <c r="AP33">
        <f t="shared" si="4"/>
        <v>52.603999999999999</v>
      </c>
    </row>
    <row r="34" spans="1:42" ht="17" thickBot="1" x14ac:dyDescent="0.25">
      <c r="A34" s="111">
        <v>2035</v>
      </c>
      <c r="B34" s="4" t="s">
        <v>13</v>
      </c>
      <c r="C34" s="6"/>
      <c r="D34" s="7"/>
      <c r="E34" s="7"/>
      <c r="F34" s="8"/>
      <c r="G34" s="71"/>
      <c r="H34" s="72"/>
      <c r="I34" s="72"/>
      <c r="J34" s="73"/>
      <c r="K34" s="71"/>
      <c r="L34" s="72"/>
      <c r="M34" s="72"/>
      <c r="N34" s="73"/>
      <c r="O34" s="28"/>
      <c r="P34" s="7"/>
      <c r="Q34" s="7"/>
      <c r="R34" s="29"/>
      <c r="S34" s="6"/>
      <c r="T34" s="7"/>
      <c r="U34" s="7"/>
      <c r="V34" s="8"/>
      <c r="W34" s="71"/>
      <c r="X34" s="72"/>
      <c r="Y34" s="72"/>
      <c r="Z34" s="73"/>
      <c r="AA34" s="6"/>
      <c r="AB34" s="7"/>
      <c r="AC34" s="7"/>
      <c r="AD34" s="8"/>
      <c r="AE34" s="6"/>
      <c r="AF34" s="7"/>
      <c r="AG34" s="7"/>
      <c r="AH34" s="8"/>
      <c r="AI34" s="87">
        <v>79.050505050505052</v>
      </c>
      <c r="AJ34" s="90">
        <v>79.050505050505052</v>
      </c>
      <c r="AK34" s="90">
        <v>79.050505050505052</v>
      </c>
      <c r="AL34" s="91">
        <v>79.050505050505052</v>
      </c>
      <c r="AM34">
        <f t="shared" si="1"/>
        <v>79.050505050505052</v>
      </c>
      <c r="AN34">
        <f t="shared" si="2"/>
        <v>79.050505050505052</v>
      </c>
      <c r="AO34">
        <f t="shared" si="3"/>
        <v>79.050505050505052</v>
      </c>
      <c r="AP34">
        <f t="shared" si="4"/>
        <v>79.050505050505052</v>
      </c>
    </row>
    <row r="35" spans="1:42" ht="17" thickBot="1" x14ac:dyDescent="0.25">
      <c r="A35" s="111"/>
      <c r="B35" s="4" t="s">
        <v>23</v>
      </c>
      <c r="C35" s="9"/>
      <c r="D35" s="3"/>
      <c r="E35" s="3"/>
      <c r="F35" s="10"/>
      <c r="G35" s="59"/>
      <c r="H35" s="60"/>
      <c r="I35" s="60"/>
      <c r="J35" s="61"/>
      <c r="K35" s="59"/>
      <c r="L35" s="60"/>
      <c r="M35" s="60"/>
      <c r="N35" s="61"/>
      <c r="O35" s="5"/>
      <c r="P35" s="3"/>
      <c r="Q35" s="3"/>
      <c r="R35" s="27"/>
      <c r="S35" s="9"/>
      <c r="T35" s="3"/>
      <c r="U35" s="3"/>
      <c r="V35" s="10"/>
      <c r="W35" s="59"/>
      <c r="X35" s="60"/>
      <c r="Y35" s="60"/>
      <c r="Z35" s="61"/>
      <c r="AA35" s="9"/>
      <c r="AB35" s="3"/>
      <c r="AC35" s="3"/>
      <c r="AD35" s="10"/>
      <c r="AE35" s="9"/>
      <c r="AF35" s="3"/>
      <c r="AG35" s="3"/>
      <c r="AH35" s="10"/>
      <c r="AI35" s="88">
        <v>142.29729729729729</v>
      </c>
      <c r="AJ35" s="92">
        <v>142.29729729729729</v>
      </c>
      <c r="AK35" s="92">
        <v>142.29729729729729</v>
      </c>
      <c r="AL35" s="93">
        <v>142.29729729729729</v>
      </c>
      <c r="AM35">
        <f t="shared" si="1"/>
        <v>142.29729729729729</v>
      </c>
      <c r="AN35">
        <f t="shared" si="2"/>
        <v>142.29729729729729</v>
      </c>
      <c r="AO35">
        <f t="shared" si="3"/>
        <v>142.29729729729729</v>
      </c>
      <c r="AP35">
        <f t="shared" si="4"/>
        <v>142.29729729729729</v>
      </c>
    </row>
    <row r="36" spans="1:42" ht="17" thickBot="1" x14ac:dyDescent="0.25">
      <c r="A36" s="111"/>
      <c r="B36" s="4" t="s">
        <v>15</v>
      </c>
      <c r="C36" s="11">
        <f t="shared" ref="C36" si="16">(D36+E36)/2</f>
        <v>365</v>
      </c>
      <c r="D36" s="2">
        <v>345</v>
      </c>
      <c r="E36" s="2">
        <v>385</v>
      </c>
      <c r="F36" s="12">
        <v>400</v>
      </c>
      <c r="G36" s="77">
        <f t="shared" si="13"/>
        <v>206</v>
      </c>
      <c r="H36" s="75">
        <v>190</v>
      </c>
      <c r="I36" s="75">
        <v>222</v>
      </c>
      <c r="J36" s="76">
        <v>236</v>
      </c>
      <c r="K36" s="77">
        <f t="shared" si="14"/>
        <v>159</v>
      </c>
      <c r="L36" s="75">
        <v>155</v>
      </c>
      <c r="M36" s="75">
        <v>163</v>
      </c>
      <c r="N36" s="76">
        <v>164</v>
      </c>
      <c r="O36" s="5"/>
      <c r="P36" s="3"/>
      <c r="Q36" s="3"/>
      <c r="R36" s="27"/>
      <c r="S36" s="9"/>
      <c r="T36" s="3"/>
      <c r="U36" s="3"/>
      <c r="V36" s="10"/>
      <c r="W36" s="59"/>
      <c r="X36" s="60"/>
      <c r="Y36" s="60"/>
      <c r="Z36" s="61"/>
      <c r="AA36" s="9"/>
      <c r="AB36" s="3"/>
      <c r="AC36" s="3"/>
      <c r="AD36" s="10"/>
      <c r="AE36" s="9"/>
      <c r="AF36" s="3"/>
      <c r="AG36" s="3"/>
      <c r="AH36" s="10"/>
      <c r="AI36" s="84"/>
      <c r="AJ36" s="85"/>
      <c r="AK36" s="85"/>
      <c r="AL36" s="86"/>
      <c r="AM36">
        <f>C36</f>
        <v>365</v>
      </c>
      <c r="AN36">
        <f t="shared" ref="AN36:AP36" si="17">D36</f>
        <v>345</v>
      </c>
      <c r="AO36">
        <f t="shared" si="17"/>
        <v>385</v>
      </c>
      <c r="AP36">
        <f t="shared" si="17"/>
        <v>400</v>
      </c>
    </row>
    <row r="37" spans="1:42" ht="17" thickBot="1" x14ac:dyDescent="0.25">
      <c r="A37" s="111"/>
      <c r="B37" s="4" t="s">
        <v>24</v>
      </c>
      <c r="C37" s="9"/>
      <c r="D37" s="3"/>
      <c r="E37" s="3"/>
      <c r="F37" s="10"/>
      <c r="G37" s="59"/>
      <c r="H37" s="60"/>
      <c r="I37" s="60"/>
      <c r="J37" s="61"/>
      <c r="K37" s="59"/>
      <c r="L37" s="60"/>
      <c r="M37" s="60"/>
      <c r="N37" s="61"/>
      <c r="O37" s="5"/>
      <c r="P37" s="3"/>
      <c r="Q37" s="3"/>
      <c r="R37" s="27"/>
      <c r="S37" s="9"/>
      <c r="T37" s="3"/>
      <c r="U37" s="3"/>
      <c r="V37" s="10"/>
      <c r="W37" s="59"/>
      <c r="X37" s="60"/>
      <c r="Y37" s="60"/>
      <c r="Z37" s="61"/>
      <c r="AA37" s="9"/>
      <c r="AB37" s="3"/>
      <c r="AC37" s="3"/>
      <c r="AD37" s="10"/>
      <c r="AE37" s="9"/>
      <c r="AF37" s="3"/>
      <c r="AG37" s="3"/>
      <c r="AH37" s="10"/>
      <c r="AI37" s="88">
        <v>18</v>
      </c>
      <c r="AJ37" s="92">
        <v>18</v>
      </c>
      <c r="AK37" s="92">
        <v>18</v>
      </c>
      <c r="AL37" s="93">
        <v>18</v>
      </c>
      <c r="AM37">
        <f t="shared" si="1"/>
        <v>18</v>
      </c>
      <c r="AN37">
        <f t="shared" si="2"/>
        <v>18</v>
      </c>
      <c r="AO37">
        <f t="shared" si="3"/>
        <v>18</v>
      </c>
      <c r="AP37">
        <f t="shared" si="4"/>
        <v>18</v>
      </c>
    </row>
    <row r="38" spans="1:42" ht="17" thickBot="1" x14ac:dyDescent="0.25">
      <c r="A38" s="111"/>
      <c r="B38" s="4" t="s">
        <v>25</v>
      </c>
      <c r="C38" s="9"/>
      <c r="D38" s="3"/>
      <c r="E38" s="3"/>
      <c r="F38" s="10"/>
      <c r="G38" s="59"/>
      <c r="H38" s="60"/>
      <c r="I38" s="60"/>
      <c r="J38" s="61"/>
      <c r="K38" s="59"/>
      <c r="L38" s="60"/>
      <c r="M38" s="60"/>
      <c r="N38" s="61"/>
      <c r="O38" s="5"/>
      <c r="P38" s="3"/>
      <c r="Q38" s="3"/>
      <c r="R38" s="27"/>
      <c r="S38" s="9"/>
      <c r="T38" s="3"/>
      <c r="U38" s="3"/>
      <c r="V38" s="10"/>
      <c r="W38" s="59"/>
      <c r="X38" s="60"/>
      <c r="Y38" s="60"/>
      <c r="Z38" s="61"/>
      <c r="AA38" s="9"/>
      <c r="AB38" s="3"/>
      <c r="AC38" s="3"/>
      <c r="AD38" s="10"/>
      <c r="AE38" s="9"/>
      <c r="AF38" s="3"/>
      <c r="AG38" s="3"/>
      <c r="AH38" s="10"/>
      <c r="AI38" s="88">
        <v>45.991304347826087</v>
      </c>
      <c r="AJ38" s="92">
        <v>45.991304347826087</v>
      </c>
      <c r="AK38" s="92">
        <v>45.991304347826087</v>
      </c>
      <c r="AL38" s="93">
        <v>45.991304347826087</v>
      </c>
      <c r="AM38">
        <f t="shared" si="1"/>
        <v>45.991304347826087</v>
      </c>
      <c r="AN38">
        <f t="shared" si="2"/>
        <v>45.991304347826087</v>
      </c>
      <c r="AO38">
        <f t="shared" si="3"/>
        <v>45.991304347826087</v>
      </c>
      <c r="AP38">
        <f t="shared" si="4"/>
        <v>45.991304347826087</v>
      </c>
    </row>
    <row r="39" spans="1:42" ht="17" thickBot="1" x14ac:dyDescent="0.25">
      <c r="A39" s="111"/>
      <c r="B39" s="4" t="s">
        <v>26</v>
      </c>
      <c r="C39" s="13"/>
      <c r="D39" s="14"/>
      <c r="E39" s="14"/>
      <c r="F39" s="15"/>
      <c r="G39" s="62"/>
      <c r="H39" s="63"/>
      <c r="I39" s="63"/>
      <c r="J39" s="64"/>
      <c r="K39" s="62"/>
      <c r="L39" s="63"/>
      <c r="M39" s="63"/>
      <c r="N39" s="64"/>
      <c r="O39" s="30"/>
      <c r="P39" s="14"/>
      <c r="Q39" s="14"/>
      <c r="R39" s="31"/>
      <c r="S39" s="13"/>
      <c r="T39" s="14"/>
      <c r="U39" s="14"/>
      <c r="V39" s="15"/>
      <c r="W39" s="62"/>
      <c r="X39" s="63"/>
      <c r="Y39" s="63"/>
      <c r="Z39" s="64"/>
      <c r="AA39" s="13"/>
      <c r="AB39" s="14"/>
      <c r="AC39" s="14"/>
      <c r="AD39" s="15"/>
      <c r="AE39" s="13"/>
      <c r="AF39" s="14"/>
      <c r="AG39" s="14"/>
      <c r="AH39" s="15"/>
      <c r="AI39" s="89">
        <v>46.9</v>
      </c>
      <c r="AJ39" s="94">
        <v>46.9</v>
      </c>
      <c r="AK39" s="94">
        <v>46.9</v>
      </c>
      <c r="AL39" s="95">
        <v>46.9</v>
      </c>
      <c r="AM39">
        <f t="shared" si="1"/>
        <v>46.9</v>
      </c>
      <c r="AN39">
        <f t="shared" si="2"/>
        <v>46.9</v>
      </c>
      <c r="AO39">
        <f t="shared" si="3"/>
        <v>46.9</v>
      </c>
      <c r="AP39">
        <f t="shared" si="4"/>
        <v>46.9</v>
      </c>
    </row>
    <row r="40" spans="1:42" ht="17" thickBot="1" x14ac:dyDescent="0.25">
      <c r="A40" s="111">
        <v>2040</v>
      </c>
      <c r="B40" s="4" t="s">
        <v>13</v>
      </c>
      <c r="C40" s="6"/>
      <c r="D40" s="7"/>
      <c r="E40" s="7"/>
      <c r="F40" s="8"/>
      <c r="G40" s="71"/>
      <c r="H40" s="72"/>
      <c r="I40" s="72"/>
      <c r="J40" s="73"/>
      <c r="K40" s="71"/>
      <c r="L40" s="72"/>
      <c r="M40" s="72"/>
      <c r="N40" s="73"/>
      <c r="O40" s="19">
        <v>22.4</v>
      </c>
      <c r="P40" s="20">
        <v>22.6</v>
      </c>
      <c r="Q40" s="20">
        <v>22.6</v>
      </c>
      <c r="R40" s="34">
        <v>24.2</v>
      </c>
      <c r="S40" s="6"/>
      <c r="T40" s="7"/>
      <c r="U40" s="7"/>
      <c r="V40" s="8"/>
      <c r="W40" s="71"/>
      <c r="X40" s="72"/>
      <c r="Y40" s="72"/>
      <c r="Z40" s="73"/>
      <c r="AA40" s="6"/>
      <c r="AB40" s="7"/>
      <c r="AC40" s="7"/>
      <c r="AD40" s="8"/>
      <c r="AE40" s="6"/>
      <c r="AF40" s="7"/>
      <c r="AG40" s="7"/>
      <c r="AH40" s="8"/>
      <c r="AI40" s="87">
        <v>79.919191919191917</v>
      </c>
      <c r="AJ40" s="90">
        <v>79.919191919191917</v>
      </c>
      <c r="AK40" s="90">
        <v>79.919191919191917</v>
      </c>
      <c r="AL40" s="91">
        <v>79.919191919191917</v>
      </c>
      <c r="AM40">
        <f t="shared" si="1"/>
        <v>102.31919191919192</v>
      </c>
      <c r="AN40">
        <f t="shared" si="2"/>
        <v>102.51919191919191</v>
      </c>
      <c r="AO40">
        <f t="shared" si="3"/>
        <v>102.51919191919191</v>
      </c>
      <c r="AP40">
        <f t="shared" si="4"/>
        <v>104.11919191919192</v>
      </c>
    </row>
    <row r="41" spans="1:42" ht="17" thickBot="1" x14ac:dyDescent="0.25">
      <c r="A41" s="111"/>
      <c r="B41" s="4" t="s">
        <v>23</v>
      </c>
      <c r="C41" s="9"/>
      <c r="D41" s="3"/>
      <c r="E41" s="3"/>
      <c r="F41" s="10"/>
      <c r="G41" s="59"/>
      <c r="H41" s="60"/>
      <c r="I41" s="60"/>
      <c r="J41" s="61"/>
      <c r="K41" s="59"/>
      <c r="L41" s="60"/>
      <c r="M41" s="60"/>
      <c r="N41" s="61"/>
      <c r="O41" s="22">
        <v>47.1</v>
      </c>
      <c r="P41" s="2">
        <v>40.1</v>
      </c>
      <c r="Q41" s="2">
        <v>34.6</v>
      </c>
      <c r="R41" s="12">
        <v>18.2</v>
      </c>
      <c r="S41" s="9"/>
      <c r="T41" s="3"/>
      <c r="U41" s="3"/>
      <c r="V41" s="10"/>
      <c r="W41" s="59"/>
      <c r="X41" s="60"/>
      <c r="Y41" s="60"/>
      <c r="Z41" s="61"/>
      <c r="AA41" s="9"/>
      <c r="AB41" s="3"/>
      <c r="AC41" s="3"/>
      <c r="AD41" s="10"/>
      <c r="AE41" s="9"/>
      <c r="AF41" s="3"/>
      <c r="AG41" s="3"/>
      <c r="AH41" s="10"/>
      <c r="AI41" s="88">
        <v>144.05405405405406</v>
      </c>
      <c r="AJ41" s="92">
        <v>144.05405405405406</v>
      </c>
      <c r="AK41" s="92">
        <v>144.05405405405406</v>
      </c>
      <c r="AL41" s="93">
        <v>144.05405405405406</v>
      </c>
      <c r="AM41">
        <f t="shared" si="1"/>
        <v>191.15405405405406</v>
      </c>
      <c r="AN41">
        <f t="shared" si="2"/>
        <v>184.15405405405406</v>
      </c>
      <c r="AO41">
        <f t="shared" si="3"/>
        <v>178.65405405405406</v>
      </c>
      <c r="AP41">
        <f t="shared" si="4"/>
        <v>162.25405405405405</v>
      </c>
    </row>
    <row r="42" spans="1:42" ht="17" thickBot="1" x14ac:dyDescent="0.25">
      <c r="A42" s="111"/>
      <c r="B42" s="4" t="s">
        <v>15</v>
      </c>
      <c r="C42" s="11">
        <f t="shared" ref="C42" si="18">(D42+E42)/2</f>
        <v>301.5</v>
      </c>
      <c r="D42" s="2">
        <v>279</v>
      </c>
      <c r="E42" s="2">
        <v>324</v>
      </c>
      <c r="F42" s="12">
        <v>345</v>
      </c>
      <c r="G42" s="77">
        <f t="shared" si="13"/>
        <v>178</v>
      </c>
      <c r="H42" s="75">
        <v>158</v>
      </c>
      <c r="I42" s="75">
        <v>198</v>
      </c>
      <c r="J42" s="76">
        <v>213</v>
      </c>
      <c r="K42" s="77">
        <f t="shared" si="14"/>
        <v>123.5</v>
      </c>
      <c r="L42" s="75">
        <v>121</v>
      </c>
      <c r="M42" s="75">
        <v>126</v>
      </c>
      <c r="N42" s="76">
        <v>132</v>
      </c>
      <c r="O42" s="5"/>
      <c r="P42" s="3"/>
      <c r="Q42" s="3"/>
      <c r="R42" s="10"/>
      <c r="S42" s="9"/>
      <c r="T42" s="3"/>
      <c r="U42" s="3"/>
      <c r="V42" s="10"/>
      <c r="W42" s="59"/>
      <c r="X42" s="60"/>
      <c r="Y42" s="60"/>
      <c r="Z42" s="61"/>
      <c r="AA42" s="9"/>
      <c r="AB42" s="3"/>
      <c r="AC42" s="3"/>
      <c r="AD42" s="10"/>
      <c r="AE42" s="9"/>
      <c r="AF42" s="3"/>
      <c r="AG42" s="3"/>
      <c r="AH42" s="10"/>
      <c r="AI42" s="84"/>
      <c r="AJ42" s="85"/>
      <c r="AK42" s="85"/>
      <c r="AL42" s="86"/>
      <c r="AM42">
        <f>C42</f>
        <v>301.5</v>
      </c>
      <c r="AN42">
        <f t="shared" ref="AN42:AP42" si="19">D42</f>
        <v>279</v>
      </c>
      <c r="AO42">
        <f t="shared" si="19"/>
        <v>324</v>
      </c>
      <c r="AP42">
        <f t="shared" si="19"/>
        <v>345</v>
      </c>
    </row>
    <row r="43" spans="1:42" ht="17" thickBot="1" x14ac:dyDescent="0.25">
      <c r="A43" s="111"/>
      <c r="B43" s="4" t="s">
        <v>24</v>
      </c>
      <c r="C43" s="9"/>
      <c r="D43" s="3"/>
      <c r="E43" s="3"/>
      <c r="F43" s="10"/>
      <c r="G43" s="59"/>
      <c r="H43" s="60"/>
      <c r="I43" s="60"/>
      <c r="J43" s="61"/>
      <c r="K43" s="59"/>
      <c r="L43" s="60"/>
      <c r="M43" s="60"/>
      <c r="N43" s="61"/>
      <c r="O43" s="22">
        <v>18.5</v>
      </c>
      <c r="P43" s="2">
        <v>16.5</v>
      </c>
      <c r="Q43" s="2">
        <v>14.4</v>
      </c>
      <c r="R43" s="12">
        <v>7.4</v>
      </c>
      <c r="S43" s="9"/>
      <c r="T43" s="3"/>
      <c r="U43" s="3"/>
      <c r="V43" s="10"/>
      <c r="W43" s="59"/>
      <c r="X43" s="60"/>
      <c r="Y43" s="60"/>
      <c r="Z43" s="61"/>
      <c r="AA43" s="9"/>
      <c r="AB43" s="3"/>
      <c r="AC43" s="3"/>
      <c r="AD43" s="10"/>
      <c r="AE43" s="9"/>
      <c r="AF43" s="3"/>
      <c r="AG43" s="3"/>
      <c r="AH43" s="10"/>
      <c r="AI43" s="88">
        <v>18.580645161290324</v>
      </c>
      <c r="AJ43" s="92">
        <v>18.580645161290324</v>
      </c>
      <c r="AK43" s="92">
        <v>18.580645161290324</v>
      </c>
      <c r="AL43" s="93">
        <v>18.580645161290324</v>
      </c>
      <c r="AM43">
        <f t="shared" si="1"/>
        <v>37.08064516129032</v>
      </c>
      <c r="AN43">
        <f t="shared" si="2"/>
        <v>35.08064516129032</v>
      </c>
      <c r="AO43">
        <f t="shared" si="3"/>
        <v>32.980645161290326</v>
      </c>
      <c r="AP43">
        <f t="shared" si="4"/>
        <v>25.980645161290326</v>
      </c>
    </row>
    <row r="44" spans="1:42" ht="17" thickBot="1" x14ac:dyDescent="0.25">
      <c r="A44" s="111"/>
      <c r="B44" s="4" t="s">
        <v>25</v>
      </c>
      <c r="C44" s="9"/>
      <c r="D44" s="3"/>
      <c r="E44" s="3"/>
      <c r="F44" s="10"/>
      <c r="G44" s="59"/>
      <c r="H44" s="60"/>
      <c r="I44" s="60"/>
      <c r="J44" s="61"/>
      <c r="K44" s="59"/>
      <c r="L44" s="60"/>
      <c r="M44" s="60"/>
      <c r="N44" s="61"/>
      <c r="O44" s="22">
        <v>19.399999999999999</v>
      </c>
      <c r="P44" s="2">
        <v>17.2</v>
      </c>
      <c r="Q44" s="2">
        <v>14.9</v>
      </c>
      <c r="R44" s="12">
        <v>7.6</v>
      </c>
      <c r="S44" s="9"/>
      <c r="T44" s="3"/>
      <c r="U44" s="3"/>
      <c r="V44" s="10"/>
      <c r="W44" s="59"/>
      <c r="X44" s="60"/>
      <c r="Y44" s="60"/>
      <c r="Z44" s="61"/>
      <c r="AA44" s="9"/>
      <c r="AB44" s="3"/>
      <c r="AC44" s="3"/>
      <c r="AD44" s="10"/>
      <c r="AE44" s="9"/>
      <c r="AF44" s="3"/>
      <c r="AG44" s="3"/>
      <c r="AH44" s="10"/>
      <c r="AI44" s="88">
        <v>48.234782608695653</v>
      </c>
      <c r="AJ44" s="92">
        <v>48.234782608695653</v>
      </c>
      <c r="AK44" s="92">
        <v>48.234782608695653</v>
      </c>
      <c r="AL44" s="93">
        <v>48.234782608695653</v>
      </c>
      <c r="AM44">
        <f t="shared" si="1"/>
        <v>67.634782608695645</v>
      </c>
      <c r="AN44">
        <f t="shared" si="2"/>
        <v>65.434782608695656</v>
      </c>
      <c r="AO44">
        <f t="shared" si="3"/>
        <v>63.134782608695652</v>
      </c>
      <c r="AP44">
        <f t="shared" si="4"/>
        <v>55.834782608695654</v>
      </c>
    </row>
    <row r="45" spans="1:42" ht="17" thickBot="1" x14ac:dyDescent="0.25">
      <c r="A45" s="111"/>
      <c r="B45" s="4" t="s">
        <v>26</v>
      </c>
      <c r="C45" s="13"/>
      <c r="D45" s="14"/>
      <c r="E45" s="14"/>
      <c r="F45" s="15"/>
      <c r="G45" s="62"/>
      <c r="H45" s="63"/>
      <c r="I45" s="63"/>
      <c r="J45" s="64"/>
      <c r="K45" s="62"/>
      <c r="L45" s="63"/>
      <c r="M45" s="63"/>
      <c r="N45" s="64"/>
      <c r="O45" s="24">
        <v>2.4</v>
      </c>
      <c r="P45" s="25">
        <v>2.1</v>
      </c>
      <c r="Q45" s="25">
        <v>2</v>
      </c>
      <c r="R45" s="37">
        <v>3.3</v>
      </c>
      <c r="S45" s="13"/>
      <c r="T45" s="14"/>
      <c r="U45" s="14"/>
      <c r="V45" s="15"/>
      <c r="W45" s="62"/>
      <c r="X45" s="63"/>
      <c r="Y45" s="63"/>
      <c r="Z45" s="64"/>
      <c r="AA45" s="13"/>
      <c r="AB45" s="14"/>
      <c r="AC45" s="14"/>
      <c r="AD45" s="15"/>
      <c r="AE45" s="13"/>
      <c r="AF45" s="14"/>
      <c r="AG45" s="14"/>
      <c r="AH45" s="15"/>
      <c r="AI45" s="89">
        <v>45.5</v>
      </c>
      <c r="AJ45" s="94">
        <v>45.5</v>
      </c>
      <c r="AK45" s="94">
        <v>45.5</v>
      </c>
      <c r="AL45" s="95">
        <v>45.5</v>
      </c>
      <c r="AM45">
        <f t="shared" si="1"/>
        <v>47.9</v>
      </c>
      <c r="AN45">
        <f t="shared" si="2"/>
        <v>47.6</v>
      </c>
      <c r="AO45">
        <f t="shared" si="3"/>
        <v>47.5</v>
      </c>
      <c r="AP45">
        <f t="shared" si="4"/>
        <v>48.8</v>
      </c>
    </row>
    <row r="46" spans="1:42" ht="17" thickBot="1" x14ac:dyDescent="0.25">
      <c r="A46" s="111">
        <v>2045</v>
      </c>
      <c r="B46" s="4" t="s">
        <v>13</v>
      </c>
      <c r="C46" s="6"/>
      <c r="D46" s="7"/>
      <c r="E46" s="7"/>
      <c r="F46" s="8"/>
      <c r="G46" s="71"/>
      <c r="H46" s="72"/>
      <c r="I46" s="72"/>
      <c r="J46" s="73"/>
      <c r="K46" s="71"/>
      <c r="L46" s="72"/>
      <c r="M46" s="72"/>
      <c r="N46" s="73"/>
      <c r="O46" s="28"/>
      <c r="P46" s="7"/>
      <c r="Q46" s="7"/>
      <c r="R46" s="29"/>
      <c r="S46" s="6"/>
      <c r="T46" s="7"/>
      <c r="U46" s="7"/>
      <c r="V46" s="8"/>
      <c r="W46" s="71"/>
      <c r="X46" s="72"/>
      <c r="Y46" s="72"/>
      <c r="Z46" s="73"/>
      <c r="AA46" s="6"/>
      <c r="AB46" s="7"/>
      <c r="AC46" s="7"/>
      <c r="AD46" s="8"/>
      <c r="AE46" s="6"/>
      <c r="AF46" s="7"/>
      <c r="AG46" s="7"/>
      <c r="AH46" s="8"/>
      <c r="AI46" s="87">
        <v>79.919191919191917</v>
      </c>
      <c r="AJ46" s="90">
        <v>79.919191919191917</v>
      </c>
      <c r="AK46" s="90">
        <v>79.919191919191917</v>
      </c>
      <c r="AL46" s="91">
        <v>79.919191919191917</v>
      </c>
      <c r="AM46">
        <f t="shared" si="1"/>
        <v>79.919191919191917</v>
      </c>
      <c r="AN46">
        <f t="shared" si="2"/>
        <v>79.919191919191917</v>
      </c>
      <c r="AO46">
        <f t="shared" si="3"/>
        <v>79.919191919191917</v>
      </c>
      <c r="AP46">
        <f t="shared" si="4"/>
        <v>79.919191919191917</v>
      </c>
    </row>
    <row r="47" spans="1:42" ht="17" thickBot="1" x14ac:dyDescent="0.25">
      <c r="A47" s="111"/>
      <c r="B47" s="4" t="s">
        <v>23</v>
      </c>
      <c r="C47" s="9"/>
      <c r="D47" s="3"/>
      <c r="E47" s="3"/>
      <c r="F47" s="10"/>
      <c r="G47" s="59"/>
      <c r="H47" s="60"/>
      <c r="I47" s="60"/>
      <c r="J47" s="61"/>
      <c r="K47" s="59"/>
      <c r="L47" s="60"/>
      <c r="M47" s="60"/>
      <c r="N47" s="61"/>
      <c r="O47" s="5"/>
      <c r="P47" s="3"/>
      <c r="Q47" s="3"/>
      <c r="R47" s="27"/>
      <c r="S47" s="9"/>
      <c r="T47" s="3"/>
      <c r="U47" s="3"/>
      <c r="V47" s="10"/>
      <c r="W47" s="59"/>
      <c r="X47" s="60"/>
      <c r="Y47" s="60"/>
      <c r="Z47" s="61"/>
      <c r="AA47" s="9"/>
      <c r="AB47" s="3"/>
      <c r="AC47" s="3"/>
      <c r="AD47" s="10"/>
      <c r="AE47" s="9"/>
      <c r="AF47" s="3"/>
      <c r="AG47" s="3"/>
      <c r="AH47" s="10"/>
      <c r="AI47" s="88">
        <v>145.81081081081081</v>
      </c>
      <c r="AJ47" s="92">
        <v>145.81081081081081</v>
      </c>
      <c r="AK47" s="92">
        <v>145.81081081081081</v>
      </c>
      <c r="AL47" s="93">
        <v>145.81081081081081</v>
      </c>
      <c r="AM47">
        <f t="shared" si="1"/>
        <v>145.81081081081081</v>
      </c>
      <c r="AN47">
        <f t="shared" si="2"/>
        <v>145.81081081081081</v>
      </c>
      <c r="AO47">
        <f t="shared" si="3"/>
        <v>145.81081081081081</v>
      </c>
      <c r="AP47">
        <f t="shared" si="4"/>
        <v>145.81081081081081</v>
      </c>
    </row>
    <row r="48" spans="1:42" ht="17" thickBot="1" x14ac:dyDescent="0.25">
      <c r="A48" s="111"/>
      <c r="B48" s="4" t="s">
        <v>15</v>
      </c>
      <c r="C48" s="11">
        <f t="shared" ref="C48" si="20">(D48+E48)/2</f>
        <v>242.5</v>
      </c>
      <c r="D48" s="2">
        <v>220</v>
      </c>
      <c r="E48" s="2">
        <v>265</v>
      </c>
      <c r="F48" s="12">
        <v>289</v>
      </c>
      <c r="G48" s="77">
        <f t="shared" si="13"/>
        <v>152.5</v>
      </c>
      <c r="H48" s="75">
        <v>131</v>
      </c>
      <c r="I48" s="75">
        <v>174</v>
      </c>
      <c r="J48" s="76">
        <v>189</v>
      </c>
      <c r="K48" s="77">
        <f t="shared" si="14"/>
        <v>90</v>
      </c>
      <c r="L48" s="75">
        <v>89</v>
      </c>
      <c r="M48" s="75">
        <v>91</v>
      </c>
      <c r="N48" s="76">
        <v>100</v>
      </c>
      <c r="O48" s="5"/>
      <c r="P48" s="3"/>
      <c r="Q48" s="3"/>
      <c r="R48" s="27"/>
      <c r="S48" s="9"/>
      <c r="T48" s="3"/>
      <c r="U48" s="3"/>
      <c r="V48" s="10"/>
      <c r="W48" s="59"/>
      <c r="X48" s="60"/>
      <c r="Y48" s="60"/>
      <c r="Z48" s="61"/>
      <c r="AA48" s="9"/>
      <c r="AB48" s="3"/>
      <c r="AC48" s="3"/>
      <c r="AD48" s="10"/>
      <c r="AE48" s="9"/>
      <c r="AF48" s="3"/>
      <c r="AG48" s="3"/>
      <c r="AH48" s="10"/>
      <c r="AI48" s="84"/>
      <c r="AJ48" s="85"/>
      <c r="AK48" s="85"/>
      <c r="AL48" s="86"/>
      <c r="AM48">
        <f>C48</f>
        <v>242.5</v>
      </c>
      <c r="AN48">
        <f t="shared" ref="AN48:AP48" si="21">D48</f>
        <v>220</v>
      </c>
      <c r="AO48">
        <f t="shared" si="21"/>
        <v>265</v>
      </c>
      <c r="AP48">
        <f t="shared" si="21"/>
        <v>289</v>
      </c>
    </row>
    <row r="49" spans="1:42" ht="17" thickBot="1" x14ac:dyDescent="0.25">
      <c r="A49" s="111"/>
      <c r="B49" s="4" t="s">
        <v>24</v>
      </c>
      <c r="C49" s="9"/>
      <c r="D49" s="3"/>
      <c r="E49" s="3"/>
      <c r="F49" s="10"/>
      <c r="G49" s="59"/>
      <c r="H49" s="60"/>
      <c r="I49" s="60"/>
      <c r="J49" s="61"/>
      <c r="K49" s="59"/>
      <c r="L49" s="60"/>
      <c r="M49" s="60"/>
      <c r="N49" s="61"/>
      <c r="O49" s="5"/>
      <c r="P49" s="3"/>
      <c r="Q49" s="3"/>
      <c r="R49" s="27"/>
      <c r="S49" s="9"/>
      <c r="T49" s="3"/>
      <c r="U49" s="3"/>
      <c r="V49" s="10"/>
      <c r="W49" s="59"/>
      <c r="X49" s="60"/>
      <c r="Y49" s="60"/>
      <c r="Z49" s="61"/>
      <c r="AA49" s="9"/>
      <c r="AB49" s="3"/>
      <c r="AC49" s="3"/>
      <c r="AD49" s="10"/>
      <c r="AE49" s="9"/>
      <c r="AF49" s="3"/>
      <c r="AG49" s="3"/>
      <c r="AH49" s="10"/>
      <c r="AI49" s="88">
        <v>18.580645161290324</v>
      </c>
      <c r="AJ49" s="92">
        <v>18.580645161290324</v>
      </c>
      <c r="AK49" s="92">
        <v>18.580645161290324</v>
      </c>
      <c r="AL49" s="93">
        <v>18.580645161290324</v>
      </c>
      <c r="AM49">
        <f t="shared" si="1"/>
        <v>18.580645161290324</v>
      </c>
      <c r="AN49">
        <f t="shared" si="2"/>
        <v>18.580645161290324</v>
      </c>
      <c r="AO49">
        <f t="shared" si="3"/>
        <v>18.580645161290324</v>
      </c>
      <c r="AP49">
        <f t="shared" si="4"/>
        <v>18.580645161290324</v>
      </c>
    </row>
    <row r="50" spans="1:42" ht="17" thickBot="1" x14ac:dyDescent="0.25">
      <c r="A50" s="111"/>
      <c r="B50" s="4" t="s">
        <v>25</v>
      </c>
      <c r="C50" s="9"/>
      <c r="D50" s="3"/>
      <c r="E50" s="3"/>
      <c r="F50" s="10"/>
      <c r="G50" s="59"/>
      <c r="H50" s="60"/>
      <c r="I50" s="60"/>
      <c r="J50" s="61"/>
      <c r="K50" s="59"/>
      <c r="L50" s="60"/>
      <c r="M50" s="60"/>
      <c r="N50" s="61"/>
      <c r="O50" s="5"/>
      <c r="P50" s="3"/>
      <c r="Q50" s="3"/>
      <c r="R50" s="27"/>
      <c r="S50" s="9"/>
      <c r="T50" s="3"/>
      <c r="U50" s="3"/>
      <c r="V50" s="10"/>
      <c r="W50" s="59"/>
      <c r="X50" s="60"/>
      <c r="Y50" s="60"/>
      <c r="Z50" s="61"/>
      <c r="AA50" s="9"/>
      <c r="AB50" s="3"/>
      <c r="AC50" s="3"/>
      <c r="AD50" s="10"/>
      <c r="AE50" s="9"/>
      <c r="AF50" s="3"/>
      <c r="AG50" s="3"/>
      <c r="AH50" s="10"/>
      <c r="AI50" s="88">
        <v>50.104347826086958</v>
      </c>
      <c r="AJ50" s="92">
        <v>50.104347826086958</v>
      </c>
      <c r="AK50" s="92">
        <v>50.104347826086958</v>
      </c>
      <c r="AL50" s="93">
        <v>50.104347826086958</v>
      </c>
      <c r="AM50">
        <f t="shared" si="1"/>
        <v>50.104347826086958</v>
      </c>
      <c r="AN50">
        <f t="shared" si="2"/>
        <v>50.104347826086958</v>
      </c>
      <c r="AO50">
        <f t="shared" si="3"/>
        <v>50.104347826086958</v>
      </c>
      <c r="AP50">
        <f t="shared" si="4"/>
        <v>50.104347826086958</v>
      </c>
    </row>
    <row r="51" spans="1:42" ht="17" thickBot="1" x14ac:dyDescent="0.25">
      <c r="A51" s="111"/>
      <c r="B51" s="4" t="s">
        <v>26</v>
      </c>
      <c r="C51" s="13"/>
      <c r="D51" s="14"/>
      <c r="E51" s="14"/>
      <c r="F51" s="15"/>
      <c r="G51" s="62"/>
      <c r="H51" s="63"/>
      <c r="I51" s="63"/>
      <c r="J51" s="64"/>
      <c r="K51" s="62"/>
      <c r="L51" s="63"/>
      <c r="M51" s="63"/>
      <c r="N51" s="64"/>
      <c r="O51" s="30"/>
      <c r="P51" s="14"/>
      <c r="Q51" s="14"/>
      <c r="R51" s="31"/>
      <c r="S51" s="13"/>
      <c r="T51" s="14"/>
      <c r="U51" s="14"/>
      <c r="V51" s="15"/>
      <c r="W51" s="62"/>
      <c r="X51" s="63"/>
      <c r="Y51" s="63"/>
      <c r="Z51" s="64"/>
      <c r="AA51" s="13"/>
      <c r="AB51" s="14"/>
      <c r="AC51" s="14"/>
      <c r="AD51" s="15"/>
      <c r="AE51" s="13"/>
      <c r="AF51" s="14"/>
      <c r="AG51" s="14"/>
      <c r="AH51" s="15"/>
      <c r="AI51" s="89">
        <v>44.1</v>
      </c>
      <c r="AJ51" s="94">
        <v>44.1</v>
      </c>
      <c r="AK51" s="94">
        <v>44.1</v>
      </c>
      <c r="AL51" s="95">
        <v>44.1</v>
      </c>
      <c r="AM51">
        <f t="shared" si="1"/>
        <v>44.1</v>
      </c>
      <c r="AN51">
        <f t="shared" si="2"/>
        <v>44.1</v>
      </c>
      <c r="AO51">
        <f t="shared" si="3"/>
        <v>44.1</v>
      </c>
      <c r="AP51">
        <f t="shared" si="4"/>
        <v>44.1</v>
      </c>
    </row>
    <row r="52" spans="1:42" ht="17" thickBot="1" x14ac:dyDescent="0.25">
      <c r="A52" s="111">
        <v>2050</v>
      </c>
      <c r="B52" s="4" t="s">
        <v>13</v>
      </c>
      <c r="C52" s="6"/>
      <c r="D52" s="7"/>
      <c r="E52" s="7"/>
      <c r="F52" s="8"/>
      <c r="G52" s="71"/>
      <c r="H52" s="72"/>
      <c r="I52" s="72"/>
      <c r="J52" s="73"/>
      <c r="K52" s="71"/>
      <c r="L52" s="72"/>
      <c r="M52" s="72"/>
      <c r="N52" s="73"/>
      <c r="O52" s="19">
        <v>20.399999999999999</v>
      </c>
      <c r="P52" s="20">
        <v>19.600000000000001</v>
      </c>
      <c r="Q52" s="20">
        <v>18.399999999999999</v>
      </c>
      <c r="R52" s="21">
        <v>18.3</v>
      </c>
      <c r="S52" s="33">
        <v>15</v>
      </c>
      <c r="T52" s="20">
        <v>13</v>
      </c>
      <c r="U52" s="20">
        <v>17</v>
      </c>
      <c r="V52" s="34">
        <v>15</v>
      </c>
      <c r="W52" s="65">
        <f>0.7+1.8</f>
        <v>2.5</v>
      </c>
      <c r="X52" s="66">
        <f>0.8+2.2</f>
        <v>3</v>
      </c>
      <c r="Y52" s="66">
        <f>1.3+1.9</f>
        <v>3.2</v>
      </c>
      <c r="Z52" s="67">
        <f>1.3+1.8</f>
        <v>3.1</v>
      </c>
      <c r="AA52" s="19">
        <v>3.6</v>
      </c>
      <c r="AB52" s="20">
        <v>4.8</v>
      </c>
      <c r="AC52" s="20">
        <v>9.4</v>
      </c>
      <c r="AD52" s="21">
        <v>10</v>
      </c>
      <c r="AE52" s="33">
        <v>0.9</v>
      </c>
      <c r="AF52" s="20">
        <v>0.4</v>
      </c>
      <c r="AG52" s="20">
        <v>0</v>
      </c>
      <c r="AH52" s="34">
        <v>0</v>
      </c>
      <c r="AI52" s="87">
        <v>79.050505050505052</v>
      </c>
      <c r="AJ52" s="90">
        <v>79.050505050505052</v>
      </c>
      <c r="AK52" s="90">
        <v>79.050505050505052</v>
      </c>
      <c r="AL52" s="91">
        <v>79.050505050505052</v>
      </c>
      <c r="AM52">
        <f t="shared" si="1"/>
        <v>121.45050505050506</v>
      </c>
      <c r="AN52">
        <f t="shared" si="2"/>
        <v>119.85050505050505</v>
      </c>
      <c r="AO52">
        <f t="shared" si="3"/>
        <v>127.05050505050505</v>
      </c>
      <c r="AP52">
        <f t="shared" si="4"/>
        <v>125.45050505050506</v>
      </c>
    </row>
    <row r="53" spans="1:42" ht="17" thickBot="1" x14ac:dyDescent="0.25">
      <c r="A53" s="111"/>
      <c r="B53" s="4" t="s">
        <v>23</v>
      </c>
      <c r="C53" s="9"/>
      <c r="D53" s="3"/>
      <c r="E53" s="3"/>
      <c r="F53" s="10"/>
      <c r="G53" s="59"/>
      <c r="H53" s="60"/>
      <c r="I53" s="60"/>
      <c r="J53" s="61"/>
      <c r="K53" s="59"/>
      <c r="L53" s="60"/>
      <c r="M53" s="60"/>
      <c r="N53" s="61"/>
      <c r="O53" s="22">
        <v>48.2</v>
      </c>
      <c r="P53" s="2">
        <v>38.1</v>
      </c>
      <c r="Q53" s="2">
        <v>29.7</v>
      </c>
      <c r="R53" s="23">
        <v>11.8</v>
      </c>
      <c r="S53" s="35">
        <v>6.7</v>
      </c>
      <c r="T53" s="2">
        <v>5.8</v>
      </c>
      <c r="U53" s="2">
        <v>9.6</v>
      </c>
      <c r="V53" s="12">
        <v>9.9</v>
      </c>
      <c r="W53" s="68">
        <f>0.02+0.8</f>
        <v>0.82000000000000006</v>
      </c>
      <c r="X53" s="69">
        <f>0.03+0.9</f>
        <v>0.93</v>
      </c>
      <c r="Y53" s="69">
        <f>0.1+0.8</f>
        <v>0.9</v>
      </c>
      <c r="Z53" s="70">
        <f>0.1+0.8</f>
        <v>0.9</v>
      </c>
      <c r="AA53" s="22">
        <v>0.1</v>
      </c>
      <c r="AB53" s="2">
        <v>0.1</v>
      </c>
      <c r="AC53" s="2">
        <v>0.2</v>
      </c>
      <c r="AD53" s="23">
        <v>0.2</v>
      </c>
      <c r="AE53" s="35">
        <v>0.1</v>
      </c>
      <c r="AF53" s="2">
        <v>0.05</v>
      </c>
      <c r="AG53" s="2">
        <v>0</v>
      </c>
      <c r="AH53" s="12">
        <v>0</v>
      </c>
      <c r="AI53" s="88">
        <v>145.81081081081081</v>
      </c>
      <c r="AJ53" s="92">
        <v>145.81081081081081</v>
      </c>
      <c r="AK53" s="92">
        <v>145.81081081081081</v>
      </c>
      <c r="AL53" s="93">
        <v>145.81081081081081</v>
      </c>
      <c r="AM53">
        <f t="shared" si="1"/>
        <v>201.73081081081082</v>
      </c>
      <c r="AN53">
        <f t="shared" si="2"/>
        <v>190.7908108108108</v>
      </c>
      <c r="AO53">
        <f t="shared" si="3"/>
        <v>186.21081081081081</v>
      </c>
      <c r="AP53">
        <f t="shared" si="4"/>
        <v>168.61081081081082</v>
      </c>
    </row>
    <row r="54" spans="1:42" ht="17" thickBot="1" x14ac:dyDescent="0.25">
      <c r="A54" s="111"/>
      <c r="B54" s="4" t="s">
        <v>15</v>
      </c>
      <c r="C54" s="11">
        <f t="shared" ref="C54" si="22">(D54+E54)/2</f>
        <v>188.5</v>
      </c>
      <c r="D54" s="2">
        <v>168</v>
      </c>
      <c r="E54" s="2">
        <v>209</v>
      </c>
      <c r="F54" s="12">
        <v>233</v>
      </c>
      <c r="G54" s="77">
        <f t="shared" si="13"/>
        <v>129.5</v>
      </c>
      <c r="H54" s="75">
        <v>106</v>
      </c>
      <c r="I54" s="75">
        <v>153</v>
      </c>
      <c r="J54" s="76">
        <v>166</v>
      </c>
      <c r="K54" s="77">
        <f t="shared" si="14"/>
        <v>59</v>
      </c>
      <c r="L54" s="75">
        <v>62</v>
      </c>
      <c r="M54" s="75">
        <v>56</v>
      </c>
      <c r="N54" s="76">
        <v>67</v>
      </c>
      <c r="O54" s="5"/>
      <c r="P54" s="3"/>
      <c r="Q54" s="3"/>
      <c r="R54" s="27"/>
      <c r="S54" s="9"/>
      <c r="T54" s="3"/>
      <c r="U54" s="3"/>
      <c r="V54" s="10"/>
      <c r="W54" s="59"/>
      <c r="X54" s="60"/>
      <c r="Y54" s="60"/>
      <c r="Z54" s="61"/>
      <c r="AA54" s="5"/>
      <c r="AB54" s="3"/>
      <c r="AC54" s="3"/>
      <c r="AD54" s="27"/>
      <c r="AE54" s="9"/>
      <c r="AF54" s="3"/>
      <c r="AG54" s="3"/>
      <c r="AH54" s="10"/>
      <c r="AI54" s="84"/>
      <c r="AJ54" s="85"/>
      <c r="AK54" s="85"/>
      <c r="AL54" s="86"/>
      <c r="AM54">
        <f>C54</f>
        <v>188.5</v>
      </c>
      <c r="AN54">
        <f t="shared" ref="AN54:AP54" si="23">D54</f>
        <v>168</v>
      </c>
      <c r="AO54">
        <f t="shared" si="23"/>
        <v>209</v>
      </c>
      <c r="AP54">
        <f t="shared" si="23"/>
        <v>233</v>
      </c>
    </row>
    <row r="55" spans="1:42" ht="17" thickBot="1" x14ac:dyDescent="0.25">
      <c r="A55" s="111"/>
      <c r="B55" s="4" t="s">
        <v>24</v>
      </c>
      <c r="C55" s="9"/>
      <c r="D55" s="3"/>
      <c r="E55" s="3"/>
      <c r="F55" s="10"/>
      <c r="G55" s="59"/>
      <c r="H55" s="60"/>
      <c r="I55" s="60"/>
      <c r="J55" s="61"/>
      <c r="K55" s="59"/>
      <c r="L55" s="60"/>
      <c r="M55" s="60"/>
      <c r="N55" s="61"/>
      <c r="O55" s="22">
        <v>15.5</v>
      </c>
      <c r="P55" s="2">
        <v>13.1</v>
      </c>
      <c r="Q55" s="2">
        <v>11.3</v>
      </c>
      <c r="R55" s="23">
        <v>4.5999999999999996</v>
      </c>
      <c r="S55" s="35">
        <v>5.2</v>
      </c>
      <c r="T55" s="2">
        <v>5.8</v>
      </c>
      <c r="U55" s="2">
        <v>10</v>
      </c>
      <c r="V55" s="12">
        <v>13</v>
      </c>
      <c r="W55" s="68">
        <f>0.04+0.1</f>
        <v>0.14000000000000001</v>
      </c>
      <c r="X55" s="69">
        <f>0.1+0.1</f>
        <v>0.2</v>
      </c>
      <c r="Y55" s="69">
        <f>0.1+0.03</f>
        <v>0.13</v>
      </c>
      <c r="Z55" s="70">
        <f>0.1+0.1</f>
        <v>0.2</v>
      </c>
      <c r="AA55" s="22">
        <v>0</v>
      </c>
      <c r="AB55" s="2">
        <v>0.1</v>
      </c>
      <c r="AC55" s="2">
        <v>0.1</v>
      </c>
      <c r="AD55" s="23">
        <v>0.1</v>
      </c>
      <c r="AE55" s="35">
        <v>0.7</v>
      </c>
      <c r="AF55" s="2">
        <v>0.9</v>
      </c>
      <c r="AG55" s="2">
        <v>0.6</v>
      </c>
      <c r="AH55" s="12">
        <v>0.6</v>
      </c>
      <c r="AI55" s="88">
        <v>19.161290322580644</v>
      </c>
      <c r="AJ55" s="92">
        <v>19.161290322580644</v>
      </c>
      <c r="AK55" s="92">
        <v>19.161290322580644</v>
      </c>
      <c r="AL55" s="93">
        <v>19.161290322580644</v>
      </c>
      <c r="AM55">
        <f t="shared" si="1"/>
        <v>40.701290322580647</v>
      </c>
      <c r="AN55">
        <f t="shared" si="2"/>
        <v>39.261290322580642</v>
      </c>
      <c r="AO55">
        <f t="shared" si="3"/>
        <v>41.29129032258065</v>
      </c>
      <c r="AP55">
        <f t="shared" si="4"/>
        <v>37.661290322580648</v>
      </c>
    </row>
    <row r="56" spans="1:42" ht="17" thickBot="1" x14ac:dyDescent="0.25">
      <c r="A56" s="111"/>
      <c r="B56" s="4" t="s">
        <v>25</v>
      </c>
      <c r="C56" s="9"/>
      <c r="D56" s="3"/>
      <c r="E56" s="3"/>
      <c r="F56" s="10"/>
      <c r="G56" s="59"/>
      <c r="H56" s="60"/>
      <c r="I56" s="60"/>
      <c r="J56" s="61"/>
      <c r="K56" s="59"/>
      <c r="L56" s="60"/>
      <c r="M56" s="60"/>
      <c r="N56" s="61"/>
      <c r="O56" s="22">
        <v>16.2</v>
      </c>
      <c r="P56" s="2">
        <v>13.6</v>
      </c>
      <c r="Q56" s="2">
        <v>11.7</v>
      </c>
      <c r="R56" s="23">
        <v>4.7</v>
      </c>
      <c r="S56" s="35">
        <v>9.4</v>
      </c>
      <c r="T56" s="2">
        <v>11</v>
      </c>
      <c r="U56" s="2">
        <v>17</v>
      </c>
      <c r="V56" s="12">
        <v>24</v>
      </c>
      <c r="W56" s="68">
        <f>0.04+0.1</f>
        <v>0.14000000000000001</v>
      </c>
      <c r="X56" s="69">
        <f>0.1+0.1</f>
        <v>0.2</v>
      </c>
      <c r="Y56" s="69">
        <f>0.1+0.03</f>
        <v>0.13</v>
      </c>
      <c r="Z56" s="70">
        <f>0.1+0.1</f>
        <v>0.2</v>
      </c>
      <c r="AA56" s="22">
        <v>0.1</v>
      </c>
      <c r="AB56" s="2">
        <v>0.1</v>
      </c>
      <c r="AC56" s="2">
        <v>0.2</v>
      </c>
      <c r="AD56" s="23">
        <v>0.2</v>
      </c>
      <c r="AE56" s="35">
        <v>2.2000000000000002</v>
      </c>
      <c r="AF56" s="2">
        <v>2.7</v>
      </c>
      <c r="AG56" s="2">
        <v>2</v>
      </c>
      <c r="AH56" s="12">
        <v>1.8</v>
      </c>
      <c r="AI56" s="88">
        <v>51.973913043478262</v>
      </c>
      <c r="AJ56" s="92">
        <v>51.973913043478262</v>
      </c>
      <c r="AK56" s="92">
        <v>51.973913043478262</v>
      </c>
      <c r="AL56" s="93">
        <v>51.973913043478262</v>
      </c>
      <c r="AM56">
        <f t="shared" si="1"/>
        <v>80.013913043478269</v>
      </c>
      <c r="AN56">
        <f t="shared" si="2"/>
        <v>79.573913043478257</v>
      </c>
      <c r="AO56">
        <f t="shared" si="3"/>
        <v>83.003913043478263</v>
      </c>
      <c r="AP56">
        <f t="shared" si="4"/>
        <v>82.873913043478268</v>
      </c>
    </row>
    <row r="57" spans="1:42" ht="17" thickBot="1" x14ac:dyDescent="0.25">
      <c r="A57" s="111"/>
      <c r="B57" s="4" t="s">
        <v>26</v>
      </c>
      <c r="C57" s="13"/>
      <c r="D57" s="14"/>
      <c r="E57" s="14"/>
      <c r="F57" s="15"/>
      <c r="G57" s="62"/>
      <c r="H57" s="63"/>
      <c r="I57" s="63"/>
      <c r="J57" s="64"/>
      <c r="K57" s="62"/>
      <c r="L57" s="63"/>
      <c r="M57" s="63"/>
      <c r="N57" s="64"/>
      <c r="O57" s="24">
        <v>2.5</v>
      </c>
      <c r="P57" s="25">
        <v>2.1</v>
      </c>
      <c r="Q57" s="25">
        <v>1.7</v>
      </c>
      <c r="R57" s="26">
        <v>1.8</v>
      </c>
      <c r="S57" s="36">
        <v>0.1</v>
      </c>
      <c r="T57" s="25">
        <v>0.02</v>
      </c>
      <c r="U57" s="25">
        <v>0.02</v>
      </c>
      <c r="V57" s="37">
        <v>0.05</v>
      </c>
      <c r="W57" s="68">
        <f>0.1+0.004</f>
        <v>0.10400000000000001</v>
      </c>
      <c r="X57" s="69">
        <f>0.1+0.01</f>
        <v>0.11</v>
      </c>
      <c r="Y57" s="69">
        <f>0.1+0.01</f>
        <v>0.11</v>
      </c>
      <c r="Z57" s="70">
        <f>0.1+0.004</f>
        <v>0.10400000000000001</v>
      </c>
      <c r="AA57" s="24">
        <v>0.1</v>
      </c>
      <c r="AB57" s="25">
        <v>0.1</v>
      </c>
      <c r="AC57" s="25">
        <v>0.2</v>
      </c>
      <c r="AD57" s="26">
        <v>0.2</v>
      </c>
      <c r="AE57" s="36">
        <v>5.0000000000000001E-3</v>
      </c>
      <c r="AF57" s="25">
        <v>2.9999999999999997E-4</v>
      </c>
      <c r="AG57" s="25">
        <v>0</v>
      </c>
      <c r="AH57" s="37">
        <v>0</v>
      </c>
      <c r="AI57" s="89">
        <v>43.4</v>
      </c>
      <c r="AJ57" s="94">
        <v>43.4</v>
      </c>
      <c r="AK57" s="94">
        <v>43.4</v>
      </c>
      <c r="AL57" s="95">
        <v>43.4</v>
      </c>
      <c r="AM57">
        <f t="shared" si="1"/>
        <v>46.208999999999996</v>
      </c>
      <c r="AN57">
        <f t="shared" si="2"/>
        <v>45.7303</v>
      </c>
      <c r="AO57">
        <f t="shared" si="3"/>
        <v>45.43</v>
      </c>
      <c r="AP57">
        <f t="shared" si="4"/>
        <v>45.554000000000002</v>
      </c>
    </row>
  </sheetData>
  <mergeCells count="22">
    <mergeCell ref="A28:A33"/>
    <mergeCell ref="A34:A39"/>
    <mergeCell ref="A40:A45"/>
    <mergeCell ref="A46:A51"/>
    <mergeCell ref="A52:A57"/>
    <mergeCell ref="AM1:AP2"/>
    <mergeCell ref="AA2:AD2"/>
    <mergeCell ref="AE2:AH2"/>
    <mergeCell ref="A4:A9"/>
    <mergeCell ref="A10:A15"/>
    <mergeCell ref="S1:AH1"/>
    <mergeCell ref="AI1:AL2"/>
    <mergeCell ref="S2:V2"/>
    <mergeCell ref="W2:Z2"/>
    <mergeCell ref="A16:A21"/>
    <mergeCell ref="A22:A27"/>
    <mergeCell ref="A1:B3"/>
    <mergeCell ref="C1:N1"/>
    <mergeCell ref="O1:R2"/>
    <mergeCell ref="C2:F2"/>
    <mergeCell ref="G2:J2"/>
    <mergeCell ref="K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recap</vt:lpstr>
      <vt:lpstr>gnfr7</vt:lpstr>
      <vt:lpstr>gnfr2030</vt:lpstr>
      <vt:lpstr>gnfr2050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Gedeon</dc:creator>
  <cp:lastModifiedBy>Diane Gedeon</cp:lastModifiedBy>
  <dcterms:created xsi:type="dcterms:W3CDTF">2024-04-16T12:35:43Z</dcterms:created>
  <dcterms:modified xsi:type="dcterms:W3CDTF">2024-05-28T09:37:37Z</dcterms:modified>
</cp:coreProperties>
</file>