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angjunmin\Desktop\预算及人力安排\99-人员安排最新\"/>
    </mc:Choice>
  </mc:AlternateContent>
  <xr:revisionPtr revIDLastSave="0" documentId="13_ncr:1_{42747EAE-8A3B-44C1-85E9-957695DC6CF4}" xr6:coauthVersionLast="45" xr6:coauthVersionMax="45" xr10:uidLastSave="{00000000-0000-0000-0000-000000000000}"/>
  <bookViews>
    <workbookView xWindow="-120" yWindow="-120" windowWidth="20730" windowHeight="11160" tabRatio="618" activeTab="2" xr2:uid="{00000000-000D-0000-FFFF-FFFF00000000}"/>
  </bookViews>
  <sheets>
    <sheet name="统计1231" sheetId="22" r:id="rId1"/>
    <sheet name="按版本统计" sheetId="23" r:id="rId2"/>
    <sheet name="人员最新分组" sheetId="1" r:id="rId3"/>
    <sheet name="小项目情况汇总" sheetId="26" r:id="rId4"/>
    <sheet name="计算底稿" sheetId="27" state="hidden" r:id="rId5"/>
    <sheet name="开发公司现场负责人" sheetId="12" r:id="rId6"/>
  </sheets>
  <definedNames>
    <definedName name="_xlnm._FilterDatabase" localSheetId="2" hidden="1">人员最新分组!$A$1:$N$218</definedName>
    <definedName name="_xlnm._FilterDatabase" localSheetId="0" hidden="1">统计1231!$A$1:$J$28</definedName>
    <definedName name="_xlnm._FilterDatabase" localSheetId="3" hidden="1">小项目情况汇总!$A$1:$V$54</definedName>
    <definedName name="CWHC">小项目情况汇总!$Q$2</definedName>
  </definedNames>
  <calcPr calcId="191029"/>
  <pivotCaches>
    <pivotCache cacheId="0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C19" i="22"/>
  <c r="C14" i="22"/>
  <c r="C10" i="22"/>
  <c r="C6" i="22"/>
  <c r="C2" i="22"/>
  <c r="C16" i="22"/>
  <c r="C8" i="22"/>
  <c r="C15" i="22"/>
  <c r="C7" i="22"/>
  <c r="C17" i="22"/>
  <c r="C13" i="22"/>
  <c r="C9" i="22"/>
  <c r="C5" i="22"/>
  <c r="C12" i="22"/>
  <c r="C4" i="22"/>
  <c r="C11" i="22"/>
  <c r="C3" i="22"/>
  <c r="F12" i="23"/>
  <c r="E51" i="26" l="1"/>
  <c r="I54" i="26"/>
  <c r="E54" i="26"/>
  <c r="N45" i="26"/>
  <c r="J45" i="26"/>
  <c r="K45" i="26" s="1"/>
  <c r="M45" i="26" l="1"/>
  <c r="I45" i="26"/>
  <c r="L45" i="26"/>
  <c r="H45" i="26" s="1"/>
  <c r="E53" i="26"/>
  <c r="E52" i="26"/>
  <c r="E50" i="26"/>
  <c r="E49" i="26"/>
  <c r="E48" i="26"/>
  <c r="E44" i="26"/>
  <c r="N44" i="26"/>
  <c r="F6" i="23"/>
  <c r="F5" i="23"/>
  <c r="F8" i="23"/>
  <c r="N47" i="26" l="1"/>
  <c r="J47" i="26"/>
  <c r="K47" i="26" s="1"/>
  <c r="M47" i="26" s="1"/>
  <c r="L47" i="26" l="1"/>
  <c r="H47" i="26" s="1"/>
  <c r="I47" i="26"/>
  <c r="J44" i="26" l="1"/>
  <c r="K44" i="26" s="1"/>
  <c r="F7" i="23"/>
  <c r="L44" i="26" l="1"/>
  <c r="H44" i="26" s="1"/>
  <c r="I44" i="26"/>
  <c r="M44" i="26"/>
  <c r="N41" i="26"/>
  <c r="J41" i="26"/>
  <c r="K41" i="26" s="1"/>
  <c r="L41" i="26" s="1"/>
  <c r="N43" i="26"/>
  <c r="J43" i="26"/>
  <c r="K43" i="26" s="1"/>
  <c r="N42" i="26"/>
  <c r="J42" i="26"/>
  <c r="K42" i="26" s="1"/>
  <c r="N40" i="26"/>
  <c r="J40" i="26"/>
  <c r="K40" i="26" s="1"/>
  <c r="M41" i="26" l="1"/>
  <c r="M43" i="26"/>
  <c r="L43" i="26"/>
  <c r="L42" i="26"/>
  <c r="M42" i="26"/>
  <c r="L40" i="26"/>
  <c r="M40" i="26"/>
  <c r="E43" i="26" l="1"/>
  <c r="I43" i="26" s="1"/>
  <c r="E42" i="26"/>
  <c r="I42" i="26" s="1"/>
  <c r="E41" i="26"/>
  <c r="E40" i="26"/>
  <c r="I40" i="26" s="1"/>
  <c r="H42" i="26" l="1"/>
  <c r="H41" i="26"/>
  <c r="I41" i="26"/>
  <c r="H40" i="26"/>
  <c r="H43" i="26"/>
  <c r="N39" i="26"/>
  <c r="J39" i="26"/>
  <c r="K39" i="26" s="1"/>
  <c r="N38" i="26"/>
  <c r="J38" i="26"/>
  <c r="K38" i="26" s="1"/>
  <c r="E38" i="26"/>
  <c r="E39" i="26"/>
  <c r="M39" i="26" l="1"/>
  <c r="I39" i="26"/>
  <c r="L39" i="26"/>
  <c r="H39" i="26" s="1"/>
  <c r="M38" i="26"/>
  <c r="I38" i="26"/>
  <c r="L38" i="26"/>
  <c r="H38" i="26" s="1"/>
  <c r="N31" i="26" l="1"/>
  <c r="J31" i="26"/>
  <c r="K31" i="26" s="1"/>
  <c r="K36" i="26"/>
  <c r="L36" i="26" s="1"/>
  <c r="N36" i="26"/>
  <c r="J36" i="26"/>
  <c r="N37" i="26"/>
  <c r="J37" i="26"/>
  <c r="K37" i="26" s="1"/>
  <c r="M37" i="26" s="1"/>
  <c r="E37" i="26"/>
  <c r="N35" i="26"/>
  <c r="J35" i="26"/>
  <c r="K35" i="26" s="1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2" i="26"/>
  <c r="F9" i="23"/>
  <c r="H36" i="26" l="1"/>
  <c r="L31" i="26"/>
  <c r="H31" i="26" s="1"/>
  <c r="I31" i="26"/>
  <c r="M31" i="26"/>
  <c r="I36" i="26"/>
  <c r="M36" i="26"/>
  <c r="L37" i="26"/>
  <c r="H37" i="26" s="1"/>
  <c r="I37" i="26"/>
  <c r="M35" i="26"/>
  <c r="I35" i="26"/>
  <c r="L35" i="26"/>
  <c r="H35" i="26" s="1"/>
  <c r="N32" i="26"/>
  <c r="J32" i="26"/>
  <c r="K32" i="26" s="1"/>
  <c r="M32" i="26" s="1"/>
  <c r="N33" i="26"/>
  <c r="J33" i="26"/>
  <c r="K33" i="26" s="1"/>
  <c r="I33" i="26" s="1"/>
  <c r="J29" i="26"/>
  <c r="K29" i="26" s="1"/>
  <c r="L29" i="26" s="1"/>
  <c r="N29" i="26"/>
  <c r="L32" i="26" l="1"/>
  <c r="H32" i="26" s="1"/>
  <c r="I32" i="26"/>
  <c r="L33" i="26"/>
  <c r="H33" i="26" s="1"/>
  <c r="M33" i="26"/>
  <c r="M29" i="26"/>
  <c r="H29" i="26"/>
  <c r="I29" i="26"/>
  <c r="K5" i="22"/>
  <c r="K4" i="22" l="1"/>
  <c r="K6" i="22"/>
  <c r="K7" i="22"/>
  <c r="K3" i="22"/>
  <c r="N30" i="26" l="1"/>
  <c r="J30" i="26"/>
  <c r="K30" i="26" s="1"/>
  <c r="M30" i="26" l="1"/>
  <c r="I30" i="26"/>
  <c r="T17" i="26" s="1"/>
  <c r="L30" i="26"/>
  <c r="H30" i="26" s="1"/>
  <c r="N34" i="26"/>
  <c r="J34" i="26"/>
  <c r="K34" i="26" s="1"/>
  <c r="M34" i="26" s="1"/>
  <c r="C26" i="27"/>
  <c r="B26" i="27"/>
  <c r="B27" i="27" s="1"/>
  <c r="B22" i="27"/>
  <c r="B21" i="27"/>
  <c r="G16" i="27"/>
  <c r="F17" i="27" s="1"/>
  <c r="F16" i="27"/>
  <c r="C16" i="27"/>
  <c r="B16" i="27"/>
  <c r="B17" i="27" s="1"/>
  <c r="B11" i="27"/>
  <c r="B10" i="27"/>
  <c r="B4" i="27"/>
  <c r="G1" i="27"/>
  <c r="N28" i="26"/>
  <c r="J28" i="26"/>
  <c r="K28" i="26" s="1"/>
  <c r="N27" i="26"/>
  <c r="J27" i="26"/>
  <c r="K27" i="26" s="1"/>
  <c r="N26" i="26"/>
  <c r="J26" i="26"/>
  <c r="K26" i="26" s="1"/>
  <c r="N25" i="26"/>
  <c r="J25" i="26"/>
  <c r="K25" i="26" s="1"/>
  <c r="L25" i="26" s="1"/>
  <c r="N24" i="26"/>
  <c r="J24" i="26"/>
  <c r="K24" i="26" s="1"/>
  <c r="N23" i="26"/>
  <c r="J23" i="26"/>
  <c r="K23" i="26" s="1"/>
  <c r="N22" i="26"/>
  <c r="J22" i="26"/>
  <c r="K22" i="26" s="1"/>
  <c r="N21" i="26"/>
  <c r="J21" i="26"/>
  <c r="K21" i="26" s="1"/>
  <c r="L21" i="26" s="1"/>
  <c r="N20" i="26"/>
  <c r="J20" i="26"/>
  <c r="K20" i="26" s="1"/>
  <c r="N19" i="26"/>
  <c r="K19" i="26"/>
  <c r="L19" i="26" s="1"/>
  <c r="N18" i="26"/>
  <c r="J18" i="26"/>
  <c r="K18" i="26" s="1"/>
  <c r="N17" i="26"/>
  <c r="J17" i="26"/>
  <c r="K17" i="26" s="1"/>
  <c r="L17" i="26" s="1"/>
  <c r="N16" i="26"/>
  <c r="J16" i="26"/>
  <c r="K16" i="26" s="1"/>
  <c r="N15" i="26"/>
  <c r="J15" i="26"/>
  <c r="K15" i="26" s="1"/>
  <c r="L15" i="26" s="1"/>
  <c r="T14" i="26"/>
  <c r="S14" i="26"/>
  <c r="N14" i="26"/>
  <c r="J14" i="26"/>
  <c r="K14" i="26" s="1"/>
  <c r="N13" i="26"/>
  <c r="J13" i="26"/>
  <c r="K13" i="26" s="1"/>
  <c r="N12" i="26"/>
  <c r="J12" i="26"/>
  <c r="K12" i="26" s="1"/>
  <c r="N11" i="26"/>
  <c r="J11" i="26"/>
  <c r="K11" i="26" s="1"/>
  <c r="I11" i="26" s="1"/>
  <c r="T18" i="26" s="1"/>
  <c r="N10" i="26"/>
  <c r="J10" i="26"/>
  <c r="K10" i="26" s="1"/>
  <c r="N9" i="26"/>
  <c r="J9" i="26"/>
  <c r="K9" i="26" s="1"/>
  <c r="I9" i="26" s="1"/>
  <c r="T5" i="26" s="1"/>
  <c r="N8" i="26"/>
  <c r="J8" i="26"/>
  <c r="K8" i="26" s="1"/>
  <c r="N7" i="26"/>
  <c r="J7" i="26"/>
  <c r="K7" i="26" s="1"/>
  <c r="I7" i="26" s="1"/>
  <c r="T15" i="26" s="1"/>
  <c r="T6" i="26"/>
  <c r="S6" i="26"/>
  <c r="N6" i="26"/>
  <c r="J6" i="26"/>
  <c r="K6" i="26" s="1"/>
  <c r="N5" i="26"/>
  <c r="J5" i="26"/>
  <c r="K5" i="26" s="1"/>
  <c r="M5" i="26" s="1"/>
  <c r="N4" i="26"/>
  <c r="J4" i="26"/>
  <c r="K4" i="26" s="1"/>
  <c r="M4" i="26" s="1"/>
  <c r="N3" i="26"/>
  <c r="J3" i="26"/>
  <c r="K3" i="26" s="1"/>
  <c r="L3" i="26" s="1"/>
  <c r="N2" i="26"/>
  <c r="J2" i="26"/>
  <c r="K2" i="26" s="1"/>
  <c r="J26" i="22"/>
  <c r="I26" i="22"/>
  <c r="G26" i="22"/>
  <c r="J25" i="22"/>
  <c r="I25" i="22"/>
  <c r="G25" i="22"/>
  <c r="J20" i="22"/>
  <c r="J24" i="22" s="1"/>
  <c r="E18" i="22"/>
  <c r="D18" i="22"/>
  <c r="B22" i="22"/>
  <c r="B21" i="22"/>
  <c r="B14" i="22"/>
  <c r="I5" i="22"/>
  <c r="I14" i="22"/>
  <c r="I13" i="22"/>
  <c r="I16" i="22"/>
  <c r="B12" i="22"/>
  <c r="B9" i="22"/>
  <c r="I12" i="22"/>
  <c r="B5" i="22"/>
  <c r="B16" i="22"/>
  <c r="I3" i="22"/>
  <c r="B13" i="22"/>
  <c r="I9" i="22"/>
  <c r="I15" i="22"/>
  <c r="B3" i="22"/>
  <c r="B15" i="22"/>
  <c r="F10" i="23"/>
  <c r="F11" i="23"/>
  <c r="H3" i="26" l="1"/>
  <c r="H15" i="26"/>
  <c r="H17" i="26"/>
  <c r="H19" i="26"/>
  <c r="S19" i="26" s="1"/>
  <c r="H21" i="26"/>
  <c r="H25" i="26"/>
  <c r="U14" i="26"/>
  <c r="U6" i="26"/>
  <c r="L34" i="26"/>
  <c r="H34" i="26" s="1"/>
  <c r="I34" i="26"/>
  <c r="M25" i="26"/>
  <c r="M11" i="26"/>
  <c r="L4" i="26"/>
  <c r="H4" i="26" s="1"/>
  <c r="S9" i="26" s="1"/>
  <c r="L7" i="26"/>
  <c r="H7" i="26" s="1"/>
  <c r="S15" i="26" s="1"/>
  <c r="U15" i="26" s="1"/>
  <c r="L11" i="26"/>
  <c r="H11" i="26" s="1"/>
  <c r="S18" i="26" s="1"/>
  <c r="U18" i="26" s="1"/>
  <c r="M19" i="26"/>
  <c r="M7" i="26"/>
  <c r="M9" i="26"/>
  <c r="I19" i="26"/>
  <c r="T19" i="26" s="1"/>
  <c r="I25" i="26"/>
  <c r="E2" i="22"/>
  <c r="C26" i="22"/>
  <c r="C20" i="22"/>
  <c r="D2" i="22"/>
  <c r="E4" i="22"/>
  <c r="D4" i="22"/>
  <c r="E6" i="22"/>
  <c r="D6" i="22"/>
  <c r="E12" i="22"/>
  <c r="D12" i="22"/>
  <c r="E11" i="22"/>
  <c r="D11" i="22"/>
  <c r="E16" i="22"/>
  <c r="D16" i="22"/>
  <c r="E3" i="22"/>
  <c r="D3" i="22"/>
  <c r="E5" i="22"/>
  <c r="D5" i="22"/>
  <c r="E15" i="22"/>
  <c r="D15" i="22"/>
  <c r="E17" i="22"/>
  <c r="C25" i="22"/>
  <c r="D17" i="22"/>
  <c r="D9" i="22"/>
  <c r="E9" i="22"/>
  <c r="F13" i="23"/>
  <c r="D8" i="22"/>
  <c r="E8" i="22"/>
  <c r="D10" i="22"/>
  <c r="E10" i="22"/>
  <c r="D13" i="22"/>
  <c r="E13" i="22"/>
  <c r="D19" i="22"/>
  <c r="E19" i="22"/>
  <c r="B20" i="22"/>
  <c r="I20" i="22"/>
  <c r="I24" i="22" s="1"/>
  <c r="E7" i="22"/>
  <c r="D7" i="22"/>
  <c r="E14" i="22"/>
  <c r="D14" i="22"/>
  <c r="M8" i="26"/>
  <c r="I8" i="26"/>
  <c r="L8" i="26"/>
  <c r="H8" i="26" s="1"/>
  <c r="M12" i="26"/>
  <c r="I12" i="26"/>
  <c r="L12" i="26"/>
  <c r="H12" i="26" s="1"/>
  <c r="M10" i="26"/>
  <c r="I10" i="26"/>
  <c r="L10" i="26"/>
  <c r="H10" i="26" s="1"/>
  <c r="M3" i="26"/>
  <c r="L5" i="26"/>
  <c r="H5" i="26" s="1"/>
  <c r="L9" i="26"/>
  <c r="H9" i="26" s="1"/>
  <c r="S5" i="26" s="1"/>
  <c r="U5" i="26" s="1"/>
  <c r="M21" i="26"/>
  <c r="M24" i="26"/>
  <c r="I24" i="26"/>
  <c r="M2" i="26"/>
  <c r="L2" i="26"/>
  <c r="H2" i="26" s="1"/>
  <c r="M6" i="26"/>
  <c r="L6" i="26"/>
  <c r="H6" i="26" s="1"/>
  <c r="S17" i="26" s="1"/>
  <c r="U17" i="26" s="1"/>
  <c r="M23" i="26"/>
  <c r="I23" i="26"/>
  <c r="T8" i="26" s="1"/>
  <c r="L23" i="26"/>
  <c r="H23" i="26" s="1"/>
  <c r="S8" i="26" s="1"/>
  <c r="L24" i="26"/>
  <c r="H24" i="26" s="1"/>
  <c r="M28" i="26"/>
  <c r="I28" i="26"/>
  <c r="B6" i="27"/>
  <c r="B5" i="27"/>
  <c r="M13" i="26"/>
  <c r="I13" i="26"/>
  <c r="M14" i="26"/>
  <c r="I14" i="26"/>
  <c r="T12" i="26" s="1"/>
  <c r="L14" i="26"/>
  <c r="H14" i="26" s="1"/>
  <c r="M17" i="26"/>
  <c r="I17" i="26"/>
  <c r="M18" i="26"/>
  <c r="I18" i="26"/>
  <c r="L18" i="26"/>
  <c r="H18" i="26" s="1"/>
  <c r="I21" i="26"/>
  <c r="T9" i="26" s="1"/>
  <c r="M22" i="26"/>
  <c r="I22" i="26"/>
  <c r="T11" i="26" s="1"/>
  <c r="L22" i="26"/>
  <c r="H22" i="26" s="1"/>
  <c r="S11" i="26" s="1"/>
  <c r="M27" i="26"/>
  <c r="I27" i="26"/>
  <c r="L27" i="26"/>
  <c r="H27" i="26" s="1"/>
  <c r="L28" i="26"/>
  <c r="H28" i="26" s="1"/>
  <c r="L13" i="26"/>
  <c r="H13" i="26" s="1"/>
  <c r="M15" i="26"/>
  <c r="I15" i="26"/>
  <c r="M16" i="26"/>
  <c r="I16" i="26"/>
  <c r="T3" i="26" s="1"/>
  <c r="L16" i="26"/>
  <c r="H16" i="26" s="1"/>
  <c r="M20" i="26"/>
  <c r="I20" i="26"/>
  <c r="T16" i="26" s="1"/>
  <c r="L20" i="26"/>
  <c r="H20" i="26" s="1"/>
  <c r="S16" i="26" s="1"/>
  <c r="M26" i="26"/>
  <c r="I26" i="26"/>
  <c r="L26" i="26"/>
  <c r="H26" i="26" s="1"/>
  <c r="S4" i="26" l="1"/>
  <c r="U19" i="26"/>
  <c r="S20" i="26"/>
  <c r="U16" i="26"/>
  <c r="U11" i="26"/>
  <c r="U8" i="26"/>
  <c r="U9" i="26"/>
  <c r="T4" i="26"/>
  <c r="S7" i="26"/>
  <c r="T20" i="26"/>
  <c r="T7" i="26"/>
  <c r="T13" i="26"/>
  <c r="T10" i="26"/>
  <c r="S12" i="26"/>
  <c r="U12" i="26" s="1"/>
  <c r="S2" i="26"/>
  <c r="C24" i="22"/>
  <c r="T2" i="26"/>
  <c r="S3" i="26"/>
  <c r="U3" i="26" s="1"/>
  <c r="S13" i="26"/>
  <c r="S10" i="26"/>
  <c r="U4" i="26" l="1"/>
  <c r="U20" i="26"/>
  <c r="U10" i="26"/>
  <c r="U7" i="26"/>
  <c r="U13" i="26"/>
  <c r="U2" i="26"/>
</calcChain>
</file>

<file path=xl/sharedStrings.xml><?xml version="1.0" encoding="utf-8"?>
<sst xmlns="http://schemas.openxmlformats.org/spreadsheetml/2006/main" count="3171" uniqueCount="998">
  <si>
    <t>分类</t>
  </si>
  <si>
    <t>原总数</t>
  </si>
  <si>
    <t>目前在场</t>
  </si>
  <si>
    <t>与第一批差异</t>
  </si>
  <si>
    <t>C列与G列差异</t>
  </si>
  <si>
    <t>第一批预期（180）</t>
  </si>
  <si>
    <t>公共人员调整</t>
  </si>
  <si>
    <t>第一批调整后预期（160）</t>
  </si>
  <si>
    <t>第二批调整后预期</t>
  </si>
  <si>
    <t>郑安如-验收</t>
  </si>
  <si>
    <t>原第一批次剩余需求分析情况</t>
  </si>
  <si>
    <t>郑安如</t>
  </si>
  <si>
    <t>顾静洁</t>
  </si>
  <si>
    <t>需求分析，不含顾静洁</t>
  </si>
  <si>
    <t>刘倩-验收</t>
  </si>
  <si>
    <t>李晶雯</t>
  </si>
  <si>
    <t>刘倩</t>
  </si>
  <si>
    <t>需求分析，含刘倩，含UX1名计为需求分析</t>
  </si>
  <si>
    <t>徐慧鹏-验收</t>
  </si>
  <si>
    <t>徐慧鹏</t>
  </si>
  <si>
    <t>需求分析，含徐慧鹏</t>
  </si>
  <si>
    <t>需求分析，不含郑安如，含启明转组BA1名，UX1名计为需求分析</t>
  </si>
  <si>
    <t>顾静洁-验收</t>
  </si>
  <si>
    <t>待明确第一批次后的需求分析人数</t>
  </si>
  <si>
    <t>李晶雯-验收</t>
  </si>
  <si>
    <t>李戬</t>
  </si>
  <si>
    <t>申冬东</t>
  </si>
  <si>
    <t>张洋弘</t>
  </si>
  <si>
    <t>赵攀</t>
  </si>
  <si>
    <t>周德乐</t>
  </si>
  <si>
    <t>陈启明</t>
  </si>
  <si>
    <t>赵丹</t>
  </si>
  <si>
    <t>QA</t>
  </si>
  <si>
    <t>总计（扣减版本项目公共）</t>
  </si>
  <si>
    <t>版本公共</t>
  </si>
  <si>
    <t>项目公共</t>
  </si>
  <si>
    <t>前置</t>
  </si>
  <si>
    <t>配套</t>
  </si>
  <si>
    <t>验收</t>
  </si>
  <si>
    <t>技能组（仅统计筛选)</t>
  </si>
  <si>
    <t>(多项)</t>
  </si>
  <si>
    <t>版本及项目公共</t>
  </si>
  <si>
    <t>计数项:姓名</t>
  </si>
  <si>
    <t>顾静洁-版本</t>
  </si>
  <si>
    <t>行标签</t>
  </si>
  <si>
    <t>刘倩-版本</t>
  </si>
  <si>
    <t>郑安如-版本</t>
  </si>
  <si>
    <t>张洋弘-版本</t>
  </si>
  <si>
    <t>赵攀-版本</t>
  </si>
  <si>
    <t>张洋弘-项目</t>
  </si>
  <si>
    <t>二部系统组</t>
  </si>
  <si>
    <t>赵攀-项目</t>
  </si>
  <si>
    <t>申冬东-项目</t>
  </si>
  <si>
    <t>周德乐-项目</t>
  </si>
  <si>
    <t>通用功能</t>
  </si>
  <si>
    <t>李戬-项目</t>
  </si>
  <si>
    <t>通用功能-验收</t>
  </si>
  <si>
    <t>总计</t>
  </si>
  <si>
    <t>支持-QA</t>
  </si>
  <si>
    <t>C++/HPPE</t>
  </si>
  <si>
    <t>C++/撮合</t>
  </si>
  <si>
    <t>JAVA/AKKA</t>
  </si>
  <si>
    <t>JAVA/CWAP</t>
  </si>
  <si>
    <t>数据分析</t>
  </si>
  <si>
    <t>数据分析-验收</t>
  </si>
  <si>
    <t>ODM业务</t>
  </si>
  <si>
    <t>ODM业务-验收</t>
  </si>
  <si>
    <t>共享服务</t>
  </si>
  <si>
    <t>共享服务-验收</t>
  </si>
  <si>
    <t>NDM业务</t>
  </si>
  <si>
    <t>NDM业务-验收</t>
  </si>
  <si>
    <t>H5</t>
  </si>
  <si>
    <t>(空白)</t>
  </si>
  <si>
    <t>备注</t>
  </si>
  <si>
    <t>按版本统计</t>
  </si>
  <si>
    <t>过滤系统组(不含无需过滤)和会员支持</t>
  </si>
  <si>
    <t>版本</t>
  </si>
  <si>
    <t>统计</t>
  </si>
  <si>
    <t>V149</t>
  </si>
  <si>
    <t>V146</t>
  </si>
  <si>
    <t>V149集成组</t>
  </si>
  <si>
    <t>V150</t>
  </si>
  <si>
    <t>空闲信号</t>
  </si>
  <si>
    <t>V151</t>
  </si>
  <si>
    <t>绿</t>
  </si>
  <si>
    <t>黄</t>
  </si>
  <si>
    <t>红</t>
  </si>
  <si>
    <t>V149集中测试</t>
  </si>
  <si>
    <t>待分配</t>
  </si>
  <si>
    <t>V149验收测试</t>
  </si>
  <si>
    <t>工具+配置+排错+数据分析</t>
  </si>
  <si>
    <t>超限信号</t>
  </si>
  <si>
    <t>生产数据比对</t>
  </si>
  <si>
    <t>新人</t>
  </si>
  <si>
    <t>产假</t>
  </si>
  <si>
    <t>测试工具-李戬</t>
  </si>
  <si>
    <t>排错组</t>
  </si>
  <si>
    <t>排错组V146</t>
  </si>
  <si>
    <t>排错组V149</t>
  </si>
  <si>
    <t>配置管理</t>
  </si>
  <si>
    <t>V149配置管理</t>
  </si>
  <si>
    <t>集成配套组-Devops平台开发</t>
  </si>
  <si>
    <t>集成配套组-运维</t>
  </si>
  <si>
    <t>守门员</t>
  </si>
  <si>
    <t>版本共享</t>
  </si>
  <si>
    <t>姓名</t>
  </si>
  <si>
    <t>公司</t>
  </si>
  <si>
    <t>上上一个项目组</t>
  </si>
  <si>
    <t>所属版本</t>
  </si>
  <si>
    <t>新业务技术条线组长</t>
  </si>
  <si>
    <t>新业务技术条线组长（仅统计)</t>
  </si>
  <si>
    <t>技能组</t>
  </si>
  <si>
    <t>电话</t>
  </si>
  <si>
    <t>邮箱</t>
  </si>
  <si>
    <t>位置</t>
  </si>
  <si>
    <t>冉杨鋆</t>
  </si>
  <si>
    <t>中心市场二部</t>
  </si>
  <si>
    <t>V149负责人</t>
  </si>
  <si>
    <t>ranyangjun@chinamoney.com.cn</t>
  </si>
  <si>
    <t>24#202A46</t>
  </si>
  <si>
    <t>zhenganru_zh@chinamoney.com.cn</t>
  </si>
  <si>
    <t>38#205</t>
  </si>
  <si>
    <t>zhaopan_zh@chinamoney.com.cn</t>
  </si>
  <si>
    <t>zhangyanghong_zh@chinamoney.com.cn</t>
  </si>
  <si>
    <t>24#203C1</t>
  </si>
  <si>
    <t>杨子玉</t>
  </si>
  <si>
    <t>V149验收负责人</t>
  </si>
  <si>
    <t>yangziyu_zh@chinamoney.com.cn</t>
  </si>
  <si>
    <t>7#301A8</t>
  </si>
  <si>
    <t>唐军敏</t>
  </si>
  <si>
    <t>tangjunmin@chinamoney.com.cn</t>
  </si>
  <si>
    <t>38#204B5</t>
  </si>
  <si>
    <t>孙小林</t>
  </si>
  <si>
    <t>38#204B3</t>
  </si>
  <si>
    <t>孙道伟</t>
  </si>
  <si>
    <t>中汇综合管理部</t>
  </si>
  <si>
    <t>sundaowei_zh@chinamoney.com.cn</t>
  </si>
  <si>
    <t>24#203</t>
  </si>
  <si>
    <t>李靖民</t>
  </si>
  <si>
    <t>V150验收负责人</t>
  </si>
  <si>
    <t>lijingmin@chinamoney.com.cn</t>
  </si>
  <si>
    <t>38#302</t>
  </si>
  <si>
    <t>gujingjie@chinamoney.com.cn</t>
  </si>
  <si>
    <t>38#204B6</t>
  </si>
  <si>
    <t>王伟</t>
  </si>
  <si>
    <t>埃森哲</t>
  </si>
  <si>
    <t>w.o.wang@accenture.com</t>
  </si>
  <si>
    <t>付天恩</t>
  </si>
  <si>
    <t>汉朔</t>
  </si>
  <si>
    <t>futn@hanorth.com</t>
  </si>
  <si>
    <t>7#201A7</t>
  </si>
  <si>
    <t>吴波</t>
  </si>
  <si>
    <t>塔塔</t>
  </si>
  <si>
    <t>wuboccv@163.com</t>
  </si>
  <si>
    <t>24#203B18</t>
  </si>
  <si>
    <t>唐熙棱</t>
  </si>
  <si>
    <t>华腾</t>
  </si>
  <si>
    <t>tangxileng@chinasofti.com</t>
  </si>
  <si>
    <t>38#204A17</t>
  </si>
  <si>
    <t>魏如梦</t>
  </si>
  <si>
    <t>weirm@hanorth.cn</t>
  </si>
  <si>
    <t>王智鹏</t>
  </si>
  <si>
    <t>凯道</t>
  </si>
  <si>
    <t>wangzhipeng@star-china.vip</t>
  </si>
  <si>
    <t>24#203B5-1</t>
  </si>
  <si>
    <t>陈杰樱</t>
  </si>
  <si>
    <t>中汇开发三部</t>
  </si>
  <si>
    <t>chenjieying_zh@chinamoney.com.cn</t>
  </si>
  <si>
    <t>王瑞</t>
  </si>
  <si>
    <t>rui.h.wang@accenture.com</t>
  </si>
  <si>
    <t>24#203C41</t>
  </si>
  <si>
    <t>翟瑞平</t>
  </si>
  <si>
    <t>zhairuiping890626@126.com</t>
  </si>
  <si>
    <t>24#202A28</t>
  </si>
  <si>
    <t>丁强</t>
  </si>
  <si>
    <t>qiang.ding@tcs.com</t>
  </si>
  <si>
    <t>28#202A34</t>
  </si>
  <si>
    <t>翁复来</t>
  </si>
  <si>
    <t>向普</t>
  </si>
  <si>
    <t>fly_17@126.com</t>
  </si>
  <si>
    <t>38#204A8</t>
  </si>
  <si>
    <t>陆光晨</t>
  </si>
  <si>
    <t>恒天</t>
  </si>
  <si>
    <t>guangchenlu@hengtiansoft.com</t>
  </si>
  <si>
    <t>姜财</t>
  </si>
  <si>
    <t>a657890525@163.com</t>
  </si>
  <si>
    <t>24#203C43</t>
  </si>
  <si>
    <t>彭福康</t>
  </si>
  <si>
    <t>微软</t>
  </si>
  <si>
    <t>1615391348@qq.com</t>
  </si>
  <si>
    <t>7#201A27</t>
  </si>
  <si>
    <t>muliang1@hengtiansoft.com</t>
  </si>
  <si>
    <t>张东升</t>
  </si>
  <si>
    <t>1083994394@qq.com</t>
  </si>
  <si>
    <t>24#203B7</t>
  </si>
  <si>
    <t>陈诚02</t>
  </si>
  <si>
    <t>chelychen@hengtiansoft.com</t>
  </si>
  <si>
    <t>38#204A14</t>
  </si>
  <si>
    <t>王春辉</t>
  </si>
  <si>
    <t>909322487@qq.com</t>
  </si>
  <si>
    <t>24#203A13</t>
  </si>
  <si>
    <t>祖滔</t>
  </si>
  <si>
    <t>zu__tao@163.com</t>
  </si>
  <si>
    <t>张路</t>
  </si>
  <si>
    <t>lu.z@tcs.com</t>
  </si>
  <si>
    <t>7#201A6</t>
  </si>
  <si>
    <t>孙雨锦02</t>
  </si>
  <si>
    <t>sunyujin@start-china.vip</t>
  </si>
  <si>
    <t>38#产假</t>
  </si>
  <si>
    <t>潘泳光</t>
  </si>
  <si>
    <t>金楷泽</t>
  </si>
  <si>
    <t>pyg13052113375@126.com</t>
  </si>
  <si>
    <t>38#204A13</t>
  </si>
  <si>
    <t>吴臻杰</t>
  </si>
  <si>
    <t>wuzhj@hanorth.net</t>
  </si>
  <si>
    <t>24#202A11</t>
  </si>
  <si>
    <t>陈晓瑶</t>
  </si>
  <si>
    <t>chenxy@hanorth.net</t>
  </si>
  <si>
    <t>24#203C35</t>
  </si>
  <si>
    <t>章群燕</t>
  </si>
  <si>
    <t>zhangqunyan_zh@chinamoney.com.cn</t>
  </si>
  <si>
    <t>24#203C37</t>
  </si>
  <si>
    <t>杨姗</t>
  </si>
  <si>
    <t>shan.b.yang@accenture.com</t>
  </si>
  <si>
    <t>24#202A17</t>
  </si>
  <si>
    <t>许伊涵</t>
  </si>
  <si>
    <t>骄洋</t>
  </si>
  <si>
    <t>24#203A12</t>
  </si>
  <si>
    <t>翟丽丽</t>
  </si>
  <si>
    <t>zhaill@start-china.vip</t>
  </si>
  <si>
    <t>7#301A2</t>
  </si>
  <si>
    <t>张东升01</t>
  </si>
  <si>
    <t>zhangds@start-china.vip</t>
  </si>
  <si>
    <t>38#204A24</t>
  </si>
  <si>
    <t>于肖肖</t>
  </si>
  <si>
    <t>yuxx@hanorth.net</t>
  </si>
  <si>
    <t>24#203C39</t>
  </si>
  <si>
    <t>魏亚男</t>
  </si>
  <si>
    <t>鼎纪</t>
  </si>
  <si>
    <t>weiyanan_dj@ectesting.cn</t>
  </si>
  <si>
    <t>24#203A23</t>
  </si>
  <si>
    <t>石秀</t>
  </si>
  <si>
    <t>xiu.shi@sharpg.com</t>
  </si>
  <si>
    <t>24#203C30</t>
  </si>
  <si>
    <t>胡遂明</t>
  </si>
  <si>
    <t>suiming.hu@microsoft.com</t>
  </si>
  <si>
    <t>24#202A52</t>
  </si>
  <si>
    <t>白晓乐</t>
  </si>
  <si>
    <t>15038600851@163.com</t>
  </si>
  <si>
    <t>24#203C28</t>
  </si>
  <si>
    <t>田彩冰</t>
  </si>
  <si>
    <t>京北方</t>
  </si>
  <si>
    <t>anderyt@163.com</t>
  </si>
  <si>
    <t>24#203B10-1</t>
  </si>
  <si>
    <t>吕欣冉</t>
  </si>
  <si>
    <t>中汇开发一部</t>
  </si>
  <si>
    <t>lvxinran_zh@chinamoney.com.cn</t>
  </si>
  <si>
    <t>24#203A30</t>
  </si>
  <si>
    <t>王阳</t>
  </si>
  <si>
    <t>wangyang02@chinasofti.com</t>
  </si>
  <si>
    <t>石爱芳</t>
  </si>
  <si>
    <t>shiaifang@hanorth.cn</t>
  </si>
  <si>
    <t>38#204A5</t>
  </si>
  <si>
    <t>李慧洁01</t>
  </si>
  <si>
    <t>lihuijie@ectesting.cn</t>
  </si>
  <si>
    <t>王勇浩01</t>
  </si>
  <si>
    <t>914917609@qq.com</t>
  </si>
  <si>
    <t>24#202A26</t>
  </si>
  <si>
    <t>李月月</t>
  </si>
  <si>
    <t>liyue_tcs@126.com</t>
  </si>
  <si>
    <t>28#202A19</t>
  </si>
  <si>
    <t>李彩红</t>
  </si>
  <si>
    <t>767209764@qq.com</t>
  </si>
  <si>
    <t>24#203B10</t>
  </si>
  <si>
    <t>张薇</t>
  </si>
  <si>
    <t>zhangwei_zh@chinamoney.com.cn</t>
  </si>
  <si>
    <t>38#204A1</t>
  </si>
  <si>
    <t>甄向锋</t>
  </si>
  <si>
    <t>xiangfengzhen@zitainfo.com</t>
  </si>
  <si>
    <t>24#203C38</t>
  </si>
  <si>
    <t>李庆铎</t>
  </si>
  <si>
    <t>liqingduo@hanorth.com</t>
  </si>
  <si>
    <t>24#203B13</t>
  </si>
  <si>
    <t>赵晓韵</t>
  </si>
  <si>
    <t>zhaoxiaoyun_zh@chinamoney.com.cn</t>
  </si>
  <si>
    <t>赵春燕</t>
  </si>
  <si>
    <t>zhaochy@start-china.vip</t>
  </si>
  <si>
    <t>孙晓安</t>
  </si>
  <si>
    <t>Xiaoan.sun@accenture.com</t>
  </si>
  <si>
    <t>24#203A28</t>
  </si>
  <si>
    <t>马燕飞</t>
  </si>
  <si>
    <t>1065557875@qq.com</t>
  </si>
  <si>
    <t>24#203B8</t>
  </si>
  <si>
    <t>陈斌</t>
  </si>
  <si>
    <t>chenbin@jykjsys.com</t>
  </si>
  <si>
    <t>24#203B9</t>
  </si>
  <si>
    <t>曹越</t>
  </si>
  <si>
    <t>cy100527@163.com</t>
  </si>
  <si>
    <t>邝亚光</t>
  </si>
  <si>
    <t>moocsk@163.com</t>
  </si>
  <si>
    <t>28#202A44</t>
  </si>
  <si>
    <t>丁乐01</t>
  </si>
  <si>
    <t>dingle@start-china.vip</t>
  </si>
  <si>
    <t>38#204A27</t>
  </si>
  <si>
    <t>刁望庆</t>
  </si>
  <si>
    <t>24#203A25</t>
  </si>
  <si>
    <t>苏雷皓</t>
  </si>
  <si>
    <t>中汇总工办</t>
  </si>
  <si>
    <t>suleihao_zh@chinamoney.com.cn</t>
  </si>
  <si>
    <t>7#201A24</t>
  </si>
  <si>
    <t>杨梦珂</t>
  </si>
  <si>
    <t>yangmk@hanorth.net</t>
  </si>
  <si>
    <t>24#1F</t>
  </si>
  <si>
    <t>夏守伟</t>
  </si>
  <si>
    <t>法本</t>
  </si>
  <si>
    <t>1306752515@qq.com</t>
  </si>
  <si>
    <t>魏渐俊</t>
  </si>
  <si>
    <t>weijianjun_zh@chinamoney.com.cn</t>
  </si>
  <si>
    <t>7#201A32</t>
  </si>
  <si>
    <t>王新</t>
  </si>
  <si>
    <t>wxstring001@163.com</t>
  </si>
  <si>
    <t>38#204A10</t>
  </si>
  <si>
    <t>王春明</t>
  </si>
  <si>
    <t>5526929@qq.com</t>
  </si>
  <si>
    <t>38#204A6</t>
  </si>
  <si>
    <t>黎德国</t>
  </si>
  <si>
    <t>时溪</t>
  </si>
  <si>
    <t>lidg@timesvc.net</t>
  </si>
  <si>
    <t>24#203B20-1</t>
  </si>
  <si>
    <t>李冬冬01</t>
  </si>
  <si>
    <t>lidongdong@ectesting.cn</t>
  </si>
  <si>
    <t>24#203B6-1</t>
  </si>
  <si>
    <t>陈嘉伟</t>
  </si>
  <si>
    <t>chenjiawei_zh@chinamoney.com.cn</t>
  </si>
  <si>
    <t>28#202A15</t>
  </si>
  <si>
    <t>孙泽龄</t>
  </si>
  <si>
    <t>zeling.sun@accenture.com</t>
  </si>
  <si>
    <t>徐振忠</t>
  </si>
  <si>
    <t>zhenzhong.xu@tcs.com</t>
  </si>
  <si>
    <t>7#201A10</t>
  </si>
  <si>
    <t>王涛</t>
  </si>
  <si>
    <t>tao.wang@sharpg.com</t>
  </si>
  <si>
    <t>24#202A55</t>
  </si>
  <si>
    <t>陈浩宇</t>
  </si>
  <si>
    <t>haoyuchen@hengtiansoft.com</t>
  </si>
  <si>
    <t>24#203C42</t>
  </si>
  <si>
    <t>wangyanhui@start-china.vip</t>
  </si>
  <si>
    <t>24#202A21</t>
  </si>
  <si>
    <t>邱媛媛</t>
  </si>
  <si>
    <t>qiuyuanyuan_zh@chinamoney.com.cn</t>
  </si>
  <si>
    <t>7#201A20</t>
  </si>
  <si>
    <t>中汇测试部</t>
  </si>
  <si>
    <t>xuhuipeng_zh@chinamoney.com.cn</t>
  </si>
  <si>
    <t>38#204B2</t>
  </si>
  <si>
    <t>冉金澎01</t>
  </si>
  <si>
    <t>ranjp@hanorth.net</t>
  </si>
  <si>
    <t>24#203C4</t>
  </si>
  <si>
    <t>黄晓露</t>
  </si>
  <si>
    <t>huangxiaolu@ectesting.cn</t>
  </si>
  <si>
    <t>28#202A18</t>
  </si>
  <si>
    <t>夏远欣</t>
  </si>
  <si>
    <t>xiayuanxin@hanorth.cn</t>
  </si>
  <si>
    <t>24#202A32</t>
  </si>
  <si>
    <t>马士会</t>
  </si>
  <si>
    <t>vivid.shihui.ma@accenture.com</t>
  </si>
  <si>
    <t>38#204A2</t>
  </si>
  <si>
    <t>鲍晓飞</t>
  </si>
  <si>
    <t>威擎</t>
  </si>
  <si>
    <t>baoxiaofei@vincce.com</t>
  </si>
  <si>
    <t>杨柳02</t>
  </si>
  <si>
    <t>v-liuyng@microsoft.com</t>
  </si>
  <si>
    <t>38#204A3</t>
  </si>
  <si>
    <t>孙雅雯</t>
  </si>
  <si>
    <t>yawen.a.sun@accenture.com</t>
  </si>
  <si>
    <t>38#204A26</t>
  </si>
  <si>
    <t>商月</t>
  </si>
  <si>
    <t>shangyue_zh@chinamoney.com.cn</t>
  </si>
  <si>
    <t>24#202A31</t>
  </si>
  <si>
    <t>梅济正</t>
  </si>
  <si>
    <t>mjzdream@163.com</t>
  </si>
  <si>
    <t>24#203C18</t>
  </si>
  <si>
    <t>宋依麟</t>
  </si>
  <si>
    <t>435432218@qq.com</t>
  </si>
  <si>
    <t>24#202A20</t>
  </si>
  <si>
    <t>王诗凡</t>
  </si>
  <si>
    <t>156370977@qq.com</t>
  </si>
  <si>
    <t>24#203A19</t>
  </si>
  <si>
    <t>zhoudele@chinamoney.com.cn</t>
  </si>
  <si>
    <t>24#203C29</t>
  </si>
  <si>
    <t>王磊</t>
  </si>
  <si>
    <t>l.wang2@tcs.com</t>
  </si>
  <si>
    <t>24#202A27</t>
  </si>
  <si>
    <t>shendongdong@chinamoney.com.cn</t>
  </si>
  <si>
    <t>24#203C6</t>
  </si>
  <si>
    <t>聂瑞</t>
  </si>
  <si>
    <t>617509770@qq.com</t>
  </si>
  <si>
    <t>24#203C20</t>
  </si>
  <si>
    <t>lijian_zh@chinamoney.com.cn</t>
  </si>
  <si>
    <t>24#203C11</t>
  </si>
  <si>
    <t>李广</t>
  </si>
  <si>
    <t>314452213@qq.com</t>
  </si>
  <si>
    <t>方润东</t>
  </si>
  <si>
    <t>fangrd@hanorth.cn</t>
  </si>
  <si>
    <t>徐庆来</t>
  </si>
  <si>
    <t>ydgotwt@126.com</t>
  </si>
  <si>
    <t>周功平</t>
  </si>
  <si>
    <t>zhougongping_zh@chinamoney.com.cn</t>
  </si>
  <si>
    <t>38#204B1</t>
  </si>
  <si>
    <t>闫培杰</t>
  </si>
  <si>
    <t>yanpeijie@ectesting.cn</t>
  </si>
  <si>
    <t>38#204A15</t>
  </si>
  <si>
    <t>中汇支持服务部</t>
  </si>
  <si>
    <t>lijingwen_zh@chinamoney.com.cn</t>
  </si>
  <si>
    <t>孙相龙</t>
  </si>
  <si>
    <t>eddiesunxl@163.com</t>
  </si>
  <si>
    <t>38#204A22</t>
  </si>
  <si>
    <t>文婷苇</t>
  </si>
  <si>
    <t>tingwei.wen@accenture.com</t>
  </si>
  <si>
    <t>24#203C23</t>
  </si>
  <si>
    <t>郝好</t>
  </si>
  <si>
    <t>slyvia.hao.hao@accenture.com</t>
  </si>
  <si>
    <t>24#203C32</t>
  </si>
  <si>
    <t>胡彪</t>
  </si>
  <si>
    <t>hubiao@start-china.vip</t>
  </si>
  <si>
    <t>吴敏华</t>
  </si>
  <si>
    <t>wuminhua_hs@hanorth.cn</t>
  </si>
  <si>
    <t>沈一筹</t>
  </si>
  <si>
    <t>shenyichou_zh@chinamoney.com.cn</t>
  </si>
  <si>
    <t>7#201A15</t>
  </si>
  <si>
    <t>左麟</t>
  </si>
  <si>
    <t>zuolin@hanorth.net</t>
  </si>
  <si>
    <t>李杨</t>
  </si>
  <si>
    <t>jsliyang2@126.com</t>
  </si>
  <si>
    <t>38#204A4</t>
  </si>
  <si>
    <t>雷阳</t>
  </si>
  <si>
    <t>1270600800@qq.com</t>
  </si>
  <si>
    <t>7#201A3</t>
  </si>
  <si>
    <t>徐启峰</t>
  </si>
  <si>
    <t>xuqifeng@vincce.com</t>
  </si>
  <si>
    <t>24#203A20</t>
  </si>
  <si>
    <t>李超01</t>
  </si>
  <si>
    <t>chaoli1@hengtiansoft.com</t>
  </si>
  <si>
    <t>24#203A27</t>
  </si>
  <si>
    <t>李云毅</t>
  </si>
  <si>
    <t>liyunyi_zh@chinamoney.com.cn</t>
  </si>
  <si>
    <t>龚伟峰</t>
  </si>
  <si>
    <t>gongwf@hanorth.com</t>
  </si>
  <si>
    <t>姚文心</t>
  </si>
  <si>
    <t>yaowenxin_zh@chinamoney.cpm.cn</t>
  </si>
  <si>
    <t>24#203B20</t>
  </si>
  <si>
    <t>江云南</t>
  </si>
  <si>
    <t>yunnanjiang@hengtiansoft.com</t>
  </si>
  <si>
    <t>赵洋洋</t>
  </si>
  <si>
    <t>153129037@qq.com</t>
  </si>
  <si>
    <t>吴金成</t>
  </si>
  <si>
    <t>wujincheng@ectesting.cn</t>
  </si>
  <si>
    <t>24#203A24</t>
  </si>
  <si>
    <t>朱雪元</t>
  </si>
  <si>
    <t>grantzhu5729@163.com</t>
  </si>
  <si>
    <t>24#202A14</t>
  </si>
  <si>
    <t>胡庆</t>
  </si>
  <si>
    <t>huqing001@chinasofti.com</t>
  </si>
  <si>
    <t>24#202A8</t>
  </si>
  <si>
    <t>陈敏</t>
  </si>
  <si>
    <t>minchen@hengtiansoft.com</t>
  </si>
  <si>
    <t>24#202A25</t>
  </si>
  <si>
    <t>李佳慧</t>
  </si>
  <si>
    <t>1652087914@qq.com</t>
  </si>
  <si>
    <t>24#203C34</t>
  </si>
  <si>
    <t>胡昊</t>
  </si>
  <si>
    <t>haohu@hengtiansoft.com</t>
  </si>
  <si>
    <t>28#202A14</t>
  </si>
  <si>
    <t>陈创</t>
  </si>
  <si>
    <t>chuangchen@xiaolianinf.com</t>
  </si>
  <si>
    <t>程刚</t>
  </si>
  <si>
    <t>76246250@qq.com</t>
  </si>
  <si>
    <t>24#202A36</t>
  </si>
  <si>
    <t>范东坤</t>
  </si>
  <si>
    <t>fandongkun@start-china.vip</t>
  </si>
  <si>
    <t>24#203A1</t>
  </si>
  <si>
    <t>邬全友</t>
  </si>
  <si>
    <t>wqy1239819084@163.com</t>
  </si>
  <si>
    <t>24#203C19</t>
  </si>
  <si>
    <t>庞苏瑶</t>
  </si>
  <si>
    <t>suyao.pang@farben.com.cn</t>
  </si>
  <si>
    <t>7#201A19</t>
  </si>
  <si>
    <t>吴燕玉</t>
  </si>
  <si>
    <t>sweetcookiewu@163.com</t>
  </si>
  <si>
    <t>吴凯</t>
  </si>
  <si>
    <t>kai.a.wu@accenture.com</t>
  </si>
  <si>
    <t>24#203B16</t>
  </si>
  <si>
    <t>liuqian@chinamoney.com.cn</t>
  </si>
  <si>
    <t>24#202A24</t>
  </si>
  <si>
    <t>汪立</t>
  </si>
  <si>
    <t>支持-会员组支持</t>
  </si>
  <si>
    <t>会员组支持</t>
  </si>
  <si>
    <t>wangli@timesvc.net</t>
  </si>
  <si>
    <t>外滩</t>
  </si>
  <si>
    <t>何强</t>
  </si>
  <si>
    <t>13818695034@163.com</t>
  </si>
  <si>
    <t>陈婷玉</t>
  </si>
  <si>
    <t>chenty@start-china.vip</t>
  </si>
  <si>
    <t>白苗苗</t>
  </si>
  <si>
    <t>miaomiaobai@hengtiansoft.com</t>
  </si>
  <si>
    <t>朱丽娜</t>
  </si>
  <si>
    <t>zhuln@hanorth.com</t>
  </si>
  <si>
    <t>38#204A19</t>
  </si>
  <si>
    <t>林艳</t>
  </si>
  <si>
    <t>linyan@jykjsys.com</t>
  </si>
  <si>
    <t>陈是杏</t>
  </si>
  <si>
    <t>支持-QA不计</t>
  </si>
  <si>
    <t>chenshixing@kingkz.com</t>
  </si>
  <si>
    <t>38#204A23</t>
  </si>
  <si>
    <t>杨棚</t>
  </si>
  <si>
    <t>douflamingo6@icloud.com</t>
  </si>
  <si>
    <t>7#201A17</t>
  </si>
  <si>
    <t>项炳强</t>
  </si>
  <si>
    <t>xiang_bingqiang@163.com</t>
  </si>
  <si>
    <t>7#201A18</t>
  </si>
  <si>
    <t>马海洋</t>
  </si>
  <si>
    <t>17502186239@163.com</t>
  </si>
  <si>
    <t>24#202A18</t>
  </si>
  <si>
    <t>张猛</t>
  </si>
  <si>
    <t>zhangmeng@ectesting.cn</t>
  </si>
  <si>
    <t>28#202A13</t>
  </si>
  <si>
    <t>潘成中</t>
  </si>
  <si>
    <t>panchzh@hanorth.cn</t>
  </si>
  <si>
    <t>孙士惠</t>
  </si>
  <si>
    <t>张政尧</t>
  </si>
  <si>
    <t>zhangzhy@hanorth.cn</t>
  </si>
  <si>
    <t>24#203B4-1</t>
  </si>
  <si>
    <t>杨光</t>
  </si>
  <si>
    <t>yangguang@ectesting.cn</t>
  </si>
  <si>
    <t>7#301A14</t>
  </si>
  <si>
    <t>王帅帅</t>
  </si>
  <si>
    <t>wangshuaishuai@ectesting.cn</t>
  </si>
  <si>
    <t>7#301A15</t>
  </si>
  <si>
    <t>涂瑞强</t>
  </si>
  <si>
    <t>turuiqiang@ectesting.cn</t>
  </si>
  <si>
    <t>7#201A2</t>
  </si>
  <si>
    <t>翟青华01</t>
  </si>
  <si>
    <t>zhaiqinghua@ectesting.cn</t>
  </si>
  <si>
    <t>24#203C8</t>
  </si>
  <si>
    <t>陈海若</t>
  </si>
  <si>
    <t>hairuochen@hengtiansoft.com</t>
  </si>
  <si>
    <t>7#301A1</t>
  </si>
  <si>
    <t>王德成</t>
  </si>
  <si>
    <t>wangdecheng@start-china.vip</t>
  </si>
  <si>
    <t>38#204A7</t>
  </si>
  <si>
    <t>段杰</t>
  </si>
  <si>
    <t>921279158@qq.com</t>
  </si>
  <si>
    <t>7#301A9</t>
  </si>
  <si>
    <t>马岩01</t>
  </si>
  <si>
    <t>mayan@start-china.vip</t>
  </si>
  <si>
    <t>7#301A21</t>
  </si>
  <si>
    <t>麻昆仑</t>
  </si>
  <si>
    <t>makunlun@start-china.vip</t>
  </si>
  <si>
    <t>7#301A18</t>
  </si>
  <si>
    <t>张园园01</t>
  </si>
  <si>
    <t>zhangyy@start-china.vip</t>
  </si>
  <si>
    <t>28#202A17</t>
  </si>
  <si>
    <t>谈思琼</t>
  </si>
  <si>
    <t>tan si qiong@start-china.vip</t>
  </si>
  <si>
    <t>24#203C13</t>
  </si>
  <si>
    <t>胡子龙</t>
  </si>
  <si>
    <t>huzilong@start-china.vip</t>
  </si>
  <si>
    <t>7#301A13</t>
  </si>
  <si>
    <t>伍丽萍</t>
  </si>
  <si>
    <t>wulp@start-china.vip</t>
  </si>
  <si>
    <t>24#203C10</t>
  </si>
  <si>
    <t>苏鹏飞02</t>
  </si>
  <si>
    <t>supengfei@start-china.vip</t>
  </si>
  <si>
    <t>沈辉</t>
  </si>
  <si>
    <t>shenhui@start-china.vip</t>
  </si>
  <si>
    <t>7#201A22</t>
  </si>
  <si>
    <t>于自尚</t>
  </si>
  <si>
    <t>yuzishang@start-china.vip</t>
  </si>
  <si>
    <t>7#301A22</t>
  </si>
  <si>
    <t>张政生</t>
  </si>
  <si>
    <t>zhangzs@start-china.vip</t>
  </si>
  <si>
    <t>7#301A6</t>
  </si>
  <si>
    <t>石豪</t>
  </si>
  <si>
    <t>shihao@start-china.vip.com</t>
  </si>
  <si>
    <t>7#301A17</t>
  </si>
  <si>
    <t>张文科</t>
  </si>
  <si>
    <t>zhangwk@start-china.vip</t>
  </si>
  <si>
    <t>7#301A5</t>
  </si>
  <si>
    <t>周玮</t>
  </si>
  <si>
    <t>zhouwei@start-china.vip</t>
  </si>
  <si>
    <t>24#203B5</t>
  </si>
  <si>
    <t>田明明</t>
  </si>
  <si>
    <t>tianmingming@start-china.vip.com</t>
  </si>
  <si>
    <t>7#301A3</t>
  </si>
  <si>
    <t>戚澎建</t>
  </si>
  <si>
    <t>qipengjian@start-china.vip.com</t>
  </si>
  <si>
    <t>7#301A20</t>
  </si>
  <si>
    <t>zhukk@start-china.vip</t>
  </si>
  <si>
    <t>7#301A11</t>
  </si>
  <si>
    <t>敖恒</t>
  </si>
  <si>
    <t>aoheng@start-china.vip</t>
  </si>
  <si>
    <t>7#301A10</t>
  </si>
  <si>
    <t>张丽</t>
  </si>
  <si>
    <t>zhangli@start-china.vip.com</t>
  </si>
  <si>
    <t>姜宇亮</t>
  </si>
  <si>
    <t>石少帅</t>
  </si>
  <si>
    <t>shishaoshuai@start-china.vip.com</t>
  </si>
  <si>
    <t>28#202A16</t>
  </si>
  <si>
    <t>tanminggui@start-china.vip.com</t>
  </si>
  <si>
    <t>7#301A19</t>
  </si>
  <si>
    <t>夏磊</t>
  </si>
  <si>
    <t>24#203A14</t>
  </si>
  <si>
    <t>郭龙梅</t>
  </si>
  <si>
    <t>24#202A15</t>
  </si>
  <si>
    <t>王莉</t>
  </si>
  <si>
    <t>24#203B6</t>
  </si>
  <si>
    <t>黄鹏</t>
  </si>
  <si>
    <t>24#202A38</t>
  </si>
  <si>
    <t>祁万</t>
  </si>
  <si>
    <t>qiwan@chinasofti.com</t>
  </si>
  <si>
    <t>周隽</t>
  </si>
  <si>
    <t>zhoujun5582@163.com</t>
  </si>
  <si>
    <t>郑朝云</t>
  </si>
  <si>
    <r>
      <rPr>
        <sz val="11"/>
        <rFont val="宋体"/>
        <family val="3"/>
        <charset val="134"/>
      </rPr>
      <t>法本</t>
    </r>
  </si>
  <si>
    <t>he</t>
  </si>
  <si>
    <t>郑成强</t>
  </si>
  <si>
    <t>chengqiangzheng@hengtiansoft.com</t>
  </si>
  <si>
    <t>iezhangxiao@qq.com</t>
  </si>
  <si>
    <t>王骥</t>
  </si>
  <si>
    <t>jiwang@hengtiansoft.com</t>
  </si>
  <si>
    <t>田佳乐</t>
  </si>
  <si>
    <t>jialetian@hengtiansoft.com</t>
  </si>
  <si>
    <t>施迁</t>
  </si>
  <si>
    <t>red.comet@live.com</t>
  </si>
  <si>
    <t>刘敏</t>
  </si>
  <si>
    <t>liumin@hengtian.com</t>
  </si>
  <si>
    <t>24#203A9</t>
  </si>
  <si>
    <t>刘春平</t>
  </si>
  <si>
    <t>liuchunping_zh@chinamoney.com.cn</t>
  </si>
  <si>
    <t>梁艺淞</t>
  </si>
  <si>
    <t>liangyisong@jykjsys.com</t>
  </si>
  <si>
    <t>李艺楠</t>
  </si>
  <si>
    <t>leoli@hengtiansoft.com</t>
  </si>
  <si>
    <t>郭文浩</t>
  </si>
  <si>
    <t>648368843@qq.com</t>
  </si>
  <si>
    <t>24#202A7</t>
  </si>
  <si>
    <t>董炎彦</t>
  </si>
  <si>
    <t>dongyanyan_zh@chinamoney.com.cn</t>
  </si>
  <si>
    <t>陈昊</t>
  </si>
  <si>
    <t>chenhao@chinasofti.com</t>
  </si>
  <si>
    <t>李科</t>
  </si>
  <si>
    <t>like@jykjsys.com</t>
  </si>
  <si>
    <t>chenqiming_zh@chinamoney.com.cn</t>
  </si>
  <si>
    <t>陈九辉</t>
  </si>
  <si>
    <t>chenjiuhui@jykjsys.com</t>
  </si>
  <si>
    <t>陈鹤</t>
  </si>
  <si>
    <t>chenhe_zh@chinamoney.com.cn</t>
  </si>
  <si>
    <t>王寅森</t>
  </si>
  <si>
    <t>wangyinsen@start-china.vip</t>
  </si>
  <si>
    <t>曹泽恒</t>
  </si>
  <si>
    <t>zeheng.cao@farben.com.cn</t>
  </si>
  <si>
    <t>付家然</t>
  </si>
  <si>
    <t>jiaranfu@hengtiansoft.com</t>
  </si>
  <si>
    <t>许贻豪</t>
  </si>
  <si>
    <t>xuyihao@jykjsys.com</t>
  </si>
  <si>
    <t>谢桂锋</t>
  </si>
  <si>
    <t>xieguifeng@faben.com.cn</t>
  </si>
  <si>
    <t>金武顺</t>
  </si>
  <si>
    <t>jinwsh@hanorth.cn</t>
  </si>
  <si>
    <t>38#204A25</t>
  </si>
  <si>
    <t>陈若来</t>
  </si>
  <si>
    <t>chenrl@hanorth.cn</t>
  </si>
  <si>
    <t>38#204A16</t>
  </si>
  <si>
    <t>谢经兵</t>
  </si>
  <si>
    <t>xiejb@hanorth.cn</t>
  </si>
  <si>
    <t>38#204A11</t>
  </si>
  <si>
    <t>huzs@hanorth.cn</t>
  </si>
  <si>
    <t>7#301A7</t>
  </si>
  <si>
    <t>于俊涛</t>
  </si>
  <si>
    <t>1045269538@qq.com</t>
  </si>
  <si>
    <t>7#201A9</t>
  </si>
  <si>
    <t>董莹莹</t>
  </si>
  <si>
    <t>dongyingying@ectesting.cn</t>
  </si>
  <si>
    <t>24#203B3</t>
  </si>
  <si>
    <t>夏淑文</t>
  </si>
  <si>
    <t>xiashuwen@ectesting.cn</t>
  </si>
  <si>
    <t>陆云帆</t>
  </si>
  <si>
    <t>luyunfan@kingkz.com</t>
  </si>
  <si>
    <t>24#203C16</t>
  </si>
  <si>
    <t>卢朝立</t>
  </si>
  <si>
    <t>luchaoli@kingkz.com</t>
  </si>
  <si>
    <t>24#203A5</t>
  </si>
  <si>
    <t>沈迪</t>
  </si>
  <si>
    <t>shendi@ectesting.cn</t>
  </si>
  <si>
    <t>7#201A1</t>
  </si>
  <si>
    <t>冒文影</t>
  </si>
  <si>
    <t>maowenying@ectesting.cn</t>
  </si>
  <si>
    <t>王睿杰</t>
  </si>
  <si>
    <t>tjvegita@aliyun.com</t>
  </si>
  <si>
    <t>24#203C5</t>
  </si>
  <si>
    <t>孙栩</t>
  </si>
  <si>
    <t>sunxu@jykjsys.com</t>
  </si>
  <si>
    <t>24#202A30</t>
  </si>
  <si>
    <t>负责人</t>
  </si>
  <si>
    <t>小项目名称</t>
  </si>
  <si>
    <t>项目状态</t>
  </si>
  <si>
    <t>开始时间</t>
  </si>
  <si>
    <t>结束时间</t>
  </si>
  <si>
    <t>12月当前累计项目量</t>
  </si>
  <si>
    <t>当前所在项目剩余计划工作量</t>
  </si>
  <si>
    <t>当前季度基准日</t>
  </si>
  <si>
    <t>当前计算参照日</t>
  </si>
  <si>
    <t>辅助列-已获挣值周期量</t>
  </si>
  <si>
    <t>辅助列-剩余周期量</t>
  </si>
  <si>
    <t>项目周期</t>
  </si>
  <si>
    <t>2021Q1已获得小项目挣值</t>
  </si>
  <si>
    <t>距离目标</t>
  </si>
  <si>
    <t>期望值</t>
  </si>
  <si>
    <t>V146版本集成</t>
  </si>
  <si>
    <t>已完成</t>
  </si>
  <si>
    <t>V146集中测试</t>
  </si>
  <si>
    <t>V146验收测试</t>
  </si>
  <si>
    <t>V149版本集成</t>
  </si>
  <si>
    <t>进行中</t>
  </si>
  <si>
    <t>国开回购优化</t>
  </si>
  <si>
    <t>2020年度账单</t>
  </si>
  <si>
    <t>拆借意向报价一期</t>
  </si>
  <si>
    <t>拆借对话一期</t>
  </si>
  <si>
    <t>债券借贷附加协议</t>
  </si>
  <si>
    <t>V146生产数据比对</t>
  </si>
  <si>
    <t>V149生产数据比对</t>
  </si>
  <si>
    <t>PIMS接口改造</t>
  </si>
  <si>
    <t>多级托管&amp;外币债备案一期</t>
  </si>
  <si>
    <t>货币市场小红点</t>
  </si>
  <si>
    <t>董彦炎</t>
  </si>
  <si>
    <t>CDC流通要素</t>
  </si>
  <si>
    <t>150用例设计一期</t>
  </si>
  <si>
    <t>150用例设计二期</t>
  </si>
  <si>
    <t>买断多券一期</t>
  </si>
  <si>
    <t>备注：</t>
  </si>
  <si>
    <t>1、已完成小项目挣值按原始计划计算</t>
  </si>
  <si>
    <t>2、每个项目的标准量</t>
  </si>
  <si>
    <t xml:space="preserve">   V150新启动项目按已评估的标准量</t>
  </si>
  <si>
    <t>V146版本集成、集中测试</t>
  </si>
  <si>
    <t>标准项目</t>
  </si>
  <si>
    <t>人数</t>
  </si>
  <si>
    <t>周期</t>
  </si>
  <si>
    <t>折算项目数量</t>
  </si>
  <si>
    <t>12月份折算</t>
  </si>
  <si>
    <t>V149版本集成、集中测试</t>
  </si>
  <si>
    <t>在场负责人</t>
  </si>
  <si>
    <t>手机</t>
  </si>
  <si>
    <t>其他联系人</t>
  </si>
  <si>
    <t>王一超</t>
  </si>
  <si>
    <t>曲世凯</t>
  </si>
  <si>
    <t>杨伟</t>
  </si>
  <si>
    <t>张德平</t>
  </si>
  <si>
    <t>赵建俊18101806855</t>
  </si>
  <si>
    <t>黄静雪</t>
  </si>
  <si>
    <t>杨伟华/王志冰</t>
  </si>
  <si>
    <t>杨伟华18501659847</t>
  </si>
  <si>
    <t>向普王志冰 15800315637</t>
  </si>
  <si>
    <t>魏海霞/田佳乐</t>
  </si>
  <si>
    <t>田佳乐18217411321</t>
  </si>
  <si>
    <t>王征</t>
  </si>
  <si>
    <t>林海静</t>
  </si>
  <si>
    <t>王焕男</t>
  </si>
  <si>
    <t>萧云峰</t>
  </si>
  <si>
    <t>李艾檬</t>
  </si>
  <si>
    <t>崔素</t>
  </si>
  <si>
    <t>李丹清</t>
  </si>
  <si>
    <t>V151</t>
    <phoneticPr fontId="17" type="noConversion"/>
  </si>
  <si>
    <t>姚文心</t>
    <phoneticPr fontId="17" type="noConversion"/>
  </si>
  <si>
    <t>拆借对话二期</t>
    <phoneticPr fontId="17" type="noConversion"/>
  </si>
  <si>
    <t>进行中</t>
    <phoneticPr fontId="17" type="noConversion"/>
  </si>
  <si>
    <t>150验收用例一期</t>
  </si>
  <si>
    <t>150验收用例一期</t>
    <phoneticPr fontId="17" type="noConversion"/>
  </si>
  <si>
    <t>V150</t>
    <phoneticPr fontId="17" type="noConversion"/>
  </si>
  <si>
    <t>已完成</t>
    <phoneticPr fontId="17" type="noConversion"/>
  </si>
  <si>
    <t>新人</t>
    <phoneticPr fontId="17" type="noConversion"/>
  </si>
  <si>
    <t>赵晓韵</t>
    <phoneticPr fontId="17" type="noConversion"/>
  </si>
  <si>
    <t>原</t>
    <phoneticPr fontId="17" type="noConversion"/>
  </si>
  <si>
    <t>新预期（需求分析）</t>
    <phoneticPr fontId="17" type="noConversion"/>
  </si>
  <si>
    <t>需求分析，含晶雯；晶雯条线的2个开发需要留意</t>
    <phoneticPr fontId="17" type="noConversion"/>
  </si>
  <si>
    <t>守门员</t>
    <phoneticPr fontId="17" type="noConversion"/>
  </si>
  <si>
    <t>V150-&gt;V151</t>
  </si>
  <si>
    <t>V150-&gt;V151</t>
    <phoneticPr fontId="17" type="noConversion"/>
  </si>
  <si>
    <t>24#202A12</t>
  </si>
  <si>
    <t>24#202A34</t>
  </si>
  <si>
    <t>24#202A41</t>
  </si>
  <si>
    <t>24#202A22</t>
  </si>
  <si>
    <t>24#202A5</t>
  </si>
  <si>
    <t>24#202A4</t>
  </si>
  <si>
    <t>38#204A18</t>
  </si>
  <si>
    <t>24#202A19</t>
  </si>
  <si>
    <t>24#202A10</t>
  </si>
  <si>
    <t>7#201A12</t>
  </si>
  <si>
    <t>24#202A35</t>
  </si>
  <si>
    <t>拆借夜盘</t>
    <phoneticPr fontId="17" type="noConversion"/>
  </si>
  <si>
    <t>V149集中测试</t>
    <phoneticPr fontId="17" type="noConversion"/>
  </si>
  <si>
    <t>梁木1</t>
    <phoneticPr fontId="17" type="noConversion"/>
  </si>
  <si>
    <t>王艳慧</t>
    <phoneticPr fontId="17" type="noConversion"/>
  </si>
  <si>
    <t>当前季度基准</t>
    <phoneticPr fontId="17" type="noConversion"/>
  </si>
  <si>
    <t>平安银行旗舰店一期</t>
    <phoneticPr fontId="17" type="noConversion"/>
  </si>
  <si>
    <t>平安银行旗舰店二期</t>
    <phoneticPr fontId="17" type="noConversion"/>
  </si>
  <si>
    <t>标准项目量（人周）</t>
    <phoneticPr fontId="17" type="noConversion"/>
  </si>
  <si>
    <t>标准项目量</t>
    <phoneticPr fontId="17" type="noConversion"/>
  </si>
  <si>
    <t>人周折算</t>
    <phoneticPr fontId="17" type="noConversion"/>
  </si>
  <si>
    <t>期望</t>
    <phoneticPr fontId="17" type="noConversion"/>
  </si>
  <si>
    <t xml:space="preserve">   V150之前项目按投入人数及原始计划周期与标准项目(15人*21天)=45人周折算</t>
    <phoneticPr fontId="17" type="noConversion"/>
  </si>
  <si>
    <t>现券请求报价优化</t>
    <phoneticPr fontId="17" type="noConversion"/>
  </si>
  <si>
    <t>X-Bond明日T+0储备</t>
    <phoneticPr fontId="17" type="noConversion"/>
  </si>
  <si>
    <t>用户机构体系改造一期一阶段</t>
    <phoneticPr fontId="17" type="noConversion"/>
  </si>
  <si>
    <t>三方回购上线-27</t>
  </si>
  <si>
    <t>三方回购上线-27</t>
    <phoneticPr fontId="17" type="noConversion"/>
  </si>
  <si>
    <t>V149集中测试-&gt;三方回购上线版-27</t>
    <phoneticPr fontId="17" type="noConversion"/>
  </si>
  <si>
    <t>回购成交性能优化-14</t>
  </si>
  <si>
    <t>回购成交性能优化-14</t>
    <phoneticPr fontId="17" type="noConversion"/>
  </si>
  <si>
    <t>V153</t>
  </si>
  <si>
    <t>V153</t>
    <phoneticPr fontId="17" type="noConversion"/>
  </si>
  <si>
    <t>信息披露-36</t>
  </si>
  <si>
    <t>信息披露-36</t>
    <phoneticPr fontId="17" type="noConversion"/>
  </si>
  <si>
    <t>150验收用例二期</t>
  </si>
  <si>
    <t>150验收用例二期</t>
    <phoneticPr fontId="17" type="noConversion"/>
  </si>
  <si>
    <t>V149集中测试-&gt;X-Bond明日T+0储备-9</t>
    <phoneticPr fontId="17" type="noConversion"/>
  </si>
  <si>
    <t>X-Bond明日T+0储备-9</t>
  </si>
  <si>
    <t>X-Bond明日T+0储备-9</t>
    <phoneticPr fontId="17" type="noConversion"/>
  </si>
  <si>
    <t>拆借对话二期-45</t>
  </si>
  <si>
    <t>拆借对话二期-45</t>
    <phoneticPr fontId="17" type="noConversion"/>
  </si>
  <si>
    <t>拆借对话二期-45-&gt;买断多券一期-45</t>
  </si>
  <si>
    <t>拆借对话二期-45-&gt;买断多券一期-45</t>
    <phoneticPr fontId="17" type="noConversion"/>
  </si>
  <si>
    <t>拆借夜盘-45</t>
  </si>
  <si>
    <t>拆借夜盘-45</t>
    <phoneticPr fontId="17" type="noConversion"/>
  </si>
  <si>
    <t>买断多券一期-45</t>
  </si>
  <si>
    <t>买断多券一期-45</t>
    <phoneticPr fontId="17" type="noConversion"/>
  </si>
  <si>
    <t>V149验收测试-&gt;买断多券一期-45</t>
    <phoneticPr fontId="17" type="noConversion"/>
  </si>
  <si>
    <t>现券请求报价功能优化-4.5</t>
    <phoneticPr fontId="17" type="noConversion"/>
  </si>
  <si>
    <t>用户体系改造一期-27</t>
  </si>
  <si>
    <t>用户体系改造一期-27</t>
    <phoneticPr fontId="17" type="noConversion"/>
  </si>
  <si>
    <t>资管服务优化成交单-22.5-&gt;信息披露-36</t>
    <phoneticPr fontId="17" type="noConversion"/>
  </si>
  <si>
    <t>资管服务优化成交单-22.5</t>
    <phoneticPr fontId="17" type="noConversion"/>
  </si>
  <si>
    <t>做市合规一期</t>
    <phoneticPr fontId="17" type="noConversion"/>
  </si>
  <si>
    <t>做市合规二期</t>
    <phoneticPr fontId="17" type="noConversion"/>
  </si>
  <si>
    <t>做市合规二期-24.75</t>
  </si>
  <si>
    <t>做市合规二期-24.75</t>
    <phoneticPr fontId="17" type="noConversion"/>
  </si>
  <si>
    <t>V149集中测试-&gt;做市合规二期-24.75</t>
    <phoneticPr fontId="17" type="noConversion"/>
  </si>
  <si>
    <t>平安银行旗舰店二期-18.5</t>
  </si>
  <si>
    <t>平安银行旗舰店二期-18.5</t>
    <phoneticPr fontId="17" type="noConversion"/>
  </si>
  <si>
    <t>守门员-&gt;平安银行旗舰店二期-18.5</t>
    <phoneticPr fontId="17" type="noConversion"/>
  </si>
  <si>
    <t>投资经理行情模板技术储备-18</t>
    <phoneticPr fontId="17" type="noConversion"/>
  </si>
  <si>
    <t>投资经理行情模板技术储备</t>
    <phoneticPr fontId="17" type="noConversion"/>
  </si>
  <si>
    <t>X-Bond明日T+0储备-9/三方回购上线版-27</t>
    <phoneticPr fontId="17" type="noConversion"/>
  </si>
  <si>
    <t>回购工行事前控制-6.75</t>
  </si>
  <si>
    <t>回购工行事前控制-6.75</t>
    <phoneticPr fontId="17" type="noConversion"/>
  </si>
  <si>
    <t>测试工具</t>
  </si>
  <si>
    <t>测试工具</t>
    <phoneticPr fontId="17" type="noConversion"/>
  </si>
  <si>
    <t>V150集成准备</t>
    <phoneticPr fontId="17" type="noConversion"/>
  </si>
  <si>
    <t>董彦炎</t>
    <phoneticPr fontId="17" type="noConversion"/>
  </si>
  <si>
    <t>待立项</t>
    <phoneticPr fontId="17" type="noConversion"/>
  </si>
  <si>
    <t>三方回购上线版</t>
    <phoneticPr fontId="17" type="noConversion"/>
  </si>
  <si>
    <t>魏渐俊</t>
    <phoneticPr fontId="17" type="noConversion"/>
  </si>
  <si>
    <t>信息披露</t>
    <phoneticPr fontId="17" type="noConversion"/>
  </si>
  <si>
    <t>苏雷皓</t>
    <phoneticPr fontId="17" type="noConversion"/>
  </si>
  <si>
    <t>陈杰樱</t>
    <phoneticPr fontId="17" type="noConversion"/>
  </si>
  <si>
    <t>数据分析</t>
    <phoneticPr fontId="17" type="noConversion"/>
  </si>
  <si>
    <t>质押式回购工行桥接服务</t>
    <phoneticPr fontId="17" type="noConversion"/>
  </si>
  <si>
    <t>产假</t>
    <phoneticPr fontId="17" type="noConversion"/>
  </si>
  <si>
    <t>陈玉莲</t>
  </si>
  <si>
    <t>chenyulian@hanorth.com</t>
  </si>
  <si>
    <t>刘锁银</t>
  </si>
  <si>
    <t>liusuoyin@kingkz.com</t>
  </si>
  <si>
    <t>24#203C15</t>
  </si>
  <si>
    <t>24#203B11-1</t>
  </si>
  <si>
    <t>7#201A28</t>
  </si>
  <si>
    <t>24#203C26</t>
  </si>
  <si>
    <t>7#201A26</t>
  </si>
  <si>
    <t>24#202A39</t>
  </si>
  <si>
    <t>7#201A14</t>
  </si>
  <si>
    <t>24#1FA4</t>
  </si>
  <si>
    <t>24#203C14</t>
  </si>
  <si>
    <t>24#1FA3</t>
  </si>
  <si>
    <t>24#1FA2</t>
  </si>
  <si>
    <t>28#202A20</t>
  </si>
  <si>
    <t>38#204A20</t>
  </si>
  <si>
    <t>24#1FA5</t>
  </si>
  <si>
    <t>7#201A16</t>
  </si>
  <si>
    <t>7#201A25</t>
  </si>
  <si>
    <t>7#201A21</t>
  </si>
  <si>
    <t>7#201A13</t>
  </si>
  <si>
    <t>24#202A43</t>
  </si>
  <si>
    <t>24#202A44</t>
  </si>
  <si>
    <t>24#202A51</t>
  </si>
  <si>
    <t>24#202A48</t>
  </si>
  <si>
    <t>28#202A12</t>
  </si>
  <si>
    <t>24#202A54</t>
  </si>
  <si>
    <t>V150集成</t>
    <phoneticPr fontId="17" type="noConversion"/>
  </si>
  <si>
    <t>V150集中测试</t>
    <phoneticPr fontId="17" type="noConversion"/>
  </si>
  <si>
    <t>V150集成-&gt;V150集中测试</t>
    <phoneticPr fontId="17" type="noConversion"/>
  </si>
  <si>
    <t>周功平</t>
    <phoneticPr fontId="17" type="noConversion"/>
  </si>
  <si>
    <t>150生产数据比对</t>
    <phoneticPr fontId="17" type="noConversion"/>
  </si>
  <si>
    <t>V150验收测试</t>
    <phoneticPr fontId="17" type="noConversion"/>
  </si>
  <si>
    <t>配置管理</t>
    <phoneticPr fontId="17" type="noConversion"/>
  </si>
  <si>
    <t>排错组V146</t>
    <phoneticPr fontId="17" type="noConversion"/>
  </si>
  <si>
    <t>X-Bond明日T+0储备-9/三方回购上线-27</t>
  </si>
  <si>
    <t>X-Bond明日T+0储备-9/三方回购上线-27</t>
    <phoneticPr fontId="17" type="noConversion"/>
  </si>
  <si>
    <t>UX设计</t>
    <phoneticPr fontId="17" type="noConversion"/>
  </si>
  <si>
    <t>UX设计</t>
  </si>
  <si>
    <t>V150集成组</t>
  </si>
  <si>
    <t>V150集成组</t>
    <phoneticPr fontId="17" type="noConversion"/>
  </si>
  <si>
    <t>V150配置管理</t>
  </si>
  <si>
    <t>V150配置管理</t>
    <phoneticPr fontId="17" type="noConversion"/>
  </si>
  <si>
    <t>版本共享</t>
    <phoneticPr fontId="17" type="noConversion"/>
  </si>
  <si>
    <t>UX+QA</t>
    <phoneticPr fontId="17" type="noConversion"/>
  </si>
  <si>
    <t>V150集成组-&gt;V150集中测试</t>
  </si>
  <si>
    <t>V150集成组-&gt;V150集中测试</t>
    <phoneticPr fontId="17" type="noConversion"/>
  </si>
  <si>
    <t>V150集中测试</t>
  </si>
  <si>
    <t>谭明贵</t>
    <phoneticPr fontId="17" type="noConversion"/>
  </si>
  <si>
    <t>张晓</t>
    <phoneticPr fontId="17" type="noConversion"/>
  </si>
  <si>
    <t>胡祖思</t>
    <phoneticPr fontId="17" type="noConversion"/>
  </si>
  <si>
    <t>朱坤坤</t>
    <phoneticPr fontId="17" type="noConversion"/>
  </si>
  <si>
    <t>陈鹤</t>
    <phoneticPr fontId="17" type="noConversion"/>
  </si>
  <si>
    <t>回购市场成交模块性能优化</t>
    <phoneticPr fontId="17" type="noConversion"/>
  </si>
  <si>
    <t>V149X负责人</t>
    <phoneticPr fontId="17" type="noConversion"/>
  </si>
  <si>
    <t>V149X验收负责人</t>
    <phoneticPr fontId="17" type="noConversion"/>
  </si>
  <si>
    <t>V150验收测试</t>
  </si>
  <si>
    <t>V150迁移测试</t>
  </si>
  <si>
    <t>V150迁移测试</t>
    <phoneticPr fontId="17" type="noConversion"/>
  </si>
  <si>
    <t>央行操作室</t>
    <phoneticPr fontId="17" type="noConversion"/>
  </si>
  <si>
    <t>拆借夜盘-45-&gt;央行操作室</t>
    <phoneticPr fontId="17" type="noConversion"/>
  </si>
  <si>
    <t>拆借对话二期-45-&gt;央行操作室</t>
    <phoneticPr fontId="17" type="noConversion"/>
  </si>
  <si>
    <t>平安银行旗舰店二期-18.5-&gt;TR及白名单扩容</t>
    <phoneticPr fontId="17" type="noConversion"/>
  </si>
  <si>
    <t>排错组V146-&gt;TR及白名单扩容</t>
  </si>
  <si>
    <t>排错组V146-&gt;TR及白名单扩容</t>
    <phoneticPr fontId="17" type="noConversion"/>
  </si>
  <si>
    <t>TR及白名单扩容</t>
  </si>
  <si>
    <t>TR及白名单扩容</t>
    <phoneticPr fontId="17" type="noConversion"/>
  </si>
  <si>
    <t>守门员-&gt;TR及白名单扩容</t>
    <phoneticPr fontId="17" type="noConversion"/>
  </si>
  <si>
    <t>V149X</t>
  </si>
  <si>
    <t>V149X</t>
    <phoneticPr fontId="17" type="noConversion"/>
  </si>
  <si>
    <t>V150负责人</t>
    <phoneticPr fontId="17" type="noConversion"/>
  </si>
  <si>
    <t>V150验收测试(结项后)</t>
    <phoneticPr fontId="17" type="noConversion"/>
  </si>
  <si>
    <t>149X验收测试</t>
    <phoneticPr fontId="17" type="noConversion"/>
  </si>
  <si>
    <t>V150集成集中验收预排</t>
    <phoneticPr fontId="17" type="noConversion"/>
  </si>
  <si>
    <t>版本整体负责</t>
    <phoneticPr fontId="17" type="noConversion"/>
  </si>
  <si>
    <t>V150-&gt;V15X</t>
  </si>
  <si>
    <t>V150-&gt;V15X</t>
    <phoneticPr fontId="17" type="noConversion"/>
  </si>
  <si>
    <t>用户机构体系改造一期二阶段</t>
    <phoneticPr fontId="17" type="noConversion"/>
  </si>
  <si>
    <t>李靖民</t>
    <phoneticPr fontId="17" type="noConversion"/>
  </si>
  <si>
    <t>用户机构体系改造一期三阶段</t>
    <phoneticPr fontId="17" type="noConversion"/>
  </si>
  <si>
    <t>央行操作室和买方机构优化</t>
    <phoneticPr fontId="17" type="noConversion"/>
  </si>
  <si>
    <t>150集中测试</t>
    <phoneticPr fontId="17" type="noConversion"/>
  </si>
  <si>
    <t>150版本集成</t>
    <phoneticPr fontId="17" type="noConversion"/>
  </si>
  <si>
    <t>需求分析</t>
    <phoneticPr fontId="17" type="noConversion"/>
  </si>
  <si>
    <t>设计开发</t>
    <phoneticPr fontId="17" type="noConversion"/>
  </si>
  <si>
    <t>管理支持</t>
    <phoneticPr fontId="17" type="noConversion"/>
  </si>
  <si>
    <t>功能测试</t>
    <phoneticPr fontId="17" type="noConversion"/>
  </si>
  <si>
    <t>1月20日安排</t>
    <phoneticPr fontId="17" type="noConversion"/>
  </si>
  <si>
    <t>1月25日后续安排</t>
    <phoneticPr fontId="17" type="noConversion"/>
  </si>
  <si>
    <t>即将离场</t>
  </si>
  <si>
    <t>即将离场</t>
    <phoneticPr fontId="17" type="noConversion"/>
  </si>
  <si>
    <t>邱媛媛</t>
    <phoneticPr fontId="17" type="noConversion"/>
  </si>
  <si>
    <t>陈嘉伟</t>
    <phoneticPr fontId="17" type="noConversion"/>
  </si>
  <si>
    <t>章群燕</t>
    <phoneticPr fontId="17" type="noConversion"/>
  </si>
  <si>
    <t>孙道伟</t>
    <phoneticPr fontId="17" type="noConversion"/>
  </si>
  <si>
    <t>24#203C3</t>
  </si>
  <si>
    <t>24#203C21</t>
  </si>
  <si>
    <t>商月</t>
    <phoneticPr fontId="17" type="noConversion"/>
  </si>
  <si>
    <t>版本线</t>
    <phoneticPr fontId="17" type="noConversion"/>
  </si>
  <si>
    <t>郑安如</t>
    <phoneticPr fontId="17" type="noConversion"/>
  </si>
  <si>
    <t>张洋弘</t>
    <phoneticPr fontId="17" type="noConversion"/>
  </si>
  <si>
    <t>顾静洁</t>
    <phoneticPr fontId="17" type="noConversion"/>
  </si>
  <si>
    <t>刘倩</t>
    <phoneticPr fontId="17" type="noConversion"/>
  </si>
  <si>
    <t>孙小林</t>
    <phoneticPr fontId="17" type="noConversion"/>
  </si>
  <si>
    <t>JAVA/CWAP</t>
    <phoneticPr fontId="17" type="noConversion"/>
  </si>
  <si>
    <t>NDM业务</t>
    <phoneticPr fontId="17" type="noConversion"/>
  </si>
  <si>
    <t>NDM业务-验收</t>
    <phoneticPr fontId="17" type="noConversion"/>
  </si>
  <si>
    <t>通用功能</t>
    <phoneticPr fontId="17" type="noConversion"/>
  </si>
  <si>
    <t>ODM业务-验收</t>
    <phoneticPr fontId="17" type="noConversion"/>
  </si>
  <si>
    <t>H5</t>
    <phoneticPr fontId="17" type="noConversion"/>
  </si>
  <si>
    <t>JAVA/AKKA</t>
    <phoneticPr fontId="17" type="noConversion"/>
  </si>
  <si>
    <t>V149X验收负责人</t>
  </si>
  <si>
    <t>技术线</t>
    <phoneticPr fontId="17" type="noConversion"/>
  </si>
  <si>
    <t>需求线</t>
    <phoneticPr fontId="17" type="noConversion"/>
  </si>
  <si>
    <t>集成配置管理</t>
  </si>
  <si>
    <t>集成配置管理</t>
    <phoneticPr fontId="17" type="noConversion"/>
  </si>
  <si>
    <t>集成配置管理DBA</t>
  </si>
  <si>
    <t>集成配置管理DBA</t>
    <phoneticPr fontId="17" type="noConversion"/>
  </si>
  <si>
    <t>集成配置-运维</t>
  </si>
  <si>
    <t>集成配置-运维</t>
    <phoneticPr fontId="17" type="noConversion"/>
  </si>
  <si>
    <t>集成配置-Devops平台开发</t>
  </si>
  <si>
    <t>集成配置-Devops平台开发</t>
    <phoneticPr fontId="17" type="noConversion"/>
  </si>
  <si>
    <t>业务技术线组长</t>
    <phoneticPr fontId="17" type="noConversion"/>
  </si>
  <si>
    <t>业务技术条组长（仅统计)</t>
    <phoneticPr fontId="17" type="noConversion"/>
  </si>
  <si>
    <t>技能组（仅统计筛选)</t>
    <phoneticPr fontId="17" type="noConversion"/>
  </si>
  <si>
    <t>郑安如包含杨子玉</t>
    <phoneticPr fontId="17" type="noConversion"/>
  </si>
  <si>
    <t>刘倩包含李靖民</t>
    <phoneticPr fontId="17" type="noConversion"/>
  </si>
  <si>
    <t>顾静洁包含孙道伟</t>
    <phoneticPr fontId="17" type="noConversion"/>
  </si>
  <si>
    <t>央行操作室及买方机构优化-45</t>
  </si>
  <si>
    <t>央行操作室及买方机构优化-45</t>
    <phoneticPr fontId="17" type="noConversion"/>
  </si>
  <si>
    <t>排错组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</si>
</sst>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_);[Red]\(0.00\)"/>
  </numFmts>
  <fonts count="22" x14ac:knownFonts="1">
    <font>
      <sz val="12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等线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theme="2" tint="-0.499984740745262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0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58" fontId="4" fillId="0" borderId="0" xfId="0" applyNumberFormat="1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Fill="1">
      <alignment vertical="center"/>
    </xf>
    <xf numFmtId="14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7" fillId="2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/>
    </xf>
    <xf numFmtId="177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/>
    </xf>
    <xf numFmtId="177" fontId="9" fillId="0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>
      <alignment vertical="center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0" borderId="1" xfId="0" applyNumberFormat="1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177" fontId="9" fillId="0" borderId="2" xfId="0" applyNumberFormat="1" applyFont="1" applyFill="1" applyBorder="1" applyAlignment="1">
      <alignment horizontal="left" vertical="center" wrapText="1"/>
    </xf>
    <xf numFmtId="0" fontId="9" fillId="0" borderId="2" xfId="0" applyNumberFormat="1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>
      <alignment vertical="center"/>
    </xf>
    <xf numFmtId="0" fontId="6" fillId="0" borderId="3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6" fillId="0" borderId="0" xfId="1" applyAlignment="1">
      <alignment vertical="center" wrapText="1"/>
    </xf>
    <xf numFmtId="0" fontId="13" fillId="0" borderId="1" xfId="1" applyFont="1" applyBorder="1">
      <alignment vertical="center"/>
    </xf>
    <xf numFmtId="0" fontId="13" fillId="5" borderId="1" xfId="1" applyFont="1" applyFill="1" applyBorder="1">
      <alignment vertical="center"/>
    </xf>
    <xf numFmtId="0" fontId="13" fillId="3" borderId="1" xfId="1" applyFont="1" applyFill="1" applyBorder="1">
      <alignment vertical="center"/>
    </xf>
    <xf numFmtId="0" fontId="13" fillId="6" borderId="1" xfId="1" applyFont="1" applyFill="1" applyBorder="1">
      <alignment vertical="center"/>
    </xf>
    <xf numFmtId="0" fontId="13" fillId="7" borderId="1" xfId="1" applyFont="1" applyFill="1" applyBorder="1">
      <alignment vertical="center"/>
    </xf>
    <xf numFmtId="0" fontId="6" fillId="0" borderId="1" xfId="1" applyBorder="1">
      <alignment vertical="center"/>
    </xf>
    <xf numFmtId="0" fontId="2" fillId="0" borderId="1" xfId="1" applyFont="1" applyBorder="1">
      <alignment vertical="center"/>
    </xf>
    <xf numFmtId="0" fontId="13" fillId="0" borderId="5" xfId="1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1" applyFont="1" applyAlignment="1">
      <alignment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15" fillId="0" borderId="0" xfId="1" applyFont="1">
      <alignment vertical="center"/>
    </xf>
    <xf numFmtId="0" fontId="18" fillId="0" borderId="1" xfId="0" applyNumberFormat="1" applyFont="1" applyFill="1" applyBorder="1" applyAlignment="1">
      <alignment vertical="center"/>
    </xf>
    <xf numFmtId="0" fontId="0" fillId="0" borderId="0" xfId="0" pivotButton="1">
      <alignment vertical="center"/>
    </xf>
    <xf numFmtId="0" fontId="19" fillId="0" borderId="0" xfId="0" applyFont="1">
      <alignment vertical="center"/>
    </xf>
    <xf numFmtId="0" fontId="18" fillId="4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3" fillId="0" borderId="0" xfId="1" applyFont="1" applyAlignment="1">
      <alignment horizontal="right" vertical="center"/>
    </xf>
    <xf numFmtId="0" fontId="14" fillId="0" borderId="0" xfId="1" applyFont="1" applyFill="1" applyAlignment="1">
      <alignment vertical="center" wrapText="1"/>
    </xf>
    <xf numFmtId="0" fontId="13" fillId="0" borderId="0" xfId="1" applyFont="1" applyFill="1">
      <alignment vertical="center"/>
    </xf>
    <xf numFmtId="0" fontId="13" fillId="0" borderId="0" xfId="0" applyFont="1" applyFill="1">
      <alignment vertical="center"/>
    </xf>
    <xf numFmtId="0" fontId="9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20" fillId="0" borderId="0" xfId="0" applyNumberFormat="1" applyFont="1">
      <alignment vertical="center"/>
    </xf>
    <xf numFmtId="0" fontId="4" fillId="3" borderId="0" xfId="0" applyFont="1" applyFill="1">
      <alignment vertical="center"/>
    </xf>
    <xf numFmtId="0" fontId="8" fillId="0" borderId="6" xfId="0" applyNumberFormat="1" applyFont="1" applyFill="1" applyBorder="1" applyAlignment="1">
      <alignment vertical="center" wrapText="1"/>
    </xf>
    <xf numFmtId="0" fontId="9" fillId="0" borderId="6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vertical="center" wrapText="1"/>
    </xf>
    <xf numFmtId="0" fontId="9" fillId="3" borderId="6" xfId="0" applyNumberFormat="1" applyFont="1" applyFill="1" applyBorder="1" applyAlignment="1">
      <alignment vertical="center"/>
    </xf>
    <xf numFmtId="0" fontId="9" fillId="4" borderId="6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7" xfId="0" applyNumberFormat="1" applyFont="1" applyFill="1" applyBorder="1" applyAlignment="1">
      <alignment vertical="center"/>
    </xf>
    <xf numFmtId="0" fontId="7" fillId="2" borderId="8" xfId="0" applyNumberFormat="1" applyFont="1" applyFill="1" applyBorder="1" applyAlignment="1">
      <alignment vertical="center" wrapText="1"/>
    </xf>
    <xf numFmtId="0" fontId="9" fillId="0" borderId="8" xfId="0" applyNumberFormat="1" applyFont="1" applyFill="1" applyBorder="1" applyAlignment="1">
      <alignment vertical="center"/>
    </xf>
    <xf numFmtId="0" fontId="9" fillId="0" borderId="8" xfId="0" applyFont="1" applyBorder="1">
      <alignment vertical="center"/>
    </xf>
    <xf numFmtId="0" fontId="7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176" fontId="4" fillId="3" borderId="0" xfId="0" applyNumberFormat="1" applyFont="1" applyFill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D39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2021Q1</a:t>
            </a:r>
            <a:r>
              <a:rPr lang="zh-CN" altLang="en-US"/>
              <a:t>小项目挣值</a:t>
            </a:r>
            <a:r>
              <a:rPr lang="en-US" altLang="zh-CN"/>
              <a:t>(</a:t>
            </a:r>
            <a:r>
              <a:rPr lang="zh-CN" altLang="en-US"/>
              <a:t>人周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小项目情况汇总!$S$1</c:f>
              <c:strCache>
                <c:ptCount val="1"/>
                <c:pt idx="0">
                  <c:v>2021Q1已获得小项目挣值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小项目情况汇总!$R$2:$R$20</c:f>
              <c:strCache>
                <c:ptCount val="19"/>
                <c:pt idx="0">
                  <c:v>吕欣冉</c:v>
                </c:pt>
                <c:pt idx="1">
                  <c:v>李云毅</c:v>
                </c:pt>
                <c:pt idx="2">
                  <c:v>姚文心</c:v>
                </c:pt>
                <c:pt idx="3">
                  <c:v>赵晓韵</c:v>
                </c:pt>
                <c:pt idx="4">
                  <c:v>魏渐俊</c:v>
                </c:pt>
                <c:pt idx="5">
                  <c:v>张薇</c:v>
                </c:pt>
                <c:pt idx="6">
                  <c:v>陈嘉伟</c:v>
                </c:pt>
                <c:pt idx="7">
                  <c:v>邱媛媛</c:v>
                </c:pt>
                <c:pt idx="8">
                  <c:v>陈杰樱</c:v>
                </c:pt>
                <c:pt idx="9">
                  <c:v>苏雷皓</c:v>
                </c:pt>
                <c:pt idx="10">
                  <c:v>章群燕</c:v>
                </c:pt>
                <c:pt idx="11">
                  <c:v>刁望庆</c:v>
                </c:pt>
                <c:pt idx="12">
                  <c:v>沈一筹</c:v>
                </c:pt>
                <c:pt idx="13">
                  <c:v>商月</c:v>
                </c:pt>
                <c:pt idx="14">
                  <c:v>陈鹤</c:v>
                </c:pt>
                <c:pt idx="15">
                  <c:v>李靖民</c:v>
                </c:pt>
                <c:pt idx="16">
                  <c:v>杨子玉</c:v>
                </c:pt>
                <c:pt idx="17">
                  <c:v>孙道伟</c:v>
                </c:pt>
                <c:pt idx="18">
                  <c:v>周功平</c:v>
                </c:pt>
              </c:strCache>
            </c:strRef>
          </c:cat>
          <c:val>
            <c:numRef>
              <c:f>小项目情况汇总!$S$2:$S$20</c:f>
              <c:numCache>
                <c:formatCode>0.00_ </c:formatCode>
                <c:ptCount val="19"/>
                <c:pt idx="0">
                  <c:v>110.74636824324324</c:v>
                </c:pt>
                <c:pt idx="1">
                  <c:v>83.965090909090918</c:v>
                </c:pt>
                <c:pt idx="2">
                  <c:v>102</c:v>
                </c:pt>
                <c:pt idx="3">
                  <c:v>80.121165321165321</c:v>
                </c:pt>
                <c:pt idx="4">
                  <c:v>18.782608695652172</c:v>
                </c:pt>
                <c:pt idx="5">
                  <c:v>31.5</c:v>
                </c:pt>
                <c:pt idx="6">
                  <c:v>45.5</c:v>
                </c:pt>
                <c:pt idx="7">
                  <c:v>30.056000000000001</c:v>
                </c:pt>
                <c:pt idx="8">
                  <c:v>49.333333333333329</c:v>
                </c:pt>
                <c:pt idx="9">
                  <c:v>48.338608695652169</c:v>
                </c:pt>
                <c:pt idx="10">
                  <c:v>97.056000000000012</c:v>
                </c:pt>
                <c:pt idx="11">
                  <c:v>110.74636824324324</c:v>
                </c:pt>
                <c:pt idx="12">
                  <c:v>27.3</c:v>
                </c:pt>
                <c:pt idx="13">
                  <c:v>51.543243243243239</c:v>
                </c:pt>
                <c:pt idx="14">
                  <c:v>34.633333333333333</c:v>
                </c:pt>
                <c:pt idx="15">
                  <c:v>27.7</c:v>
                </c:pt>
                <c:pt idx="16">
                  <c:v>30.150000000000002</c:v>
                </c:pt>
                <c:pt idx="17">
                  <c:v>35.683783783783781</c:v>
                </c:pt>
                <c:pt idx="18">
                  <c:v>23.03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E-4E55-BBC7-D8492FE439CB}"/>
            </c:ext>
          </c:extLst>
        </c:ser>
        <c:ser>
          <c:idx val="1"/>
          <c:order val="1"/>
          <c:tx>
            <c:strRef>
              <c:f>小项目情况汇总!$T$1</c:f>
              <c:strCache>
                <c:ptCount val="1"/>
                <c:pt idx="0">
                  <c:v>当前所在项目剩余计划工作量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小项目情况汇总!$R$2:$R$20</c:f>
              <c:strCache>
                <c:ptCount val="19"/>
                <c:pt idx="0">
                  <c:v>吕欣冉</c:v>
                </c:pt>
                <c:pt idx="1">
                  <c:v>李云毅</c:v>
                </c:pt>
                <c:pt idx="2">
                  <c:v>姚文心</c:v>
                </c:pt>
                <c:pt idx="3">
                  <c:v>赵晓韵</c:v>
                </c:pt>
                <c:pt idx="4">
                  <c:v>魏渐俊</c:v>
                </c:pt>
                <c:pt idx="5">
                  <c:v>张薇</c:v>
                </c:pt>
                <c:pt idx="6">
                  <c:v>陈嘉伟</c:v>
                </c:pt>
                <c:pt idx="7">
                  <c:v>邱媛媛</c:v>
                </c:pt>
                <c:pt idx="8">
                  <c:v>陈杰樱</c:v>
                </c:pt>
                <c:pt idx="9">
                  <c:v>苏雷皓</c:v>
                </c:pt>
                <c:pt idx="10">
                  <c:v>章群燕</c:v>
                </c:pt>
                <c:pt idx="11">
                  <c:v>刁望庆</c:v>
                </c:pt>
                <c:pt idx="12">
                  <c:v>沈一筹</c:v>
                </c:pt>
                <c:pt idx="13">
                  <c:v>商月</c:v>
                </c:pt>
                <c:pt idx="14">
                  <c:v>陈鹤</c:v>
                </c:pt>
                <c:pt idx="15">
                  <c:v>李靖民</c:v>
                </c:pt>
                <c:pt idx="16">
                  <c:v>杨子玉</c:v>
                </c:pt>
                <c:pt idx="17">
                  <c:v>孙道伟</c:v>
                </c:pt>
                <c:pt idx="18">
                  <c:v>周功平</c:v>
                </c:pt>
              </c:strCache>
            </c:strRef>
          </c:cat>
          <c:val>
            <c:numRef>
              <c:f>小项目情况汇总!$T$2:$T$20</c:f>
              <c:numCache>
                <c:formatCode>0.00_ </c:formatCode>
                <c:ptCount val="19"/>
                <c:pt idx="0">
                  <c:v>1.5468750000000002</c:v>
                </c:pt>
                <c:pt idx="1">
                  <c:v>4.0909090909090908</c:v>
                </c:pt>
                <c:pt idx="2">
                  <c:v>69</c:v>
                </c:pt>
                <c:pt idx="3">
                  <c:v>11.922077922077921</c:v>
                </c:pt>
                <c:pt idx="4">
                  <c:v>17.217391304347828</c:v>
                </c:pt>
                <c:pt idx="5">
                  <c:v>0</c:v>
                </c:pt>
                <c:pt idx="6">
                  <c:v>81</c:v>
                </c:pt>
                <c:pt idx="7">
                  <c:v>22.5</c:v>
                </c:pt>
                <c:pt idx="8">
                  <c:v>76.666666666666671</c:v>
                </c:pt>
                <c:pt idx="9">
                  <c:v>17.217391304347828</c:v>
                </c:pt>
                <c:pt idx="10">
                  <c:v>81</c:v>
                </c:pt>
                <c:pt idx="11">
                  <c:v>1.5468750000000002</c:v>
                </c:pt>
                <c:pt idx="12">
                  <c:v>13.5</c:v>
                </c:pt>
                <c:pt idx="13">
                  <c:v>45</c:v>
                </c:pt>
                <c:pt idx="14">
                  <c:v>1.8666666666666667</c:v>
                </c:pt>
                <c:pt idx="15">
                  <c:v>13</c:v>
                </c:pt>
                <c:pt idx="16">
                  <c:v>0</c:v>
                </c:pt>
                <c:pt idx="17">
                  <c:v>45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E-4E55-BBC7-D8492FE439CB}"/>
            </c:ext>
          </c:extLst>
        </c:ser>
        <c:ser>
          <c:idx val="2"/>
          <c:order val="2"/>
          <c:tx>
            <c:strRef>
              <c:f>小项目情况汇总!$U$1</c:f>
              <c:strCache>
                <c:ptCount val="1"/>
                <c:pt idx="0">
                  <c:v>距离目标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</a:ln>
            <a:effectLst/>
          </c:spPr>
          <c:invertIfNegative val="0"/>
          <c:dLbls>
            <c:dLbl>
              <c:idx val="0"/>
              <c:layout>
                <c:manualLayout>
                  <c:x val="2.0800950697736447E-2"/>
                  <c:y val="1.622718052738336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05-43A7-8FAB-090DB1BE29EB}"/>
                </c:ext>
              </c:extLst>
            </c:dLbl>
            <c:dLbl>
              <c:idx val="1"/>
              <c:layout>
                <c:manualLayout>
                  <c:x val="2.5412899770570256E-2"/>
                  <c:y val="-1.1582622962307187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4B-4BCB-A8FE-2E4D55F636D3}"/>
                </c:ext>
              </c:extLst>
            </c:dLbl>
            <c:dLbl>
              <c:idx val="2"/>
              <c:layout>
                <c:manualLayout>
                  <c:x val="2.5250339426465616E-2"/>
                  <c:y val="-1.189979491930144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05-43A7-8FAB-090DB1BE29EB}"/>
                </c:ext>
              </c:extLst>
            </c:dLbl>
            <c:dLbl>
              <c:idx val="3"/>
              <c:layout>
                <c:manualLayout>
                  <c:x val="1.931782112149342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4B-4BCB-A8FE-2E4D55F636D3}"/>
                </c:ext>
              </c:extLst>
            </c:dLbl>
            <c:dLbl>
              <c:idx val="10"/>
              <c:layout>
                <c:manualLayout>
                  <c:x val="2.9699728155194678E-2"/>
                  <c:y val="1.6161616161615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05-43A7-8FAB-090DB1BE29EB}"/>
                </c:ext>
              </c:extLst>
            </c:dLbl>
            <c:dLbl>
              <c:idx val="11"/>
              <c:layout>
                <c:manualLayout>
                  <c:x val="2.82165985789516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05-43A7-8FAB-090DB1BE29EB}"/>
                </c:ext>
              </c:extLst>
            </c:dLbl>
            <c:numFmt formatCode="0.0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小项目情况汇总!$R$2:$R$20</c:f>
              <c:strCache>
                <c:ptCount val="19"/>
                <c:pt idx="0">
                  <c:v>吕欣冉</c:v>
                </c:pt>
                <c:pt idx="1">
                  <c:v>李云毅</c:v>
                </c:pt>
                <c:pt idx="2">
                  <c:v>姚文心</c:v>
                </c:pt>
                <c:pt idx="3">
                  <c:v>赵晓韵</c:v>
                </c:pt>
                <c:pt idx="4">
                  <c:v>魏渐俊</c:v>
                </c:pt>
                <c:pt idx="5">
                  <c:v>张薇</c:v>
                </c:pt>
                <c:pt idx="6">
                  <c:v>陈嘉伟</c:v>
                </c:pt>
                <c:pt idx="7">
                  <c:v>邱媛媛</c:v>
                </c:pt>
                <c:pt idx="8">
                  <c:v>陈杰樱</c:v>
                </c:pt>
                <c:pt idx="9">
                  <c:v>苏雷皓</c:v>
                </c:pt>
                <c:pt idx="10">
                  <c:v>章群燕</c:v>
                </c:pt>
                <c:pt idx="11">
                  <c:v>刁望庆</c:v>
                </c:pt>
                <c:pt idx="12">
                  <c:v>沈一筹</c:v>
                </c:pt>
                <c:pt idx="13">
                  <c:v>商月</c:v>
                </c:pt>
                <c:pt idx="14">
                  <c:v>陈鹤</c:v>
                </c:pt>
                <c:pt idx="15">
                  <c:v>李靖民</c:v>
                </c:pt>
                <c:pt idx="16">
                  <c:v>杨子玉</c:v>
                </c:pt>
                <c:pt idx="17">
                  <c:v>孙道伟</c:v>
                </c:pt>
                <c:pt idx="18">
                  <c:v>周功平</c:v>
                </c:pt>
              </c:strCache>
            </c:strRef>
          </c:cat>
          <c:val>
            <c:numRef>
              <c:f>小项目情况汇总!$U$2:$U$20</c:f>
              <c:numCache>
                <c:formatCode>0.00_ </c:formatCode>
                <c:ptCount val="19"/>
                <c:pt idx="0">
                  <c:v>0</c:v>
                </c:pt>
                <c:pt idx="1">
                  <c:v>1.9439999999999911</c:v>
                </c:pt>
                <c:pt idx="2">
                  <c:v>0</c:v>
                </c:pt>
                <c:pt idx="3">
                  <c:v>0</c:v>
                </c:pt>
                <c:pt idx="4">
                  <c:v>54</c:v>
                </c:pt>
                <c:pt idx="5">
                  <c:v>58.5</c:v>
                </c:pt>
                <c:pt idx="6">
                  <c:v>0</c:v>
                </c:pt>
                <c:pt idx="7">
                  <c:v>37.444000000000003</c:v>
                </c:pt>
                <c:pt idx="8">
                  <c:v>0</c:v>
                </c:pt>
                <c:pt idx="9">
                  <c:v>24.444000000000003</c:v>
                </c:pt>
                <c:pt idx="10">
                  <c:v>0</c:v>
                </c:pt>
                <c:pt idx="11">
                  <c:v>0</c:v>
                </c:pt>
                <c:pt idx="12">
                  <c:v>49.2</c:v>
                </c:pt>
                <c:pt idx="13">
                  <c:v>0</c:v>
                </c:pt>
                <c:pt idx="14">
                  <c:v>53.5</c:v>
                </c:pt>
                <c:pt idx="15">
                  <c:v>49.3</c:v>
                </c:pt>
                <c:pt idx="16">
                  <c:v>59.849999999999994</c:v>
                </c:pt>
                <c:pt idx="17">
                  <c:v>9.316216216216219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E-4E55-BBC7-D8492FE4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047888"/>
        <c:axId val="2032551136"/>
      </c:barChart>
      <c:catAx>
        <c:axId val="16204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551136"/>
        <c:crosses val="autoZero"/>
        <c:auto val="1"/>
        <c:lblAlgn val="ctr"/>
        <c:lblOffset val="100"/>
        <c:noMultiLvlLbl val="0"/>
      </c:catAx>
      <c:valAx>
        <c:axId val="20325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478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22</xdr:row>
      <xdr:rowOff>19050</xdr:rowOff>
    </xdr:from>
    <xdr:to>
      <xdr:col>22</xdr:col>
      <xdr:colOff>476249</xdr:colOff>
      <xdr:row>63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325436</xdr:colOff>
      <xdr:row>24</xdr:row>
      <xdr:rowOff>111125</xdr:rowOff>
    </xdr:from>
    <xdr:to>
      <xdr:col>19</xdr:col>
      <xdr:colOff>333375</xdr:colOff>
      <xdr:row>60</xdr:row>
      <xdr:rowOff>87975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98AD960-8051-4A6F-BD3F-631BD99C2214}"/>
            </a:ext>
          </a:extLst>
        </xdr:cNvPr>
        <xdr:cNvCxnSpPr/>
      </xdr:nvCxnSpPr>
      <xdr:spPr>
        <a:xfrm flipV="1">
          <a:off x="20875624" y="4873625"/>
          <a:ext cx="7939" cy="702535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唐军敏" refreshedDate="44220.515010416668" createdVersion="6" refreshedVersion="6" minRefreshableVersion="3" recordCount="21" xr:uid="{00000000-000A-0000-FFFF-FFFF00000000}">
  <cacheSource type="worksheet">
    <worksheetSource ref="K2:N23" sheet="计算底稿"/>
  </cacheSource>
  <cacheFields count="4">
    <cacheField name="姓名" numFmtId="0">
      <sharedItems/>
    </cacheField>
    <cacheField name="公司" numFmtId="0">
      <sharedItems/>
    </cacheField>
    <cacheField name="新业务技术条线组长" numFmtId="0">
      <sharedItems/>
    </cacheField>
    <cacheField name="新业务技术条线组长（仅统计)" numFmtId="0">
      <sharedItems count="10">
        <s v="张洋弘-版本"/>
        <s v="张洋弘-项目"/>
        <s v="赵攀-项目"/>
        <s v="郑安如-版本"/>
        <s v="申冬东-项目"/>
        <s v="李戬-项目"/>
        <s v="刘倩-版本"/>
        <s v="周德乐-项目"/>
        <s v="顾静洁-版本"/>
        <s v="赵攀-版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唐军敏" refreshedDate="44221.373800694448" createdVersion="6" refreshedVersion="6" minRefreshableVersion="3" recordCount="218" xr:uid="{00000000-000A-0000-FFFF-FFFF01000000}">
  <cacheSource type="worksheet">
    <worksheetSource ref="A1:K1048576" sheet="人员最新分组"/>
  </cacheSource>
  <cacheFields count="11">
    <cacheField name="姓名" numFmtId="0">
      <sharedItems containsBlank="1"/>
    </cacheField>
    <cacheField name="公司" numFmtId="0">
      <sharedItems containsBlank="1"/>
    </cacheField>
    <cacheField name="上上一个项目组" numFmtId="0">
      <sharedItems containsBlank="1"/>
    </cacheField>
    <cacheField name="1月20日安排" numFmtId="0">
      <sharedItems containsBlank="1"/>
    </cacheField>
    <cacheField name="1月25日后续安排" numFmtId="0">
      <sharedItems containsBlank="1" count="51">
        <s v="V149X负责人"/>
        <s v="守门员"/>
        <s v="V149X验收负责人"/>
        <s v="V150负责人"/>
        <s v="版本整体负责"/>
        <s v="央行操作室及买方机构优化-45"/>
        <s v="V150验收负责人"/>
        <s v="V150集成组"/>
        <s v="用户体系改造一期-27"/>
        <s v="拆借对话二期-45-&gt;买断多券一期-45"/>
        <s v="买断多券一期-45"/>
        <s v="拆借夜盘-45"/>
        <m/>
        <s v="生产数据比对"/>
        <s v="排错组V149"/>
        <s v="信息披露-36"/>
        <s v="V150集中测试"/>
        <s v="产假"/>
        <s v="排错组V146-&gt;TR及白名单扩容"/>
        <s v="V150集成组-&gt;V150集中测试"/>
        <s v="做市合规二期-24.75"/>
        <s v="回购工行事前控制-6.75"/>
        <s v="三方回购上线-27"/>
        <s v="TR及白名单扩容"/>
        <s v="X-Bond明日T+0储备-9/三方回购上线-27"/>
        <s v="拆借对话二期-45"/>
        <s v="平安银行旗舰店二期-18.5"/>
        <s v="排错组V146"/>
        <s v="UX设计"/>
        <s v="回购成交性能优化-14"/>
        <s v="数据分析"/>
        <s v="X-Bond明日T+0储备-9"/>
        <s v="测试工具-李戬"/>
        <s v="支持-会员组支持"/>
        <s v="支持-QA"/>
        <s v="V150验收测试"/>
        <s v="V150迁移测试"/>
        <s v="150验收用例一期"/>
        <s v="150验收用例二期"/>
        <s v="配置管理"/>
        <s v="集成配置-运维"/>
        <s v="集成配置-Devops平台开发"/>
        <s v="V150配置管理"/>
        <s v="拆借夜盘-45-&gt;央行操作室" u="1"/>
        <s v="集成配套组-运维" u="1"/>
        <s v="央行操作室-45" u="1"/>
        <s v="集成配套组-Devops平台开发" u="1"/>
        <s v="V150集成" u="1"/>
        <s v="149X验收测试" u="1"/>
        <s v="拆借对话二期-45-&gt;央行操作室" u="1"/>
        <s v="央行操作室" u="1"/>
      </sharedItems>
    </cacheField>
    <cacheField name="V150集成集中验收预排" numFmtId="0">
      <sharedItems containsBlank="1"/>
    </cacheField>
    <cacheField name="所属版本" numFmtId="0">
      <sharedItems containsBlank="1" count="40">
        <s v="V153"/>
        <s v="守门员"/>
        <s v="V149X"/>
        <s v="V150"/>
        <s v="版本整体负责"/>
        <s v="V151"/>
        <s v="V150-&gt;V151"/>
        <s v="V150-&gt;V15X"/>
        <m/>
        <s v="排错组"/>
        <s v="产假"/>
        <s v="版本共享"/>
        <s v="数据分析"/>
        <s v="测试工具"/>
        <s v="会员组支持"/>
        <s v="即将离场"/>
        <s v="配置管理"/>
        <s v="新人"/>
        <s v="V149验收负责人" u="1"/>
        <s v="V146" u="1"/>
        <s v="V151-&gt;V150" u="1"/>
        <s v="整体计划" u="1"/>
        <s v="待离场" u="1"/>
        <s v="V149X负责人" u="1"/>
        <s v="V150-&gt;V149X" u="1"/>
        <s v="V149-&gt;V150" u="1"/>
        <s v="V1462" u="1"/>
        <s v="UX设计" u="1"/>
        <s v="V149-&gt;V151" u="1"/>
        <s v="V14621" u="1"/>
        <s v="V149X验收负责人" u="1"/>
        <s v="V146-&gt;V150" u="1"/>
        <s v="守门员-&gt;V151" u="1"/>
        <s v="V150负责人" u="1"/>
        <s v="V146-&gt;" u="1"/>
        <s v="V149" u="1"/>
        <s v="V149负责人" u="1"/>
        <s v="NA" u="1"/>
        <s v="已离场" u="1"/>
        <s v="V150验收负责人" u="1"/>
      </sharedItems>
    </cacheField>
    <cacheField name="业务技术线组长" numFmtId="0">
      <sharedItems containsBlank="1" count="13">
        <s v="孙小林"/>
        <s v="郑安如"/>
        <s v="张洋弘"/>
        <s v="顾静洁"/>
        <s v="刘倩"/>
        <s v="赵攀"/>
        <s v="申冬东"/>
        <s v="周德乐"/>
        <s v="李戬"/>
        <s v="徐慧鹏"/>
        <s v="李晶雯"/>
        <s v="陈启明"/>
        <m/>
      </sharedItems>
    </cacheField>
    <cacheField name="业务技术条组长（仅统计)" numFmtId="0">
      <sharedItems containsBlank="1"/>
    </cacheField>
    <cacheField name="技能组" numFmtId="0">
      <sharedItems containsBlank="1" count="28">
        <s v="版本线"/>
        <s v="NDM业务"/>
        <s v="JAVA/CWAP"/>
        <s v="NDM业务-验收"/>
        <s v="通用功能"/>
        <s v="ODM业务-验收"/>
        <s v="JAVA/AKKA"/>
        <s v="H5"/>
        <s v="C++/撮合"/>
        <s v="C++/HPPE"/>
        <s v="共享服务"/>
        <s v="ODM业务"/>
        <s v="数据分析"/>
        <s v="支持-会员组支持"/>
        <s v="支持-QA"/>
        <s v="支持-QA不计"/>
        <s v="共享服务-验收"/>
        <s v="通用功能-验收"/>
        <s v="数据分析-验收"/>
        <s v="集成配置管理"/>
        <s v="集成配置管理DBA"/>
        <m/>
        <s v="集成配套组-DBA" u="1"/>
        <s v="集成配套组-测试" u="1"/>
        <s v="二部系统组" u="1"/>
        <s v="集成配套组-配管" u="1"/>
        <s v="集成配套组-JAVA" u="1"/>
        <s v="集成配套组-业务" u="1"/>
      </sharedItems>
    </cacheField>
    <cacheField name="技能组（仅统计筛选)" numFmtId="0">
      <sharedItems containsBlank="1" count="29">
        <s v="版本线"/>
        <s v="需求线"/>
        <s v="技术线"/>
        <s v="NDM业务-验收"/>
        <s v="通用功能"/>
        <s v="ODM业务-验收"/>
        <s v="JAVA/CWAP"/>
        <s v="JAVA/AKKA"/>
        <s v="H5"/>
        <s v="NDM业务"/>
        <s v="C++/撮合"/>
        <s v="C++/HPPE"/>
        <s v="共享服务"/>
        <s v="ODM业务"/>
        <s v="数据分析"/>
        <s v="支持-会员组支持"/>
        <s v="支持-QA"/>
        <s v="支持-QA不计"/>
        <s v="共享服务-验收"/>
        <s v="通用功能-验收"/>
        <s v="数据分析-验收"/>
        <s v="集成配置管理DBA"/>
        <s v="集成配置管理"/>
        <m/>
        <s v="新人" u="1"/>
        <s v="集成配套" u="1"/>
        <s v="二部系统组" u="1"/>
        <s v="二部系统组(无需筛选)" u="1"/>
        <s v="二部系统组不筛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王伟"/>
    <s v="埃森哲"/>
    <s v="张洋弘"/>
    <x v="0"/>
  </r>
  <r>
    <s v="陈杰樱"/>
    <s v="中汇开发三部"/>
    <s v="张洋弘"/>
    <x v="1"/>
  </r>
  <r>
    <s v="吴臻杰"/>
    <s v="汉朔"/>
    <s v="张洋弘"/>
    <x v="0"/>
  </r>
  <r>
    <s v="章群燕"/>
    <s v="中汇开发三部"/>
    <s v="赵攀"/>
    <x v="2"/>
  </r>
  <r>
    <s v="吕欣冉"/>
    <s v="中汇开发一部"/>
    <s v="郑安如"/>
    <x v="3"/>
  </r>
  <r>
    <s v="张薇"/>
    <s v="中汇开发一部"/>
    <s v="赵攀"/>
    <x v="2"/>
  </r>
  <r>
    <s v="赵晓韵"/>
    <s v="中汇开发一部"/>
    <s v="申冬东"/>
    <x v="4"/>
  </r>
  <r>
    <s v="刁望庆"/>
    <s v="中汇开发三部"/>
    <s v="张洋弘"/>
    <x v="1"/>
  </r>
  <r>
    <s v="魏渐俊"/>
    <s v="中汇开发一部"/>
    <s v="赵攀"/>
    <x v="2"/>
  </r>
  <r>
    <s v="陈嘉伟"/>
    <s v="中汇开发一部"/>
    <s v="李戬"/>
    <x v="5"/>
  </r>
  <r>
    <s v="邱媛媛"/>
    <s v="中汇开发一部"/>
    <s v="申冬东"/>
    <x v="4"/>
  </r>
  <r>
    <s v="马士会"/>
    <s v="埃森哲"/>
    <s v="刘倩"/>
    <x v="6"/>
  </r>
  <r>
    <s v="商月"/>
    <s v="中汇综合管理部"/>
    <s v="周德乐"/>
    <x v="7"/>
  </r>
  <r>
    <s v="文婷苇"/>
    <s v="埃森哲"/>
    <s v="顾静洁"/>
    <x v="8"/>
  </r>
  <r>
    <s v="郝好"/>
    <s v="埃森哲"/>
    <s v="郑安如"/>
    <x v="3"/>
  </r>
  <r>
    <s v="沈一筹"/>
    <s v="中汇综合管理部"/>
    <s v="张洋弘"/>
    <x v="1"/>
  </r>
  <r>
    <s v="李云毅"/>
    <s v="中汇开发一部"/>
    <s v="刘倩"/>
    <x v="6"/>
  </r>
  <r>
    <s v="姚文心"/>
    <s v="中汇测试部"/>
    <s v="顾静洁"/>
    <x v="8"/>
  </r>
  <r>
    <s v="程刚"/>
    <s v="汉朔"/>
    <s v="赵攀"/>
    <x v="9"/>
  </r>
  <r>
    <s v="金武顺"/>
    <s v="汉朔"/>
    <s v="张洋弘"/>
    <x v="0"/>
  </r>
  <r>
    <s v="陈若来"/>
    <s v="汉朔"/>
    <s v="张洋弘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冉杨鋆"/>
    <s v="中心市场二部"/>
    <s v="V149负责人"/>
    <s v="V149X负责人"/>
    <x v="0"/>
    <m/>
    <x v="0"/>
    <x v="0"/>
    <s v="孙小林"/>
    <x v="0"/>
    <x v="0"/>
  </r>
  <r>
    <s v="郑安如"/>
    <s v="中心市场二部"/>
    <s v="守门员"/>
    <s v="守门员"/>
    <x v="1"/>
    <m/>
    <x v="1"/>
    <x v="1"/>
    <s v="郑安如"/>
    <x v="1"/>
    <x v="1"/>
  </r>
  <r>
    <s v="赵攀"/>
    <s v="中心市场二部"/>
    <s v="守门员"/>
    <s v="守门员"/>
    <x v="1"/>
    <m/>
    <x v="1"/>
    <x v="0"/>
    <s v="孙小林"/>
    <x v="0"/>
    <x v="0"/>
  </r>
  <r>
    <s v="张洋弘"/>
    <s v="中心市场二部"/>
    <s v="守门员"/>
    <s v="守门员"/>
    <x v="1"/>
    <m/>
    <x v="1"/>
    <x v="2"/>
    <s v="张洋弘"/>
    <x v="2"/>
    <x v="2"/>
  </r>
  <r>
    <s v="杨子玉"/>
    <s v="中心市场二部"/>
    <s v="V149验收负责人"/>
    <s v="V149X验收负责人"/>
    <x v="2"/>
    <m/>
    <x v="2"/>
    <x v="1"/>
    <s v="郑安如"/>
    <x v="3"/>
    <x v="3"/>
  </r>
  <r>
    <s v="唐军敏"/>
    <s v="中心市场二部"/>
    <s v="二部系统组"/>
    <s v="V150负责人"/>
    <x v="3"/>
    <m/>
    <x v="3"/>
    <x v="0"/>
    <s v="孙小林"/>
    <x v="0"/>
    <x v="0"/>
  </r>
  <r>
    <s v="孙小林"/>
    <s v="中心市场二部"/>
    <s v="二部系统组"/>
    <s v="版本整体负责"/>
    <x v="4"/>
    <m/>
    <x v="4"/>
    <x v="0"/>
    <s v="孙小林"/>
    <x v="0"/>
    <x v="0"/>
  </r>
  <r>
    <s v="孙道伟"/>
    <s v="中汇综合管理部"/>
    <s v="二部系统组"/>
    <s v="央行操作室"/>
    <x v="5"/>
    <m/>
    <x v="5"/>
    <x v="3"/>
    <s v="顾静洁"/>
    <x v="4"/>
    <x v="4"/>
  </r>
  <r>
    <s v="李靖民"/>
    <s v="中心市场二部"/>
    <s v="V150验收负责人"/>
    <s v="V150验收负责人"/>
    <x v="6"/>
    <m/>
    <x v="3"/>
    <x v="4"/>
    <s v="刘倩"/>
    <x v="5"/>
    <x v="5"/>
  </r>
  <r>
    <s v="顾静洁"/>
    <s v="中心市场二部"/>
    <s v="守门员"/>
    <s v="守门员"/>
    <x v="1"/>
    <m/>
    <x v="1"/>
    <x v="3"/>
    <s v="顾静洁"/>
    <x v="4"/>
    <x v="1"/>
  </r>
  <r>
    <s v="王伟"/>
    <s v="埃森哲"/>
    <s v="拆借对话二期-45"/>
    <s v="拆借对话二期-45"/>
    <x v="7"/>
    <s v="V150集成"/>
    <x v="3"/>
    <x v="2"/>
    <s v="张洋弘-版本"/>
    <x v="2"/>
    <x v="6"/>
  </r>
  <r>
    <s v="付天恩"/>
    <s v="汉朔"/>
    <s v="用户体系改造一期-27"/>
    <s v="用户体系改造一期-27"/>
    <x v="8"/>
    <m/>
    <x v="3"/>
    <x v="5"/>
    <s v="赵攀"/>
    <x v="2"/>
    <x v="6"/>
  </r>
  <r>
    <s v="吴波"/>
    <s v="塔塔"/>
    <s v="拆借对话二期-45-&gt;买断多券一期-45"/>
    <s v="拆借对话二期-45-&gt;买断多券一期-45"/>
    <x v="9"/>
    <m/>
    <x v="6"/>
    <x v="6"/>
    <s v="申冬东"/>
    <x v="6"/>
    <x v="7"/>
  </r>
  <r>
    <s v="唐熙棱"/>
    <s v="华腾"/>
    <s v="投资经理行情模板技术储备-18"/>
    <s v="央行操作室"/>
    <x v="5"/>
    <m/>
    <x v="5"/>
    <x v="7"/>
    <s v="周德乐"/>
    <x v="7"/>
    <x v="8"/>
  </r>
  <r>
    <s v="魏如梦"/>
    <s v="汉朔"/>
    <s v="买断多券一期-45"/>
    <s v="买断多券一期-45"/>
    <x v="10"/>
    <m/>
    <x v="5"/>
    <x v="5"/>
    <s v="赵攀"/>
    <x v="2"/>
    <x v="6"/>
  </r>
  <r>
    <s v="王智鹏"/>
    <s v="凯道"/>
    <s v="拆借对话二期-45"/>
    <s v="拆借对话二期-45"/>
    <x v="7"/>
    <s v="V150集成"/>
    <x v="3"/>
    <x v="1"/>
    <s v="郑安如"/>
    <x v="1"/>
    <x v="9"/>
  </r>
  <r>
    <s v="陈杰樱"/>
    <s v="中汇开发三部"/>
    <s v="V150集成准备"/>
    <s v="V150集成组"/>
    <x v="7"/>
    <s v="V150集成"/>
    <x v="3"/>
    <x v="2"/>
    <s v="张洋弘-项目"/>
    <x v="2"/>
    <x v="6"/>
  </r>
  <r>
    <s v="王瑞"/>
    <s v="埃森哲"/>
    <s v="拆借夜盘-45"/>
    <s v="拆借夜盘-45"/>
    <x v="11"/>
    <m/>
    <x v="7"/>
    <x v="6"/>
    <s v="申冬东"/>
    <x v="8"/>
    <x v="10"/>
  </r>
  <r>
    <s v="翟瑞平"/>
    <s v="塔塔"/>
    <m/>
    <m/>
    <x v="12"/>
    <m/>
    <x v="8"/>
    <x v="6"/>
    <s v="申冬东"/>
    <x v="6"/>
    <x v="7"/>
  </r>
  <r>
    <s v="丁强"/>
    <s v="塔塔"/>
    <s v="拆借夜盘-45"/>
    <s v="拆借夜盘-45"/>
    <x v="11"/>
    <m/>
    <x v="7"/>
    <x v="7"/>
    <s v="周德乐"/>
    <x v="7"/>
    <x v="8"/>
  </r>
  <r>
    <s v="翁复来"/>
    <s v="向普"/>
    <s v="生产数据比对"/>
    <s v="生产数据比对"/>
    <x v="13"/>
    <m/>
    <x v="3"/>
    <x v="8"/>
    <s v="李戬"/>
    <x v="8"/>
    <x v="10"/>
  </r>
  <r>
    <s v="陆光晨"/>
    <s v="恒天"/>
    <s v="排错组V149"/>
    <s v="排错组V149"/>
    <x v="14"/>
    <m/>
    <x v="9"/>
    <x v="5"/>
    <s v="赵攀"/>
    <x v="2"/>
    <x v="6"/>
  </r>
  <r>
    <s v="姜财"/>
    <s v="汉朔"/>
    <s v="拆借夜盘-45"/>
    <s v="拆借夜盘-45-&gt;央行操作室"/>
    <x v="5"/>
    <m/>
    <x v="5"/>
    <x v="7"/>
    <s v="周德乐"/>
    <x v="7"/>
    <x v="8"/>
  </r>
  <r>
    <s v="彭福康"/>
    <s v="微软"/>
    <s v="资管服务优化成交单-22.5-&gt;信息披露-36"/>
    <s v="信息披露-36"/>
    <x v="15"/>
    <m/>
    <x v="5"/>
    <x v="7"/>
    <s v="周德乐"/>
    <x v="7"/>
    <x v="8"/>
  </r>
  <r>
    <s v="梁木1"/>
    <s v="恒天"/>
    <s v="信息披露-36"/>
    <s v="信息披露-36"/>
    <x v="15"/>
    <m/>
    <x v="5"/>
    <x v="5"/>
    <s v="赵攀"/>
    <x v="2"/>
    <x v="6"/>
  </r>
  <r>
    <s v="张东升"/>
    <s v="汉朔"/>
    <s v="拆借夜盘-45"/>
    <s v="拆借夜盘-45-&gt;央行操作室"/>
    <x v="5"/>
    <m/>
    <x v="5"/>
    <x v="5"/>
    <s v="赵攀"/>
    <x v="2"/>
    <x v="6"/>
  </r>
  <r>
    <s v="陈诚02"/>
    <s v="恒天"/>
    <s v="排错组V149"/>
    <s v="排错组V149"/>
    <x v="14"/>
    <m/>
    <x v="9"/>
    <x v="7"/>
    <s v="周德乐"/>
    <x v="7"/>
    <x v="8"/>
  </r>
  <r>
    <s v="王春辉"/>
    <s v="埃森哲"/>
    <m/>
    <s v="守门员"/>
    <x v="1"/>
    <m/>
    <x v="1"/>
    <x v="1"/>
    <s v="郑安如"/>
    <x v="1"/>
    <x v="9"/>
  </r>
  <r>
    <s v="祖滔"/>
    <s v="塔塔"/>
    <s v="拆借夜盘-45"/>
    <s v="拆借夜盘-45"/>
    <x v="7"/>
    <s v="V150集成"/>
    <x v="3"/>
    <x v="6"/>
    <s v="申冬东"/>
    <x v="6"/>
    <x v="7"/>
  </r>
  <r>
    <s v="张路"/>
    <s v="塔塔"/>
    <s v="用户体系改造一期-27"/>
    <s v="用户体系改造一期-27"/>
    <x v="16"/>
    <m/>
    <x v="3"/>
    <x v="6"/>
    <s v="申冬东"/>
    <x v="9"/>
    <x v="11"/>
  </r>
  <r>
    <s v="孙雨锦02"/>
    <s v="凯道"/>
    <s v="产假"/>
    <s v="产假"/>
    <x v="17"/>
    <m/>
    <x v="10"/>
    <x v="1"/>
    <s v="郑安如"/>
    <x v="1"/>
    <x v="9"/>
  </r>
  <r>
    <s v="潘泳光"/>
    <s v="金楷泽"/>
    <s v="排错组V146"/>
    <s v="排错组V146-&gt;TR及白名单扩容"/>
    <x v="18"/>
    <m/>
    <x v="9"/>
    <x v="2"/>
    <s v="张洋弘"/>
    <x v="2"/>
    <x v="6"/>
  </r>
  <r>
    <s v="吴臻杰"/>
    <s v="汉朔"/>
    <s v="买断多券一期-45"/>
    <s v="买断多券一期-45"/>
    <x v="10"/>
    <m/>
    <x v="5"/>
    <x v="2"/>
    <s v="张洋弘-版本"/>
    <x v="2"/>
    <x v="6"/>
  </r>
  <r>
    <s v="陈晓瑶"/>
    <s v="汉朔"/>
    <s v="拆借夜盘-45"/>
    <s v="拆借夜盘-45"/>
    <x v="7"/>
    <s v="V150集成"/>
    <x v="3"/>
    <x v="2"/>
    <s v="张洋弘"/>
    <x v="2"/>
    <x v="6"/>
  </r>
  <r>
    <s v="章群燕"/>
    <s v="中汇开发三部"/>
    <s v="拆借夜盘-45"/>
    <s v="拆借夜盘-45"/>
    <x v="16"/>
    <s v="V150集中测试"/>
    <x v="3"/>
    <x v="5"/>
    <s v="赵攀-项目"/>
    <x v="2"/>
    <x v="6"/>
  </r>
  <r>
    <s v="杨姗"/>
    <s v="埃森哲"/>
    <s v="买断多券一期-45"/>
    <s v="买断多券一期-45"/>
    <x v="10"/>
    <m/>
    <x v="5"/>
    <x v="1"/>
    <s v="郑安如"/>
    <x v="1"/>
    <x v="9"/>
  </r>
  <r>
    <s v="许伊涵"/>
    <s v="骄洋"/>
    <m/>
    <m/>
    <x v="12"/>
    <m/>
    <x v="8"/>
    <x v="9"/>
    <s v="徐慧鹏"/>
    <x v="10"/>
    <x v="12"/>
  </r>
  <r>
    <s v="翟丽丽"/>
    <s v="凯道"/>
    <s v="V149验收测试"/>
    <s v="V150集成组-&gt;V150集中测试"/>
    <x v="19"/>
    <s v="V150集成-&gt;V150集中测试"/>
    <x v="3"/>
    <x v="9"/>
    <s v="徐慧鹏"/>
    <x v="10"/>
    <x v="12"/>
  </r>
  <r>
    <s v="张东升01"/>
    <s v="凯道"/>
    <s v="现券请求报价功能优化-4.5"/>
    <s v="V150集中测试"/>
    <x v="16"/>
    <s v="V150集中测试"/>
    <x v="3"/>
    <x v="3"/>
    <s v="顾静洁"/>
    <x v="4"/>
    <x v="4"/>
  </r>
  <r>
    <s v="于肖肖"/>
    <s v="汉朔"/>
    <s v="拆借夜盘-45"/>
    <s v="拆借夜盘-45"/>
    <x v="7"/>
    <s v="V150集成"/>
    <x v="3"/>
    <x v="5"/>
    <s v="赵攀"/>
    <x v="2"/>
    <x v="6"/>
  </r>
  <r>
    <s v="魏亚男"/>
    <s v="鼎纪"/>
    <s v="V149集中测试-&gt;做市合规二期-24.75"/>
    <s v="做市合规二期-24.75"/>
    <x v="20"/>
    <m/>
    <x v="7"/>
    <x v="4"/>
    <s v="刘倩"/>
    <x v="11"/>
    <x v="13"/>
  </r>
  <r>
    <s v="石秀"/>
    <s v="向普"/>
    <s v="拆借夜盘-45"/>
    <s v="拆借夜盘-45"/>
    <x v="11"/>
    <m/>
    <x v="7"/>
    <x v="9"/>
    <s v="徐慧鹏"/>
    <x v="10"/>
    <x v="12"/>
  </r>
  <r>
    <s v="胡遂明"/>
    <s v="微软"/>
    <s v="回购工行事前控制-6.75"/>
    <s v="回购工行事前控制-6.75"/>
    <x v="21"/>
    <m/>
    <x v="5"/>
    <x v="7"/>
    <s v="周德乐"/>
    <x v="7"/>
    <x v="8"/>
  </r>
  <r>
    <s v="白晓乐"/>
    <s v="微软"/>
    <s v="守门员"/>
    <s v="守门员"/>
    <x v="1"/>
    <m/>
    <x v="1"/>
    <x v="7"/>
    <s v="周德乐"/>
    <x v="7"/>
    <x v="8"/>
  </r>
  <r>
    <s v="田彩冰"/>
    <s v="京北方"/>
    <s v="拆借对话二期-45"/>
    <s v="拆借对话二期-45"/>
    <x v="7"/>
    <s v="V150集成"/>
    <x v="3"/>
    <x v="7"/>
    <s v="周德乐"/>
    <x v="7"/>
    <x v="8"/>
  </r>
  <r>
    <s v="吕欣冉"/>
    <s v="中汇开发一部"/>
    <s v="做市合规二期-24.75"/>
    <s v="做市合规二期-24.75"/>
    <x v="20"/>
    <m/>
    <x v="7"/>
    <x v="1"/>
    <s v="郑安如-版本"/>
    <x v="1"/>
    <x v="9"/>
  </r>
  <r>
    <s v="王阳"/>
    <s v="华腾"/>
    <s v="信息披露-36"/>
    <s v="信息披露-36"/>
    <x v="15"/>
    <m/>
    <x v="5"/>
    <x v="10"/>
    <s v="李晶雯"/>
    <x v="12"/>
    <x v="14"/>
  </r>
  <r>
    <s v="石爱芳"/>
    <s v="汉朔"/>
    <s v="生产数据比对"/>
    <s v="生产数据比对"/>
    <x v="13"/>
    <m/>
    <x v="3"/>
    <x v="5"/>
    <s v="赵攀"/>
    <x v="2"/>
    <x v="6"/>
  </r>
  <r>
    <s v="李慧洁01"/>
    <s v="鼎纪"/>
    <s v="产假"/>
    <s v="产假"/>
    <x v="17"/>
    <m/>
    <x v="10"/>
    <x v="1"/>
    <s v="郑安如"/>
    <x v="1"/>
    <x v="9"/>
  </r>
  <r>
    <s v="王勇浩01"/>
    <s v="微软"/>
    <s v="三方回购上线-27"/>
    <s v="三方回购上线-27"/>
    <x v="22"/>
    <m/>
    <x v="5"/>
    <x v="7"/>
    <s v="周德乐"/>
    <x v="7"/>
    <x v="8"/>
  </r>
  <r>
    <s v="李月月"/>
    <s v="塔塔"/>
    <m/>
    <s v="TR及白名单扩容"/>
    <x v="23"/>
    <m/>
    <x v="0"/>
    <x v="1"/>
    <s v="郑安如"/>
    <x v="1"/>
    <x v="9"/>
  </r>
  <r>
    <s v="李彩红"/>
    <s v="埃森哲"/>
    <s v="拆借对话二期-45"/>
    <s v="拆借对话二期-45"/>
    <x v="7"/>
    <s v="V150集成"/>
    <x v="3"/>
    <x v="7"/>
    <s v="周德乐"/>
    <x v="7"/>
    <x v="8"/>
  </r>
  <r>
    <s v="张薇"/>
    <s v="中汇开发一部"/>
    <s v="投资经理行情模板技术储备-18"/>
    <s v="央行操作室"/>
    <x v="12"/>
    <m/>
    <x v="0"/>
    <x v="5"/>
    <s v="赵攀-项目"/>
    <x v="2"/>
    <x v="6"/>
  </r>
  <r>
    <s v="甄向锋"/>
    <s v="微软"/>
    <s v="拆借夜盘-45"/>
    <s v="拆借夜盘-45"/>
    <x v="7"/>
    <s v="V150集成"/>
    <x v="3"/>
    <x v="7"/>
    <s v="周德乐"/>
    <x v="7"/>
    <x v="8"/>
  </r>
  <r>
    <s v="李庆铎"/>
    <s v="汉朔"/>
    <s v="拆借对话二期-45"/>
    <s v="拆借对话二期-45-&gt;央行操作室"/>
    <x v="5"/>
    <m/>
    <x v="5"/>
    <x v="2"/>
    <s v="张洋弘"/>
    <x v="6"/>
    <x v="7"/>
  </r>
  <r>
    <s v="赵晓韵"/>
    <s v="中汇开发一部"/>
    <s v="X-Bond明日T+0储备-9/三方回购上线版-27"/>
    <s v="X-Bond明日T+0储备-9/三方回购上线-27"/>
    <x v="24"/>
    <m/>
    <x v="5"/>
    <x v="6"/>
    <s v="申冬东-项目"/>
    <x v="2"/>
    <x v="6"/>
  </r>
  <r>
    <s v="赵春燕"/>
    <s v="凯道"/>
    <s v="产假"/>
    <s v="产假"/>
    <x v="17"/>
    <m/>
    <x v="10"/>
    <x v="3"/>
    <s v="顾静洁"/>
    <x v="4"/>
    <x v="4"/>
  </r>
  <r>
    <s v="孙晓安"/>
    <s v="埃森哲"/>
    <s v="做市合规二期-24.75"/>
    <s v="做市合规二期-24.75"/>
    <x v="20"/>
    <m/>
    <x v="7"/>
    <x v="4"/>
    <s v="刘倩"/>
    <x v="11"/>
    <x v="13"/>
  </r>
  <r>
    <s v="马燕飞"/>
    <s v="金楷泽"/>
    <s v="拆借对话二期-45"/>
    <s v="拆借对话二期-45"/>
    <x v="7"/>
    <s v="V150集成"/>
    <x v="3"/>
    <x v="2"/>
    <s v="张洋弘"/>
    <x v="6"/>
    <x v="7"/>
  </r>
  <r>
    <s v="陈斌"/>
    <s v="骄洋"/>
    <s v="拆借对话二期-45"/>
    <s v="拆借对话二期-45"/>
    <x v="25"/>
    <m/>
    <x v="7"/>
    <x v="7"/>
    <s v="周德乐"/>
    <x v="7"/>
    <x v="8"/>
  </r>
  <r>
    <s v="曹越"/>
    <s v="金楷泽"/>
    <s v="买断多券一期-45"/>
    <s v="买断多券一期-45"/>
    <x v="10"/>
    <m/>
    <x v="5"/>
    <x v="2"/>
    <s v="张洋弘"/>
    <x v="2"/>
    <x v="6"/>
  </r>
  <r>
    <s v="邝亚光"/>
    <s v="埃森哲"/>
    <s v="平安银行旗舰店二期-18.5"/>
    <s v="平安银行旗舰店二期-18.5"/>
    <x v="26"/>
    <m/>
    <x v="7"/>
    <x v="7"/>
    <s v="周德乐"/>
    <x v="7"/>
    <x v="8"/>
  </r>
  <r>
    <s v="丁乐01"/>
    <s v="凯道"/>
    <s v="投资经理行情模板技术储备-18"/>
    <m/>
    <x v="12"/>
    <m/>
    <x v="8"/>
    <x v="9"/>
    <s v="徐慧鹏"/>
    <x v="10"/>
    <x v="12"/>
  </r>
  <r>
    <s v="刁望庆"/>
    <s v="中汇开发三部"/>
    <s v="做市合规二期-24.75"/>
    <s v="做市合规二期-24.75"/>
    <x v="20"/>
    <m/>
    <x v="7"/>
    <x v="2"/>
    <s v="张洋弘-项目"/>
    <x v="6"/>
    <x v="7"/>
  </r>
  <r>
    <s v="苏雷皓"/>
    <s v="中汇总工办"/>
    <s v="资管服务优化成交单-22.5-&gt;信息披露-36"/>
    <s v="信息披露-36"/>
    <x v="15"/>
    <m/>
    <x v="5"/>
    <x v="6"/>
    <s v="申冬东"/>
    <x v="9"/>
    <x v="11"/>
  </r>
  <r>
    <s v="杨梦珂"/>
    <s v="汉朔"/>
    <s v="三方回购上线-27"/>
    <s v="三方回购上线-27"/>
    <x v="22"/>
    <m/>
    <x v="5"/>
    <x v="5"/>
    <s v="赵攀"/>
    <x v="2"/>
    <x v="6"/>
  </r>
  <r>
    <s v="夏守伟"/>
    <s v="法本"/>
    <s v="信息披露-36"/>
    <s v="信息披露-36"/>
    <x v="15"/>
    <m/>
    <x v="5"/>
    <x v="7"/>
    <s v="周德乐"/>
    <x v="7"/>
    <x v="8"/>
  </r>
  <r>
    <s v="魏渐俊"/>
    <s v="中汇开发一部"/>
    <s v="信息披露-36"/>
    <s v="信息披露-36"/>
    <x v="15"/>
    <m/>
    <x v="5"/>
    <x v="5"/>
    <s v="赵攀-项目"/>
    <x v="6"/>
    <x v="7"/>
  </r>
  <r>
    <s v="王新"/>
    <s v="汉朔"/>
    <s v="排错组V146"/>
    <s v="排错组V146"/>
    <x v="27"/>
    <m/>
    <x v="9"/>
    <x v="5"/>
    <s v="赵攀"/>
    <x v="2"/>
    <x v="6"/>
  </r>
  <r>
    <s v="王春明"/>
    <s v="塔塔"/>
    <s v="生产数据比对"/>
    <s v="生产数据比对"/>
    <x v="13"/>
    <m/>
    <x v="2"/>
    <x v="6"/>
    <s v="申冬东"/>
    <x v="9"/>
    <x v="11"/>
  </r>
  <r>
    <s v="黎德国"/>
    <s v="时溪"/>
    <s v="拆借对话二期-45"/>
    <s v="拆借对话二期-45"/>
    <x v="7"/>
    <s v="V150集成"/>
    <x v="3"/>
    <x v="6"/>
    <s v="申冬东"/>
    <x v="8"/>
    <x v="10"/>
  </r>
  <r>
    <s v="李冬冬01"/>
    <s v="鼎纪"/>
    <s v="拆借对话二期-45"/>
    <s v="拆借对话二期-45"/>
    <x v="16"/>
    <s v="V150集中测试"/>
    <x v="3"/>
    <x v="9"/>
    <s v="徐慧鹏"/>
    <x v="10"/>
    <x v="12"/>
  </r>
  <r>
    <s v="陈嘉伟"/>
    <s v="中汇开发一部"/>
    <s v="平安银行旗舰店二期-18.5"/>
    <s v="平安银行旗舰店二期-18.5"/>
    <x v="16"/>
    <s v="V150集中测试"/>
    <x v="3"/>
    <x v="8"/>
    <s v="赵攀-项目"/>
    <x v="9"/>
    <x v="11"/>
  </r>
  <r>
    <s v="孙泽龄"/>
    <s v="埃森哲"/>
    <s v="买断多券一期-45"/>
    <s v="买断多券一期-45"/>
    <x v="10"/>
    <m/>
    <x v="5"/>
    <x v="9"/>
    <s v="徐慧鹏"/>
    <x v="10"/>
    <x v="12"/>
  </r>
  <r>
    <s v="徐振忠"/>
    <s v="塔塔"/>
    <s v="用户体系改造一期-27"/>
    <s v="用户体系改造一期-27"/>
    <x v="8"/>
    <m/>
    <x v="3"/>
    <x v="5"/>
    <s v="赵攀"/>
    <x v="2"/>
    <x v="6"/>
  </r>
  <r>
    <s v="王涛"/>
    <s v="向普"/>
    <m/>
    <s v="央行操作室"/>
    <x v="5"/>
    <m/>
    <x v="5"/>
    <x v="8"/>
    <s v="李戬"/>
    <x v="8"/>
    <x v="10"/>
  </r>
  <r>
    <s v="陈浩宇"/>
    <s v="恒天"/>
    <s v="拆借夜盘-45"/>
    <s v="拆借夜盘-45"/>
    <x v="7"/>
    <s v="V150集成"/>
    <x v="3"/>
    <x v="5"/>
    <s v="赵攀"/>
    <x v="2"/>
    <x v="6"/>
  </r>
  <r>
    <s v="王艳慧"/>
    <s v="凯道"/>
    <s v="V149验收测试-&gt;买断多券一期-45"/>
    <s v="买断多券一期-45"/>
    <x v="10"/>
    <m/>
    <x v="5"/>
    <x v="9"/>
    <s v="徐慧鹏"/>
    <x v="10"/>
    <x v="12"/>
  </r>
  <r>
    <s v="邱媛媛"/>
    <s v="中汇开发一部"/>
    <s v="资管服务优化成交单-22.5"/>
    <m/>
    <x v="23"/>
    <m/>
    <x v="0"/>
    <x v="6"/>
    <s v="申冬东-项目"/>
    <x v="2"/>
    <x v="6"/>
  </r>
  <r>
    <s v="徐慧鹏"/>
    <s v="中汇测试部"/>
    <s v="守门员"/>
    <s v="守门员"/>
    <x v="1"/>
    <m/>
    <x v="1"/>
    <x v="9"/>
    <s v="徐慧鹏"/>
    <x v="10"/>
    <x v="12"/>
  </r>
  <r>
    <s v="冉金澎01"/>
    <s v="汉朔"/>
    <s v="拆借夜盘-45"/>
    <s v="拆借夜盘-45"/>
    <x v="11"/>
    <m/>
    <x v="7"/>
    <x v="8"/>
    <s v="李戬"/>
    <x v="6"/>
    <x v="7"/>
  </r>
  <r>
    <s v="黄晓露"/>
    <s v="鼎纪"/>
    <s v="V149集中测试"/>
    <s v="149X验收测试"/>
    <x v="12"/>
    <m/>
    <x v="8"/>
    <x v="3"/>
    <s v="顾静洁"/>
    <x v="4"/>
    <x v="4"/>
  </r>
  <r>
    <s v="夏远欣"/>
    <s v="汉朔"/>
    <s v="三方回购上线-27"/>
    <s v="三方回购上线-27"/>
    <x v="22"/>
    <m/>
    <x v="5"/>
    <x v="2"/>
    <s v="张洋弘"/>
    <x v="2"/>
    <x v="6"/>
  </r>
  <r>
    <s v="马士会"/>
    <s v="埃森哲"/>
    <s v="UX设计"/>
    <s v="UX设计"/>
    <x v="28"/>
    <m/>
    <x v="11"/>
    <x v="4"/>
    <s v="刘倩-版本"/>
    <x v="11"/>
    <x v="13"/>
  </r>
  <r>
    <s v="鲍晓飞"/>
    <s v="威擎"/>
    <s v="三方回购上线-27"/>
    <s v="三方回购上线-27"/>
    <x v="22"/>
    <m/>
    <x v="5"/>
    <x v="7"/>
    <s v="周德乐"/>
    <x v="7"/>
    <x v="8"/>
  </r>
  <r>
    <s v="杨柳02"/>
    <s v="微软"/>
    <s v="投资经理行情模板技术储备-18"/>
    <s v="央行操作室"/>
    <x v="5"/>
    <m/>
    <x v="5"/>
    <x v="7"/>
    <s v="周德乐"/>
    <x v="7"/>
    <x v="8"/>
  </r>
  <r>
    <s v="孙雅雯"/>
    <s v="埃森哲"/>
    <m/>
    <s v="守门员"/>
    <x v="1"/>
    <m/>
    <x v="1"/>
    <x v="10"/>
    <s v="李晶雯"/>
    <x v="12"/>
    <x v="14"/>
  </r>
  <r>
    <s v="商月"/>
    <s v="中汇综合管理部"/>
    <s v="V149集成组"/>
    <m/>
    <x v="5"/>
    <m/>
    <x v="5"/>
    <x v="7"/>
    <s v="周德乐-项目"/>
    <x v="7"/>
    <x v="8"/>
  </r>
  <r>
    <s v="梅济正"/>
    <s v="塔塔"/>
    <s v="守门员"/>
    <s v="守门员"/>
    <x v="1"/>
    <m/>
    <x v="1"/>
    <x v="6"/>
    <s v="申冬东"/>
    <x v="6"/>
    <x v="7"/>
  </r>
  <r>
    <s v="宋依麟"/>
    <s v="汉朔"/>
    <s v="买断多券一期-45"/>
    <s v="买断多券一期-45"/>
    <x v="10"/>
    <m/>
    <x v="5"/>
    <x v="2"/>
    <s v="张洋弘"/>
    <x v="2"/>
    <x v="6"/>
  </r>
  <r>
    <s v="王诗凡"/>
    <s v="埃森哲"/>
    <s v="资管服务优化成交单-22.5"/>
    <m/>
    <x v="12"/>
    <m/>
    <x v="8"/>
    <x v="9"/>
    <s v="徐慧鹏"/>
    <x v="10"/>
    <x v="12"/>
  </r>
  <r>
    <s v="周德乐"/>
    <s v="中汇开发一部"/>
    <s v="守门员"/>
    <s v="守门员"/>
    <x v="1"/>
    <m/>
    <x v="1"/>
    <x v="7"/>
    <s v="周德乐"/>
    <x v="7"/>
    <x v="8"/>
  </r>
  <r>
    <s v="王磊"/>
    <s v="塔塔"/>
    <s v="回购成交性能优化-14"/>
    <s v="回购成交性能优化-14"/>
    <x v="29"/>
    <m/>
    <x v="0"/>
    <x v="2"/>
    <s v="张洋弘"/>
    <x v="2"/>
    <x v="6"/>
  </r>
  <r>
    <s v="申冬东"/>
    <s v="中汇开发三部"/>
    <s v="守门员"/>
    <s v="守门员"/>
    <x v="1"/>
    <m/>
    <x v="1"/>
    <x v="6"/>
    <s v="申冬东"/>
    <x v="9"/>
    <x v="11"/>
  </r>
  <r>
    <s v="聂瑞"/>
    <s v="金楷泽"/>
    <s v="守门员-&gt;平安银行旗舰店二期-18.5"/>
    <s v="守门员"/>
    <x v="1"/>
    <m/>
    <x v="1"/>
    <x v="2"/>
    <s v="张洋弘"/>
    <x v="6"/>
    <x v="7"/>
  </r>
  <r>
    <s v="李戬"/>
    <s v="中汇开发一部"/>
    <s v="守门员"/>
    <s v="守门员"/>
    <x v="1"/>
    <m/>
    <x v="1"/>
    <x v="8"/>
    <s v="李戬"/>
    <x v="6"/>
    <x v="7"/>
  </r>
  <r>
    <s v="李广"/>
    <s v="法本"/>
    <s v="买断多券一期-45"/>
    <s v="买断多券一期-45"/>
    <x v="10"/>
    <m/>
    <x v="5"/>
    <x v="7"/>
    <s v="周德乐"/>
    <x v="7"/>
    <x v="8"/>
  </r>
  <r>
    <s v="方润东"/>
    <s v="汉朔"/>
    <s v="守门员"/>
    <s v="守门员"/>
    <x v="1"/>
    <m/>
    <x v="1"/>
    <x v="5"/>
    <s v="赵攀"/>
    <x v="2"/>
    <x v="6"/>
  </r>
  <r>
    <s v="徐庆来"/>
    <s v="塔塔"/>
    <s v="守门员"/>
    <s v="守门员"/>
    <x v="1"/>
    <m/>
    <x v="1"/>
    <x v="6"/>
    <s v="申冬东"/>
    <x v="9"/>
    <x v="11"/>
  </r>
  <r>
    <s v="周功平"/>
    <s v="中汇开发三部"/>
    <s v="数据分析"/>
    <s v="数据分析"/>
    <x v="30"/>
    <m/>
    <x v="12"/>
    <x v="10"/>
    <s v="李晶雯"/>
    <x v="12"/>
    <x v="14"/>
  </r>
  <r>
    <s v="闫培杰"/>
    <s v="鼎纪"/>
    <s v="数据分析"/>
    <s v="数据分析"/>
    <x v="30"/>
    <m/>
    <x v="12"/>
    <x v="10"/>
    <s v="李晶雯"/>
    <x v="12"/>
    <x v="14"/>
  </r>
  <r>
    <s v="李晶雯"/>
    <s v="中汇支持服务部"/>
    <s v="守门员"/>
    <s v="守门员"/>
    <x v="1"/>
    <m/>
    <x v="1"/>
    <x v="10"/>
    <s v="李晶雯"/>
    <x v="12"/>
    <x v="14"/>
  </r>
  <r>
    <s v="孙相龙"/>
    <s v="塔塔"/>
    <s v="数据分析"/>
    <s v="数据分析"/>
    <x v="30"/>
    <m/>
    <x v="12"/>
    <x v="10"/>
    <s v="李晶雯"/>
    <x v="12"/>
    <x v="14"/>
  </r>
  <r>
    <s v="文婷苇"/>
    <s v="埃森哲"/>
    <s v="UX设计"/>
    <s v="UX设计"/>
    <x v="28"/>
    <m/>
    <x v="11"/>
    <x v="3"/>
    <s v="顾静洁-版本"/>
    <x v="4"/>
    <x v="4"/>
  </r>
  <r>
    <s v="郝好"/>
    <s v="埃森哲"/>
    <s v="UX设计"/>
    <s v="UX设计"/>
    <x v="28"/>
    <m/>
    <x v="11"/>
    <x v="1"/>
    <s v="郑安如-版本"/>
    <x v="1"/>
    <x v="9"/>
  </r>
  <r>
    <s v="胡彪"/>
    <s v="凯道"/>
    <s v="V149集中测试-&gt;三方回购上线版-27"/>
    <s v="三方回购上线-27"/>
    <x v="22"/>
    <m/>
    <x v="5"/>
    <x v="1"/>
    <s v="郑安如"/>
    <x v="1"/>
    <x v="9"/>
  </r>
  <r>
    <s v="吴敏华"/>
    <s v="汉朔"/>
    <s v="排错组V149"/>
    <s v="排错组V149"/>
    <x v="14"/>
    <m/>
    <x v="9"/>
    <x v="6"/>
    <s v="申冬东"/>
    <x v="9"/>
    <x v="11"/>
  </r>
  <r>
    <s v="沈一筹"/>
    <s v="中汇综合管理部"/>
    <s v="用户体系改造一期-27"/>
    <s v="用户体系改造一期-27"/>
    <x v="8"/>
    <m/>
    <x v="3"/>
    <x v="2"/>
    <s v="张洋弘-项目"/>
    <x v="6"/>
    <x v="7"/>
  </r>
  <r>
    <s v="左麟"/>
    <s v="汉朔"/>
    <s v="回购成交性能优化-14"/>
    <s v="回购成交性能优化-14"/>
    <x v="29"/>
    <m/>
    <x v="0"/>
    <x v="2"/>
    <s v="张洋弘"/>
    <x v="2"/>
    <x v="6"/>
  </r>
  <r>
    <s v="李杨"/>
    <s v="金楷泽"/>
    <s v="生产数据比对"/>
    <s v="生产数据比对"/>
    <x v="13"/>
    <m/>
    <x v="2"/>
    <x v="2"/>
    <s v="张洋弘"/>
    <x v="6"/>
    <x v="7"/>
  </r>
  <r>
    <s v="雷阳"/>
    <s v="华腾"/>
    <s v="用户体系改造一期-27"/>
    <s v="用户体系改造一期-27"/>
    <x v="16"/>
    <s v="V150集中测试"/>
    <x v="3"/>
    <x v="5"/>
    <s v="赵攀"/>
    <x v="2"/>
    <x v="6"/>
  </r>
  <r>
    <s v="徐启峰"/>
    <s v="威擎"/>
    <s v="做市合规二期-24.75"/>
    <s v="做市合规二期-24.75"/>
    <x v="7"/>
    <s v="V150集成"/>
    <x v="3"/>
    <x v="7"/>
    <s v="周德乐"/>
    <x v="7"/>
    <x v="8"/>
  </r>
  <r>
    <s v="李超01"/>
    <s v="恒天"/>
    <s v="做市合规二期-24.75"/>
    <s v="做市合规二期-24.75"/>
    <x v="20"/>
    <m/>
    <x v="7"/>
    <x v="8"/>
    <s v="李戬"/>
    <x v="6"/>
    <x v="7"/>
  </r>
  <r>
    <s v="李云毅"/>
    <s v="中汇开发一部"/>
    <s v="买断多券一期-45"/>
    <s v="买断多券一期-45"/>
    <x v="10"/>
    <m/>
    <x v="5"/>
    <x v="4"/>
    <s v="刘倩-版本"/>
    <x v="11"/>
    <x v="13"/>
  </r>
  <r>
    <s v="龚伟峰"/>
    <s v="汉朔"/>
    <s v="回购成交性能优化-14"/>
    <s v="回购成交性能优化-14"/>
    <x v="29"/>
    <s v="V150集中测试"/>
    <x v="0"/>
    <x v="4"/>
    <s v="刘倩"/>
    <x v="11"/>
    <x v="13"/>
  </r>
  <r>
    <s v="姚文心"/>
    <s v="中汇测试部"/>
    <s v="拆借对话二期-45"/>
    <s v="拆借对话二期-45"/>
    <x v="7"/>
    <s v="V150集成"/>
    <x v="3"/>
    <x v="3"/>
    <s v="顾静洁-版本"/>
    <x v="4"/>
    <x v="4"/>
  </r>
  <r>
    <s v="江云南"/>
    <s v="恒天"/>
    <s v="平安银行旗舰店二期-18.5"/>
    <s v="平安银行旗舰店二期-18.5"/>
    <x v="26"/>
    <m/>
    <x v="7"/>
    <x v="1"/>
    <s v="郑安如"/>
    <x v="1"/>
    <x v="9"/>
  </r>
  <r>
    <s v="赵洋洋"/>
    <s v="法本"/>
    <s v="买断多券一期-45"/>
    <s v="买断多券一期-45"/>
    <x v="10"/>
    <m/>
    <x v="5"/>
    <x v="7"/>
    <s v="周德乐"/>
    <x v="7"/>
    <x v="8"/>
  </r>
  <r>
    <s v="吴金成"/>
    <s v="鼎纪"/>
    <s v="V149集中测试-&gt;X-Bond明日T+0储备-9"/>
    <s v="X-Bond明日T+0储备-9"/>
    <x v="31"/>
    <m/>
    <x v="5"/>
    <x v="4"/>
    <s v="刘倩"/>
    <x v="11"/>
    <x v="13"/>
  </r>
  <r>
    <s v="朱雪元"/>
    <s v="埃森哲"/>
    <s v="用户体系改造一期-27"/>
    <s v="用户体系改造一期-27"/>
    <x v="8"/>
    <m/>
    <x v="3"/>
    <x v="7"/>
    <s v="周德乐"/>
    <x v="7"/>
    <x v="8"/>
  </r>
  <r>
    <s v="胡庆"/>
    <s v="华腾"/>
    <s v="买断多券一期-45"/>
    <s v="买断多券一期-45"/>
    <x v="10"/>
    <m/>
    <x v="5"/>
    <x v="6"/>
    <s v="申冬东"/>
    <x v="9"/>
    <x v="11"/>
  </r>
  <r>
    <s v="陈敏"/>
    <s v="恒天"/>
    <s v="守门员"/>
    <s v="守门员"/>
    <x v="1"/>
    <m/>
    <x v="1"/>
    <x v="4"/>
    <s v="刘倩"/>
    <x v="11"/>
    <x v="13"/>
  </r>
  <r>
    <s v="李佳慧"/>
    <s v="法本"/>
    <s v="拆借夜盘-45"/>
    <s v="拆借夜盘-45"/>
    <x v="16"/>
    <s v="V150集中测试"/>
    <x v="3"/>
    <x v="7"/>
    <s v="周德乐"/>
    <x v="7"/>
    <x v="8"/>
  </r>
  <r>
    <s v="胡昊"/>
    <s v="恒天"/>
    <s v="平安银行旗舰店二期-18.5"/>
    <s v="平安银行旗舰店二期-18.5-&gt;TR及白名单扩容"/>
    <x v="23"/>
    <m/>
    <x v="0"/>
    <x v="5"/>
    <s v="赵攀"/>
    <x v="2"/>
    <x v="6"/>
  </r>
  <r>
    <s v="陈创"/>
    <s v="微软"/>
    <s v="买断多券一期-45"/>
    <s v="买断多券一期-45"/>
    <x v="10"/>
    <m/>
    <x v="5"/>
    <x v="7"/>
    <s v="周德乐"/>
    <x v="7"/>
    <x v="8"/>
  </r>
  <r>
    <s v="程刚"/>
    <s v="汉朔"/>
    <s v="V149集成组"/>
    <s v="央行操作室"/>
    <x v="5"/>
    <m/>
    <x v="5"/>
    <x v="5"/>
    <s v="赵攀-版本"/>
    <x v="2"/>
    <x v="6"/>
  </r>
  <r>
    <s v="范东坤"/>
    <s v="凯道"/>
    <s v="做市合规二期-24.75"/>
    <s v="做市合规二期-24.75"/>
    <x v="19"/>
    <s v="V150集成-&gt;V150集中测试"/>
    <x v="3"/>
    <x v="4"/>
    <s v="刘倩"/>
    <x v="11"/>
    <x v="13"/>
  </r>
  <r>
    <s v="邬全友"/>
    <s v="金楷泽"/>
    <s v="测试工具-李戬"/>
    <s v="测试工具-李戬"/>
    <x v="32"/>
    <m/>
    <x v="13"/>
    <x v="8"/>
    <s v="李戬"/>
    <x v="6"/>
    <x v="7"/>
  </r>
  <r>
    <s v="庞苏瑶"/>
    <s v="法本"/>
    <s v="资管服务优化成交单-22.5"/>
    <s v="央行操作室"/>
    <x v="5"/>
    <m/>
    <x v="5"/>
    <x v="7"/>
    <s v="周德乐"/>
    <x v="7"/>
    <x v="8"/>
  </r>
  <r>
    <s v="吴燕玉"/>
    <s v="塔塔"/>
    <s v="产假"/>
    <s v="产假"/>
    <x v="17"/>
    <m/>
    <x v="10"/>
    <x v="6"/>
    <s v="申冬东"/>
    <x v="6"/>
    <x v="7"/>
  </r>
  <r>
    <s v="吴凯"/>
    <s v="埃森哲"/>
    <s v="X-Bond明日T+0储备-9"/>
    <s v="X-Bond明日T+0储备-9"/>
    <x v="31"/>
    <m/>
    <x v="5"/>
    <x v="8"/>
    <s v="李戬"/>
    <x v="8"/>
    <x v="10"/>
  </r>
  <r>
    <s v="刘倩"/>
    <s v="中汇开发一部"/>
    <s v="守门员"/>
    <s v="守门员"/>
    <x v="1"/>
    <m/>
    <x v="1"/>
    <x v="4"/>
    <s v="刘倩"/>
    <x v="11"/>
    <x v="13"/>
  </r>
  <r>
    <s v="汪立"/>
    <s v="时溪"/>
    <s v="支持-会员组支持"/>
    <s v="支持-会员组支持"/>
    <x v="33"/>
    <m/>
    <x v="14"/>
    <x v="3"/>
    <s v="顾静洁"/>
    <x v="13"/>
    <x v="15"/>
  </r>
  <r>
    <s v="何强"/>
    <s v="凯道"/>
    <s v="支持-会员组支持"/>
    <s v="支持-会员组支持"/>
    <x v="33"/>
    <m/>
    <x v="14"/>
    <x v="3"/>
    <s v="顾静洁"/>
    <x v="13"/>
    <x v="15"/>
  </r>
  <r>
    <s v="陈婷玉"/>
    <s v="凯道"/>
    <s v="支持-会员组支持"/>
    <s v="支持-会员组支持"/>
    <x v="33"/>
    <m/>
    <x v="14"/>
    <x v="3"/>
    <s v="顾静洁"/>
    <x v="13"/>
    <x v="15"/>
  </r>
  <r>
    <s v="陈玉莲"/>
    <s v="汉朔"/>
    <s v="支持-会员组支持"/>
    <s v="支持-会员组支持"/>
    <x v="33"/>
    <m/>
    <x v="14"/>
    <x v="3"/>
    <s v="顾静洁"/>
    <x v="13"/>
    <x v="15"/>
  </r>
  <r>
    <s v="白苗苗"/>
    <s v="恒天"/>
    <s v="支持-会员组支持"/>
    <s v="支持-会员组支持"/>
    <x v="33"/>
    <m/>
    <x v="14"/>
    <x v="3"/>
    <s v="顾静洁"/>
    <x v="13"/>
    <x v="15"/>
  </r>
  <r>
    <s v="朱丽娜"/>
    <s v="汉朔"/>
    <s v="支持-QA"/>
    <s v="支持-QA"/>
    <x v="34"/>
    <m/>
    <x v="11"/>
    <x v="3"/>
    <s v="顾静洁"/>
    <x v="14"/>
    <x v="16"/>
  </r>
  <r>
    <s v="林艳"/>
    <s v="骄洋"/>
    <s v="支持-QA"/>
    <s v="支持-QA"/>
    <x v="34"/>
    <m/>
    <x v="11"/>
    <x v="3"/>
    <s v="顾静洁"/>
    <x v="14"/>
    <x v="16"/>
  </r>
  <r>
    <s v="陈是杏"/>
    <s v="金楷泽"/>
    <s v="支持-QA"/>
    <s v="支持-QA"/>
    <x v="34"/>
    <m/>
    <x v="11"/>
    <x v="3"/>
    <s v="顾静洁"/>
    <x v="15"/>
    <x v="17"/>
  </r>
  <r>
    <s v="杨棚"/>
    <s v="汉朔"/>
    <s v="资管服务优化成交单-22.5-&gt;信息披露-36"/>
    <s v="信息披露-36"/>
    <x v="15"/>
    <m/>
    <x v="5"/>
    <x v="5"/>
    <s v="赵攀"/>
    <x v="6"/>
    <x v="7"/>
  </r>
  <r>
    <s v="项炳强"/>
    <s v="金楷泽"/>
    <s v="资管服务优化成交单-22.5"/>
    <m/>
    <x v="12"/>
    <m/>
    <x v="15"/>
    <x v="2"/>
    <s v="张洋弘"/>
    <x v="2"/>
    <x v="6"/>
  </r>
  <r>
    <s v="马海洋"/>
    <s v="金楷泽"/>
    <s v="回购成交性能优化-14"/>
    <s v="回购成交性能优化-14"/>
    <x v="29"/>
    <m/>
    <x v="0"/>
    <x v="2"/>
    <s v="张洋弘"/>
    <x v="2"/>
    <x v="6"/>
  </r>
  <r>
    <s v="张猛"/>
    <s v="鼎纪"/>
    <s v="平安银行旗舰店二期-18.5"/>
    <s v="平安银行旗舰店二期-18.5"/>
    <x v="26"/>
    <m/>
    <x v="7"/>
    <x v="4"/>
    <s v="刘倩"/>
    <x v="11"/>
    <x v="13"/>
  </r>
  <r>
    <s v="潘成中"/>
    <s v="汉朔"/>
    <s v="信息披露-36"/>
    <s v="信息披露-36"/>
    <x v="15"/>
    <m/>
    <x v="5"/>
    <x v="8"/>
    <s v="李戬"/>
    <x v="2"/>
    <x v="6"/>
  </r>
  <r>
    <s v="孙士惠"/>
    <s v="埃森哲"/>
    <s v="现券请求报价功能优化-4.5"/>
    <s v="央行操作室"/>
    <x v="5"/>
    <m/>
    <x v="5"/>
    <x v="3"/>
    <s v="顾静洁"/>
    <x v="4"/>
    <x v="4"/>
  </r>
  <r>
    <s v="张政尧"/>
    <s v="汉朔"/>
    <s v="拆借对话二期-45"/>
    <s v="拆借对话二期-45-&gt;央行操作室"/>
    <x v="5"/>
    <m/>
    <x v="5"/>
    <x v="5"/>
    <s v="赵攀"/>
    <x v="2"/>
    <x v="6"/>
  </r>
  <r>
    <s v="杨光"/>
    <s v="鼎纪"/>
    <s v="V149验收测试"/>
    <s v="V150集中测试"/>
    <x v="16"/>
    <s v="V150集中测试"/>
    <x v="3"/>
    <x v="9"/>
    <s v="徐慧鹏"/>
    <x v="16"/>
    <x v="18"/>
  </r>
  <r>
    <s v="王帅帅"/>
    <s v="鼎纪"/>
    <s v="V149验收测试"/>
    <s v="V150验收测试"/>
    <x v="35"/>
    <s v="V150验收测试"/>
    <x v="3"/>
    <x v="4"/>
    <s v="刘倩"/>
    <x v="5"/>
    <x v="5"/>
  </r>
  <r>
    <s v="涂瑞强"/>
    <s v="鼎纪"/>
    <s v="用户体系改造一期-27"/>
    <s v="用户体系改造一期-27"/>
    <x v="8"/>
    <m/>
    <x v="3"/>
    <x v="9"/>
    <s v="徐慧鹏"/>
    <x v="10"/>
    <x v="12"/>
  </r>
  <r>
    <s v="翟青华01"/>
    <s v="鼎纪"/>
    <s v="拆借夜盘-45"/>
    <s v="拆借夜盘-45"/>
    <x v="35"/>
    <s v="V150验收测试"/>
    <x v="3"/>
    <x v="3"/>
    <s v="顾静洁"/>
    <x v="17"/>
    <x v="19"/>
  </r>
  <r>
    <s v="陈海若"/>
    <s v="恒天"/>
    <s v="V149验收测试"/>
    <s v="V150集中测试"/>
    <x v="16"/>
    <s v="V150集中测试"/>
    <x v="3"/>
    <x v="4"/>
    <s v="刘倩"/>
    <x v="5"/>
    <x v="5"/>
  </r>
  <r>
    <s v="王德成"/>
    <s v="凯道"/>
    <s v="V149验收测试"/>
    <s v="V150迁移测试"/>
    <x v="36"/>
    <m/>
    <x v="3"/>
    <x v="10"/>
    <s v="李晶雯"/>
    <x v="18"/>
    <x v="20"/>
  </r>
  <r>
    <s v="段杰"/>
    <s v="凯道"/>
    <s v="150验收用例一期"/>
    <s v="150验收用例一期"/>
    <x v="37"/>
    <s v="V150验收测试"/>
    <x v="3"/>
    <x v="9"/>
    <s v="徐慧鹏"/>
    <x v="16"/>
    <x v="18"/>
  </r>
  <r>
    <s v="马岩01"/>
    <s v="凯道"/>
    <s v="V149验收测试"/>
    <s v="V150集中测试"/>
    <x v="16"/>
    <s v="V150集中测试"/>
    <x v="3"/>
    <x v="3"/>
    <s v="顾静洁"/>
    <x v="17"/>
    <x v="19"/>
  </r>
  <r>
    <s v="麻昆仑"/>
    <s v="凯道"/>
    <s v="V149验收测试"/>
    <m/>
    <x v="12"/>
    <m/>
    <x v="8"/>
    <x v="4"/>
    <s v="刘倩"/>
    <x v="5"/>
    <x v="5"/>
  </r>
  <r>
    <s v="张园园01"/>
    <s v="凯道"/>
    <m/>
    <s v="V150验收测试"/>
    <x v="35"/>
    <s v="V150验收测试"/>
    <x v="3"/>
    <x v="3"/>
    <s v="顾静洁"/>
    <x v="17"/>
    <x v="19"/>
  </r>
  <r>
    <s v="谈思琼"/>
    <s v="凯道"/>
    <s v="150验收用例一期"/>
    <s v="150验收用例一期"/>
    <x v="37"/>
    <s v="V150验收测试"/>
    <x v="3"/>
    <x v="1"/>
    <s v="郑安如"/>
    <x v="3"/>
    <x v="3"/>
  </r>
  <r>
    <s v="胡子龙"/>
    <s v="凯道"/>
    <s v="150验收用例二期"/>
    <s v="150验收用例二期"/>
    <x v="38"/>
    <s v="V150验收测试"/>
    <x v="3"/>
    <x v="9"/>
    <s v="徐慧鹏"/>
    <x v="16"/>
    <x v="18"/>
  </r>
  <r>
    <s v="伍丽萍"/>
    <s v="凯道"/>
    <s v="V149集中测试"/>
    <s v="V150验收测试"/>
    <x v="35"/>
    <s v="V150验收测试"/>
    <x v="3"/>
    <x v="1"/>
    <s v="郑安如"/>
    <x v="3"/>
    <x v="3"/>
  </r>
  <r>
    <s v="苏鹏飞02"/>
    <s v="凯道"/>
    <s v="信息披露-36"/>
    <s v="信息披露-36"/>
    <x v="15"/>
    <s v="V150验收测试(结项后)"/>
    <x v="5"/>
    <x v="10"/>
    <s v="李晶雯"/>
    <x v="18"/>
    <x v="20"/>
  </r>
  <r>
    <s v="沈辉"/>
    <s v="凯道"/>
    <s v="资管服务优化成交单-22.5"/>
    <s v="V150验收测试"/>
    <x v="35"/>
    <s v="V150验收测试"/>
    <x v="3"/>
    <x v="9"/>
    <s v="徐慧鹏"/>
    <x v="16"/>
    <x v="18"/>
  </r>
  <r>
    <s v="于自尚"/>
    <s v="凯道"/>
    <s v="V149验收测试"/>
    <m/>
    <x v="12"/>
    <m/>
    <x v="8"/>
    <x v="1"/>
    <s v="郑安如"/>
    <x v="3"/>
    <x v="3"/>
  </r>
  <r>
    <s v="张政生"/>
    <s v="凯道"/>
    <s v="V149验收测试"/>
    <s v="TR及白名单扩容"/>
    <x v="23"/>
    <m/>
    <x v="0"/>
    <x v="3"/>
    <s v="顾静洁"/>
    <x v="17"/>
    <x v="19"/>
  </r>
  <r>
    <s v="石豪"/>
    <s v="凯道"/>
    <s v="V149验收测试"/>
    <s v="三方回购上线-27"/>
    <x v="22"/>
    <m/>
    <x v="5"/>
    <x v="1"/>
    <s v="郑安如"/>
    <x v="3"/>
    <x v="3"/>
  </r>
  <r>
    <s v="张文科"/>
    <s v="凯道"/>
    <s v="150验收用例二期"/>
    <s v="150验收用例二期"/>
    <x v="38"/>
    <s v="V150验收测试"/>
    <x v="3"/>
    <x v="4"/>
    <s v="刘倩"/>
    <x v="5"/>
    <x v="5"/>
  </r>
  <r>
    <s v="周玮"/>
    <s v="凯道"/>
    <s v="150验收用例一期"/>
    <s v="150验收用例一期"/>
    <x v="37"/>
    <s v="V150验收测试"/>
    <x v="3"/>
    <x v="1"/>
    <s v="郑安如"/>
    <x v="3"/>
    <x v="3"/>
  </r>
  <r>
    <s v="田明明"/>
    <s v="凯道"/>
    <s v="V149验收测试"/>
    <s v="TR及白名单扩容"/>
    <x v="23"/>
    <m/>
    <x v="0"/>
    <x v="9"/>
    <s v="徐慧鹏"/>
    <x v="16"/>
    <x v="18"/>
  </r>
  <r>
    <s v="戚澎建"/>
    <s v="凯道"/>
    <s v="V149验收测试"/>
    <s v="央行操作室"/>
    <x v="5"/>
    <m/>
    <x v="5"/>
    <x v="3"/>
    <s v="顾静洁"/>
    <x v="17"/>
    <x v="19"/>
  </r>
  <r>
    <s v="朱坤坤"/>
    <s v="凯道"/>
    <m/>
    <s v="V150验收测试"/>
    <x v="35"/>
    <s v="V150验收测试"/>
    <x v="3"/>
    <x v="10"/>
    <s v="李晶雯"/>
    <x v="18"/>
    <x v="20"/>
  </r>
  <r>
    <s v="敖恒"/>
    <s v="凯道"/>
    <s v="V149验收测试"/>
    <m/>
    <x v="12"/>
    <m/>
    <x v="8"/>
    <x v="1"/>
    <s v="郑安如"/>
    <x v="3"/>
    <x v="3"/>
  </r>
  <r>
    <s v="张丽"/>
    <s v="凯道"/>
    <s v="回购成交性能优化-14"/>
    <s v="回购成交性能优化-14"/>
    <x v="29"/>
    <m/>
    <x v="0"/>
    <x v="9"/>
    <s v="徐慧鹏"/>
    <x v="16"/>
    <x v="18"/>
  </r>
  <r>
    <s v="姜宇亮"/>
    <s v="鼎纪"/>
    <s v="信息披露-36"/>
    <s v="信息披露-36"/>
    <x v="15"/>
    <m/>
    <x v="5"/>
    <x v="10"/>
    <s v="李晶雯"/>
    <x v="18"/>
    <x v="20"/>
  </r>
  <r>
    <s v="石少帅"/>
    <s v="凯道"/>
    <s v="150验收用例二期"/>
    <s v="150验收用例二期"/>
    <x v="38"/>
    <s v="V150验收测试"/>
    <x v="3"/>
    <x v="3"/>
    <s v="顾静洁"/>
    <x v="17"/>
    <x v="19"/>
  </r>
  <r>
    <s v="谭明贵"/>
    <s v="凯道"/>
    <s v="V149验收测试"/>
    <s v="V150集成组-&gt;V150集中测试"/>
    <x v="19"/>
    <s v="V150集成-&gt;V150集中测试"/>
    <x v="3"/>
    <x v="4"/>
    <s v="刘倩"/>
    <x v="5"/>
    <x v="5"/>
  </r>
  <r>
    <s v="夏磊"/>
    <s v="凯道"/>
    <s v="V149集中测试"/>
    <s v="V150验收测试"/>
    <x v="35"/>
    <s v="V150验收测试"/>
    <x v="3"/>
    <x v="3"/>
    <s v="顾静洁"/>
    <x v="4"/>
    <x v="4"/>
  </r>
  <r>
    <s v="郭龙梅"/>
    <s v="凯道"/>
    <s v="买断多券一期-45"/>
    <s v="买断多券一期-45"/>
    <x v="10"/>
    <m/>
    <x v="5"/>
    <x v="1"/>
    <s v="郑安如"/>
    <x v="1"/>
    <x v="9"/>
  </r>
  <r>
    <s v="王莉"/>
    <s v="凯道"/>
    <s v="150验收用例一期"/>
    <s v="150验收用例一期"/>
    <x v="37"/>
    <s v="V150验收测试"/>
    <x v="3"/>
    <x v="1"/>
    <s v="郑安如"/>
    <x v="3"/>
    <x v="3"/>
  </r>
  <r>
    <s v="黄鹏"/>
    <s v="埃森哲"/>
    <s v="V149配置管理"/>
    <s v="配置管理"/>
    <x v="39"/>
    <m/>
    <x v="16"/>
    <x v="11"/>
    <s v="陈启明"/>
    <x v="19"/>
    <x v="21"/>
  </r>
  <r>
    <s v="祁万"/>
    <s v="华腾"/>
    <s v="集成配套组-运维"/>
    <s v="集成配套组-运维"/>
    <x v="40"/>
    <m/>
    <x v="16"/>
    <x v="11"/>
    <s v="陈启明"/>
    <x v="20"/>
    <x v="21"/>
  </r>
  <r>
    <s v="周隽"/>
    <s v="塔塔"/>
    <s v="守门员"/>
    <s v="守门员"/>
    <x v="1"/>
    <m/>
    <x v="1"/>
    <x v="11"/>
    <s v="陈启明"/>
    <x v="2"/>
    <x v="6"/>
  </r>
  <r>
    <s v="郑朝云"/>
    <s v="法本"/>
    <s v="配置管理"/>
    <s v="配置管理"/>
    <x v="39"/>
    <m/>
    <x v="16"/>
    <x v="11"/>
    <s v="陈启明"/>
    <x v="19"/>
    <x v="22"/>
  </r>
  <r>
    <s v="郑成强"/>
    <s v="恒天"/>
    <s v="信息披露-36"/>
    <s v="信息披露-36"/>
    <x v="15"/>
    <m/>
    <x v="5"/>
    <x v="11"/>
    <s v="陈启明"/>
    <x v="2"/>
    <x v="6"/>
  </r>
  <r>
    <s v="张晓"/>
    <s v="法本"/>
    <s v="拆借对话二期-45"/>
    <s v="拆借对话二期-45"/>
    <x v="7"/>
    <s v="V150集成"/>
    <x v="3"/>
    <x v="11"/>
    <s v="陈启明"/>
    <x v="2"/>
    <x v="6"/>
  </r>
  <r>
    <s v="王骥"/>
    <s v="恒天"/>
    <s v="三方回购上线-27"/>
    <s v="守门员-&gt;TR及白名单扩容"/>
    <x v="23"/>
    <m/>
    <x v="0"/>
    <x v="11"/>
    <s v="陈启明"/>
    <x v="2"/>
    <x v="6"/>
  </r>
  <r>
    <s v="田佳乐"/>
    <s v="恒天"/>
    <s v="三方回购上线-27"/>
    <s v="三方回购上线-27"/>
    <x v="22"/>
    <m/>
    <x v="5"/>
    <x v="11"/>
    <s v="陈启明"/>
    <x v="2"/>
    <x v="6"/>
  </r>
  <r>
    <s v="施迁"/>
    <s v="塔塔"/>
    <s v="集成配套组-Devops平台开发"/>
    <s v="集成配套组-Devops平台开发"/>
    <x v="41"/>
    <m/>
    <x v="16"/>
    <x v="11"/>
    <s v="陈启明"/>
    <x v="19"/>
    <x v="22"/>
  </r>
  <r>
    <s v="刘敏"/>
    <s v="恒天"/>
    <s v="V149集中测试"/>
    <s v="央行操作室"/>
    <x v="5"/>
    <m/>
    <x v="5"/>
    <x v="4"/>
    <s v="刘倩"/>
    <x v="11"/>
    <x v="13"/>
  </r>
  <r>
    <s v="刘春平"/>
    <s v="中汇测试部"/>
    <s v="集成配套组-运维"/>
    <s v="集成配套组-运维"/>
    <x v="40"/>
    <m/>
    <x v="16"/>
    <x v="11"/>
    <s v="陈启明"/>
    <x v="19"/>
    <x v="22"/>
  </r>
  <r>
    <s v="梁艺淞"/>
    <s v="骄洋"/>
    <s v="集成配套组-Devops平台开发"/>
    <s v="集成配套组-Devops平台开发"/>
    <x v="41"/>
    <m/>
    <x v="16"/>
    <x v="11"/>
    <s v="陈启明"/>
    <x v="19"/>
    <x v="22"/>
  </r>
  <r>
    <s v="李艺楠"/>
    <s v="恒天"/>
    <s v="拆借对话二期-45"/>
    <s v="拆借对话二期-45-&gt;央行操作室"/>
    <x v="5"/>
    <m/>
    <x v="5"/>
    <x v="11"/>
    <s v="陈启明"/>
    <x v="2"/>
    <x v="6"/>
  </r>
  <r>
    <s v="郭文浩"/>
    <s v="塔塔"/>
    <s v="买断多券一期-45"/>
    <s v="买断多券一期-45"/>
    <x v="10"/>
    <m/>
    <x v="5"/>
    <x v="11"/>
    <s v="陈启明"/>
    <x v="2"/>
    <x v="6"/>
  </r>
  <r>
    <s v="董炎彦"/>
    <s v="中汇开发一部"/>
    <s v="回购工行事前控制-6.75"/>
    <s v="回购工行事前控制-6.75"/>
    <x v="21"/>
    <m/>
    <x v="5"/>
    <x v="11"/>
    <s v="陈启明"/>
    <x v="19"/>
    <x v="22"/>
  </r>
  <r>
    <s v="陈昊"/>
    <s v="华腾"/>
    <s v="集成配套组-Devops平台开发"/>
    <s v="集成配套组-Devops平台开发"/>
    <x v="41"/>
    <m/>
    <x v="16"/>
    <x v="11"/>
    <s v="陈启明"/>
    <x v="19"/>
    <x v="22"/>
  </r>
  <r>
    <s v="李科"/>
    <s v="骄洋"/>
    <s v="配置管理"/>
    <s v="配置管理"/>
    <x v="39"/>
    <m/>
    <x v="16"/>
    <x v="11"/>
    <s v="陈启明"/>
    <x v="19"/>
    <x v="22"/>
  </r>
  <r>
    <s v="陈启明"/>
    <s v="中汇开发一部"/>
    <s v="守门员"/>
    <s v="守门员"/>
    <x v="1"/>
    <m/>
    <x v="1"/>
    <x v="11"/>
    <s v="陈启明"/>
    <x v="19"/>
    <x v="22"/>
  </r>
  <r>
    <s v="陈九辉"/>
    <s v="骄洋"/>
    <s v="守门员"/>
    <s v="三方回购上线-27"/>
    <x v="22"/>
    <m/>
    <x v="5"/>
    <x v="11"/>
    <s v="陈启明"/>
    <x v="2"/>
    <x v="6"/>
  </r>
  <r>
    <s v="陈鹤"/>
    <s v="中汇开发一部"/>
    <s v="回购成交性能优化-14"/>
    <s v="回购成交性能优化-14"/>
    <x v="29"/>
    <m/>
    <x v="0"/>
    <x v="11"/>
    <s v="陈启明"/>
    <x v="2"/>
    <x v="6"/>
  </r>
  <r>
    <s v="王寅森"/>
    <s v="凯道"/>
    <s v="三方回购上线-27"/>
    <s v="三方回购上线-27"/>
    <x v="22"/>
    <m/>
    <x v="5"/>
    <x v="9"/>
    <s v="徐慧鹏"/>
    <x v="10"/>
    <x v="12"/>
  </r>
  <r>
    <s v="曹泽恒"/>
    <s v="法本"/>
    <s v="集成配套组-运维"/>
    <s v="集成配套组-运维"/>
    <x v="40"/>
    <m/>
    <x v="16"/>
    <x v="11"/>
    <s v="陈启明"/>
    <x v="20"/>
    <x v="21"/>
  </r>
  <r>
    <s v="付家然"/>
    <s v="恒天"/>
    <s v="三方回购上线-27"/>
    <s v="三方回购上线-27"/>
    <x v="22"/>
    <m/>
    <x v="5"/>
    <x v="1"/>
    <s v="郑安如"/>
    <x v="1"/>
    <x v="9"/>
  </r>
  <r>
    <s v="许贻豪"/>
    <s v="骄洋"/>
    <s v="集成配套组-运维"/>
    <s v="集成配套组-运维"/>
    <x v="40"/>
    <m/>
    <x v="16"/>
    <x v="11"/>
    <s v="陈启明"/>
    <x v="19"/>
    <x v="22"/>
  </r>
  <r>
    <s v="谢桂锋"/>
    <s v="法本"/>
    <s v="集成配套组-运维"/>
    <s v="V150配置管理"/>
    <x v="42"/>
    <m/>
    <x v="16"/>
    <x v="11"/>
    <s v="陈启明"/>
    <x v="19"/>
    <x v="22"/>
  </r>
  <r>
    <s v="金武顺"/>
    <s v="汉朔"/>
    <s v="排错组V146"/>
    <s v="排错组V149"/>
    <x v="14"/>
    <m/>
    <x v="9"/>
    <x v="2"/>
    <s v="张洋弘-版本"/>
    <x v="2"/>
    <x v="6"/>
  </r>
  <r>
    <s v="陈若来"/>
    <s v="汉朔"/>
    <s v="排错组V146"/>
    <s v="排错组V149"/>
    <x v="14"/>
    <m/>
    <x v="9"/>
    <x v="2"/>
    <s v="张洋弘-版本"/>
    <x v="2"/>
    <x v="6"/>
  </r>
  <r>
    <s v="谢经兵"/>
    <s v="汉朔"/>
    <s v="数据分析"/>
    <s v="数据分析"/>
    <x v="30"/>
    <m/>
    <x v="12"/>
    <x v="10"/>
    <s v="李晶雯"/>
    <x v="12"/>
    <x v="14"/>
  </r>
  <r>
    <s v="胡祖思"/>
    <s v="凯道"/>
    <s v="V149验收测试"/>
    <s v="V150集中测试"/>
    <x v="16"/>
    <s v="V150集中测试"/>
    <x v="3"/>
    <x v="9"/>
    <s v="徐慧鹏"/>
    <x v="16"/>
    <x v="18"/>
  </r>
  <r>
    <s v="于俊涛"/>
    <s v="法本"/>
    <s v="用户体系改造一期-27"/>
    <s v="用户体系改造一期-27"/>
    <x v="8"/>
    <m/>
    <x v="7"/>
    <x v="5"/>
    <s v="赵攀"/>
    <x v="2"/>
    <x v="6"/>
  </r>
  <r>
    <s v="董莹莹"/>
    <s v="鼎纪"/>
    <s v="拆借对话二期-45"/>
    <s v="拆借对话二期-45"/>
    <x v="25"/>
    <m/>
    <x v="7"/>
    <x v="9"/>
    <s v="徐慧鹏"/>
    <x v="10"/>
    <x v="12"/>
  </r>
  <r>
    <s v="夏淑文"/>
    <s v="鼎纪"/>
    <s v="平安银行旗舰店二期-18.5"/>
    <s v="平安银行旗舰店二期-18.5"/>
    <x v="35"/>
    <s v="V150验收测试"/>
    <x v="3"/>
    <x v="4"/>
    <s v="刘倩"/>
    <x v="5"/>
    <x v="5"/>
  </r>
  <r>
    <s v="陆云帆"/>
    <s v="金楷泽"/>
    <s v="数据分析"/>
    <s v="数据分析"/>
    <x v="30"/>
    <m/>
    <x v="12"/>
    <x v="8"/>
    <s v="李戬"/>
    <x v="12"/>
    <x v="14"/>
  </r>
  <r>
    <s v="卢朝立"/>
    <s v="金楷泽"/>
    <s v="做市合规二期-24.75"/>
    <s v="做市合规二期-24.75"/>
    <x v="20"/>
    <m/>
    <x v="7"/>
    <x v="2"/>
    <s v="张洋弘"/>
    <x v="2"/>
    <x v="6"/>
  </r>
  <r>
    <s v="沈迪"/>
    <s v="鼎纪"/>
    <s v="用户体系改造一期-27"/>
    <s v="用户体系改造一期-27"/>
    <x v="8"/>
    <m/>
    <x v="3"/>
    <x v="9"/>
    <s v="徐慧鹏"/>
    <x v="16"/>
    <x v="18"/>
  </r>
  <r>
    <s v="冒文影"/>
    <s v="鼎纪"/>
    <s v="回购工行事前控制-6.75"/>
    <s v="回购工行事前控制-6.75"/>
    <x v="21"/>
    <s v="V150集中测试"/>
    <x v="5"/>
    <x v="1"/>
    <s v="郑安如"/>
    <x v="3"/>
    <x v="3"/>
  </r>
  <r>
    <s v="王睿杰"/>
    <s v="埃森哲"/>
    <s v="拆借对话二期-45"/>
    <s v="拆借对话二期-45"/>
    <x v="16"/>
    <s v="V150集中测试"/>
    <x v="17"/>
    <x v="1"/>
    <s v="郑安如"/>
    <x v="1"/>
    <x v="9"/>
  </r>
  <r>
    <s v="孙栩"/>
    <s v="骄洋"/>
    <m/>
    <m/>
    <x v="12"/>
    <m/>
    <x v="8"/>
    <x v="4"/>
    <s v="刘倩"/>
    <x v="11"/>
    <x v="13"/>
  </r>
  <r>
    <s v="刘锁银"/>
    <s v="金楷泽"/>
    <m/>
    <m/>
    <x v="12"/>
    <m/>
    <x v="17"/>
    <x v="8"/>
    <s v="李戬"/>
    <x v="12"/>
    <x v="14"/>
  </r>
  <r>
    <m/>
    <m/>
    <m/>
    <m/>
    <x v="12"/>
    <m/>
    <x v="8"/>
    <x v="12"/>
    <m/>
    <x v="2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rowHeaderCaption="版本及项目公共">
  <location ref="E33:F44" firstHeaderRow="1" firstDataRow="1" firstDataCol="1"/>
  <pivotFields count="4">
    <pivotField dataField="1" showAll="0"/>
    <pivotField showAll="0"/>
    <pivotField showAll="0"/>
    <pivotField axis="axisRow" showAll="0">
      <items count="11">
        <item x="8"/>
        <item x="6"/>
        <item x="3"/>
        <item x="0"/>
        <item x="9"/>
        <item x="1"/>
        <item x="2"/>
        <item x="4"/>
        <item x="7"/>
        <item x="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36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>
  <location ref="A35:B77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1"/>
        <item x="3"/>
        <item x="8"/>
        <item x="10"/>
        <item x="4"/>
        <item x="6"/>
        <item x="0"/>
        <item x="9"/>
        <item x="2"/>
        <item x="5"/>
        <item x="1"/>
        <item x="7"/>
        <item x="12"/>
        <item t="default"/>
      </items>
    </pivotField>
    <pivotField showAll="0"/>
    <pivotField axis="axisRow" showAll="0">
      <items count="29">
        <item x="9"/>
        <item x="8"/>
        <item x="7"/>
        <item x="6"/>
        <item x="2"/>
        <item x="1"/>
        <item x="3"/>
        <item x="11"/>
        <item x="5"/>
        <item m="1" x="24"/>
        <item x="10"/>
        <item x="16"/>
        <item m="1" x="22"/>
        <item m="1" x="26"/>
        <item m="1" x="23"/>
        <item m="1" x="25"/>
        <item m="1" x="27"/>
        <item x="12"/>
        <item x="18"/>
        <item x="4"/>
        <item x="17"/>
        <item x="14"/>
        <item x="15"/>
        <item x="13"/>
        <item x="21"/>
        <item x="0"/>
        <item x="19"/>
        <item x="20"/>
        <item t="default"/>
      </items>
    </pivotField>
    <pivotField axis="axisPage" multipleItemSelectionAllowed="1" showAll="0">
      <items count="30">
        <item x="11"/>
        <item x="10"/>
        <item x="8"/>
        <item x="7"/>
        <item x="6"/>
        <item x="9"/>
        <item x="3"/>
        <item x="13"/>
        <item x="5"/>
        <item h="1" m="1" x="26"/>
        <item x="12"/>
        <item x="18"/>
        <item m="1" x="25"/>
        <item x="14"/>
        <item x="20"/>
        <item x="4"/>
        <item x="19"/>
        <item m="1" x="24"/>
        <item x="16"/>
        <item h="1" x="17"/>
        <item h="1" x="15"/>
        <item x="23"/>
        <item h="1" m="1" x="28"/>
        <item m="1" x="27"/>
        <item h="1" x="0"/>
        <item h="1" x="1"/>
        <item h="1" x="2"/>
        <item x="21"/>
        <item x="22"/>
        <item t="default"/>
      </items>
    </pivotField>
  </pivotFields>
  <rowFields count="2">
    <field x="7"/>
    <field x="9"/>
  </rowFields>
  <rowItems count="42">
    <i>
      <x/>
    </i>
    <i r="1">
      <x v="4"/>
    </i>
    <i r="1">
      <x v="26"/>
    </i>
    <i r="1">
      <x v="27"/>
    </i>
    <i>
      <x v="1"/>
    </i>
    <i r="1">
      <x v="19"/>
    </i>
    <i r="1">
      <x v="20"/>
    </i>
    <i r="1">
      <x v="21"/>
    </i>
    <i>
      <x v="2"/>
    </i>
    <i r="1">
      <x/>
    </i>
    <i r="1">
      <x v="1"/>
    </i>
    <i r="1">
      <x v="3"/>
    </i>
    <i r="1">
      <x v="4"/>
    </i>
    <i r="1">
      <x v="17"/>
    </i>
    <i>
      <x v="3"/>
    </i>
    <i r="1">
      <x v="17"/>
    </i>
    <i r="1">
      <x v="18"/>
    </i>
    <i>
      <x v="4"/>
    </i>
    <i r="1">
      <x v="7"/>
    </i>
    <i r="1">
      <x v="8"/>
    </i>
    <i>
      <x v="5"/>
    </i>
    <i r="1">
      <x/>
    </i>
    <i r="1">
      <x v="1"/>
    </i>
    <i r="1">
      <x v="3"/>
    </i>
    <i r="1">
      <x v="4"/>
    </i>
    <i>
      <x v="7"/>
    </i>
    <i r="1">
      <x v="10"/>
    </i>
    <i r="1">
      <x v="11"/>
    </i>
    <i>
      <x v="8"/>
    </i>
    <i r="1">
      <x v="3"/>
    </i>
    <i r="1">
      <x v="4"/>
    </i>
    <i>
      <x v="9"/>
    </i>
    <i r="1">
      <x v="3"/>
    </i>
    <i r="1">
      <x v="4"/>
    </i>
    <i>
      <x v="10"/>
    </i>
    <i r="1">
      <x v="5"/>
    </i>
    <i r="1">
      <x v="6"/>
    </i>
    <i>
      <x v="11"/>
    </i>
    <i r="1">
      <x v="2"/>
    </i>
    <i>
      <x v="12"/>
    </i>
    <i r="1">
      <x v="24"/>
    </i>
    <i t="grand">
      <x/>
    </i>
  </rowItems>
  <colItems count="1">
    <i/>
  </colItems>
  <pageFields count="1">
    <pageField fld="10" hier="0"/>
  </pageField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36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>
  <location ref="A3:B65" firstHeaderRow="1" firstDataRow="1" firstDataCol="1" rowPageCount="1" colPageCount="1"/>
  <pivotFields count="11">
    <pivotField dataField="1" showAll="0"/>
    <pivotField showAll="0"/>
    <pivotField showAll="0"/>
    <pivotField showAll="0"/>
    <pivotField axis="axisRow" showAll="0">
      <items count="52">
        <item m="1" x="48"/>
        <item x="38"/>
        <item x="37"/>
        <item x="23"/>
        <item x="28"/>
        <item x="0"/>
        <item x="2"/>
        <item x="3"/>
        <item x="7"/>
        <item x="19"/>
        <item x="16"/>
        <item x="42"/>
        <item x="36"/>
        <item x="35"/>
        <item x="6"/>
        <item x="31"/>
        <item x="24"/>
        <item x="4"/>
        <item x="32"/>
        <item x="25"/>
        <item x="9"/>
        <item m="1" x="49"/>
        <item x="11"/>
        <item m="1" x="43"/>
        <item x="17"/>
        <item x="29"/>
        <item x="21"/>
        <item m="1" x="46"/>
        <item m="1" x="44"/>
        <item x="10"/>
        <item x="27"/>
        <item x="18"/>
        <item x="14"/>
        <item x="39"/>
        <item x="26"/>
        <item x="22"/>
        <item x="13"/>
        <item x="1"/>
        <item x="30"/>
        <item x="15"/>
        <item m="1" x="50"/>
        <item x="8"/>
        <item x="34"/>
        <item x="33"/>
        <item x="20"/>
        <item x="12"/>
        <item m="1" x="47"/>
        <item m="1" x="45"/>
        <item x="40"/>
        <item x="41"/>
        <item x="5"/>
        <item t="default"/>
      </items>
    </pivotField>
    <pivotField showAll="0"/>
    <pivotField axis="axisRow" showAll="0">
      <items count="41">
        <item m="1" x="19"/>
        <item m="1" x="26"/>
        <item m="1" x="29"/>
        <item m="1" x="31"/>
        <item m="1" x="35"/>
        <item m="1" x="36"/>
        <item m="1" x="18"/>
        <item m="1" x="25"/>
        <item x="2"/>
        <item m="1" x="28"/>
        <item m="1" x="24"/>
        <item n="V150" x="3"/>
        <item m="1" x="33"/>
        <item m="1" x="39"/>
        <item m="1" x="20"/>
        <item x="6"/>
        <item x="7"/>
        <item x="5"/>
        <item m="1" x="32"/>
        <item x="0"/>
        <item x="13"/>
        <item x="9"/>
        <item x="16"/>
        <item x="1"/>
        <item x="12"/>
        <item x="17"/>
        <item m="1" x="21"/>
        <item m="1" x="37"/>
        <item x="11"/>
        <item x="8"/>
        <item m="1" x="34"/>
        <item x="10"/>
        <item m="1" x="38"/>
        <item x="14"/>
        <item m="1" x="22"/>
        <item x="15"/>
        <item m="1" x="27"/>
        <item m="1" x="23"/>
        <item m="1" x="30"/>
        <item x="4"/>
        <item t="default"/>
      </items>
    </pivotField>
    <pivotField showAll="0"/>
    <pivotField showAll="0"/>
    <pivotField showAll="0"/>
    <pivotField axis="axisPage" multipleItemSelectionAllowed="1" showAll="0">
      <items count="30">
        <item x="11"/>
        <item x="10"/>
        <item x="8"/>
        <item x="7"/>
        <item x="6"/>
        <item x="9"/>
        <item x="3"/>
        <item x="13"/>
        <item x="5"/>
        <item h="1" m="1" x="26"/>
        <item x="12"/>
        <item x="18"/>
        <item m="1" x="25"/>
        <item x="14"/>
        <item x="20"/>
        <item x="4"/>
        <item x="19"/>
        <item m="1" x="24"/>
        <item x="16"/>
        <item h="1" x="17"/>
        <item h="1" x="15"/>
        <item x="23"/>
        <item m="1" x="28"/>
        <item m="1" x="27"/>
        <item h="1" x="0"/>
        <item h="1" x="1"/>
        <item h="1" x="2"/>
        <item x="21"/>
        <item x="22"/>
        <item t="default"/>
      </items>
    </pivotField>
  </pivotFields>
  <rowFields count="2">
    <field x="6"/>
    <field x="4"/>
  </rowFields>
  <rowItems count="62">
    <i>
      <x v="8"/>
    </i>
    <i r="1">
      <x v="6"/>
    </i>
    <i r="1">
      <x v="36"/>
    </i>
    <i>
      <x v="11"/>
    </i>
    <i r="1">
      <x v="1"/>
    </i>
    <i r="1">
      <x v="2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36"/>
    </i>
    <i r="1">
      <x v="41"/>
    </i>
    <i>
      <x v="15"/>
    </i>
    <i r="1">
      <x v="20"/>
    </i>
    <i>
      <x v="16"/>
    </i>
    <i r="1">
      <x v="19"/>
    </i>
    <i r="1">
      <x v="22"/>
    </i>
    <i r="1">
      <x v="34"/>
    </i>
    <i r="1">
      <x v="41"/>
    </i>
    <i r="1">
      <x v="44"/>
    </i>
    <i>
      <x v="17"/>
    </i>
    <i r="1">
      <x v="15"/>
    </i>
    <i r="1">
      <x v="16"/>
    </i>
    <i r="1">
      <x v="26"/>
    </i>
    <i r="1">
      <x v="29"/>
    </i>
    <i r="1">
      <x v="35"/>
    </i>
    <i r="1">
      <x v="39"/>
    </i>
    <i r="1">
      <x v="50"/>
    </i>
    <i>
      <x v="19"/>
    </i>
    <i r="1">
      <x v="3"/>
    </i>
    <i r="1">
      <x v="25"/>
    </i>
    <i r="1">
      <x v="45"/>
    </i>
    <i>
      <x v="20"/>
    </i>
    <i r="1">
      <x v="18"/>
    </i>
    <i>
      <x v="21"/>
    </i>
    <i r="1">
      <x v="30"/>
    </i>
    <i r="1">
      <x v="31"/>
    </i>
    <i r="1">
      <x v="32"/>
    </i>
    <i>
      <x v="22"/>
    </i>
    <i r="1">
      <x v="11"/>
    </i>
    <i r="1">
      <x v="33"/>
    </i>
    <i r="1">
      <x v="48"/>
    </i>
    <i r="1">
      <x v="49"/>
    </i>
    <i>
      <x v="23"/>
    </i>
    <i r="1">
      <x v="37"/>
    </i>
    <i>
      <x v="24"/>
    </i>
    <i r="1">
      <x v="38"/>
    </i>
    <i>
      <x v="25"/>
    </i>
    <i r="1">
      <x v="10"/>
    </i>
    <i r="1">
      <x v="45"/>
    </i>
    <i>
      <x v="28"/>
    </i>
    <i r="1">
      <x v="4"/>
    </i>
    <i r="1">
      <x v="42"/>
    </i>
    <i>
      <x v="29"/>
    </i>
    <i r="1">
      <x v="45"/>
    </i>
    <i>
      <x v="31"/>
    </i>
    <i r="1">
      <x v="24"/>
    </i>
    <i>
      <x v="35"/>
    </i>
    <i r="1">
      <x v="45"/>
    </i>
    <i t="grand">
      <x/>
    </i>
  </rowItems>
  <colItems count="1">
    <i/>
  </colItems>
  <pageFields count="1">
    <pageField fld="10" hier="0"/>
  </pageFields>
  <dataFields count="1">
    <dataField name="计数项:姓名" fld="0" subtotal="count" baseField="0" baseItem="0"/>
  </dataFields>
  <formats count="1">
    <format dxfId="2">
      <pivotArea collapsedLevelsAreSubtotals="1" fieldPosition="0">
        <references count="1">
          <reference field="6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Documents/WeChat%20Files/nick2002/FileStorage/File/2020-09/huzilong@start-china.vip" TargetMode="External"/><Relationship Id="rId18" Type="http://schemas.openxmlformats.org/officeDocument/2006/relationships/hyperlink" Target="../Documents/WeChat%20Files/nick2002/FileStorage/File/2020-09/zhangzs@start-china.vip" TargetMode="External"/><Relationship Id="rId26" Type="http://schemas.openxmlformats.org/officeDocument/2006/relationships/hyperlink" Target="../Documents/WeChat%20Files/nick2002/FileStorage/File/2020-09/shishaoshuai@start-china.vip.com" TargetMode="External"/><Relationship Id="rId3" Type="http://schemas.openxmlformats.org/officeDocument/2006/relationships/hyperlink" Target="../Documents/WeChat%20Files/nick2002/FileStorage/File/2020-09/yangguang@ectesting.cn" TargetMode="External"/><Relationship Id="rId21" Type="http://schemas.openxmlformats.org/officeDocument/2006/relationships/hyperlink" Target="../Documents/WeChat%20Files/nick2002/FileStorage/File/2020-09/tianmingming@start-china.vip.com" TargetMode="External"/><Relationship Id="rId34" Type="http://schemas.openxmlformats.org/officeDocument/2006/relationships/hyperlink" Target="mailto:liusuoyin@kingkz.com" TargetMode="External"/><Relationship Id="rId7" Type="http://schemas.openxmlformats.org/officeDocument/2006/relationships/hyperlink" Target="../Documents/WeChat%20Files/nick2002/FileStorage/File/2020-09/wangdecheng@start-china.vip" TargetMode="External"/><Relationship Id="rId12" Type="http://schemas.openxmlformats.org/officeDocument/2006/relationships/hyperlink" Target="../Documents/WeChat%20Files/nick2002/FileStorage/File/2020-09/wulp@start-china.vip" TargetMode="External"/><Relationship Id="rId17" Type="http://schemas.openxmlformats.org/officeDocument/2006/relationships/hyperlink" Target="../Documents/WeChat%20Files/nick2002/FileStorage/File/2020-09/yuzishang@start-china.vip" TargetMode="External"/><Relationship Id="rId25" Type="http://schemas.openxmlformats.org/officeDocument/2006/relationships/hyperlink" Target="../Documents/WeChat%20Files/nick2002/FileStorage/File/2020-09/zhangli@start-china.vip.com" TargetMode="External"/><Relationship Id="rId33" Type="http://schemas.openxmlformats.org/officeDocument/2006/relationships/hyperlink" Target="mailto:xiashuwen@ectesting.cn" TargetMode="External"/><Relationship Id="rId2" Type="http://schemas.openxmlformats.org/officeDocument/2006/relationships/hyperlink" Target="http://lijingwen_zh@chinamoney.com.cn/" TargetMode="External"/><Relationship Id="rId16" Type="http://schemas.openxmlformats.org/officeDocument/2006/relationships/hyperlink" Target="../Documents/WeChat%20Files/nick2002/FileStorage/File/2020-09/shenhui@start-china.vip" TargetMode="External"/><Relationship Id="rId20" Type="http://schemas.openxmlformats.org/officeDocument/2006/relationships/hyperlink" Target="../Documents/WeChat%20Files/nick2002/FileStorage/File/2020-09/zhouwei@start-china.vip" TargetMode="External"/><Relationship Id="rId29" Type="http://schemas.openxmlformats.org/officeDocument/2006/relationships/hyperlink" Target="mailto:maowenying@ectesting.cn" TargetMode="External"/><Relationship Id="rId1" Type="http://schemas.openxmlformats.org/officeDocument/2006/relationships/hyperlink" Target="../Documents/WeChat%20Files/nick2002/FileStorage/File/2020-09/zhaopan_zh@chinamoney.com.cn" TargetMode="External"/><Relationship Id="rId6" Type="http://schemas.openxmlformats.org/officeDocument/2006/relationships/hyperlink" Target="../Documents/WeChat%20Files/nick2002/FileStorage/File/2020-09/zhaiqinghua@ectesting.cn" TargetMode="External"/><Relationship Id="rId11" Type="http://schemas.openxmlformats.org/officeDocument/2006/relationships/hyperlink" Target="../Documents/WeChat%20Files/nick2002/FileStorage/File/2020-09/zhangyy@start-china.vip" TargetMode="External"/><Relationship Id="rId24" Type="http://schemas.openxmlformats.org/officeDocument/2006/relationships/hyperlink" Target="../Documents/WeChat%20Files/nick2002/FileStorage/File/2020-09/aoheng@start-china.vip" TargetMode="External"/><Relationship Id="rId32" Type="http://schemas.openxmlformats.org/officeDocument/2006/relationships/hyperlink" Target="mailto:luchaoli@kingkz.com" TargetMode="External"/><Relationship Id="rId5" Type="http://schemas.openxmlformats.org/officeDocument/2006/relationships/hyperlink" Target="../Documents/WeChat%20Files/nick2002/FileStorage/File/2020-09/turuiqiang@ectesting.cn" TargetMode="External"/><Relationship Id="rId15" Type="http://schemas.openxmlformats.org/officeDocument/2006/relationships/hyperlink" Target="../Documents/WeChat%20Files/nick2002/FileStorage/File/2020-09/supengfei@start-china.vip" TargetMode="External"/><Relationship Id="rId23" Type="http://schemas.openxmlformats.org/officeDocument/2006/relationships/hyperlink" Target="../Documents/WeChat%20Files/nick2002/FileStorage/File/2020-09/zhukk@start-china.vip" TargetMode="External"/><Relationship Id="rId28" Type="http://schemas.openxmlformats.org/officeDocument/2006/relationships/hyperlink" Target="mailto:shendi@ectesting.cn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../Documents/WeChat%20Files/nick2002/FileStorage/File/2020-09/makunlun@start-china.vip" TargetMode="External"/><Relationship Id="rId19" Type="http://schemas.openxmlformats.org/officeDocument/2006/relationships/hyperlink" Target="../Documents/WeChat%20Files/nick2002/FileStorage/File/2020-09/shihao@start-china.vip.com" TargetMode="External"/><Relationship Id="rId31" Type="http://schemas.openxmlformats.org/officeDocument/2006/relationships/hyperlink" Target="mailto:luyunfan@kingkz.com" TargetMode="External"/><Relationship Id="rId4" Type="http://schemas.openxmlformats.org/officeDocument/2006/relationships/hyperlink" Target="../Documents/WeChat%20Files/nick2002/FileStorage/File/2020-09/wangshuaishuai@ectesting.cn" TargetMode="External"/><Relationship Id="rId9" Type="http://schemas.openxmlformats.org/officeDocument/2006/relationships/hyperlink" Target="../Documents/WeChat%20Files/nick2002/FileStorage/File/2020-09/mayan@start-china.vip" TargetMode="External"/><Relationship Id="rId14" Type="http://schemas.openxmlformats.org/officeDocument/2006/relationships/hyperlink" Target="../Documents/WeChat%20Files/nick2002/FileStorage/File/2020-09/wulp@start-china.vip" TargetMode="External"/><Relationship Id="rId22" Type="http://schemas.openxmlformats.org/officeDocument/2006/relationships/hyperlink" Target="../Documents/WeChat%20Files/nick2002/FileStorage/File/2020-09/qipengjian@start-china.vip.com" TargetMode="External"/><Relationship Id="rId27" Type="http://schemas.openxmlformats.org/officeDocument/2006/relationships/hyperlink" Target="../Documents/WeChat%20Files/nick2002/FileStorage/File/2020-09/tanminggui@start-china.vip.com" TargetMode="External"/><Relationship Id="rId30" Type="http://schemas.openxmlformats.org/officeDocument/2006/relationships/hyperlink" Target="mailto:tjvegita@aliyun.com" TargetMode="External"/><Relationship Id="rId35" Type="http://schemas.openxmlformats.org/officeDocument/2006/relationships/hyperlink" Target="mailto:chenyulian@hanorth.com" TargetMode="External"/><Relationship Id="rId8" Type="http://schemas.openxmlformats.org/officeDocument/2006/relationships/hyperlink" Target="../Documents/WeChat%20Files/nick2002/FileStorage/File/2020-09/921279158@qq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topLeftCell="A37" workbookViewId="0">
      <selection activeCell="J1" sqref="J1"/>
    </sheetView>
  </sheetViews>
  <sheetFormatPr defaultColWidth="9" defaultRowHeight="14.25" x14ac:dyDescent="0.15"/>
  <cols>
    <col min="1" max="1" width="22.875" style="60" bestFit="1" customWidth="1"/>
    <col min="2" max="2" width="13.875" style="60" customWidth="1"/>
    <col min="3" max="3" width="13.125" style="60" customWidth="1"/>
    <col min="4" max="4" width="12.5" style="60" customWidth="1"/>
    <col min="5" max="5" width="19.375" style="60" bestFit="1" customWidth="1"/>
    <col min="6" max="6" width="13.875" style="60" bestFit="1" customWidth="1"/>
    <col min="7" max="7" width="18.5" style="60" customWidth="1"/>
    <col min="8" max="8" width="12.75" style="60" bestFit="1" customWidth="1"/>
    <col min="9" max="9" width="13.875" style="60" bestFit="1" customWidth="1"/>
    <col min="10" max="10" width="17.5" style="60" customWidth="1"/>
    <col min="11" max="11" width="22.25" style="61" customWidth="1"/>
    <col min="12" max="12" width="10.5" style="60" customWidth="1"/>
    <col min="13" max="13" width="7.125" style="60" customWidth="1"/>
    <col min="14" max="14" width="26.875" style="60" customWidth="1"/>
    <col min="15" max="16384" width="9" style="60"/>
  </cols>
  <sheetData>
    <row r="1" spans="1:14" ht="16.5" x14ac:dyDescent="0.1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/>
      <c r="G1" s="62" t="s">
        <v>5</v>
      </c>
      <c r="H1" s="62" t="s">
        <v>6</v>
      </c>
      <c r="I1" s="62" t="s">
        <v>7</v>
      </c>
      <c r="J1" s="62" t="s">
        <v>8</v>
      </c>
      <c r="K1" s="69"/>
    </row>
    <row r="2" spans="1:14" ht="16.5" x14ac:dyDescent="0.15">
      <c r="A2" s="62" t="s">
        <v>9</v>
      </c>
      <c r="B2" s="62">
        <v>9</v>
      </c>
      <c r="C2" s="62">
        <f>GETPIVOTDATA("姓名",$A$35,"业务技术线组长","郑安如","技能组","NDM业务-验收")</f>
        <v>9</v>
      </c>
      <c r="D2" s="62">
        <f>C2-I2</f>
        <v>1</v>
      </c>
      <c r="E2" s="62">
        <f t="shared" ref="E2:E19" si="0">C2-G2</f>
        <v>3</v>
      </c>
      <c r="F2" s="62"/>
      <c r="G2" s="62">
        <v>6</v>
      </c>
      <c r="H2" s="62"/>
      <c r="I2" s="62">
        <v>8</v>
      </c>
      <c r="J2" s="62">
        <v>5</v>
      </c>
      <c r="K2" s="80" t="s">
        <v>781</v>
      </c>
      <c r="M2" s="70" t="s">
        <v>780</v>
      </c>
      <c r="N2" s="70" t="s">
        <v>10</v>
      </c>
    </row>
    <row r="3" spans="1:14" ht="17.25" x14ac:dyDescent="0.15">
      <c r="A3" s="63" t="s">
        <v>11</v>
      </c>
      <c r="B3" s="63">
        <f>12-GETPIVOTDATA("姓名",$E$33,"新业务技术条线组长（仅统计)","郑安如-版本")</f>
        <v>10</v>
      </c>
      <c r="C3" s="63">
        <f>GETPIVOTDATA("姓名",$A$35,"业务技术线组长","郑安如","技能组","NDM业务")</f>
        <v>13</v>
      </c>
      <c r="D3" s="63">
        <f t="shared" ref="D3:D19" si="1">C3-I3</f>
        <v>3</v>
      </c>
      <c r="E3" s="62">
        <f t="shared" si="0"/>
        <v>3</v>
      </c>
      <c r="F3" s="62"/>
      <c r="G3" s="63">
        <v>10</v>
      </c>
      <c r="H3" s="64">
        <v>1</v>
      </c>
      <c r="I3" s="63">
        <f>11-GETPIVOTDATA("姓名",$E$33,"新业务技术条线组长（仅统计)","郑安如-版本")+1</f>
        <v>10</v>
      </c>
      <c r="J3" s="63">
        <v>9</v>
      </c>
      <c r="K3" s="71">
        <f>3+1</f>
        <v>4</v>
      </c>
      <c r="L3" s="72" t="s">
        <v>12</v>
      </c>
      <c r="M3" s="70">
        <v>3</v>
      </c>
      <c r="N3" s="70" t="s">
        <v>13</v>
      </c>
    </row>
    <row r="4" spans="1:14" ht="17.25" x14ac:dyDescent="0.15">
      <c r="A4" s="62" t="s">
        <v>14</v>
      </c>
      <c r="B4" s="62">
        <v>5</v>
      </c>
      <c r="C4" s="62">
        <f>GETPIVOTDATA("姓名",$A$35,"业务技术线组长","刘倩","技能组","ODM业务-验收")</f>
        <v>7</v>
      </c>
      <c r="D4" s="62">
        <f t="shared" si="1"/>
        <v>4</v>
      </c>
      <c r="E4" s="62">
        <f t="shared" si="0"/>
        <v>2</v>
      </c>
      <c r="F4" s="62"/>
      <c r="G4" s="62">
        <v>5</v>
      </c>
      <c r="H4" s="62"/>
      <c r="I4" s="62">
        <v>3</v>
      </c>
      <c r="J4" s="62">
        <v>3</v>
      </c>
      <c r="K4" s="71">
        <f>3+1</f>
        <v>4</v>
      </c>
      <c r="L4" s="72" t="s">
        <v>15</v>
      </c>
      <c r="M4" s="70">
        <v>3</v>
      </c>
      <c r="N4" s="70" t="s">
        <v>782</v>
      </c>
    </row>
    <row r="5" spans="1:14" ht="17.25" x14ac:dyDescent="0.15">
      <c r="A5" s="63" t="s">
        <v>16</v>
      </c>
      <c r="B5" s="63">
        <f>11-GETPIVOTDATA("姓名",$E$33,"新业务技术条线组长（仅统计)","刘倩-版本")</f>
        <v>9</v>
      </c>
      <c r="C5" s="63">
        <f>GETPIVOTDATA("姓名",$A$35,"业务技术线组长","刘倩","技能组","ODM业务")</f>
        <v>12</v>
      </c>
      <c r="D5" s="63">
        <f t="shared" si="1"/>
        <v>3</v>
      </c>
      <c r="E5" s="62">
        <f t="shared" si="0"/>
        <v>3</v>
      </c>
      <c r="F5" s="62"/>
      <c r="G5" s="63">
        <v>9</v>
      </c>
      <c r="H5" s="63">
        <v>2</v>
      </c>
      <c r="I5" s="63">
        <f>11-GETPIVOTDATA("姓名",$E$33,"新业务技术条线组长（仅统计)","刘倩-版本")</f>
        <v>9</v>
      </c>
      <c r="J5" s="63">
        <v>9</v>
      </c>
      <c r="K5" s="81">
        <f>3+3</f>
        <v>6</v>
      </c>
      <c r="L5" s="82" t="s">
        <v>16</v>
      </c>
      <c r="M5" s="83">
        <v>6</v>
      </c>
      <c r="N5" s="83" t="s">
        <v>17</v>
      </c>
    </row>
    <row r="6" spans="1:14" ht="17.25" x14ac:dyDescent="0.15">
      <c r="A6" s="62" t="s">
        <v>18</v>
      </c>
      <c r="B6" s="62">
        <v>7</v>
      </c>
      <c r="C6" s="62">
        <f>GETPIVOTDATA("姓名",$A$35,"业务技术线组长","徐慧鹏","技能组","共享服务-验收")</f>
        <v>8</v>
      </c>
      <c r="D6" s="62">
        <f t="shared" si="1"/>
        <v>5</v>
      </c>
      <c r="E6" s="62">
        <f t="shared" si="0"/>
        <v>2</v>
      </c>
      <c r="F6" s="62"/>
      <c r="G6" s="62">
        <v>6</v>
      </c>
      <c r="H6" s="62"/>
      <c r="I6" s="62">
        <v>3</v>
      </c>
      <c r="J6" s="62">
        <v>3</v>
      </c>
      <c r="K6" s="71">
        <f>5+1</f>
        <v>6</v>
      </c>
      <c r="L6" s="72" t="s">
        <v>19</v>
      </c>
      <c r="M6" s="70">
        <v>5</v>
      </c>
      <c r="N6" s="70" t="s">
        <v>20</v>
      </c>
    </row>
    <row r="7" spans="1:14" ht="17.25" x14ac:dyDescent="0.15">
      <c r="A7" s="63" t="s">
        <v>19</v>
      </c>
      <c r="B7" s="63">
        <v>9</v>
      </c>
      <c r="C7" s="63">
        <f>GETPIVOTDATA("姓名",$A$35,"业务技术线组长","徐慧鹏","技能组","共享服务")</f>
        <v>12</v>
      </c>
      <c r="D7" s="63">
        <f t="shared" si="1"/>
        <v>3</v>
      </c>
      <c r="E7" s="62">
        <f t="shared" si="0"/>
        <v>3</v>
      </c>
      <c r="F7" s="62"/>
      <c r="G7" s="63">
        <v>9</v>
      </c>
      <c r="H7" s="63"/>
      <c r="I7" s="63">
        <v>9</v>
      </c>
      <c r="J7" s="63">
        <v>8</v>
      </c>
      <c r="K7" s="71">
        <f>6+2</f>
        <v>8</v>
      </c>
      <c r="L7" s="72" t="s">
        <v>11</v>
      </c>
      <c r="M7" s="70">
        <v>7</v>
      </c>
      <c r="N7" s="70" t="s">
        <v>21</v>
      </c>
    </row>
    <row r="8" spans="1:14" ht="17.25" x14ac:dyDescent="0.15">
      <c r="A8" s="62" t="s">
        <v>22</v>
      </c>
      <c r="B8" s="62">
        <v>8</v>
      </c>
      <c r="C8" s="62">
        <f>GETPIVOTDATA("姓名",$A$35,"业务技术线组长","顾静洁","技能组","通用功能-验收")</f>
        <v>6</v>
      </c>
      <c r="D8" s="62">
        <f t="shared" si="1"/>
        <v>2</v>
      </c>
      <c r="E8" s="62">
        <f t="shared" si="0"/>
        <v>1</v>
      </c>
      <c r="F8" s="62"/>
      <c r="G8" s="62">
        <v>5</v>
      </c>
      <c r="H8" s="62"/>
      <c r="I8" s="62">
        <v>4</v>
      </c>
      <c r="J8" s="62">
        <v>2</v>
      </c>
      <c r="K8" s="71"/>
      <c r="L8" s="61"/>
      <c r="N8" s="70" t="s">
        <v>23</v>
      </c>
    </row>
    <row r="9" spans="1:14" ht="17.25" x14ac:dyDescent="0.15">
      <c r="A9" s="63" t="s">
        <v>12</v>
      </c>
      <c r="B9" s="63">
        <f>9-GETPIVOTDATA("姓名",$E$33,"新业务技术条线组长（仅统计)","顾静洁-版本")</f>
        <v>7</v>
      </c>
      <c r="C9" s="63">
        <f>GETPIVOTDATA("姓名",$A$35,"业务技术线组长","顾静洁","技能组","通用功能")</f>
        <v>8</v>
      </c>
      <c r="D9" s="63">
        <f t="shared" si="1"/>
        <v>4</v>
      </c>
      <c r="E9" s="62">
        <f t="shared" si="0"/>
        <v>2</v>
      </c>
      <c r="F9" s="62"/>
      <c r="G9" s="63">
        <v>6</v>
      </c>
      <c r="H9" s="63">
        <v>2</v>
      </c>
      <c r="I9" s="63">
        <f>6-GETPIVOTDATA("姓名",$E$33,"新业务技术条线组长（仅统计)","顾静洁-版本")</f>
        <v>4</v>
      </c>
      <c r="J9" s="63">
        <v>4</v>
      </c>
      <c r="K9" s="71"/>
      <c r="L9" s="73"/>
    </row>
    <row r="10" spans="1:14" ht="17.25" x14ac:dyDescent="0.15">
      <c r="A10" s="62" t="s">
        <v>24</v>
      </c>
      <c r="B10" s="62">
        <v>2</v>
      </c>
      <c r="C10" s="62">
        <f>GETPIVOTDATA("姓名",$A$35,"业务技术线组长","李晶雯","技能组","数据分析-验收")</f>
        <v>4</v>
      </c>
      <c r="D10" s="62">
        <f t="shared" si="1"/>
        <v>3</v>
      </c>
      <c r="E10" s="62">
        <f t="shared" si="0"/>
        <v>0</v>
      </c>
      <c r="F10" s="62"/>
      <c r="G10" s="62">
        <v>4</v>
      </c>
      <c r="H10" s="62"/>
      <c r="I10" s="62">
        <v>1</v>
      </c>
      <c r="J10" s="62">
        <v>4</v>
      </c>
      <c r="K10" s="71">
        <v>26</v>
      </c>
      <c r="L10" s="73" t="s">
        <v>950</v>
      </c>
    </row>
    <row r="11" spans="1:14" ht="17.25" x14ac:dyDescent="0.15">
      <c r="A11" s="63" t="s">
        <v>15</v>
      </c>
      <c r="B11" s="63">
        <v>6</v>
      </c>
      <c r="C11" s="63">
        <f>GETPIVOTDATA("姓名",$A$35,"业务技术线组长","李晶雯","技能组","数据分析")</f>
        <v>7</v>
      </c>
      <c r="D11" s="63">
        <f t="shared" si="1"/>
        <v>2</v>
      </c>
      <c r="E11" s="62">
        <f t="shared" si="0"/>
        <v>1</v>
      </c>
      <c r="F11" s="62"/>
      <c r="G11" s="63">
        <v>6</v>
      </c>
      <c r="H11" s="63"/>
      <c r="I11" s="63">
        <v>5</v>
      </c>
      <c r="J11" s="63"/>
      <c r="K11" s="71">
        <v>113</v>
      </c>
      <c r="L11" s="73" t="s">
        <v>951</v>
      </c>
    </row>
    <row r="12" spans="1:14" ht="17.25" x14ac:dyDescent="0.15">
      <c r="A12" s="62" t="s">
        <v>25</v>
      </c>
      <c r="B12" s="62">
        <f>10-GETPIVOTDATA("姓名",$E$33,"新业务技术条线组长（仅统计)","李戬-项目")</f>
        <v>9</v>
      </c>
      <c r="C12" s="62">
        <f>GETPIVOTDATA("姓名",$A$35,"业务技术线组长","李戬")</f>
        <v>11</v>
      </c>
      <c r="D12" s="62">
        <f t="shared" si="1"/>
        <v>3</v>
      </c>
      <c r="E12" s="62">
        <f t="shared" si="0"/>
        <v>3</v>
      </c>
      <c r="F12" s="62"/>
      <c r="G12" s="62">
        <v>8</v>
      </c>
      <c r="H12" s="62">
        <v>1</v>
      </c>
      <c r="I12" s="62">
        <f>9-GETPIVOTDATA("姓名",$E$33,"新业务技术条线组长（仅统计)","李戬-项目")</f>
        <v>8</v>
      </c>
      <c r="J12" s="62">
        <v>8</v>
      </c>
      <c r="K12" s="71">
        <v>1</v>
      </c>
      <c r="L12" s="73" t="s">
        <v>952</v>
      </c>
    </row>
    <row r="13" spans="1:14" ht="17.25" x14ac:dyDescent="0.15">
      <c r="A13" s="63" t="s">
        <v>26</v>
      </c>
      <c r="B13" s="63">
        <f>18-GETPIVOTDATA("姓名",$E$33,"新业务技术条线组长（仅统计)","申冬东-项目")</f>
        <v>16</v>
      </c>
      <c r="C13" s="63">
        <f>GETPIVOTDATA("姓名",$A$35,"业务技术线组长","申冬东")</f>
        <v>16</v>
      </c>
      <c r="D13" s="63">
        <f t="shared" si="1"/>
        <v>4</v>
      </c>
      <c r="E13" s="62">
        <f t="shared" si="0"/>
        <v>2</v>
      </c>
      <c r="F13" s="62"/>
      <c r="G13" s="63">
        <v>14</v>
      </c>
      <c r="H13" s="63">
        <v>2</v>
      </c>
      <c r="I13" s="63">
        <f>14-GETPIVOTDATA("姓名",$E$33,"新业务技术条线组长（仅统计)","申冬东-项目")</f>
        <v>12</v>
      </c>
      <c r="J13" s="63">
        <v>14</v>
      </c>
      <c r="K13" s="71">
        <v>40</v>
      </c>
      <c r="L13" s="73" t="s">
        <v>953</v>
      </c>
    </row>
    <row r="14" spans="1:14" ht="17.25" x14ac:dyDescent="0.15">
      <c r="A14" s="62" t="s">
        <v>27</v>
      </c>
      <c r="B14" s="62">
        <f>22-GETPIVOTDATA("姓名",$E$33,"新业务技术条线组长（仅统计)","张洋弘-版本")-GETPIVOTDATA("姓名",$E$33,"新业务技术条线组长（仅统计)","张洋弘-项目")</f>
        <v>15</v>
      </c>
      <c r="C14" s="62">
        <f>GETPIVOTDATA("姓名",$A$35,"业务技术线组长","张洋弘")</f>
        <v>21</v>
      </c>
      <c r="D14" s="62">
        <f t="shared" si="1"/>
        <v>10</v>
      </c>
      <c r="E14" s="62">
        <f t="shared" si="0"/>
        <v>6</v>
      </c>
      <c r="F14" s="62"/>
      <c r="G14" s="62">
        <v>15</v>
      </c>
      <c r="H14" s="62">
        <v>7</v>
      </c>
      <c r="I14" s="62">
        <f>18-GETPIVOTDATA("姓名",$E$33,"新业务技术条线组长（仅统计)","张洋弘-版本")-GETPIVOTDATA("姓名",$E$33,"新业务技术条线组长（仅统计)","张洋弘-项目")</f>
        <v>11</v>
      </c>
      <c r="J14" s="62">
        <v>13</v>
      </c>
      <c r="K14" s="71"/>
      <c r="L14" s="73"/>
      <c r="M14" s="74"/>
    </row>
    <row r="15" spans="1:14" ht="17.25" x14ac:dyDescent="0.15">
      <c r="A15" s="63" t="s">
        <v>28</v>
      </c>
      <c r="B15" s="63">
        <f>23-GETPIVOTDATA("姓名",$E$33,"新业务技术条线组长（仅统计)","赵攀-版本")-GETPIVOTDATA("姓名",$E$33,"新业务技术条线组长（仅统计)","赵攀-项目")</f>
        <v>19</v>
      </c>
      <c r="C15" s="63">
        <f>GETPIVOTDATA("姓名",$A$35,"业务技术线组长","赵攀")</f>
        <v>21</v>
      </c>
      <c r="D15" s="63">
        <f t="shared" si="1"/>
        <v>5</v>
      </c>
      <c r="E15" s="62">
        <f t="shared" si="0"/>
        <v>4</v>
      </c>
      <c r="F15" s="62"/>
      <c r="G15" s="63">
        <v>17</v>
      </c>
      <c r="H15" s="63">
        <v>4</v>
      </c>
      <c r="I15" s="63">
        <f>20-GETPIVOTDATA("姓名",$E$33,"新业务技术条线组长（仅统计)","赵攀-版本")-GETPIVOTDATA("姓名",$E$33,"新业务技术条线组长（仅统计)","赵攀-项目")</f>
        <v>16</v>
      </c>
      <c r="J15" s="63">
        <v>15</v>
      </c>
      <c r="K15" s="71">
        <v>22</v>
      </c>
      <c r="L15" s="73"/>
      <c r="M15" s="74"/>
    </row>
    <row r="16" spans="1:14" ht="17.25" x14ac:dyDescent="0.15">
      <c r="A16" s="62" t="s">
        <v>29</v>
      </c>
      <c r="B16" s="62">
        <f>25-GETPIVOTDATA("姓名",$E$33,"新业务技术条线组长（仅统计)","周德乐-项目")</f>
        <v>24</v>
      </c>
      <c r="C16" s="62">
        <f>GETPIVOTDATA("姓名",$A$35,"业务技术线组长","周德乐")</f>
        <v>25</v>
      </c>
      <c r="D16" s="62">
        <f t="shared" si="1"/>
        <v>7</v>
      </c>
      <c r="E16" s="62">
        <f t="shared" si="0"/>
        <v>5</v>
      </c>
      <c r="F16" s="62"/>
      <c r="G16" s="62">
        <v>20</v>
      </c>
      <c r="H16" s="62">
        <v>1</v>
      </c>
      <c r="I16" s="62">
        <f>19-GETPIVOTDATA("姓名",$E$33,"新业务技术条线组长（仅统计)","周德乐-项目")</f>
        <v>18</v>
      </c>
      <c r="J16" s="62">
        <v>17</v>
      </c>
      <c r="K16" s="71">
        <v>158</v>
      </c>
      <c r="L16" s="73"/>
    </row>
    <row r="17" spans="1:12" ht="16.5" x14ac:dyDescent="0.15">
      <c r="A17" s="62" t="s">
        <v>30</v>
      </c>
      <c r="B17" s="62">
        <v>24</v>
      </c>
      <c r="C17" s="62">
        <f>GETPIVOTDATA("姓名",$A$35,"业务技术线组长","陈启明")</f>
        <v>22</v>
      </c>
      <c r="D17" s="62">
        <f t="shared" si="1"/>
        <v>5</v>
      </c>
      <c r="E17" s="62">
        <f t="shared" si="0"/>
        <v>3</v>
      </c>
      <c r="F17" s="62"/>
      <c r="G17" s="62">
        <v>19</v>
      </c>
      <c r="H17" s="62"/>
      <c r="I17" s="62">
        <v>17</v>
      </c>
      <c r="J17" s="62">
        <v>5</v>
      </c>
      <c r="L17" s="61"/>
    </row>
    <row r="18" spans="1:12" ht="16.5" x14ac:dyDescent="0.15">
      <c r="A18" s="62" t="s">
        <v>31</v>
      </c>
      <c r="B18" s="62">
        <v>2</v>
      </c>
      <c r="C18" s="62">
        <v>0</v>
      </c>
      <c r="D18" s="62">
        <f t="shared" si="1"/>
        <v>0</v>
      </c>
      <c r="E18" s="62">
        <f t="shared" si="0"/>
        <v>0</v>
      </c>
      <c r="F18" s="62"/>
      <c r="G18" s="62"/>
      <c r="H18" s="62"/>
      <c r="I18" s="62"/>
      <c r="J18" s="62"/>
      <c r="L18" s="61"/>
    </row>
    <row r="19" spans="1:12" ht="16.5" x14ac:dyDescent="0.15">
      <c r="A19" s="62" t="s">
        <v>32</v>
      </c>
      <c r="B19" s="62">
        <v>3</v>
      </c>
      <c r="C19" s="62">
        <f>GETPIVOTDATA("姓名",$A$35,"业务技术线组长","顾静洁","技能组","支持-QA")</f>
        <v>2</v>
      </c>
      <c r="D19" s="62">
        <f t="shared" si="1"/>
        <v>1</v>
      </c>
      <c r="E19" s="62">
        <f t="shared" si="0"/>
        <v>1</v>
      </c>
      <c r="F19" s="62"/>
      <c r="G19" s="62">
        <v>1</v>
      </c>
      <c r="H19" s="62"/>
      <c r="I19" s="62">
        <v>1</v>
      </c>
      <c r="J19" s="62">
        <v>1</v>
      </c>
      <c r="L19" s="61"/>
    </row>
    <row r="20" spans="1:12" ht="16.5" x14ac:dyDescent="0.15">
      <c r="A20" s="62" t="s">
        <v>33</v>
      </c>
      <c r="B20" s="62">
        <f>SUM(B2:B19)</f>
        <v>184</v>
      </c>
      <c r="C20" s="62">
        <f>SUM(C2:C19)</f>
        <v>204</v>
      </c>
      <c r="D20" s="62"/>
      <c r="E20" s="62"/>
      <c r="F20" s="62"/>
      <c r="G20" s="62"/>
      <c r="H20" s="62"/>
      <c r="I20" s="62">
        <f>SUM(I2:I19)</f>
        <v>139</v>
      </c>
      <c r="J20" s="62">
        <f>SUM(J2:J19)</f>
        <v>120</v>
      </c>
      <c r="L20" s="61"/>
    </row>
    <row r="21" spans="1:12" ht="16.5" x14ac:dyDescent="0.15">
      <c r="A21" s="65" t="s">
        <v>34</v>
      </c>
      <c r="B21" s="65">
        <f>GETPIVOTDATA("姓名",$E$33,"新业务技术条线组长（仅统计)","顾静洁-版本")+GETPIVOTDATA("姓名",$E$33,"新业务技术条线组长（仅统计)","刘倩-版本")+GETPIVOTDATA("姓名",$E$33,"新业务技术条线组长（仅统计)","郑安如-版本")+GETPIVOTDATA("姓名",$E$33,"新业务技术条线组长（仅统计)","张洋弘-版本")+GETPIVOTDATA("姓名",$E$33,"新业务技术条线组长（仅统计)","赵攀-版本")</f>
        <v>11</v>
      </c>
      <c r="C21" s="65"/>
      <c r="D21" s="65"/>
      <c r="E21" s="65"/>
      <c r="F21" s="65"/>
      <c r="G21" s="65">
        <v>10</v>
      </c>
      <c r="H21" s="65"/>
      <c r="I21" s="65">
        <v>10</v>
      </c>
      <c r="J21" s="65"/>
    </row>
    <row r="22" spans="1:12" ht="16.5" x14ac:dyDescent="0.15">
      <c r="A22" s="65" t="s">
        <v>35</v>
      </c>
      <c r="B22" s="65">
        <f>GETPIVOTDATA("姓名",$E$33,"新业务技术条线组长（仅统计)","张洋弘-项目")+GETPIVOTDATA("姓名",$E$33,"新业务技术条线组长（仅统计)","赵攀-项目")+GETPIVOTDATA("姓名",$E$33,"新业务技术条线组长（仅统计)","申冬东-项目")+GETPIVOTDATA("姓名",$E$33,"新业务技术条线组长（仅统计)","周德乐-项目")+GETPIVOTDATA("姓名",$E$33,"新业务技术条线组长（仅统计)","李戬-项目")</f>
        <v>10</v>
      </c>
      <c r="C22" s="65"/>
      <c r="D22" s="65"/>
      <c r="E22" s="65"/>
      <c r="F22" s="65"/>
      <c r="G22" s="65">
        <v>10</v>
      </c>
      <c r="H22" s="65"/>
      <c r="I22" s="65">
        <v>10</v>
      </c>
      <c r="J22" s="65"/>
    </row>
    <row r="23" spans="1:12" ht="7.5" customHeight="1" x14ac:dyDescent="0.15">
      <c r="A23" s="66"/>
      <c r="B23" s="66"/>
      <c r="C23" s="66"/>
      <c r="D23" s="66"/>
      <c r="E23" s="66"/>
      <c r="F23" s="66"/>
      <c r="G23" s="66"/>
      <c r="H23" s="66"/>
      <c r="I23" s="66"/>
      <c r="J23" s="66"/>
    </row>
    <row r="24" spans="1:12" ht="16.5" x14ac:dyDescent="0.15">
      <c r="A24" s="62" t="s">
        <v>36</v>
      </c>
      <c r="B24" s="62">
        <v>147</v>
      </c>
      <c r="C24" s="62">
        <f>C20-C25-C26</f>
        <v>148</v>
      </c>
      <c r="D24" s="67"/>
      <c r="E24" s="67"/>
      <c r="F24" s="67"/>
      <c r="G24" s="68">
        <v>125</v>
      </c>
      <c r="H24" s="67"/>
      <c r="I24" s="62">
        <f>I20-I25-I26</f>
        <v>103</v>
      </c>
      <c r="J24" s="62">
        <f>J20-J25-J26</f>
        <v>98</v>
      </c>
    </row>
    <row r="25" spans="1:12" ht="16.5" x14ac:dyDescent="0.15">
      <c r="A25" s="62" t="s">
        <v>37</v>
      </c>
      <c r="B25" s="62">
        <v>25</v>
      </c>
      <c r="C25" s="62">
        <f>C17</f>
        <v>22</v>
      </c>
      <c r="D25" s="62">
        <v>3</v>
      </c>
      <c r="E25" s="62"/>
      <c r="F25" s="62"/>
      <c r="G25" s="62">
        <f>G17</f>
        <v>19</v>
      </c>
      <c r="H25" s="62"/>
      <c r="I25" s="62">
        <f>I17</f>
        <v>17</v>
      </c>
      <c r="J25" s="62">
        <f>J17</f>
        <v>5</v>
      </c>
    </row>
    <row r="26" spans="1:12" ht="16.5" x14ac:dyDescent="0.15">
      <c r="A26" s="62" t="s">
        <v>38</v>
      </c>
      <c r="B26" s="62">
        <v>33</v>
      </c>
      <c r="C26" s="62">
        <f>C2+C4+C6+C8+C10</f>
        <v>34</v>
      </c>
      <c r="D26" s="62">
        <v>6</v>
      </c>
      <c r="E26" s="62"/>
      <c r="F26" s="62"/>
      <c r="G26" s="62">
        <f>G2+G4+G6+G8+G10</f>
        <v>26</v>
      </c>
      <c r="H26" s="62"/>
      <c r="I26" s="62">
        <f>I2+I4+I6+I8+I10</f>
        <v>19</v>
      </c>
      <c r="J26" s="62">
        <f>J2+J4+J6+J8+J10</f>
        <v>17</v>
      </c>
    </row>
    <row r="27" spans="1:12" ht="16.5" x14ac:dyDescent="0.15">
      <c r="A27" s="65" t="s">
        <v>34</v>
      </c>
      <c r="B27" s="62"/>
      <c r="C27" s="62"/>
      <c r="D27" s="62"/>
      <c r="E27" s="62"/>
      <c r="F27" s="62"/>
      <c r="G27" s="62">
        <v>10</v>
      </c>
      <c r="H27" s="62"/>
      <c r="I27" s="62"/>
      <c r="J27" s="62"/>
    </row>
    <row r="28" spans="1:12" ht="16.5" x14ac:dyDescent="0.15">
      <c r="A28" s="65" t="s">
        <v>35</v>
      </c>
      <c r="B28" s="62"/>
      <c r="C28" s="62"/>
      <c r="D28" s="62"/>
      <c r="E28" s="62"/>
      <c r="F28" s="62"/>
      <c r="G28" s="62">
        <v>10</v>
      </c>
      <c r="H28" s="62"/>
      <c r="I28" s="62"/>
      <c r="J28" s="62"/>
    </row>
    <row r="33" spans="1:9" x14ac:dyDescent="0.15">
      <c r="A33" s="76" t="s">
        <v>39</v>
      </c>
      <c r="B33" t="s">
        <v>40</v>
      </c>
      <c r="E33" s="76" t="s">
        <v>41</v>
      </c>
      <c r="F33" t="s">
        <v>42</v>
      </c>
      <c r="H33"/>
      <c r="I33"/>
    </row>
    <row r="34" spans="1:9" x14ac:dyDescent="0.15">
      <c r="E34" s="54" t="s">
        <v>43</v>
      </c>
      <c r="F34" s="13">
        <v>2</v>
      </c>
    </row>
    <row r="35" spans="1:9" x14ac:dyDescent="0.15">
      <c r="A35" s="76" t="s">
        <v>44</v>
      </c>
      <c r="B35" t="s">
        <v>42</v>
      </c>
      <c r="C35"/>
      <c r="E35" s="54" t="s">
        <v>45</v>
      </c>
      <c r="F35" s="13">
        <v>2</v>
      </c>
      <c r="H35"/>
      <c r="I35"/>
    </row>
    <row r="36" spans="1:9" x14ac:dyDescent="0.15">
      <c r="A36" s="54" t="s">
        <v>30</v>
      </c>
      <c r="B36" s="13">
        <v>22</v>
      </c>
      <c r="C36"/>
      <c r="E36" s="54" t="s">
        <v>46</v>
      </c>
      <c r="F36" s="13">
        <v>2</v>
      </c>
      <c r="H36"/>
      <c r="I36"/>
    </row>
    <row r="37" spans="1:9" x14ac:dyDescent="0.15">
      <c r="A37" s="55" t="s">
        <v>62</v>
      </c>
      <c r="B37" s="13">
        <v>9</v>
      </c>
      <c r="C37"/>
      <c r="E37" s="54" t="s">
        <v>47</v>
      </c>
      <c r="F37" s="13">
        <v>4</v>
      </c>
      <c r="H37"/>
      <c r="I37"/>
    </row>
    <row r="38" spans="1:9" x14ac:dyDescent="0.15">
      <c r="A38" s="55" t="s">
        <v>981</v>
      </c>
      <c r="B38" s="13">
        <v>11</v>
      </c>
      <c r="C38"/>
      <c r="E38" s="54" t="s">
        <v>48</v>
      </c>
      <c r="F38" s="13">
        <v>1</v>
      </c>
      <c r="H38"/>
      <c r="I38"/>
    </row>
    <row r="39" spans="1:9" x14ac:dyDescent="0.15">
      <c r="A39" s="55" t="s">
        <v>983</v>
      </c>
      <c r="B39" s="13">
        <v>2</v>
      </c>
      <c r="C39"/>
      <c r="E39" s="54" t="s">
        <v>49</v>
      </c>
      <c r="F39" s="13">
        <v>3</v>
      </c>
      <c r="H39"/>
      <c r="I39"/>
    </row>
    <row r="40" spans="1:9" x14ac:dyDescent="0.15">
      <c r="A40" s="54" t="s">
        <v>12</v>
      </c>
      <c r="B40" s="13">
        <v>16</v>
      </c>
      <c r="C40"/>
      <c r="E40" s="54" t="s">
        <v>51</v>
      </c>
      <c r="F40" s="13">
        <v>3</v>
      </c>
      <c r="H40"/>
      <c r="I40"/>
    </row>
    <row r="41" spans="1:9" x14ac:dyDescent="0.15">
      <c r="A41" s="55" t="s">
        <v>54</v>
      </c>
      <c r="B41" s="13">
        <v>8</v>
      </c>
      <c r="C41"/>
      <c r="E41" s="54" t="s">
        <v>52</v>
      </c>
      <c r="F41" s="13">
        <v>2</v>
      </c>
      <c r="H41"/>
      <c r="I41"/>
    </row>
    <row r="42" spans="1:9" x14ac:dyDescent="0.15">
      <c r="A42" s="55" t="s">
        <v>56</v>
      </c>
      <c r="B42" s="13">
        <v>6</v>
      </c>
      <c r="C42"/>
      <c r="E42" s="54" t="s">
        <v>53</v>
      </c>
      <c r="F42" s="13">
        <v>1</v>
      </c>
      <c r="H42"/>
      <c r="I42"/>
    </row>
    <row r="43" spans="1:9" x14ac:dyDescent="0.15">
      <c r="A43" s="55" t="s">
        <v>58</v>
      </c>
      <c r="B43" s="13">
        <v>2</v>
      </c>
      <c r="C43"/>
      <c r="E43" s="54" t="s">
        <v>55</v>
      </c>
      <c r="F43" s="13">
        <v>1</v>
      </c>
      <c r="H43"/>
      <c r="I43"/>
    </row>
    <row r="44" spans="1:9" x14ac:dyDescent="0.15">
      <c r="A44" s="54" t="s">
        <v>25</v>
      </c>
      <c r="B44" s="13">
        <v>11</v>
      </c>
      <c r="C44"/>
      <c r="E44" s="54" t="s">
        <v>57</v>
      </c>
      <c r="F44" s="13">
        <v>21</v>
      </c>
      <c r="H44"/>
      <c r="I44"/>
    </row>
    <row r="45" spans="1:9" x14ac:dyDescent="0.15">
      <c r="A45" s="55" t="s">
        <v>59</v>
      </c>
      <c r="B45" s="13">
        <v>1</v>
      </c>
      <c r="C45"/>
      <c r="H45"/>
      <c r="I45"/>
    </row>
    <row r="46" spans="1:9" x14ac:dyDescent="0.15">
      <c r="A46" s="55" t="s">
        <v>60</v>
      </c>
      <c r="B46" s="13">
        <v>3</v>
      </c>
      <c r="C46"/>
      <c r="H46"/>
      <c r="I46"/>
    </row>
    <row r="47" spans="1:9" x14ac:dyDescent="0.15">
      <c r="A47" s="55" t="s">
        <v>61</v>
      </c>
      <c r="B47" s="13">
        <v>4</v>
      </c>
      <c r="C47"/>
      <c r="H47"/>
      <c r="I47"/>
    </row>
    <row r="48" spans="1:9" x14ac:dyDescent="0.15">
      <c r="A48" s="55" t="s">
        <v>62</v>
      </c>
      <c r="B48" s="13">
        <v>1</v>
      </c>
      <c r="C48"/>
      <c r="H48"/>
      <c r="I48"/>
    </row>
    <row r="49" spans="1:9" x14ac:dyDescent="0.15">
      <c r="A49" s="55" t="s">
        <v>63</v>
      </c>
      <c r="B49" s="13">
        <v>2</v>
      </c>
      <c r="C49"/>
      <c r="H49"/>
      <c r="I49"/>
    </row>
    <row r="50" spans="1:9" x14ac:dyDescent="0.15">
      <c r="A50" s="54" t="s">
        <v>15</v>
      </c>
      <c r="B50" s="13">
        <v>11</v>
      </c>
      <c r="C50"/>
      <c r="H50"/>
      <c r="I50"/>
    </row>
    <row r="51" spans="1:9" x14ac:dyDescent="0.15">
      <c r="A51" s="55" t="s">
        <v>63</v>
      </c>
      <c r="B51" s="13">
        <v>7</v>
      </c>
      <c r="C51"/>
      <c r="H51"/>
      <c r="I51"/>
    </row>
    <row r="52" spans="1:9" x14ac:dyDescent="0.15">
      <c r="A52" s="55" t="s">
        <v>64</v>
      </c>
      <c r="B52" s="13">
        <v>4</v>
      </c>
      <c r="C52"/>
      <c r="H52"/>
      <c r="I52"/>
    </row>
    <row r="53" spans="1:9" x14ac:dyDescent="0.15">
      <c r="A53" s="54" t="s">
        <v>16</v>
      </c>
      <c r="B53" s="13">
        <v>19</v>
      </c>
      <c r="H53"/>
      <c r="I53"/>
    </row>
    <row r="54" spans="1:9" x14ac:dyDescent="0.15">
      <c r="A54" s="55" t="s">
        <v>65</v>
      </c>
      <c r="B54" s="13">
        <v>12</v>
      </c>
      <c r="H54"/>
      <c r="I54"/>
    </row>
    <row r="55" spans="1:9" x14ac:dyDescent="0.15">
      <c r="A55" s="55" t="s">
        <v>66</v>
      </c>
      <c r="B55" s="13">
        <v>7</v>
      </c>
      <c r="H55"/>
      <c r="I55"/>
    </row>
    <row r="56" spans="1:9" x14ac:dyDescent="0.15">
      <c r="A56" s="54" t="s">
        <v>26</v>
      </c>
      <c r="B56" s="13">
        <v>16</v>
      </c>
      <c r="H56"/>
      <c r="I56"/>
    </row>
    <row r="57" spans="1:9" x14ac:dyDescent="0.15">
      <c r="A57" s="55" t="s">
        <v>59</v>
      </c>
      <c r="B57" s="13">
        <v>7</v>
      </c>
      <c r="H57"/>
      <c r="I57"/>
    </row>
    <row r="58" spans="1:9" x14ac:dyDescent="0.15">
      <c r="A58" s="55" t="s">
        <v>60</v>
      </c>
      <c r="B58" s="13">
        <v>2</v>
      </c>
      <c r="H58"/>
      <c r="I58"/>
    </row>
    <row r="59" spans="1:9" x14ac:dyDescent="0.15">
      <c r="A59" s="55" t="s">
        <v>61</v>
      </c>
      <c r="B59" s="13">
        <v>5</v>
      </c>
      <c r="H59"/>
      <c r="I59"/>
    </row>
    <row r="60" spans="1:9" x14ac:dyDescent="0.15">
      <c r="A60" s="55" t="s">
        <v>62</v>
      </c>
      <c r="B60" s="13">
        <v>2</v>
      </c>
      <c r="H60"/>
      <c r="I60"/>
    </row>
    <row r="61" spans="1:9" x14ac:dyDescent="0.15">
      <c r="A61" s="54" t="s">
        <v>19</v>
      </c>
      <c r="B61" s="13">
        <v>20</v>
      </c>
      <c r="H61"/>
      <c r="I61"/>
    </row>
    <row r="62" spans="1:9" x14ac:dyDescent="0.15">
      <c r="A62" s="55" t="s">
        <v>67</v>
      </c>
      <c r="B62" s="13">
        <v>12</v>
      </c>
      <c r="H62"/>
      <c r="I62"/>
    </row>
    <row r="63" spans="1:9" x14ac:dyDescent="0.15">
      <c r="A63" s="55" t="s">
        <v>68</v>
      </c>
      <c r="B63" s="13">
        <v>8</v>
      </c>
      <c r="H63"/>
      <c r="I63"/>
    </row>
    <row r="64" spans="1:9" x14ac:dyDescent="0.15">
      <c r="A64" s="54" t="s">
        <v>27</v>
      </c>
      <c r="B64" s="13">
        <v>21</v>
      </c>
      <c r="H64"/>
      <c r="I64"/>
    </row>
    <row r="65" spans="1:9" x14ac:dyDescent="0.15">
      <c r="A65" s="55" t="s">
        <v>61</v>
      </c>
      <c r="B65" s="13">
        <v>6</v>
      </c>
      <c r="H65"/>
      <c r="I65"/>
    </row>
    <row r="66" spans="1:9" x14ac:dyDescent="0.15">
      <c r="A66" s="55" t="s">
        <v>62</v>
      </c>
      <c r="B66" s="13">
        <v>15</v>
      </c>
      <c r="H66"/>
      <c r="I66"/>
    </row>
    <row r="67" spans="1:9" x14ac:dyDescent="0.15">
      <c r="A67" s="54" t="s">
        <v>28</v>
      </c>
      <c r="B67" s="13">
        <v>21</v>
      </c>
      <c r="H67"/>
      <c r="I67"/>
    </row>
    <row r="68" spans="1:9" x14ac:dyDescent="0.15">
      <c r="A68" s="55" t="s">
        <v>61</v>
      </c>
      <c r="B68" s="13">
        <v>2</v>
      </c>
      <c r="H68"/>
      <c r="I68"/>
    </row>
    <row r="69" spans="1:9" x14ac:dyDescent="0.15">
      <c r="A69" s="55" t="s">
        <v>62</v>
      </c>
      <c r="B69" s="13">
        <v>19</v>
      </c>
      <c r="H69"/>
      <c r="I69"/>
    </row>
    <row r="70" spans="1:9" x14ac:dyDescent="0.15">
      <c r="A70" s="54" t="s">
        <v>11</v>
      </c>
      <c r="B70" s="13">
        <v>22</v>
      </c>
      <c r="H70"/>
      <c r="I70"/>
    </row>
    <row r="71" spans="1:9" x14ac:dyDescent="0.15">
      <c r="A71" s="55" t="s">
        <v>69</v>
      </c>
      <c r="B71" s="13">
        <v>13</v>
      </c>
      <c r="H71"/>
      <c r="I71"/>
    </row>
    <row r="72" spans="1:9" x14ac:dyDescent="0.15">
      <c r="A72" s="55" t="s">
        <v>70</v>
      </c>
      <c r="B72" s="13">
        <v>9</v>
      </c>
      <c r="H72"/>
      <c r="I72"/>
    </row>
    <row r="73" spans="1:9" x14ac:dyDescent="0.15">
      <c r="A73" s="54" t="s">
        <v>29</v>
      </c>
      <c r="B73" s="13">
        <v>25</v>
      </c>
      <c r="H73"/>
      <c r="I73"/>
    </row>
    <row r="74" spans="1:9" x14ac:dyDescent="0.15">
      <c r="A74" s="55" t="s">
        <v>71</v>
      </c>
      <c r="B74" s="13">
        <v>25</v>
      </c>
      <c r="H74"/>
      <c r="I74"/>
    </row>
    <row r="75" spans="1:9" x14ac:dyDescent="0.15">
      <c r="A75" s="54" t="s">
        <v>72</v>
      </c>
      <c r="B75" s="13"/>
      <c r="H75"/>
      <c r="I75"/>
    </row>
    <row r="76" spans="1:9" x14ac:dyDescent="0.15">
      <c r="A76" s="55" t="s">
        <v>72</v>
      </c>
      <c r="B76" s="13"/>
      <c r="H76"/>
      <c r="I76"/>
    </row>
    <row r="77" spans="1:9" x14ac:dyDescent="0.15">
      <c r="A77" s="54" t="s">
        <v>57</v>
      </c>
      <c r="B77" s="13">
        <v>204</v>
      </c>
      <c r="H77"/>
      <c r="I77"/>
    </row>
    <row r="78" spans="1:9" x14ac:dyDescent="0.15">
      <c r="A78"/>
      <c r="B78"/>
      <c r="H78"/>
      <c r="I78"/>
    </row>
    <row r="79" spans="1:9" x14ac:dyDescent="0.15">
      <c r="A79"/>
      <c r="B79"/>
      <c r="H79"/>
      <c r="I79"/>
    </row>
    <row r="80" spans="1:9" x14ac:dyDescent="0.15">
      <c r="A80" s="25" t="s">
        <v>992</v>
      </c>
      <c r="B80"/>
      <c r="H80"/>
      <c r="I80"/>
    </row>
    <row r="81" spans="1:9" x14ac:dyDescent="0.15">
      <c r="A81" s="25" t="s">
        <v>993</v>
      </c>
      <c r="B81"/>
      <c r="H81"/>
      <c r="I81"/>
    </row>
    <row r="82" spans="1:9" x14ac:dyDescent="0.15">
      <c r="A82" s="25" t="s">
        <v>994</v>
      </c>
      <c r="B82"/>
    </row>
    <row r="83" spans="1:9" x14ac:dyDescent="0.15">
      <c r="A83"/>
      <c r="B83"/>
    </row>
    <row r="84" spans="1:9" x14ac:dyDescent="0.15">
      <c r="A84"/>
      <c r="B84"/>
    </row>
    <row r="85" spans="1:9" x14ac:dyDescent="0.15">
      <c r="A85"/>
      <c r="B85"/>
    </row>
    <row r="86" spans="1:9" x14ac:dyDescent="0.15">
      <c r="A86"/>
      <c r="B86"/>
    </row>
    <row r="87" spans="1:9" x14ac:dyDescent="0.15">
      <c r="A87"/>
      <c r="B87"/>
    </row>
    <row r="88" spans="1:9" x14ac:dyDescent="0.15">
      <c r="A88"/>
      <c r="B88"/>
    </row>
    <row r="89" spans="1:9" x14ac:dyDescent="0.15">
      <c r="A89"/>
      <c r="B89"/>
    </row>
    <row r="90" spans="1:9" x14ac:dyDescent="0.15">
      <c r="A90"/>
      <c r="B90"/>
    </row>
    <row r="91" spans="1:9" x14ac:dyDescent="0.15">
      <c r="A91"/>
      <c r="B91"/>
    </row>
    <row r="92" spans="1:9" x14ac:dyDescent="0.15">
      <c r="A92"/>
      <c r="B92"/>
    </row>
    <row r="93" spans="1:9" x14ac:dyDescent="0.15">
      <c r="A93"/>
      <c r="B93"/>
    </row>
    <row r="94" spans="1:9" x14ac:dyDescent="0.15">
      <c r="A94"/>
      <c r="B94"/>
    </row>
    <row r="95" spans="1:9" x14ac:dyDescent="0.15">
      <c r="A95"/>
      <c r="B95"/>
    </row>
    <row r="96" spans="1:9" x14ac:dyDescent="0.15">
      <c r="A96"/>
      <c r="B96"/>
    </row>
    <row r="97" spans="1:2" x14ac:dyDescent="0.15">
      <c r="A97"/>
      <c r="B97"/>
    </row>
    <row r="98" spans="1:2" x14ac:dyDescent="0.15">
      <c r="A98"/>
      <c r="B98"/>
    </row>
    <row r="99" spans="1:2" x14ac:dyDescent="0.15">
      <c r="A99"/>
      <c r="B99"/>
    </row>
    <row r="100" spans="1:2" x14ac:dyDescent="0.15">
      <c r="A100"/>
      <c r="B100"/>
    </row>
    <row r="101" spans="1:2" x14ac:dyDescent="0.15">
      <c r="A101"/>
      <c r="B101"/>
    </row>
    <row r="102" spans="1:2" x14ac:dyDescent="0.15">
      <c r="A102"/>
      <c r="B102"/>
    </row>
    <row r="103" spans="1:2" x14ac:dyDescent="0.15">
      <c r="A103"/>
      <c r="B103"/>
    </row>
    <row r="104" spans="1:2" x14ac:dyDescent="0.15">
      <c r="A104"/>
      <c r="B104"/>
    </row>
    <row r="105" spans="1:2" x14ac:dyDescent="0.15">
      <c r="A105"/>
      <c r="B105"/>
    </row>
    <row r="106" spans="1:2" x14ac:dyDescent="0.15">
      <c r="A106"/>
      <c r="B106"/>
    </row>
    <row r="107" spans="1:2" x14ac:dyDescent="0.15">
      <c r="A107"/>
      <c r="B107"/>
    </row>
    <row r="108" spans="1:2" x14ac:dyDescent="0.15">
      <c r="A108"/>
      <c r="B108"/>
    </row>
    <row r="109" spans="1:2" x14ac:dyDescent="0.15">
      <c r="A109"/>
      <c r="B109"/>
    </row>
    <row r="110" spans="1:2" x14ac:dyDescent="0.15">
      <c r="A110"/>
      <c r="B110"/>
    </row>
    <row r="111" spans="1:2" x14ac:dyDescent="0.15">
      <c r="A111"/>
      <c r="B111"/>
    </row>
    <row r="112" spans="1:2" x14ac:dyDescent="0.15">
      <c r="A112"/>
      <c r="B112"/>
    </row>
    <row r="113" spans="1:2" x14ac:dyDescent="0.15">
      <c r="A113"/>
      <c r="B113"/>
    </row>
    <row r="114" spans="1:2" x14ac:dyDescent="0.15">
      <c r="A114"/>
      <c r="B114"/>
    </row>
    <row r="115" spans="1:2" x14ac:dyDescent="0.15">
      <c r="A115"/>
      <c r="B115"/>
    </row>
    <row r="116" spans="1:2" x14ac:dyDescent="0.15">
      <c r="A116"/>
      <c r="B116"/>
    </row>
    <row r="117" spans="1:2" x14ac:dyDescent="0.15">
      <c r="A117"/>
      <c r="B117"/>
    </row>
    <row r="118" spans="1:2" x14ac:dyDescent="0.15">
      <c r="A118"/>
      <c r="B118"/>
    </row>
    <row r="119" spans="1:2" x14ac:dyDescent="0.15">
      <c r="A119"/>
      <c r="B119"/>
    </row>
    <row r="120" spans="1:2" x14ac:dyDescent="0.15">
      <c r="A120"/>
      <c r="B120"/>
    </row>
    <row r="121" spans="1:2" x14ac:dyDescent="0.15">
      <c r="A121"/>
      <c r="B121"/>
    </row>
    <row r="122" spans="1:2" x14ac:dyDescent="0.15">
      <c r="A122"/>
      <c r="B122"/>
    </row>
    <row r="123" spans="1:2" x14ac:dyDescent="0.15">
      <c r="A123"/>
      <c r="B123"/>
    </row>
    <row r="124" spans="1:2" x14ac:dyDescent="0.15">
      <c r="A124"/>
      <c r="B124"/>
    </row>
    <row r="125" spans="1:2" x14ac:dyDescent="0.15">
      <c r="A125"/>
      <c r="B125"/>
    </row>
    <row r="126" spans="1:2" x14ac:dyDescent="0.15">
      <c r="A126"/>
      <c r="B126"/>
    </row>
    <row r="127" spans="1:2" x14ac:dyDescent="0.15">
      <c r="A127"/>
      <c r="B127"/>
    </row>
    <row r="128" spans="1:2" x14ac:dyDescent="0.15">
      <c r="A128"/>
      <c r="B128"/>
    </row>
    <row r="129" spans="1:2" x14ac:dyDescent="0.15">
      <c r="A129"/>
      <c r="B129"/>
    </row>
    <row r="130" spans="1:2" x14ac:dyDescent="0.15">
      <c r="A130"/>
      <c r="B130"/>
    </row>
    <row r="131" spans="1:2" x14ac:dyDescent="0.15">
      <c r="A131"/>
      <c r="B131"/>
    </row>
    <row r="132" spans="1:2" x14ac:dyDescent="0.15">
      <c r="A132"/>
      <c r="B132"/>
    </row>
    <row r="133" spans="1:2" x14ac:dyDescent="0.15">
      <c r="A133"/>
      <c r="B133"/>
    </row>
    <row r="134" spans="1:2" x14ac:dyDescent="0.15">
      <c r="A134"/>
      <c r="B134"/>
    </row>
    <row r="135" spans="1:2" x14ac:dyDescent="0.15">
      <c r="A135"/>
      <c r="B135"/>
    </row>
    <row r="136" spans="1:2" x14ac:dyDescent="0.15">
      <c r="A136"/>
      <c r="B136"/>
    </row>
    <row r="137" spans="1:2" x14ac:dyDescent="0.15">
      <c r="A137"/>
      <c r="B137"/>
    </row>
    <row r="138" spans="1:2" x14ac:dyDescent="0.15">
      <c r="A138"/>
      <c r="B138"/>
    </row>
    <row r="139" spans="1:2" x14ac:dyDescent="0.15">
      <c r="A139"/>
      <c r="B139"/>
    </row>
    <row r="140" spans="1:2" x14ac:dyDescent="0.15">
      <c r="A140"/>
      <c r="B140"/>
    </row>
    <row r="141" spans="1:2" x14ac:dyDescent="0.15">
      <c r="A141"/>
      <c r="B141"/>
    </row>
    <row r="142" spans="1:2" x14ac:dyDescent="0.15">
      <c r="A142"/>
      <c r="B142"/>
    </row>
    <row r="143" spans="1:2" x14ac:dyDescent="0.15">
      <c r="A143"/>
      <c r="B143"/>
    </row>
    <row r="144" spans="1:2" x14ac:dyDescent="0.15">
      <c r="A144"/>
      <c r="B144"/>
    </row>
    <row r="145" spans="1:2" x14ac:dyDescent="0.15">
      <c r="A145"/>
      <c r="B145"/>
    </row>
    <row r="146" spans="1:2" x14ac:dyDescent="0.15">
      <c r="A146"/>
      <c r="B146"/>
    </row>
    <row r="147" spans="1:2" x14ac:dyDescent="0.15">
      <c r="A147"/>
      <c r="B147"/>
    </row>
    <row r="148" spans="1:2" x14ac:dyDescent="0.15">
      <c r="A148"/>
      <c r="B148"/>
    </row>
    <row r="149" spans="1:2" x14ac:dyDescent="0.15">
      <c r="A149"/>
      <c r="B149"/>
    </row>
    <row r="150" spans="1:2" x14ac:dyDescent="0.15">
      <c r="A150"/>
      <c r="B150"/>
    </row>
    <row r="151" spans="1:2" x14ac:dyDescent="0.15">
      <c r="A151"/>
      <c r="B151"/>
    </row>
    <row r="152" spans="1:2" x14ac:dyDescent="0.15">
      <c r="A152"/>
      <c r="B152"/>
    </row>
    <row r="153" spans="1:2" x14ac:dyDescent="0.15">
      <c r="A153"/>
      <c r="B153"/>
    </row>
    <row r="154" spans="1:2" x14ac:dyDescent="0.15">
      <c r="A154"/>
      <c r="B154"/>
    </row>
    <row r="155" spans="1:2" x14ac:dyDescent="0.15">
      <c r="A155"/>
      <c r="B155"/>
    </row>
    <row r="156" spans="1:2" x14ac:dyDescent="0.15">
      <c r="A156"/>
      <c r="B156"/>
    </row>
    <row r="157" spans="1:2" x14ac:dyDescent="0.15">
      <c r="A157"/>
      <c r="B157"/>
    </row>
    <row r="158" spans="1:2" x14ac:dyDescent="0.15">
      <c r="A158"/>
      <c r="B158"/>
    </row>
    <row r="159" spans="1:2" x14ac:dyDescent="0.15">
      <c r="A159"/>
      <c r="B159"/>
    </row>
    <row r="160" spans="1:2" x14ac:dyDescent="0.15">
      <c r="A160"/>
      <c r="B160"/>
    </row>
    <row r="161" spans="1:2" x14ac:dyDescent="0.15">
      <c r="A161"/>
      <c r="B161"/>
    </row>
    <row r="162" spans="1:2" x14ac:dyDescent="0.15">
      <c r="A162"/>
      <c r="B162"/>
    </row>
    <row r="163" spans="1:2" x14ac:dyDescent="0.15">
      <c r="A163"/>
      <c r="B163"/>
    </row>
    <row r="164" spans="1:2" x14ac:dyDescent="0.15">
      <c r="A164"/>
      <c r="B164"/>
    </row>
    <row r="165" spans="1:2" x14ac:dyDescent="0.15">
      <c r="A165"/>
      <c r="B165"/>
    </row>
    <row r="166" spans="1:2" x14ac:dyDescent="0.15">
      <c r="A166"/>
      <c r="B166"/>
    </row>
    <row r="167" spans="1:2" x14ac:dyDescent="0.15">
      <c r="A167"/>
      <c r="B167"/>
    </row>
    <row r="168" spans="1:2" x14ac:dyDescent="0.15">
      <c r="A168"/>
      <c r="B168"/>
    </row>
    <row r="169" spans="1:2" x14ac:dyDescent="0.15">
      <c r="A169"/>
      <c r="B169"/>
    </row>
    <row r="170" spans="1:2" x14ac:dyDescent="0.15">
      <c r="A170"/>
      <c r="B170"/>
    </row>
    <row r="171" spans="1:2" x14ac:dyDescent="0.15">
      <c r="A171"/>
      <c r="B171"/>
    </row>
    <row r="172" spans="1:2" x14ac:dyDescent="0.15">
      <c r="A172"/>
      <c r="B172"/>
    </row>
    <row r="173" spans="1:2" x14ac:dyDescent="0.15">
      <c r="A173"/>
      <c r="B173"/>
    </row>
    <row r="174" spans="1:2" x14ac:dyDescent="0.15">
      <c r="A174"/>
      <c r="B174"/>
    </row>
    <row r="175" spans="1:2" x14ac:dyDescent="0.15">
      <c r="A175"/>
      <c r="B175"/>
    </row>
    <row r="176" spans="1:2" x14ac:dyDescent="0.15">
      <c r="A176"/>
      <c r="B176"/>
    </row>
    <row r="177" spans="1:2" x14ac:dyDescent="0.15">
      <c r="A177"/>
      <c r="B177"/>
    </row>
    <row r="178" spans="1:2" x14ac:dyDescent="0.15">
      <c r="A178"/>
      <c r="B178"/>
    </row>
    <row r="179" spans="1:2" x14ac:dyDescent="0.15">
      <c r="A179"/>
      <c r="B179"/>
    </row>
    <row r="180" spans="1:2" x14ac:dyDescent="0.15">
      <c r="A180"/>
      <c r="B180"/>
    </row>
    <row r="181" spans="1:2" x14ac:dyDescent="0.15">
      <c r="A181"/>
      <c r="B181"/>
    </row>
    <row r="182" spans="1:2" x14ac:dyDescent="0.15">
      <c r="A182"/>
      <c r="B182"/>
    </row>
    <row r="183" spans="1:2" x14ac:dyDescent="0.15">
      <c r="A183"/>
      <c r="B183"/>
    </row>
    <row r="184" spans="1:2" x14ac:dyDescent="0.15">
      <c r="A184"/>
      <c r="B184"/>
    </row>
    <row r="185" spans="1:2" x14ac:dyDescent="0.15">
      <c r="A185"/>
      <c r="B185"/>
    </row>
    <row r="186" spans="1:2" x14ac:dyDescent="0.15">
      <c r="A186"/>
      <c r="B186"/>
    </row>
    <row r="187" spans="1:2" x14ac:dyDescent="0.15">
      <c r="A187"/>
      <c r="B187"/>
    </row>
    <row r="188" spans="1:2" x14ac:dyDescent="0.15">
      <c r="A188"/>
      <c r="B188"/>
    </row>
    <row r="189" spans="1:2" x14ac:dyDescent="0.15">
      <c r="A189"/>
      <c r="B189"/>
    </row>
    <row r="190" spans="1:2" x14ac:dyDescent="0.15">
      <c r="A190"/>
      <c r="B190"/>
    </row>
    <row r="191" spans="1:2" x14ac:dyDescent="0.15">
      <c r="A191"/>
      <c r="B191"/>
    </row>
    <row r="192" spans="1:2" x14ac:dyDescent="0.15">
      <c r="A192"/>
      <c r="B192"/>
    </row>
    <row r="193" spans="1:2" x14ac:dyDescent="0.15">
      <c r="A193"/>
      <c r="B193"/>
    </row>
    <row r="194" spans="1:2" x14ac:dyDescent="0.15">
      <c r="A194"/>
      <c r="B194"/>
    </row>
    <row r="195" spans="1:2" x14ac:dyDescent="0.15">
      <c r="A195"/>
      <c r="B195"/>
    </row>
    <row r="196" spans="1:2" x14ac:dyDescent="0.15">
      <c r="A196"/>
      <c r="B196"/>
    </row>
    <row r="197" spans="1:2" x14ac:dyDescent="0.15">
      <c r="A197"/>
      <c r="B197"/>
    </row>
    <row r="198" spans="1:2" x14ac:dyDescent="0.15">
      <c r="A198"/>
      <c r="B198"/>
    </row>
    <row r="199" spans="1:2" x14ac:dyDescent="0.15">
      <c r="A199"/>
      <c r="B199"/>
    </row>
    <row r="200" spans="1:2" x14ac:dyDescent="0.15">
      <c r="A200"/>
      <c r="B200"/>
    </row>
    <row r="201" spans="1:2" x14ac:dyDescent="0.15">
      <c r="A201"/>
      <c r="B201"/>
    </row>
    <row r="202" spans="1:2" x14ac:dyDescent="0.15">
      <c r="A202"/>
      <c r="B202"/>
    </row>
    <row r="203" spans="1:2" x14ac:dyDescent="0.15">
      <c r="A203"/>
      <c r="B203"/>
    </row>
    <row r="204" spans="1:2" x14ac:dyDescent="0.15">
      <c r="A204"/>
      <c r="B204"/>
    </row>
    <row r="205" spans="1:2" x14ac:dyDescent="0.15">
      <c r="A205"/>
      <c r="B205"/>
    </row>
    <row r="206" spans="1:2" x14ac:dyDescent="0.15">
      <c r="A206"/>
      <c r="B206"/>
    </row>
    <row r="207" spans="1:2" x14ac:dyDescent="0.15">
      <c r="A207"/>
      <c r="B207"/>
    </row>
    <row r="208" spans="1:2" x14ac:dyDescent="0.15">
      <c r="A208"/>
      <c r="B208"/>
    </row>
    <row r="209" spans="1:2" x14ac:dyDescent="0.15">
      <c r="A209"/>
      <c r="B209"/>
    </row>
    <row r="210" spans="1:2" x14ac:dyDescent="0.15">
      <c r="A210"/>
      <c r="B210"/>
    </row>
    <row r="211" spans="1:2" x14ac:dyDescent="0.15">
      <c r="A211"/>
      <c r="B211"/>
    </row>
    <row r="212" spans="1:2" x14ac:dyDescent="0.15">
      <c r="A212"/>
      <c r="B212"/>
    </row>
    <row r="213" spans="1:2" x14ac:dyDescent="0.15">
      <c r="A213"/>
      <c r="B213"/>
    </row>
    <row r="214" spans="1:2" x14ac:dyDescent="0.15">
      <c r="A214"/>
      <c r="B214"/>
    </row>
    <row r="215" spans="1:2" x14ac:dyDescent="0.15">
      <c r="A215"/>
      <c r="B215"/>
    </row>
    <row r="216" spans="1:2" x14ac:dyDescent="0.15">
      <c r="A216"/>
      <c r="B216"/>
    </row>
    <row r="217" spans="1:2" x14ac:dyDescent="0.15">
      <c r="A217"/>
      <c r="B217"/>
    </row>
    <row r="218" spans="1:2" x14ac:dyDescent="0.15">
      <c r="A218"/>
      <c r="B218"/>
    </row>
    <row r="219" spans="1:2" x14ac:dyDescent="0.15">
      <c r="A219"/>
      <c r="B219"/>
    </row>
    <row r="220" spans="1:2" x14ac:dyDescent="0.15">
      <c r="A220"/>
      <c r="B220"/>
    </row>
    <row r="221" spans="1:2" x14ac:dyDescent="0.15">
      <c r="A221"/>
      <c r="B221"/>
    </row>
    <row r="222" spans="1:2" x14ac:dyDescent="0.15">
      <c r="A222"/>
      <c r="B222"/>
    </row>
    <row r="223" spans="1:2" x14ac:dyDescent="0.15">
      <c r="A223"/>
      <c r="B223"/>
    </row>
    <row r="224" spans="1:2" x14ac:dyDescent="0.15">
      <c r="A224"/>
      <c r="B224"/>
    </row>
    <row r="225" spans="1:2" x14ac:dyDescent="0.15">
      <c r="A225"/>
      <c r="B225"/>
    </row>
    <row r="226" spans="1:2" x14ac:dyDescent="0.15">
      <c r="A226"/>
      <c r="B226"/>
    </row>
    <row r="227" spans="1:2" x14ac:dyDescent="0.15">
      <c r="A227"/>
      <c r="B227"/>
    </row>
    <row r="228" spans="1:2" x14ac:dyDescent="0.15">
      <c r="A228"/>
      <c r="B228"/>
    </row>
    <row r="229" spans="1:2" x14ac:dyDescent="0.15">
      <c r="A229"/>
      <c r="B229"/>
    </row>
  </sheetData>
  <autoFilter ref="A1:J28" xr:uid="{00000000-0009-0000-0000-000000000000}"/>
  <phoneticPr fontId="17" type="noConversion"/>
  <pageMargins left="0.69930555555555596" right="0.69930555555555596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zoomScale="120" zoomScaleNormal="120" workbookViewId="0">
      <selection activeCell="F10" sqref="F10"/>
    </sheetView>
  </sheetViews>
  <sheetFormatPr defaultColWidth="8.625" defaultRowHeight="14.25" x14ac:dyDescent="0.15"/>
  <cols>
    <col min="1" max="1" width="45.25" bestFit="1" customWidth="1"/>
    <col min="2" max="2" width="13.875" bestFit="1" customWidth="1"/>
    <col min="3" max="3" width="8.875" customWidth="1"/>
    <col min="4" max="4" width="10.5" customWidth="1"/>
    <col min="5" max="5" width="25" customWidth="1"/>
    <col min="6" max="6" width="9.875" customWidth="1"/>
    <col min="7" max="7" width="6.5" customWidth="1"/>
    <col min="8" max="8" width="6.125" customWidth="1"/>
    <col min="10" max="10" width="12.375" customWidth="1"/>
    <col min="11" max="11" width="9.875" customWidth="1"/>
    <col min="12" max="12" width="8.875" customWidth="1"/>
  </cols>
  <sheetData>
    <row r="1" spans="1:18" x14ac:dyDescent="0.15">
      <c r="A1" s="76" t="s">
        <v>39</v>
      </c>
      <c r="B1" t="s">
        <v>40</v>
      </c>
      <c r="C1" s="25" t="s">
        <v>73</v>
      </c>
      <c r="D1" s="25" t="s">
        <v>74</v>
      </c>
      <c r="E1" s="25" t="s">
        <v>75</v>
      </c>
    </row>
    <row r="3" spans="1:18" x14ac:dyDescent="0.15">
      <c r="A3" s="76" t="s">
        <v>44</v>
      </c>
      <c r="B3" t="s">
        <v>42</v>
      </c>
      <c r="E3" s="53" t="s">
        <v>76</v>
      </c>
      <c r="F3" s="53" t="s">
        <v>77</v>
      </c>
    </row>
    <row r="4" spans="1:18" x14ac:dyDescent="0.15">
      <c r="A4" s="54" t="s">
        <v>935</v>
      </c>
      <c r="B4" s="13">
        <v>3</v>
      </c>
      <c r="E4" s="25" t="s">
        <v>79</v>
      </c>
      <c r="F4">
        <v>0</v>
      </c>
    </row>
    <row r="5" spans="1:18" x14ac:dyDescent="0.15">
      <c r="A5" s="55" t="s">
        <v>978</v>
      </c>
      <c r="B5" s="13">
        <v>1</v>
      </c>
      <c r="E5" s="25" t="s">
        <v>78</v>
      </c>
      <c r="F5">
        <f>GETPIVOTDATA("姓名",$A$3,"所属版本","V149X")+GETPIVOTDATA("姓名",$A$3,"所属版本","V153")</f>
        <v>16</v>
      </c>
    </row>
    <row r="6" spans="1:18" x14ac:dyDescent="0.15">
      <c r="A6" s="55" t="s">
        <v>92</v>
      </c>
      <c r="B6" s="13">
        <v>2</v>
      </c>
      <c r="E6" s="25" t="s">
        <v>81</v>
      </c>
      <c r="F6">
        <f>GETPIVOTDATA("姓名",$A$3,"所属版本","V150")+GETPIVOTDATA("姓名",$A$3,"所属版本","V150-&gt;V151")</f>
        <v>55</v>
      </c>
      <c r="P6" s="25" t="s">
        <v>82</v>
      </c>
    </row>
    <row r="7" spans="1:18" x14ac:dyDescent="0.15">
      <c r="A7" s="54" t="s">
        <v>81</v>
      </c>
      <c r="B7" s="13">
        <v>54</v>
      </c>
      <c r="E7" s="25" t="s">
        <v>83</v>
      </c>
      <c r="F7">
        <f>GETPIVOTDATA("姓名",$A$3,"所属版本","V151")</f>
        <v>56</v>
      </c>
      <c r="P7" s="58" t="s">
        <v>84</v>
      </c>
      <c r="Q7" s="58" t="s">
        <v>85</v>
      </c>
      <c r="R7" s="58" t="s">
        <v>86</v>
      </c>
    </row>
    <row r="8" spans="1:18" x14ac:dyDescent="0.15">
      <c r="A8" s="55" t="s">
        <v>821</v>
      </c>
      <c r="B8" s="13">
        <v>3</v>
      </c>
      <c r="E8" s="25" t="s">
        <v>88</v>
      </c>
      <c r="F8">
        <f>GETPIVOTDATA("姓名",$A$3,"所属版本",)+GETPIVOTDATA("姓名",$A$3,"所属版本","V150-&gt;V15X")</f>
        <v>25</v>
      </c>
      <c r="P8" s="59">
        <v>5</v>
      </c>
      <c r="Q8" s="59">
        <v>10</v>
      </c>
      <c r="R8" s="59">
        <v>15</v>
      </c>
    </row>
    <row r="9" spans="1:18" x14ac:dyDescent="0.15">
      <c r="A9" s="55" t="s">
        <v>774</v>
      </c>
      <c r="B9" s="13">
        <v>4</v>
      </c>
      <c r="E9" s="25" t="s">
        <v>90</v>
      </c>
      <c r="F9" s="25">
        <f>IFERROR(GETPIVOTDATA("姓名",$A$3,"所属版本","测试工具"),0)+GETPIVOTDATA("姓名",$A$3,"所属版本","排错组")+GETPIVOTDATA("姓名",$A$3,"所属版本","配置管理")+GETPIVOTDATA("姓名",$A$3,"所属版本","守门员")+GETPIVOTDATA("姓名",$A$3,"所属版本","数据分析")</f>
        <v>40</v>
      </c>
      <c r="G9">
        <v>40</v>
      </c>
      <c r="H9">
        <v>43</v>
      </c>
      <c r="P9" s="25" t="s">
        <v>91</v>
      </c>
    </row>
    <row r="10" spans="1:18" x14ac:dyDescent="0.15">
      <c r="A10" s="55" t="s">
        <v>906</v>
      </c>
      <c r="B10" s="13">
        <v>15</v>
      </c>
      <c r="E10" s="25" t="s">
        <v>911</v>
      </c>
      <c r="F10">
        <f>GETPIVOTDATA("姓名",$A$3,"所属版本","版本共享")</f>
        <v>5</v>
      </c>
      <c r="P10" s="58" t="s">
        <v>84</v>
      </c>
      <c r="Q10" s="58" t="s">
        <v>85</v>
      </c>
      <c r="R10" s="58" t="s">
        <v>86</v>
      </c>
    </row>
    <row r="11" spans="1:18" x14ac:dyDescent="0.15">
      <c r="A11" s="55" t="s">
        <v>912</v>
      </c>
      <c r="B11" s="13">
        <v>3</v>
      </c>
      <c r="E11" s="25" t="s">
        <v>93</v>
      </c>
      <c r="F11">
        <f>GETPIVOTDATA("姓名",$A$3,"所属版本","新人")</f>
        <v>2</v>
      </c>
      <c r="P11" s="59">
        <v>52</v>
      </c>
      <c r="Q11" s="59">
        <v>56</v>
      </c>
      <c r="R11" s="59">
        <v>60</v>
      </c>
    </row>
    <row r="12" spans="1:18" x14ac:dyDescent="0.15">
      <c r="A12" s="55" t="s">
        <v>914</v>
      </c>
      <c r="B12" s="13">
        <v>11</v>
      </c>
      <c r="E12" s="25" t="s">
        <v>94</v>
      </c>
      <c r="F12">
        <f>GETPIVOTDATA("姓名",$A$3,"所属版本","产假")</f>
        <v>4</v>
      </c>
    </row>
    <row r="13" spans="1:18" x14ac:dyDescent="0.15">
      <c r="A13" s="55" t="s">
        <v>924</v>
      </c>
      <c r="B13" s="13">
        <v>1</v>
      </c>
      <c r="E13" s="56" t="s">
        <v>57</v>
      </c>
      <c r="F13" s="57">
        <f>SUM(F4:F12)</f>
        <v>203</v>
      </c>
    </row>
    <row r="14" spans="1:18" x14ac:dyDescent="0.15">
      <c r="A14" s="55" t="s">
        <v>923</v>
      </c>
      <c r="B14" s="13">
        <v>8</v>
      </c>
    </row>
    <row r="15" spans="1:18" x14ac:dyDescent="0.15">
      <c r="A15" s="55" t="s">
        <v>139</v>
      </c>
      <c r="B15" s="13">
        <v>1</v>
      </c>
    </row>
    <row r="16" spans="1:18" x14ac:dyDescent="0.15">
      <c r="A16" s="55" t="s">
        <v>92</v>
      </c>
      <c r="B16" s="13">
        <v>2</v>
      </c>
    </row>
    <row r="17" spans="1:2" x14ac:dyDescent="0.15">
      <c r="A17" s="55" t="s">
        <v>836</v>
      </c>
      <c r="B17" s="13">
        <v>6</v>
      </c>
    </row>
    <row r="18" spans="1:2" x14ac:dyDescent="0.15">
      <c r="A18" s="54" t="s">
        <v>784</v>
      </c>
      <c r="B18" s="13">
        <v>1</v>
      </c>
    </row>
    <row r="19" spans="1:2" x14ac:dyDescent="0.15">
      <c r="A19" s="55" t="s">
        <v>828</v>
      </c>
      <c r="B19" s="13">
        <v>1</v>
      </c>
    </row>
    <row r="20" spans="1:2" x14ac:dyDescent="0.15">
      <c r="A20" s="54" t="s">
        <v>942</v>
      </c>
      <c r="B20" s="13">
        <v>16</v>
      </c>
    </row>
    <row r="21" spans="1:2" x14ac:dyDescent="0.15">
      <c r="A21" s="55" t="s">
        <v>826</v>
      </c>
      <c r="B21" s="13">
        <v>2</v>
      </c>
    </row>
    <row r="22" spans="1:2" x14ac:dyDescent="0.15">
      <c r="A22" s="55" t="s">
        <v>830</v>
      </c>
      <c r="B22" s="13">
        <v>4</v>
      </c>
    </row>
    <row r="23" spans="1:2" x14ac:dyDescent="0.15">
      <c r="A23" s="55" t="s">
        <v>845</v>
      </c>
      <c r="B23" s="13">
        <v>3</v>
      </c>
    </row>
    <row r="24" spans="1:2" x14ac:dyDescent="0.15">
      <c r="A24" s="55" t="s">
        <v>836</v>
      </c>
      <c r="B24" s="13">
        <v>1</v>
      </c>
    </row>
    <row r="25" spans="1:2" x14ac:dyDescent="0.15">
      <c r="A25" s="55" t="s">
        <v>842</v>
      </c>
      <c r="B25" s="13">
        <v>6</v>
      </c>
    </row>
    <row r="26" spans="1:2" x14ac:dyDescent="0.15">
      <c r="A26" s="54" t="s">
        <v>83</v>
      </c>
      <c r="B26" s="13">
        <v>56</v>
      </c>
    </row>
    <row r="27" spans="1:2" x14ac:dyDescent="0.15">
      <c r="A27" s="55" t="s">
        <v>824</v>
      </c>
      <c r="B27" s="13">
        <v>2</v>
      </c>
    </row>
    <row r="28" spans="1:2" x14ac:dyDescent="0.15">
      <c r="A28" s="55" t="s">
        <v>902</v>
      </c>
      <c r="B28" s="13">
        <v>1</v>
      </c>
    </row>
    <row r="29" spans="1:2" x14ac:dyDescent="0.15">
      <c r="A29" s="55" t="s">
        <v>851</v>
      </c>
      <c r="B29" s="13">
        <v>3</v>
      </c>
    </row>
    <row r="30" spans="1:2" x14ac:dyDescent="0.15">
      <c r="A30" s="55" t="s">
        <v>832</v>
      </c>
      <c r="B30" s="13">
        <v>14</v>
      </c>
    </row>
    <row r="31" spans="1:2" x14ac:dyDescent="0.15">
      <c r="A31" s="55" t="s">
        <v>812</v>
      </c>
      <c r="B31" s="13">
        <v>10</v>
      </c>
    </row>
    <row r="32" spans="1:2" x14ac:dyDescent="0.15">
      <c r="A32" s="55" t="s">
        <v>819</v>
      </c>
      <c r="B32" s="13">
        <v>11</v>
      </c>
    </row>
    <row r="33" spans="1:3" x14ac:dyDescent="0.15">
      <c r="A33" s="55" t="s">
        <v>995</v>
      </c>
      <c r="B33" s="13">
        <v>15</v>
      </c>
    </row>
    <row r="34" spans="1:3" x14ac:dyDescent="0.15">
      <c r="A34" s="54" t="s">
        <v>817</v>
      </c>
      <c r="B34" s="13">
        <v>13</v>
      </c>
    </row>
    <row r="35" spans="1:3" x14ac:dyDescent="0.15">
      <c r="A35" s="55" t="s">
        <v>932</v>
      </c>
      <c r="B35" s="13">
        <v>6</v>
      </c>
    </row>
    <row r="36" spans="1:3" x14ac:dyDescent="0.15">
      <c r="A36" s="55" t="s">
        <v>815</v>
      </c>
      <c r="B36" s="13">
        <v>6</v>
      </c>
    </row>
    <row r="37" spans="1:3" x14ac:dyDescent="0.15">
      <c r="A37" s="55" t="s">
        <v>72</v>
      </c>
      <c r="B37" s="13">
        <v>1</v>
      </c>
    </row>
    <row r="38" spans="1:3" x14ac:dyDescent="0.15">
      <c r="A38" s="54" t="s">
        <v>853</v>
      </c>
      <c r="B38" s="13">
        <v>1</v>
      </c>
    </row>
    <row r="39" spans="1:3" x14ac:dyDescent="0.15">
      <c r="A39" s="55" t="s">
        <v>95</v>
      </c>
      <c r="B39" s="13">
        <v>1</v>
      </c>
      <c r="C39" s="25"/>
    </row>
    <row r="40" spans="1:3" x14ac:dyDescent="0.15">
      <c r="A40" s="54" t="s">
        <v>96</v>
      </c>
      <c r="B40" s="13">
        <v>7</v>
      </c>
    </row>
    <row r="41" spans="1:3" x14ac:dyDescent="0.15">
      <c r="A41" s="55" t="s">
        <v>97</v>
      </c>
      <c r="B41" s="13">
        <v>1</v>
      </c>
    </row>
    <row r="42" spans="1:3" x14ac:dyDescent="0.15">
      <c r="A42" s="55" t="s">
        <v>930</v>
      </c>
      <c r="B42" s="13">
        <v>1</v>
      </c>
    </row>
    <row r="43" spans="1:3" x14ac:dyDescent="0.15">
      <c r="A43" s="55" t="s">
        <v>98</v>
      </c>
      <c r="B43" s="13">
        <v>5</v>
      </c>
    </row>
    <row r="44" spans="1:3" x14ac:dyDescent="0.15">
      <c r="A44" s="54" t="s">
        <v>99</v>
      </c>
      <c r="B44" s="88">
        <v>11</v>
      </c>
    </row>
    <row r="45" spans="1:3" x14ac:dyDescent="0.15">
      <c r="A45" s="55" t="s">
        <v>908</v>
      </c>
      <c r="B45" s="13">
        <v>1</v>
      </c>
    </row>
    <row r="46" spans="1:3" x14ac:dyDescent="0.15">
      <c r="A46" s="55" t="s">
        <v>99</v>
      </c>
      <c r="B46" s="13">
        <v>3</v>
      </c>
    </row>
    <row r="47" spans="1:3" x14ac:dyDescent="0.15">
      <c r="A47" s="55" t="s">
        <v>985</v>
      </c>
      <c r="B47" s="13">
        <v>4</v>
      </c>
      <c r="C47" s="25"/>
    </row>
    <row r="48" spans="1:3" x14ac:dyDescent="0.15">
      <c r="A48" s="55" t="s">
        <v>987</v>
      </c>
      <c r="B48" s="13">
        <v>3</v>
      </c>
    </row>
    <row r="49" spans="1:2" x14ac:dyDescent="0.15">
      <c r="A49" s="54" t="s">
        <v>103</v>
      </c>
      <c r="B49" s="13">
        <v>16</v>
      </c>
    </row>
    <row r="50" spans="1:2" x14ac:dyDescent="0.15">
      <c r="A50" s="55" t="s">
        <v>103</v>
      </c>
      <c r="B50" s="13">
        <v>16</v>
      </c>
    </row>
    <row r="51" spans="1:2" x14ac:dyDescent="0.15">
      <c r="A51" s="54" t="s">
        <v>63</v>
      </c>
      <c r="B51" s="13">
        <v>5</v>
      </c>
    </row>
    <row r="52" spans="1:2" x14ac:dyDescent="0.15">
      <c r="A52" s="55" t="s">
        <v>63</v>
      </c>
      <c r="B52" s="13">
        <v>5</v>
      </c>
    </row>
    <row r="53" spans="1:2" x14ac:dyDescent="0.15">
      <c r="A53" s="54" t="s">
        <v>93</v>
      </c>
      <c r="B53" s="13">
        <v>2</v>
      </c>
    </row>
    <row r="54" spans="1:2" x14ac:dyDescent="0.15">
      <c r="A54" s="55" t="s">
        <v>914</v>
      </c>
      <c r="B54" s="13">
        <v>1</v>
      </c>
    </row>
    <row r="55" spans="1:2" x14ac:dyDescent="0.15">
      <c r="A55" s="55" t="s">
        <v>72</v>
      </c>
      <c r="B55" s="13">
        <v>1</v>
      </c>
    </row>
    <row r="56" spans="1:2" x14ac:dyDescent="0.15">
      <c r="A56" s="54" t="s">
        <v>104</v>
      </c>
      <c r="B56" s="13">
        <v>5</v>
      </c>
    </row>
    <row r="57" spans="1:2" x14ac:dyDescent="0.15">
      <c r="A57" s="55" t="s">
        <v>905</v>
      </c>
      <c r="B57" s="13">
        <v>3</v>
      </c>
    </row>
    <row r="58" spans="1:2" x14ac:dyDescent="0.15">
      <c r="A58" s="55" t="s">
        <v>58</v>
      </c>
      <c r="B58" s="13">
        <v>2</v>
      </c>
    </row>
    <row r="59" spans="1:2" x14ac:dyDescent="0.15">
      <c r="A59" s="54" t="s">
        <v>72</v>
      </c>
      <c r="B59" s="13">
        <v>9</v>
      </c>
    </row>
    <row r="60" spans="1:2" x14ac:dyDescent="0.15">
      <c r="A60" s="55" t="s">
        <v>72</v>
      </c>
      <c r="B60" s="13">
        <v>9</v>
      </c>
    </row>
    <row r="61" spans="1:2" x14ac:dyDescent="0.15">
      <c r="A61" s="54" t="s">
        <v>94</v>
      </c>
      <c r="B61" s="13">
        <v>4</v>
      </c>
    </row>
    <row r="62" spans="1:2" x14ac:dyDescent="0.15">
      <c r="A62" s="55" t="s">
        <v>94</v>
      </c>
      <c r="B62" s="13">
        <v>4</v>
      </c>
    </row>
    <row r="63" spans="1:2" x14ac:dyDescent="0.15">
      <c r="A63" s="54" t="s">
        <v>956</v>
      </c>
      <c r="B63" s="13">
        <v>1</v>
      </c>
    </row>
    <row r="64" spans="1:2" x14ac:dyDescent="0.15">
      <c r="A64" s="55" t="s">
        <v>72</v>
      </c>
      <c r="B64" s="13">
        <v>1</v>
      </c>
    </row>
    <row r="65" spans="1:2" x14ac:dyDescent="0.15">
      <c r="A65" s="54" t="s">
        <v>57</v>
      </c>
      <c r="B65" s="13">
        <v>204</v>
      </c>
    </row>
  </sheetData>
  <phoneticPr fontId="17" type="noConversion"/>
  <conditionalFormatting sqref="F5">
    <cfRule type="iconSet" priority="11">
      <iconSet iconSet="3TrafficLights2" reverse="1">
        <cfvo type="percent" val="0"/>
        <cfvo type="num" val="$Q$11"/>
        <cfvo type="num" val="$R$11"/>
      </iconSet>
    </cfRule>
  </conditionalFormatting>
  <conditionalFormatting sqref="F6">
    <cfRule type="iconSet" priority="9">
      <iconSet iconSet="3TrafficLights2" reverse="1">
        <cfvo type="percent" val="0"/>
        <cfvo type="num" val="$Q$11"/>
        <cfvo type="num" val="$R$11"/>
      </iconSet>
    </cfRule>
  </conditionalFormatting>
  <conditionalFormatting sqref="F7">
    <cfRule type="iconSet" priority="10">
      <iconSet iconSet="3TrafficLights2" reverse="1">
        <cfvo type="percent" val="0"/>
        <cfvo type="num" val="$Q$11"/>
        <cfvo type="num" val="$R$11"/>
      </iconSet>
    </cfRule>
  </conditionalFormatting>
  <conditionalFormatting sqref="F8">
    <cfRule type="iconSet" priority="8">
      <iconSet iconSet="3TrafficLights2" reverse="1">
        <cfvo type="percent" val="0"/>
        <cfvo type="num" val="$Q$8"/>
        <cfvo type="num" val="$R$8"/>
      </iconSet>
    </cfRule>
  </conditionalFormatting>
  <conditionalFormatting sqref="F9">
    <cfRule type="iconSet" priority="4">
      <iconSet iconSet="3TrafficLights2" reverse="1">
        <cfvo type="percent" val="0"/>
        <cfvo type="num" val="$G$9" gte="0"/>
        <cfvo type="num" val="$H$9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8"/>
  <sheetViews>
    <sheetView tabSelected="1" zoomScale="130" zoomScaleNormal="130" workbookViewId="0">
      <pane xSplit="2" ySplit="1" topLeftCell="D2" activePane="bottomRight" state="frozen"/>
      <selection pane="topRight"/>
      <selection pane="bottomLeft"/>
      <selection pane="bottomRight" activeCell="F1" sqref="F1"/>
    </sheetView>
  </sheetViews>
  <sheetFormatPr defaultColWidth="8.75" defaultRowHeight="14.25" x14ac:dyDescent="0.15"/>
  <cols>
    <col min="1" max="1" width="9" style="25" customWidth="1"/>
    <col min="2" max="2" width="19.75" style="25" customWidth="1"/>
    <col min="3" max="5" width="19.75" style="26" customWidth="1"/>
    <col min="6" max="6" width="20.5" style="26" customWidth="1"/>
    <col min="7" max="7" width="17.375" style="102" customWidth="1"/>
    <col min="8" max="8" width="13.75" style="25" customWidth="1"/>
    <col min="9" max="9" width="13.875" style="25" customWidth="1"/>
    <col min="10" max="10" width="17.25" style="25" customWidth="1"/>
    <col min="11" max="11" width="18.875" style="25" customWidth="1"/>
    <col min="12" max="12" width="15.5" style="25" customWidth="1"/>
    <col min="13" max="13" width="36.875" style="25" customWidth="1"/>
    <col min="14" max="14" width="12.375" customWidth="1"/>
  </cols>
  <sheetData>
    <row r="1" spans="1:14" ht="27" x14ac:dyDescent="0.15">
      <c r="A1" s="27" t="s">
        <v>105</v>
      </c>
      <c r="B1" s="27" t="s">
        <v>106</v>
      </c>
      <c r="C1" s="28" t="s">
        <v>107</v>
      </c>
      <c r="D1" s="29" t="s">
        <v>954</v>
      </c>
      <c r="E1" s="29" t="s">
        <v>955</v>
      </c>
      <c r="F1" s="90" t="s">
        <v>940</v>
      </c>
      <c r="G1" s="101" t="s">
        <v>108</v>
      </c>
      <c r="H1" s="98" t="s">
        <v>989</v>
      </c>
      <c r="I1" s="27" t="s">
        <v>990</v>
      </c>
      <c r="J1" s="27" t="s">
        <v>111</v>
      </c>
      <c r="K1" s="27" t="s">
        <v>991</v>
      </c>
      <c r="L1" s="27" t="s">
        <v>112</v>
      </c>
      <c r="M1" s="27" t="s">
        <v>113</v>
      </c>
      <c r="N1" t="s">
        <v>114</v>
      </c>
    </row>
    <row r="2" spans="1:14" x14ac:dyDescent="0.15">
      <c r="A2" s="30" t="s">
        <v>115</v>
      </c>
      <c r="B2" s="31" t="s">
        <v>116</v>
      </c>
      <c r="C2" s="30" t="s">
        <v>117</v>
      </c>
      <c r="D2" s="30" t="s">
        <v>921</v>
      </c>
      <c r="E2" s="30" t="s">
        <v>921</v>
      </c>
      <c r="F2" s="91"/>
      <c r="G2" s="30" t="s">
        <v>818</v>
      </c>
      <c r="H2" s="99" t="s">
        <v>970</v>
      </c>
      <c r="I2" s="99" t="s">
        <v>970</v>
      </c>
      <c r="J2" s="30" t="s">
        <v>965</v>
      </c>
      <c r="K2" s="30" t="s">
        <v>965</v>
      </c>
      <c r="L2" s="35">
        <v>19901703786</v>
      </c>
      <c r="M2" s="30" t="s">
        <v>118</v>
      </c>
      <c r="N2" s="36" t="s">
        <v>119</v>
      </c>
    </row>
    <row r="3" spans="1:14" x14ac:dyDescent="0.15">
      <c r="A3" s="30" t="s">
        <v>11</v>
      </c>
      <c r="B3" s="31" t="s">
        <v>116</v>
      </c>
      <c r="C3" s="30" t="s">
        <v>103</v>
      </c>
      <c r="D3" s="30" t="s">
        <v>103</v>
      </c>
      <c r="E3" s="30" t="s">
        <v>103</v>
      </c>
      <c r="F3" s="91"/>
      <c r="G3" s="30" t="s">
        <v>103</v>
      </c>
      <c r="H3" s="99" t="s">
        <v>966</v>
      </c>
      <c r="I3" s="30" t="s">
        <v>966</v>
      </c>
      <c r="J3" s="30" t="s">
        <v>972</v>
      </c>
      <c r="K3" s="30" t="s">
        <v>980</v>
      </c>
      <c r="L3" s="35">
        <v>18721595832</v>
      </c>
      <c r="M3" s="30" t="s">
        <v>120</v>
      </c>
      <c r="N3" s="36" t="s">
        <v>121</v>
      </c>
    </row>
    <row r="4" spans="1:14" x14ac:dyDescent="0.15">
      <c r="A4" s="30" t="s">
        <v>28</v>
      </c>
      <c r="B4" s="31" t="s">
        <v>116</v>
      </c>
      <c r="C4" s="30" t="s">
        <v>103</v>
      </c>
      <c r="D4" s="30" t="s">
        <v>103</v>
      </c>
      <c r="E4" s="30" t="s">
        <v>103</v>
      </c>
      <c r="F4" s="91"/>
      <c r="G4" s="30" t="s">
        <v>103</v>
      </c>
      <c r="H4" s="99" t="s">
        <v>970</v>
      </c>
      <c r="I4" s="99" t="s">
        <v>970</v>
      </c>
      <c r="J4" s="30" t="s">
        <v>965</v>
      </c>
      <c r="K4" s="30" t="s">
        <v>965</v>
      </c>
      <c r="L4" s="35">
        <v>15026685022</v>
      </c>
      <c r="M4" s="37" t="s">
        <v>122</v>
      </c>
      <c r="N4" s="36" t="s">
        <v>121</v>
      </c>
    </row>
    <row r="5" spans="1:14" x14ac:dyDescent="0.15">
      <c r="A5" s="30" t="s">
        <v>27</v>
      </c>
      <c r="B5" s="31" t="s">
        <v>116</v>
      </c>
      <c r="C5" s="30" t="s">
        <v>103</v>
      </c>
      <c r="D5" s="30" t="s">
        <v>103</v>
      </c>
      <c r="E5" s="30" t="s">
        <v>103</v>
      </c>
      <c r="F5" s="91"/>
      <c r="G5" s="30" t="s">
        <v>103</v>
      </c>
      <c r="H5" s="99" t="s">
        <v>967</v>
      </c>
      <c r="I5" s="30" t="s">
        <v>967</v>
      </c>
      <c r="J5" s="30" t="s">
        <v>971</v>
      </c>
      <c r="K5" s="30" t="s">
        <v>979</v>
      </c>
      <c r="L5" s="35">
        <v>18221900082</v>
      </c>
      <c r="M5" s="30" t="s">
        <v>123</v>
      </c>
      <c r="N5" s="36" t="s">
        <v>124</v>
      </c>
    </row>
    <row r="6" spans="1:14" x14ac:dyDescent="0.15">
      <c r="A6" s="30" t="s">
        <v>125</v>
      </c>
      <c r="B6" s="31" t="s">
        <v>116</v>
      </c>
      <c r="C6" s="30" t="s">
        <v>126</v>
      </c>
      <c r="D6" s="30" t="s">
        <v>922</v>
      </c>
      <c r="E6" s="30" t="s">
        <v>922</v>
      </c>
      <c r="F6" s="91"/>
      <c r="G6" s="30" t="s">
        <v>936</v>
      </c>
      <c r="H6" s="99" t="s">
        <v>966</v>
      </c>
      <c r="I6" s="99" t="s">
        <v>966</v>
      </c>
      <c r="J6" s="30" t="s">
        <v>973</v>
      </c>
      <c r="K6" s="30" t="s">
        <v>973</v>
      </c>
      <c r="L6" s="35">
        <v>13127925069</v>
      </c>
      <c r="M6" s="30" t="s">
        <v>127</v>
      </c>
      <c r="N6" s="36" t="s">
        <v>128</v>
      </c>
    </row>
    <row r="7" spans="1:14" x14ac:dyDescent="0.15">
      <c r="A7" s="30" t="s">
        <v>129</v>
      </c>
      <c r="B7" s="31" t="s">
        <v>116</v>
      </c>
      <c r="C7" s="30" t="s">
        <v>50</v>
      </c>
      <c r="D7" s="30" t="s">
        <v>937</v>
      </c>
      <c r="E7" s="30" t="s">
        <v>937</v>
      </c>
      <c r="F7" s="91"/>
      <c r="G7" s="30" t="s">
        <v>776</v>
      </c>
      <c r="H7" s="99" t="s">
        <v>970</v>
      </c>
      <c r="I7" s="99" t="s">
        <v>970</v>
      </c>
      <c r="J7" s="30" t="s">
        <v>965</v>
      </c>
      <c r="K7" s="30" t="s">
        <v>965</v>
      </c>
      <c r="L7" s="35">
        <v>13818571020</v>
      </c>
      <c r="M7" s="30" t="s">
        <v>130</v>
      </c>
      <c r="N7" s="36" t="s">
        <v>131</v>
      </c>
    </row>
    <row r="8" spans="1:14" x14ac:dyDescent="0.15">
      <c r="A8" s="32" t="s">
        <v>132</v>
      </c>
      <c r="B8" s="31" t="s">
        <v>116</v>
      </c>
      <c r="C8" s="30" t="s">
        <v>50</v>
      </c>
      <c r="D8" s="30" t="s">
        <v>941</v>
      </c>
      <c r="E8" s="30" t="s">
        <v>941</v>
      </c>
      <c r="F8" s="91"/>
      <c r="G8" s="30" t="s">
        <v>941</v>
      </c>
      <c r="H8" s="99" t="s">
        <v>970</v>
      </c>
      <c r="I8" s="99" t="s">
        <v>970</v>
      </c>
      <c r="J8" s="30" t="s">
        <v>965</v>
      </c>
      <c r="K8" s="30" t="s">
        <v>965</v>
      </c>
      <c r="L8" s="35">
        <v>15000411879</v>
      </c>
      <c r="M8" s="30"/>
      <c r="N8" s="36" t="s">
        <v>133</v>
      </c>
    </row>
    <row r="9" spans="1:14" ht="21" customHeight="1" x14ac:dyDescent="0.15">
      <c r="A9" s="30" t="s">
        <v>134</v>
      </c>
      <c r="B9" s="31" t="s">
        <v>135</v>
      </c>
      <c r="C9" s="30" t="s">
        <v>50</v>
      </c>
      <c r="D9" s="30" t="s">
        <v>926</v>
      </c>
      <c r="E9" s="30" t="s">
        <v>996</v>
      </c>
      <c r="F9" s="91"/>
      <c r="G9" s="30" t="s">
        <v>770</v>
      </c>
      <c r="H9" s="99" t="s">
        <v>968</v>
      </c>
      <c r="I9" s="99" t="s">
        <v>968</v>
      </c>
      <c r="J9" s="30" t="s">
        <v>974</v>
      </c>
      <c r="K9" s="30" t="s">
        <v>974</v>
      </c>
      <c r="L9" s="35">
        <v>18255157526</v>
      </c>
      <c r="M9" s="30" t="s">
        <v>136</v>
      </c>
      <c r="N9" s="36" t="s">
        <v>137</v>
      </c>
    </row>
    <row r="10" spans="1:14" x14ac:dyDescent="0.15">
      <c r="A10" s="30" t="s">
        <v>138</v>
      </c>
      <c r="B10" s="31" t="s">
        <v>116</v>
      </c>
      <c r="C10" s="30" t="s">
        <v>139</v>
      </c>
      <c r="D10" s="30" t="s">
        <v>139</v>
      </c>
      <c r="E10" s="30" t="s">
        <v>139</v>
      </c>
      <c r="F10" s="91"/>
      <c r="G10" s="30" t="s">
        <v>776</v>
      </c>
      <c r="H10" s="99" t="s">
        <v>969</v>
      </c>
      <c r="I10" s="99" t="s">
        <v>969</v>
      </c>
      <c r="J10" s="30" t="s">
        <v>975</v>
      </c>
      <c r="K10" s="30" t="s">
        <v>975</v>
      </c>
      <c r="L10" s="35">
        <v>15000127138</v>
      </c>
      <c r="M10" s="30" t="s">
        <v>140</v>
      </c>
      <c r="N10" s="36" t="s">
        <v>141</v>
      </c>
    </row>
    <row r="11" spans="1:14" x14ac:dyDescent="0.15">
      <c r="A11" s="30" t="s">
        <v>12</v>
      </c>
      <c r="B11" s="31" t="s">
        <v>116</v>
      </c>
      <c r="C11" s="30" t="s">
        <v>103</v>
      </c>
      <c r="D11" s="30" t="s">
        <v>103</v>
      </c>
      <c r="E11" s="30" t="s">
        <v>103</v>
      </c>
      <c r="F11" s="91"/>
      <c r="G11" s="30" t="s">
        <v>103</v>
      </c>
      <c r="H11" s="99" t="s">
        <v>968</v>
      </c>
      <c r="I11" s="99" t="s">
        <v>968</v>
      </c>
      <c r="J11" s="30" t="s">
        <v>974</v>
      </c>
      <c r="K11" s="30" t="s">
        <v>980</v>
      </c>
      <c r="L11" s="35">
        <v>18616028611</v>
      </c>
      <c r="M11" s="30" t="s">
        <v>142</v>
      </c>
      <c r="N11" s="36" t="s">
        <v>143</v>
      </c>
    </row>
    <row r="12" spans="1:14" x14ac:dyDescent="0.15">
      <c r="A12" s="30" t="s">
        <v>144</v>
      </c>
      <c r="B12" s="30" t="s">
        <v>145</v>
      </c>
      <c r="C12" s="33" t="s">
        <v>827</v>
      </c>
      <c r="D12" s="33" t="s">
        <v>827</v>
      </c>
      <c r="E12" s="92" t="s">
        <v>907</v>
      </c>
      <c r="F12" s="92" t="s">
        <v>894</v>
      </c>
      <c r="G12" s="33" t="s">
        <v>81</v>
      </c>
      <c r="H12" s="99" t="s">
        <v>27</v>
      </c>
      <c r="I12" s="30" t="s">
        <v>47</v>
      </c>
      <c r="J12" s="30" t="s">
        <v>62</v>
      </c>
      <c r="K12" s="30" t="s">
        <v>62</v>
      </c>
      <c r="L12" s="35">
        <v>13135511340</v>
      </c>
      <c r="M12" s="30" t="s">
        <v>146</v>
      </c>
      <c r="N12" s="38" t="s">
        <v>871</v>
      </c>
    </row>
    <row r="13" spans="1:14" x14ac:dyDescent="0.15">
      <c r="A13" s="32" t="s">
        <v>147</v>
      </c>
      <c r="B13" s="31" t="s">
        <v>148</v>
      </c>
      <c r="C13" s="33" t="s">
        <v>837</v>
      </c>
      <c r="D13" s="33" t="s">
        <v>837</v>
      </c>
      <c r="E13" s="33" t="s">
        <v>837</v>
      </c>
      <c r="F13" s="92"/>
      <c r="G13" s="30" t="s">
        <v>81</v>
      </c>
      <c r="H13" s="99" t="s">
        <v>28</v>
      </c>
      <c r="I13" s="30" t="s">
        <v>28</v>
      </c>
      <c r="J13" s="30" t="s">
        <v>62</v>
      </c>
      <c r="K13" s="30" t="s">
        <v>62</v>
      </c>
      <c r="L13" s="35">
        <v>18500047479</v>
      </c>
      <c r="M13" s="30" t="s">
        <v>149</v>
      </c>
      <c r="N13" s="38" t="s">
        <v>150</v>
      </c>
    </row>
    <row r="14" spans="1:14" x14ac:dyDescent="0.15">
      <c r="A14" s="31" t="s">
        <v>151</v>
      </c>
      <c r="B14" s="31" t="s">
        <v>152</v>
      </c>
      <c r="C14" s="33" t="s">
        <v>829</v>
      </c>
      <c r="D14" s="33" t="s">
        <v>829</v>
      </c>
      <c r="E14" s="33" t="s">
        <v>829</v>
      </c>
      <c r="F14" s="92"/>
      <c r="G14" s="33" t="s">
        <v>785</v>
      </c>
      <c r="H14" s="99" t="s">
        <v>26</v>
      </c>
      <c r="I14" s="30" t="s">
        <v>26</v>
      </c>
      <c r="J14" s="30" t="s">
        <v>61</v>
      </c>
      <c r="K14" s="30" t="s">
        <v>61</v>
      </c>
      <c r="L14" s="35">
        <v>17621666685</v>
      </c>
      <c r="M14" s="30" t="s">
        <v>153</v>
      </c>
      <c r="N14" s="38" t="s">
        <v>154</v>
      </c>
    </row>
    <row r="15" spans="1:14" x14ac:dyDescent="0.15">
      <c r="A15" s="31" t="s">
        <v>155</v>
      </c>
      <c r="B15" s="31" t="s">
        <v>156</v>
      </c>
      <c r="C15" s="30" t="s">
        <v>848</v>
      </c>
      <c r="D15" s="30" t="s">
        <v>926</v>
      </c>
      <c r="E15" s="30" t="s">
        <v>996</v>
      </c>
      <c r="F15" s="91"/>
      <c r="G15" s="30" t="s">
        <v>770</v>
      </c>
      <c r="H15" s="99" t="s">
        <v>29</v>
      </c>
      <c r="I15" s="30" t="s">
        <v>29</v>
      </c>
      <c r="J15" s="30" t="s">
        <v>71</v>
      </c>
      <c r="K15" s="30" t="s">
        <v>71</v>
      </c>
      <c r="L15" s="35">
        <v>13262868657</v>
      </c>
      <c r="M15" s="30" t="s">
        <v>157</v>
      </c>
      <c r="N15" s="36" t="s">
        <v>158</v>
      </c>
    </row>
    <row r="16" spans="1:14" x14ac:dyDescent="0.15">
      <c r="A16" s="30" t="s">
        <v>159</v>
      </c>
      <c r="B16" s="30" t="s">
        <v>148</v>
      </c>
      <c r="C16" s="30" t="s">
        <v>833</v>
      </c>
      <c r="D16" s="30" t="s">
        <v>833</v>
      </c>
      <c r="E16" s="30" t="s">
        <v>833</v>
      </c>
      <c r="F16" s="91"/>
      <c r="G16" s="30" t="s">
        <v>770</v>
      </c>
      <c r="H16" s="99" t="s">
        <v>28</v>
      </c>
      <c r="I16" s="30" t="s">
        <v>28</v>
      </c>
      <c r="J16" s="30" t="s">
        <v>62</v>
      </c>
      <c r="K16" s="30" t="s">
        <v>62</v>
      </c>
      <c r="L16" s="35">
        <v>17521179671</v>
      </c>
      <c r="M16" s="30" t="s">
        <v>160</v>
      </c>
      <c r="N16" s="36" t="s">
        <v>786</v>
      </c>
    </row>
    <row r="17" spans="1:14" x14ac:dyDescent="0.15">
      <c r="A17" s="32" t="s">
        <v>161</v>
      </c>
      <c r="B17" s="31" t="s">
        <v>162</v>
      </c>
      <c r="C17" s="33" t="s">
        <v>827</v>
      </c>
      <c r="D17" s="33" t="s">
        <v>827</v>
      </c>
      <c r="E17" s="92" t="s">
        <v>907</v>
      </c>
      <c r="F17" s="92" t="s">
        <v>894</v>
      </c>
      <c r="G17" s="33" t="s">
        <v>81</v>
      </c>
      <c r="H17" s="99" t="s">
        <v>11</v>
      </c>
      <c r="I17" s="30" t="s">
        <v>11</v>
      </c>
      <c r="J17" s="30" t="s">
        <v>69</v>
      </c>
      <c r="K17" s="30" t="s">
        <v>69</v>
      </c>
      <c r="L17" s="35">
        <v>17621317679</v>
      </c>
      <c r="M17" s="30" t="s">
        <v>163</v>
      </c>
      <c r="N17" s="38" t="s">
        <v>164</v>
      </c>
    </row>
    <row r="18" spans="1:14" x14ac:dyDescent="0.15">
      <c r="A18" s="31" t="s">
        <v>165</v>
      </c>
      <c r="B18" s="31" t="s">
        <v>166</v>
      </c>
      <c r="C18" s="30" t="s">
        <v>855</v>
      </c>
      <c r="D18" s="30" t="s">
        <v>907</v>
      </c>
      <c r="E18" s="30" t="s">
        <v>907</v>
      </c>
      <c r="F18" s="91" t="s">
        <v>894</v>
      </c>
      <c r="G18" s="30" t="s">
        <v>776</v>
      </c>
      <c r="H18" s="99" t="s">
        <v>27</v>
      </c>
      <c r="I18" s="30" t="s">
        <v>49</v>
      </c>
      <c r="J18" s="30" t="s">
        <v>62</v>
      </c>
      <c r="K18" s="30" t="s">
        <v>62</v>
      </c>
      <c r="L18" s="35">
        <v>15021928785</v>
      </c>
      <c r="M18" s="30" t="s">
        <v>167</v>
      </c>
      <c r="N18" t="s">
        <v>393</v>
      </c>
    </row>
    <row r="19" spans="1:14" x14ac:dyDescent="0.15">
      <c r="A19" s="31" t="s">
        <v>168</v>
      </c>
      <c r="B19" s="31" t="s">
        <v>145</v>
      </c>
      <c r="C19" s="30" t="s">
        <v>831</v>
      </c>
      <c r="D19" s="30" t="s">
        <v>831</v>
      </c>
      <c r="E19" s="30" t="s">
        <v>831</v>
      </c>
      <c r="F19" s="91"/>
      <c r="G19" s="30" t="s">
        <v>943</v>
      </c>
      <c r="H19" s="99" t="s">
        <v>26</v>
      </c>
      <c r="I19" s="30" t="s">
        <v>26</v>
      </c>
      <c r="J19" s="30" t="s">
        <v>60</v>
      </c>
      <c r="K19" s="30" t="s">
        <v>60</v>
      </c>
      <c r="L19" s="35">
        <v>18621172680</v>
      </c>
      <c r="M19" s="30" t="s">
        <v>169</v>
      </c>
      <c r="N19" s="36" t="s">
        <v>170</v>
      </c>
    </row>
    <row r="20" spans="1:14" x14ac:dyDescent="0.15">
      <c r="A20" s="30" t="s">
        <v>171</v>
      </c>
      <c r="B20" s="30" t="s">
        <v>152</v>
      </c>
      <c r="C20" s="30"/>
      <c r="D20" s="30"/>
      <c r="E20" s="30"/>
      <c r="F20" s="91"/>
      <c r="G20" s="30"/>
      <c r="H20" s="99" t="s">
        <v>26</v>
      </c>
      <c r="I20" s="30" t="s">
        <v>26</v>
      </c>
      <c r="J20" s="30" t="s">
        <v>61</v>
      </c>
      <c r="K20" s="30" t="s">
        <v>61</v>
      </c>
      <c r="L20" s="39">
        <v>15601969092</v>
      </c>
      <c r="M20" s="30" t="s">
        <v>172</v>
      </c>
      <c r="N20" s="36" t="s">
        <v>173</v>
      </c>
    </row>
    <row r="21" spans="1:14" x14ac:dyDescent="0.15">
      <c r="A21" s="31" t="s">
        <v>174</v>
      </c>
      <c r="B21" s="31" t="s">
        <v>152</v>
      </c>
      <c r="C21" s="30" t="s">
        <v>831</v>
      </c>
      <c r="D21" s="30" t="s">
        <v>831</v>
      </c>
      <c r="E21" s="30" t="s">
        <v>831</v>
      </c>
      <c r="F21" s="91"/>
      <c r="G21" s="30" t="s">
        <v>943</v>
      </c>
      <c r="H21" s="99" t="s">
        <v>29</v>
      </c>
      <c r="I21" s="30" t="s">
        <v>29</v>
      </c>
      <c r="J21" s="30" t="s">
        <v>71</v>
      </c>
      <c r="K21" s="30" t="s">
        <v>71</v>
      </c>
      <c r="L21" s="35">
        <v>13451657511</v>
      </c>
      <c r="M21" s="30" t="s">
        <v>175</v>
      </c>
      <c r="N21" s="36" t="s">
        <v>176</v>
      </c>
    </row>
    <row r="22" spans="1:14" x14ac:dyDescent="0.15">
      <c r="A22" s="30" t="s">
        <v>177</v>
      </c>
      <c r="B22" s="31" t="s">
        <v>178</v>
      </c>
      <c r="C22" s="30" t="s">
        <v>92</v>
      </c>
      <c r="D22" s="30" t="s">
        <v>92</v>
      </c>
      <c r="E22" s="30" t="s">
        <v>92</v>
      </c>
      <c r="F22" s="91"/>
      <c r="G22" s="30" t="s">
        <v>776</v>
      </c>
      <c r="H22" s="99" t="s">
        <v>25</v>
      </c>
      <c r="I22" s="30" t="s">
        <v>25</v>
      </c>
      <c r="J22" s="30" t="s">
        <v>60</v>
      </c>
      <c r="K22" s="30" t="s">
        <v>60</v>
      </c>
      <c r="L22" s="35">
        <v>13918191330</v>
      </c>
      <c r="M22" s="30" t="s">
        <v>179</v>
      </c>
      <c r="N22" s="36" t="s">
        <v>180</v>
      </c>
    </row>
    <row r="23" spans="1:14" x14ac:dyDescent="0.15">
      <c r="A23" s="32" t="s">
        <v>181</v>
      </c>
      <c r="B23" s="31" t="s">
        <v>182</v>
      </c>
      <c r="C23" s="30" t="s">
        <v>98</v>
      </c>
      <c r="D23" s="30" t="s">
        <v>98</v>
      </c>
      <c r="E23" s="30" t="s">
        <v>98</v>
      </c>
      <c r="F23" s="91"/>
      <c r="G23" s="30" t="s">
        <v>96</v>
      </c>
      <c r="H23" s="99" t="s">
        <v>28</v>
      </c>
      <c r="I23" s="30" t="s">
        <v>28</v>
      </c>
      <c r="J23" s="30" t="s">
        <v>62</v>
      </c>
      <c r="K23" s="30" t="s">
        <v>62</v>
      </c>
      <c r="L23" s="35">
        <v>15896576095</v>
      </c>
      <c r="M23" s="30" t="s">
        <v>183</v>
      </c>
      <c r="N23" s="36" t="s">
        <v>233</v>
      </c>
    </row>
    <row r="24" spans="1:14" x14ac:dyDescent="0.15">
      <c r="A24" s="30" t="s">
        <v>184</v>
      </c>
      <c r="B24" s="30" t="s">
        <v>148</v>
      </c>
      <c r="C24" s="30" t="s">
        <v>831</v>
      </c>
      <c r="D24" s="30" t="s">
        <v>927</v>
      </c>
      <c r="E24" s="30" t="s">
        <v>996</v>
      </c>
      <c r="F24" s="91"/>
      <c r="G24" s="30" t="s">
        <v>770</v>
      </c>
      <c r="H24" s="99" t="s">
        <v>29</v>
      </c>
      <c r="I24" s="30" t="s">
        <v>29</v>
      </c>
      <c r="J24" s="30" t="s">
        <v>71</v>
      </c>
      <c r="K24" s="30" t="s">
        <v>71</v>
      </c>
      <c r="L24" s="35">
        <v>15689619876</v>
      </c>
      <c r="M24" s="30" t="s">
        <v>185</v>
      </c>
      <c r="N24" s="36" t="s">
        <v>186</v>
      </c>
    </row>
    <row r="25" spans="1:14" x14ac:dyDescent="0.15">
      <c r="A25" s="34" t="s">
        <v>187</v>
      </c>
      <c r="B25" s="34" t="s">
        <v>188</v>
      </c>
      <c r="C25" s="30" t="s">
        <v>838</v>
      </c>
      <c r="D25" s="30" t="s">
        <v>820</v>
      </c>
      <c r="E25" s="30" t="s">
        <v>820</v>
      </c>
      <c r="F25" s="91"/>
      <c r="G25" s="30" t="s">
        <v>83</v>
      </c>
      <c r="H25" s="99" t="s">
        <v>29</v>
      </c>
      <c r="I25" s="30" t="s">
        <v>29</v>
      </c>
      <c r="J25" s="30" t="s">
        <v>71</v>
      </c>
      <c r="K25" s="30" t="s">
        <v>71</v>
      </c>
      <c r="L25" s="35">
        <v>13795420290</v>
      </c>
      <c r="M25" s="30" t="s">
        <v>189</v>
      </c>
      <c r="N25" s="36" t="s">
        <v>190</v>
      </c>
    </row>
    <row r="26" spans="1:14" x14ac:dyDescent="0.15">
      <c r="A26" s="32" t="s">
        <v>799</v>
      </c>
      <c r="B26" s="31" t="s">
        <v>182</v>
      </c>
      <c r="C26" s="30" t="s">
        <v>820</v>
      </c>
      <c r="D26" s="30" t="s">
        <v>820</v>
      </c>
      <c r="E26" s="30" t="s">
        <v>820</v>
      </c>
      <c r="F26" s="91"/>
      <c r="G26" s="30" t="s">
        <v>770</v>
      </c>
      <c r="H26" s="99" t="s">
        <v>28</v>
      </c>
      <c r="I26" s="30" t="s">
        <v>28</v>
      </c>
      <c r="J26" s="30" t="s">
        <v>62</v>
      </c>
      <c r="K26" s="30" t="s">
        <v>62</v>
      </c>
      <c r="L26" s="35">
        <v>15652353687</v>
      </c>
      <c r="M26" s="30" t="s">
        <v>191</v>
      </c>
      <c r="N26" s="36" t="s">
        <v>872</v>
      </c>
    </row>
    <row r="27" spans="1:14" x14ac:dyDescent="0.15">
      <c r="A27" s="31" t="s">
        <v>192</v>
      </c>
      <c r="B27" s="31" t="s">
        <v>148</v>
      </c>
      <c r="C27" s="30" t="s">
        <v>831</v>
      </c>
      <c r="D27" s="30" t="s">
        <v>927</v>
      </c>
      <c r="E27" s="30" t="s">
        <v>996</v>
      </c>
      <c r="F27" s="91"/>
      <c r="G27" s="30" t="s">
        <v>770</v>
      </c>
      <c r="H27" s="99" t="s">
        <v>28</v>
      </c>
      <c r="I27" s="30" t="s">
        <v>28</v>
      </c>
      <c r="J27" s="30" t="s">
        <v>62</v>
      </c>
      <c r="K27" s="30" t="s">
        <v>62</v>
      </c>
      <c r="L27" s="35">
        <v>15978655630</v>
      </c>
      <c r="M27" s="30" t="s">
        <v>193</v>
      </c>
      <c r="N27" s="38" t="s">
        <v>194</v>
      </c>
    </row>
    <row r="28" spans="1:14" x14ac:dyDescent="0.15">
      <c r="A28" s="32" t="s">
        <v>195</v>
      </c>
      <c r="B28" s="31" t="s">
        <v>182</v>
      </c>
      <c r="C28" s="30" t="s">
        <v>98</v>
      </c>
      <c r="D28" s="30" t="s">
        <v>98</v>
      </c>
      <c r="E28" s="30" t="s">
        <v>98</v>
      </c>
      <c r="F28" s="91"/>
      <c r="G28" s="30" t="s">
        <v>96</v>
      </c>
      <c r="H28" s="99" t="s">
        <v>29</v>
      </c>
      <c r="I28" s="30" t="s">
        <v>29</v>
      </c>
      <c r="J28" s="30" t="s">
        <v>71</v>
      </c>
      <c r="K28" s="30" t="s">
        <v>71</v>
      </c>
      <c r="L28" s="35">
        <v>13524006639</v>
      </c>
      <c r="M28" s="30" t="s">
        <v>196</v>
      </c>
      <c r="N28" s="36" t="s">
        <v>197</v>
      </c>
    </row>
    <row r="29" spans="1:14" x14ac:dyDescent="0.15">
      <c r="A29" s="31" t="s">
        <v>198</v>
      </c>
      <c r="B29" s="31" t="s">
        <v>145</v>
      </c>
      <c r="C29" s="30"/>
      <c r="D29" s="30" t="s">
        <v>783</v>
      </c>
      <c r="E29" s="30" t="s">
        <v>783</v>
      </c>
      <c r="F29" s="91"/>
      <c r="G29" s="30" t="s">
        <v>783</v>
      </c>
      <c r="H29" s="99" t="s">
        <v>11</v>
      </c>
      <c r="I29" s="30" t="s">
        <v>11</v>
      </c>
      <c r="J29" s="30" t="s">
        <v>69</v>
      </c>
      <c r="K29" s="30" t="s">
        <v>69</v>
      </c>
      <c r="L29" s="35">
        <v>15524580216</v>
      </c>
      <c r="M29" s="30" t="s">
        <v>199</v>
      </c>
      <c r="N29" s="36" t="s">
        <v>200</v>
      </c>
    </row>
    <row r="30" spans="1:14" x14ac:dyDescent="0.15">
      <c r="A30" s="30" t="s">
        <v>201</v>
      </c>
      <c r="B30" s="31" t="s">
        <v>152</v>
      </c>
      <c r="C30" s="30" t="s">
        <v>831</v>
      </c>
      <c r="D30" s="30" t="s">
        <v>831</v>
      </c>
      <c r="E30" s="91" t="s">
        <v>907</v>
      </c>
      <c r="F30" s="91" t="s">
        <v>894</v>
      </c>
      <c r="G30" s="30" t="s">
        <v>81</v>
      </c>
      <c r="H30" s="99" t="s">
        <v>26</v>
      </c>
      <c r="I30" s="30" t="s">
        <v>26</v>
      </c>
      <c r="J30" s="30" t="s">
        <v>61</v>
      </c>
      <c r="K30" s="30" t="s">
        <v>61</v>
      </c>
      <c r="L30" s="35">
        <v>15873187160</v>
      </c>
      <c r="M30" s="30" t="s">
        <v>202</v>
      </c>
      <c r="N30" s="36" t="s">
        <v>873</v>
      </c>
    </row>
    <row r="31" spans="1:14" x14ac:dyDescent="0.15">
      <c r="A31" s="31" t="s">
        <v>203</v>
      </c>
      <c r="B31" s="31" t="s">
        <v>152</v>
      </c>
      <c r="C31" s="33" t="s">
        <v>837</v>
      </c>
      <c r="D31" s="33" t="s">
        <v>837</v>
      </c>
      <c r="E31" s="33" t="s">
        <v>895</v>
      </c>
      <c r="F31" s="92"/>
      <c r="G31" s="30" t="s">
        <v>81</v>
      </c>
      <c r="H31" s="99" t="s">
        <v>26</v>
      </c>
      <c r="I31" s="30" t="s">
        <v>26</v>
      </c>
      <c r="J31" s="30" t="s">
        <v>59</v>
      </c>
      <c r="K31" s="30" t="s">
        <v>59</v>
      </c>
      <c r="L31" s="35">
        <v>17701744659</v>
      </c>
      <c r="M31" s="30" t="s">
        <v>204</v>
      </c>
      <c r="N31" s="36" t="s">
        <v>205</v>
      </c>
    </row>
    <row r="32" spans="1:14" x14ac:dyDescent="0.15">
      <c r="A32" s="31" t="s">
        <v>206</v>
      </c>
      <c r="B32" s="31" t="s">
        <v>162</v>
      </c>
      <c r="C32" s="32" t="s">
        <v>94</v>
      </c>
      <c r="D32" s="32" t="s">
        <v>94</v>
      </c>
      <c r="E32" s="32" t="s">
        <v>94</v>
      </c>
      <c r="F32" s="93"/>
      <c r="G32" s="32" t="s">
        <v>94</v>
      </c>
      <c r="H32" s="99" t="s">
        <v>11</v>
      </c>
      <c r="I32" s="30" t="s">
        <v>11</v>
      </c>
      <c r="J32" s="30" t="s">
        <v>69</v>
      </c>
      <c r="K32" s="30" t="s">
        <v>69</v>
      </c>
      <c r="L32" s="35">
        <v>17600913751</v>
      </c>
      <c r="M32" s="30" t="s">
        <v>207</v>
      </c>
      <c r="N32" s="36" t="s">
        <v>208</v>
      </c>
    </row>
    <row r="33" spans="1:14" x14ac:dyDescent="0.15">
      <c r="A33" s="32" t="s">
        <v>209</v>
      </c>
      <c r="B33" s="31" t="s">
        <v>210</v>
      </c>
      <c r="C33" s="30" t="s">
        <v>97</v>
      </c>
      <c r="D33" s="30" t="s">
        <v>931</v>
      </c>
      <c r="E33" s="30" t="s">
        <v>931</v>
      </c>
      <c r="F33" s="91"/>
      <c r="G33" s="30" t="s">
        <v>997</v>
      </c>
      <c r="H33" s="99" t="s">
        <v>27</v>
      </c>
      <c r="I33" s="30" t="s">
        <v>27</v>
      </c>
      <c r="J33" s="30" t="s">
        <v>62</v>
      </c>
      <c r="K33" s="30" t="s">
        <v>62</v>
      </c>
      <c r="L33" s="35">
        <v>13052113375</v>
      </c>
      <c r="M33" s="30" t="s">
        <v>211</v>
      </c>
      <c r="N33" s="36" t="s">
        <v>212</v>
      </c>
    </row>
    <row r="34" spans="1:14" x14ac:dyDescent="0.15">
      <c r="A34" s="31" t="s">
        <v>213</v>
      </c>
      <c r="B34" s="31" t="s">
        <v>148</v>
      </c>
      <c r="C34" s="30" t="s">
        <v>833</v>
      </c>
      <c r="D34" s="30" t="s">
        <v>833</v>
      </c>
      <c r="E34" s="30" t="s">
        <v>833</v>
      </c>
      <c r="F34" s="91"/>
      <c r="G34" s="30" t="s">
        <v>83</v>
      </c>
      <c r="H34" s="99" t="s">
        <v>27</v>
      </c>
      <c r="I34" s="30" t="s">
        <v>47</v>
      </c>
      <c r="J34" s="30" t="s">
        <v>62</v>
      </c>
      <c r="K34" s="30" t="s">
        <v>62</v>
      </c>
      <c r="L34" s="35">
        <v>13817643186</v>
      </c>
      <c r="M34" s="30" t="s">
        <v>214</v>
      </c>
      <c r="N34" s="36" t="s">
        <v>215</v>
      </c>
    </row>
    <row r="35" spans="1:14" x14ac:dyDescent="0.15">
      <c r="A35" s="32" t="s">
        <v>216</v>
      </c>
      <c r="B35" s="31" t="s">
        <v>148</v>
      </c>
      <c r="C35" s="30" t="s">
        <v>831</v>
      </c>
      <c r="D35" s="30" t="s">
        <v>831</v>
      </c>
      <c r="E35" s="91" t="s">
        <v>907</v>
      </c>
      <c r="F35" s="91" t="s">
        <v>894</v>
      </c>
      <c r="G35" s="30" t="s">
        <v>81</v>
      </c>
      <c r="H35" s="99" t="s">
        <v>27</v>
      </c>
      <c r="I35" s="30" t="s">
        <v>27</v>
      </c>
      <c r="J35" s="30" t="s">
        <v>62</v>
      </c>
      <c r="K35" s="30" t="s">
        <v>62</v>
      </c>
      <c r="L35" s="35">
        <v>15272653301</v>
      </c>
      <c r="M35" s="30" t="s">
        <v>217</v>
      </c>
      <c r="N35" s="36" t="s">
        <v>218</v>
      </c>
    </row>
    <row r="36" spans="1:14" x14ac:dyDescent="0.15">
      <c r="A36" s="32" t="s">
        <v>219</v>
      </c>
      <c r="B36" s="31" t="s">
        <v>166</v>
      </c>
      <c r="C36" s="30" t="s">
        <v>831</v>
      </c>
      <c r="D36" s="30" t="s">
        <v>831</v>
      </c>
      <c r="E36" s="91" t="s">
        <v>895</v>
      </c>
      <c r="F36" s="91" t="s">
        <v>895</v>
      </c>
      <c r="G36" s="30" t="s">
        <v>776</v>
      </c>
      <c r="H36" s="99" t="s">
        <v>28</v>
      </c>
      <c r="I36" s="30" t="s">
        <v>51</v>
      </c>
      <c r="J36" s="30" t="s">
        <v>62</v>
      </c>
      <c r="K36" s="30" t="s">
        <v>62</v>
      </c>
      <c r="L36" s="35">
        <v>15121017543</v>
      </c>
      <c r="M36" s="30" t="s">
        <v>220</v>
      </c>
      <c r="N36" s="36" t="s">
        <v>221</v>
      </c>
    </row>
    <row r="37" spans="1:14" x14ac:dyDescent="0.15">
      <c r="A37" s="30" t="s">
        <v>222</v>
      </c>
      <c r="B37" s="31" t="s">
        <v>145</v>
      </c>
      <c r="C37" s="30" t="s">
        <v>833</v>
      </c>
      <c r="D37" s="30" t="s">
        <v>833</v>
      </c>
      <c r="E37" s="30" t="s">
        <v>833</v>
      </c>
      <c r="F37" s="91"/>
      <c r="G37" s="30" t="s">
        <v>83</v>
      </c>
      <c r="H37" s="99" t="s">
        <v>11</v>
      </c>
      <c r="I37" s="30" t="s">
        <v>11</v>
      </c>
      <c r="J37" s="30" t="s">
        <v>69</v>
      </c>
      <c r="K37" s="30" t="s">
        <v>69</v>
      </c>
      <c r="L37" s="35">
        <v>15926338192</v>
      </c>
      <c r="M37" s="30" t="s">
        <v>223</v>
      </c>
      <c r="N37" s="36" t="s">
        <v>224</v>
      </c>
    </row>
    <row r="38" spans="1:14" x14ac:dyDescent="0.15">
      <c r="A38" s="30" t="s">
        <v>225</v>
      </c>
      <c r="B38" s="31" t="s">
        <v>226</v>
      </c>
      <c r="C38" s="30"/>
      <c r="D38" s="30"/>
      <c r="E38" s="30"/>
      <c r="F38" s="91"/>
      <c r="G38" s="30"/>
      <c r="H38" s="99" t="s">
        <v>19</v>
      </c>
      <c r="I38" s="30" t="s">
        <v>19</v>
      </c>
      <c r="J38" s="30" t="s">
        <v>67</v>
      </c>
      <c r="K38" s="30" t="s">
        <v>67</v>
      </c>
      <c r="L38" s="35"/>
      <c r="M38" s="30"/>
      <c r="N38" s="36" t="s">
        <v>227</v>
      </c>
    </row>
    <row r="39" spans="1:14" x14ac:dyDescent="0.15">
      <c r="A39" s="32" t="s">
        <v>228</v>
      </c>
      <c r="B39" s="31" t="s">
        <v>162</v>
      </c>
      <c r="C39" s="30" t="s">
        <v>89</v>
      </c>
      <c r="D39" s="30" t="s">
        <v>913</v>
      </c>
      <c r="E39" s="30" t="s">
        <v>913</v>
      </c>
      <c r="F39" s="91" t="s">
        <v>896</v>
      </c>
      <c r="G39" s="30" t="s">
        <v>776</v>
      </c>
      <c r="H39" s="99" t="s">
        <v>19</v>
      </c>
      <c r="I39" s="30" t="s">
        <v>19</v>
      </c>
      <c r="J39" s="30" t="s">
        <v>67</v>
      </c>
      <c r="K39" s="30" t="s">
        <v>67</v>
      </c>
      <c r="L39" s="35">
        <v>13248296546</v>
      </c>
      <c r="M39" s="30" t="s">
        <v>229</v>
      </c>
      <c r="N39" s="36" t="s">
        <v>230</v>
      </c>
    </row>
    <row r="40" spans="1:14" x14ac:dyDescent="0.15">
      <c r="A40" s="32" t="s">
        <v>231</v>
      </c>
      <c r="B40" s="31" t="s">
        <v>162</v>
      </c>
      <c r="C40" s="30" t="s">
        <v>835</v>
      </c>
      <c r="D40" s="30" t="s">
        <v>895</v>
      </c>
      <c r="E40" s="30" t="s">
        <v>895</v>
      </c>
      <c r="F40" s="91" t="s">
        <v>895</v>
      </c>
      <c r="G40" s="30" t="s">
        <v>776</v>
      </c>
      <c r="H40" s="99" t="s">
        <v>12</v>
      </c>
      <c r="I40" s="30" t="s">
        <v>12</v>
      </c>
      <c r="J40" s="30" t="s">
        <v>54</v>
      </c>
      <c r="K40" s="30" t="s">
        <v>54</v>
      </c>
      <c r="L40" s="35">
        <v>15803861026</v>
      </c>
      <c r="M40" s="30" t="s">
        <v>232</v>
      </c>
      <c r="N40" s="36" t="s">
        <v>787</v>
      </c>
    </row>
    <row r="41" spans="1:14" x14ac:dyDescent="0.15">
      <c r="A41" s="31" t="s">
        <v>234</v>
      </c>
      <c r="B41" s="31" t="s">
        <v>148</v>
      </c>
      <c r="C41" s="30" t="s">
        <v>831</v>
      </c>
      <c r="D41" s="30" t="s">
        <v>831</v>
      </c>
      <c r="E41" s="91" t="s">
        <v>907</v>
      </c>
      <c r="F41" s="91" t="s">
        <v>894</v>
      </c>
      <c r="G41" s="30" t="s">
        <v>81</v>
      </c>
      <c r="H41" s="99" t="s">
        <v>28</v>
      </c>
      <c r="I41" s="30" t="s">
        <v>28</v>
      </c>
      <c r="J41" s="30" t="s">
        <v>62</v>
      </c>
      <c r="K41" s="30" t="s">
        <v>62</v>
      </c>
      <c r="L41" s="35">
        <v>15137862710</v>
      </c>
      <c r="M41" s="30" t="s">
        <v>235</v>
      </c>
      <c r="N41" s="36" t="s">
        <v>236</v>
      </c>
    </row>
    <row r="42" spans="1:14" x14ac:dyDescent="0.15">
      <c r="A42" s="31" t="s">
        <v>237</v>
      </c>
      <c r="B42" s="31" t="s">
        <v>238</v>
      </c>
      <c r="C42" s="30" t="s">
        <v>844</v>
      </c>
      <c r="D42" s="30" t="s">
        <v>843</v>
      </c>
      <c r="E42" s="30" t="s">
        <v>843</v>
      </c>
      <c r="F42" s="91"/>
      <c r="G42" s="30" t="s">
        <v>943</v>
      </c>
      <c r="H42" s="99" t="s">
        <v>16</v>
      </c>
      <c r="I42" s="30" t="s">
        <v>16</v>
      </c>
      <c r="J42" s="30" t="s">
        <v>65</v>
      </c>
      <c r="K42" s="30" t="s">
        <v>65</v>
      </c>
      <c r="L42" s="35">
        <v>17621675166</v>
      </c>
      <c r="M42" s="30" t="s">
        <v>239</v>
      </c>
      <c r="N42" s="36" t="s">
        <v>240</v>
      </c>
    </row>
    <row r="43" spans="1:14" x14ac:dyDescent="0.15">
      <c r="A43" s="31" t="s">
        <v>241</v>
      </c>
      <c r="B43" s="31" t="s">
        <v>178</v>
      </c>
      <c r="C43" s="30" t="s">
        <v>831</v>
      </c>
      <c r="D43" s="30" t="s">
        <v>831</v>
      </c>
      <c r="E43" s="30" t="s">
        <v>831</v>
      </c>
      <c r="F43" s="91"/>
      <c r="G43" s="30" t="s">
        <v>943</v>
      </c>
      <c r="H43" s="99" t="s">
        <v>19</v>
      </c>
      <c r="I43" s="30" t="s">
        <v>19</v>
      </c>
      <c r="J43" s="30" t="s">
        <v>67</v>
      </c>
      <c r="K43" s="30" t="s">
        <v>67</v>
      </c>
      <c r="L43" s="35">
        <v>13601630480</v>
      </c>
      <c r="M43" s="30" t="s">
        <v>242</v>
      </c>
      <c r="N43" s="36" t="s">
        <v>243</v>
      </c>
    </row>
    <row r="44" spans="1:14" x14ac:dyDescent="0.15">
      <c r="A44" s="32" t="s">
        <v>244</v>
      </c>
      <c r="B44" s="31" t="s">
        <v>188</v>
      </c>
      <c r="C44" s="30" t="s">
        <v>852</v>
      </c>
      <c r="D44" s="30" t="s">
        <v>852</v>
      </c>
      <c r="E44" s="30" t="s">
        <v>852</v>
      </c>
      <c r="F44" s="91"/>
      <c r="G44" s="30" t="s">
        <v>770</v>
      </c>
      <c r="H44" s="99" t="s">
        <v>29</v>
      </c>
      <c r="I44" s="30" t="s">
        <v>29</v>
      </c>
      <c r="J44" s="30" t="s">
        <v>71</v>
      </c>
      <c r="K44" s="30" t="s">
        <v>71</v>
      </c>
      <c r="L44" s="35">
        <v>18621278768</v>
      </c>
      <c r="M44" s="30" t="s">
        <v>245</v>
      </c>
      <c r="N44" s="36" t="s">
        <v>246</v>
      </c>
    </row>
    <row r="45" spans="1:14" x14ac:dyDescent="0.15">
      <c r="A45" s="30" t="s">
        <v>247</v>
      </c>
      <c r="B45" s="30" t="s">
        <v>188</v>
      </c>
      <c r="C45" s="30" t="s">
        <v>103</v>
      </c>
      <c r="D45" s="30" t="s">
        <v>103</v>
      </c>
      <c r="E45" s="30" t="s">
        <v>103</v>
      </c>
      <c r="F45" s="91"/>
      <c r="G45" s="30" t="s">
        <v>103</v>
      </c>
      <c r="H45" s="99" t="s">
        <v>29</v>
      </c>
      <c r="I45" s="30" t="s">
        <v>29</v>
      </c>
      <c r="J45" s="30" t="s">
        <v>71</v>
      </c>
      <c r="K45" s="30" t="s">
        <v>71</v>
      </c>
      <c r="L45" s="39">
        <v>15038600851</v>
      </c>
      <c r="M45" s="30" t="s">
        <v>248</v>
      </c>
      <c r="N45" s="36" t="s">
        <v>962</v>
      </c>
    </row>
    <row r="46" spans="1:14" x14ac:dyDescent="0.15">
      <c r="A46" s="32" t="s">
        <v>250</v>
      </c>
      <c r="B46" s="31" t="s">
        <v>251</v>
      </c>
      <c r="C46" s="33" t="s">
        <v>827</v>
      </c>
      <c r="D46" s="33" t="s">
        <v>827</v>
      </c>
      <c r="E46" s="92" t="s">
        <v>907</v>
      </c>
      <c r="F46" s="92" t="s">
        <v>894</v>
      </c>
      <c r="G46" s="33" t="s">
        <v>81</v>
      </c>
      <c r="H46" s="99" t="s">
        <v>29</v>
      </c>
      <c r="I46" s="30" t="s">
        <v>29</v>
      </c>
      <c r="J46" s="30" t="s">
        <v>71</v>
      </c>
      <c r="K46" s="30" t="s">
        <v>71</v>
      </c>
      <c r="L46" s="35">
        <v>13526559102</v>
      </c>
      <c r="M46" s="30" t="s">
        <v>252</v>
      </c>
      <c r="N46" s="38" t="s">
        <v>253</v>
      </c>
    </row>
    <row r="47" spans="1:14" x14ac:dyDescent="0.15">
      <c r="A47" s="32" t="s">
        <v>254</v>
      </c>
      <c r="B47" s="31" t="s">
        <v>255</v>
      </c>
      <c r="C47" s="30" t="s">
        <v>843</v>
      </c>
      <c r="D47" s="30" t="s">
        <v>843</v>
      </c>
      <c r="E47" s="30" t="s">
        <v>843</v>
      </c>
      <c r="F47" s="91"/>
      <c r="G47" s="30" t="s">
        <v>943</v>
      </c>
      <c r="H47" s="99" t="s">
        <v>11</v>
      </c>
      <c r="I47" s="30" t="s">
        <v>46</v>
      </c>
      <c r="J47" s="30" t="s">
        <v>69</v>
      </c>
      <c r="K47" s="30" t="s">
        <v>69</v>
      </c>
      <c r="L47" s="35">
        <v>18817326705</v>
      </c>
      <c r="M47" s="30" t="s">
        <v>256</v>
      </c>
      <c r="N47" s="36" t="s">
        <v>257</v>
      </c>
    </row>
    <row r="48" spans="1:14" x14ac:dyDescent="0.15">
      <c r="A48" s="31" t="s">
        <v>258</v>
      </c>
      <c r="B48" s="31" t="s">
        <v>156</v>
      </c>
      <c r="C48" s="30" t="s">
        <v>820</v>
      </c>
      <c r="D48" s="30" t="s">
        <v>820</v>
      </c>
      <c r="E48" s="30" t="s">
        <v>820</v>
      </c>
      <c r="F48" s="91"/>
      <c r="G48" s="30" t="s">
        <v>770</v>
      </c>
      <c r="H48" s="99" t="s">
        <v>15</v>
      </c>
      <c r="I48" s="30" t="s">
        <v>15</v>
      </c>
      <c r="J48" s="30" t="s">
        <v>63</v>
      </c>
      <c r="K48" s="30" t="s">
        <v>63</v>
      </c>
      <c r="L48" s="35">
        <v>15618656040</v>
      </c>
      <c r="M48" s="30" t="s">
        <v>259</v>
      </c>
      <c r="N48" s="36" t="s">
        <v>874</v>
      </c>
    </row>
    <row r="49" spans="1:14" x14ac:dyDescent="0.15">
      <c r="A49" s="31" t="s">
        <v>260</v>
      </c>
      <c r="B49" s="31" t="s">
        <v>148</v>
      </c>
      <c r="C49" s="30" t="s">
        <v>92</v>
      </c>
      <c r="D49" s="30" t="s">
        <v>92</v>
      </c>
      <c r="E49" s="30" t="s">
        <v>92</v>
      </c>
      <c r="F49" s="91"/>
      <c r="G49" s="30" t="s">
        <v>776</v>
      </c>
      <c r="H49" s="99" t="s">
        <v>28</v>
      </c>
      <c r="I49" s="30" t="s">
        <v>28</v>
      </c>
      <c r="J49" s="30" t="s">
        <v>62</v>
      </c>
      <c r="K49" s="30" t="s">
        <v>62</v>
      </c>
      <c r="L49" s="35">
        <v>15721535804</v>
      </c>
      <c r="M49" s="30" t="s">
        <v>261</v>
      </c>
      <c r="N49" s="36" t="s">
        <v>262</v>
      </c>
    </row>
    <row r="50" spans="1:14" x14ac:dyDescent="0.15">
      <c r="A50" s="30" t="s">
        <v>263</v>
      </c>
      <c r="B50" s="31" t="s">
        <v>238</v>
      </c>
      <c r="C50" s="30" t="s">
        <v>865</v>
      </c>
      <c r="D50" s="30" t="s">
        <v>865</v>
      </c>
      <c r="E50" s="30" t="s">
        <v>865</v>
      </c>
      <c r="F50" s="91"/>
      <c r="G50" s="30" t="s">
        <v>865</v>
      </c>
      <c r="H50" s="99" t="s">
        <v>11</v>
      </c>
      <c r="I50" s="30" t="s">
        <v>11</v>
      </c>
      <c r="J50" s="30" t="s">
        <v>69</v>
      </c>
      <c r="K50" s="30" t="s">
        <v>69</v>
      </c>
      <c r="L50" s="35">
        <v>15751869621</v>
      </c>
      <c r="M50" s="30" t="s">
        <v>264</v>
      </c>
      <c r="N50" s="36" t="s">
        <v>963</v>
      </c>
    </row>
    <row r="51" spans="1:14" x14ac:dyDescent="0.15">
      <c r="A51" s="32" t="s">
        <v>265</v>
      </c>
      <c r="B51" s="31" t="s">
        <v>188</v>
      </c>
      <c r="C51" s="30" t="s">
        <v>813</v>
      </c>
      <c r="D51" s="30" t="s">
        <v>813</v>
      </c>
      <c r="E51" s="30" t="s">
        <v>813</v>
      </c>
      <c r="F51" s="91"/>
      <c r="G51" s="30" t="s">
        <v>83</v>
      </c>
      <c r="H51" s="99" t="s">
        <v>29</v>
      </c>
      <c r="I51" s="30" t="s">
        <v>29</v>
      </c>
      <c r="J51" s="30" t="s">
        <v>71</v>
      </c>
      <c r="K51" s="30" t="s">
        <v>71</v>
      </c>
      <c r="L51" s="35">
        <v>17621597440</v>
      </c>
      <c r="M51" s="30" t="s">
        <v>266</v>
      </c>
      <c r="N51" s="36" t="s">
        <v>267</v>
      </c>
    </row>
    <row r="52" spans="1:14" x14ac:dyDescent="0.15">
      <c r="A52" s="31" t="s">
        <v>268</v>
      </c>
      <c r="B52" s="31" t="s">
        <v>152</v>
      </c>
      <c r="C52" s="30"/>
      <c r="D52" s="30" t="s">
        <v>933</v>
      </c>
      <c r="E52" s="30" t="s">
        <v>933</v>
      </c>
      <c r="F52" s="91"/>
      <c r="G52" s="30" t="s">
        <v>818</v>
      </c>
      <c r="H52" s="99" t="s">
        <v>11</v>
      </c>
      <c r="I52" s="30" t="s">
        <v>11</v>
      </c>
      <c r="J52" s="30" t="s">
        <v>69</v>
      </c>
      <c r="K52" s="30" t="s">
        <v>69</v>
      </c>
      <c r="L52" s="35">
        <v>15921789784</v>
      </c>
      <c r="M52" s="30" t="s">
        <v>269</v>
      </c>
      <c r="N52" s="36" t="s">
        <v>270</v>
      </c>
    </row>
    <row r="53" spans="1:14" x14ac:dyDescent="0.15">
      <c r="A53" s="31" t="s">
        <v>271</v>
      </c>
      <c r="B53" s="31" t="s">
        <v>145</v>
      </c>
      <c r="C53" s="33" t="s">
        <v>827</v>
      </c>
      <c r="D53" s="33" t="s">
        <v>827</v>
      </c>
      <c r="E53" s="92" t="s">
        <v>907</v>
      </c>
      <c r="F53" s="92" t="s">
        <v>894</v>
      </c>
      <c r="G53" s="33" t="s">
        <v>81</v>
      </c>
      <c r="H53" s="99" t="s">
        <v>29</v>
      </c>
      <c r="I53" s="30" t="s">
        <v>29</v>
      </c>
      <c r="J53" s="30" t="s">
        <v>71</v>
      </c>
      <c r="K53" s="30" t="s">
        <v>71</v>
      </c>
      <c r="L53" s="35">
        <v>18917713389</v>
      </c>
      <c r="M53" s="30" t="s">
        <v>272</v>
      </c>
      <c r="N53" s="38" t="s">
        <v>273</v>
      </c>
    </row>
    <row r="54" spans="1:14" x14ac:dyDescent="0.15">
      <c r="A54" s="32" t="s">
        <v>274</v>
      </c>
      <c r="B54" s="31" t="s">
        <v>255</v>
      </c>
      <c r="C54" s="30" t="s">
        <v>848</v>
      </c>
      <c r="D54" s="30" t="s">
        <v>926</v>
      </c>
      <c r="E54" s="30"/>
      <c r="F54" s="91"/>
      <c r="G54" s="30" t="s">
        <v>818</v>
      </c>
      <c r="H54" s="99" t="s">
        <v>28</v>
      </c>
      <c r="I54" s="30" t="s">
        <v>51</v>
      </c>
      <c r="J54" s="30" t="s">
        <v>62</v>
      </c>
      <c r="K54" s="30" t="s">
        <v>62</v>
      </c>
      <c r="L54" s="35">
        <v>18717798617</v>
      </c>
      <c r="M54" s="30" t="s">
        <v>275</v>
      </c>
      <c r="N54" s="36" t="s">
        <v>276</v>
      </c>
    </row>
    <row r="55" spans="1:14" x14ac:dyDescent="0.15">
      <c r="A55" s="31" t="s">
        <v>277</v>
      </c>
      <c r="B55" s="31" t="s">
        <v>188</v>
      </c>
      <c r="C55" s="30" t="s">
        <v>831</v>
      </c>
      <c r="D55" s="30" t="s">
        <v>831</v>
      </c>
      <c r="E55" s="91" t="s">
        <v>907</v>
      </c>
      <c r="F55" s="91" t="s">
        <v>894</v>
      </c>
      <c r="G55" s="32" t="s">
        <v>81</v>
      </c>
      <c r="H55" s="99" t="s">
        <v>29</v>
      </c>
      <c r="I55" s="30" t="s">
        <v>29</v>
      </c>
      <c r="J55" s="30" t="s">
        <v>71</v>
      </c>
      <c r="K55" s="30" t="s">
        <v>71</v>
      </c>
      <c r="L55" s="35">
        <v>13122528699</v>
      </c>
      <c r="M55" s="30" t="s">
        <v>278</v>
      </c>
      <c r="N55" s="36" t="s">
        <v>279</v>
      </c>
    </row>
    <row r="56" spans="1:14" x14ac:dyDescent="0.15">
      <c r="A56" s="32" t="s">
        <v>280</v>
      </c>
      <c r="B56" s="31" t="s">
        <v>148</v>
      </c>
      <c r="C56" s="33" t="s">
        <v>827</v>
      </c>
      <c r="D56" s="33" t="s">
        <v>928</v>
      </c>
      <c r="E56" s="30" t="s">
        <v>996</v>
      </c>
      <c r="F56" s="92"/>
      <c r="G56" s="30" t="s">
        <v>770</v>
      </c>
      <c r="H56" s="99" t="s">
        <v>27</v>
      </c>
      <c r="I56" s="30" t="s">
        <v>27</v>
      </c>
      <c r="J56" s="30" t="s">
        <v>61</v>
      </c>
      <c r="K56" s="30" t="s">
        <v>61</v>
      </c>
      <c r="L56" s="35">
        <v>13522590361</v>
      </c>
      <c r="M56" s="30" t="s">
        <v>281</v>
      </c>
      <c r="N56" s="38" t="s">
        <v>282</v>
      </c>
    </row>
    <row r="57" spans="1:14" x14ac:dyDescent="0.15">
      <c r="A57" s="32" t="s">
        <v>283</v>
      </c>
      <c r="B57" s="31" t="s">
        <v>255</v>
      </c>
      <c r="C57" s="30" t="s">
        <v>850</v>
      </c>
      <c r="D57" s="30" t="s">
        <v>903</v>
      </c>
      <c r="E57" s="30" t="s">
        <v>903</v>
      </c>
      <c r="F57" s="91"/>
      <c r="G57" s="75" t="s">
        <v>770</v>
      </c>
      <c r="H57" s="99" t="s">
        <v>26</v>
      </c>
      <c r="I57" s="30" t="s">
        <v>52</v>
      </c>
      <c r="J57" s="30" t="s">
        <v>62</v>
      </c>
      <c r="K57" s="30" t="s">
        <v>62</v>
      </c>
      <c r="L57" s="35">
        <v>18672371609</v>
      </c>
      <c r="M57" s="30" t="s">
        <v>284</v>
      </c>
      <c r="N57" s="36" t="s">
        <v>788</v>
      </c>
    </row>
    <row r="58" spans="1:14" x14ac:dyDescent="0.15">
      <c r="A58" s="31" t="s">
        <v>285</v>
      </c>
      <c r="B58" s="31" t="s">
        <v>162</v>
      </c>
      <c r="C58" s="30" t="s">
        <v>94</v>
      </c>
      <c r="D58" s="30" t="s">
        <v>94</v>
      </c>
      <c r="E58" s="30" t="s">
        <v>94</v>
      </c>
      <c r="F58" s="91"/>
      <c r="G58" s="30" t="s">
        <v>94</v>
      </c>
      <c r="H58" s="99" t="s">
        <v>12</v>
      </c>
      <c r="I58" s="30" t="s">
        <v>12</v>
      </c>
      <c r="J58" s="30" t="s">
        <v>54</v>
      </c>
      <c r="K58" s="30" t="s">
        <v>54</v>
      </c>
      <c r="L58" s="35">
        <v>13795478455</v>
      </c>
      <c r="M58" s="32" t="s">
        <v>286</v>
      </c>
      <c r="N58" s="36" t="s">
        <v>208</v>
      </c>
    </row>
    <row r="59" spans="1:14" x14ac:dyDescent="0.15">
      <c r="A59" s="30" t="s">
        <v>287</v>
      </c>
      <c r="B59" s="30" t="s">
        <v>145</v>
      </c>
      <c r="C59" s="30" t="s">
        <v>843</v>
      </c>
      <c r="D59" s="30" t="s">
        <v>843</v>
      </c>
      <c r="E59" s="30" t="s">
        <v>843</v>
      </c>
      <c r="F59" s="91"/>
      <c r="G59" s="30" t="s">
        <v>943</v>
      </c>
      <c r="H59" s="99" t="s">
        <v>16</v>
      </c>
      <c r="I59" s="30" t="s">
        <v>16</v>
      </c>
      <c r="J59" s="30" t="s">
        <v>65</v>
      </c>
      <c r="K59" s="30" t="s">
        <v>65</v>
      </c>
      <c r="L59" s="35">
        <v>13472408123</v>
      </c>
      <c r="M59" s="30" t="s">
        <v>288</v>
      </c>
      <c r="N59" s="36" t="s">
        <v>289</v>
      </c>
    </row>
    <row r="60" spans="1:14" x14ac:dyDescent="0.15">
      <c r="A60" s="32" t="s">
        <v>290</v>
      </c>
      <c r="B60" s="31" t="s">
        <v>210</v>
      </c>
      <c r="C60" s="33" t="s">
        <v>827</v>
      </c>
      <c r="D60" s="33" t="s">
        <v>827</v>
      </c>
      <c r="E60" s="92" t="s">
        <v>907</v>
      </c>
      <c r="F60" s="92" t="s">
        <v>894</v>
      </c>
      <c r="G60" s="30" t="s">
        <v>81</v>
      </c>
      <c r="H60" s="99" t="s">
        <v>27</v>
      </c>
      <c r="I60" s="30" t="s">
        <v>27</v>
      </c>
      <c r="J60" s="30" t="s">
        <v>61</v>
      </c>
      <c r="K60" s="30" t="s">
        <v>61</v>
      </c>
      <c r="L60" s="35">
        <v>13698813155</v>
      </c>
      <c r="M60" s="30" t="s">
        <v>291</v>
      </c>
      <c r="N60" s="38" t="s">
        <v>292</v>
      </c>
    </row>
    <row r="61" spans="1:14" ht="14.25" customHeight="1" x14ac:dyDescent="0.15">
      <c r="A61" s="32" t="s">
        <v>293</v>
      </c>
      <c r="B61" s="31" t="s">
        <v>226</v>
      </c>
      <c r="C61" s="33" t="s">
        <v>827</v>
      </c>
      <c r="D61" s="33" t="s">
        <v>827</v>
      </c>
      <c r="E61" s="33" t="s">
        <v>827</v>
      </c>
      <c r="F61" s="92"/>
      <c r="G61" s="30" t="s">
        <v>943</v>
      </c>
      <c r="H61" s="99" t="s">
        <v>29</v>
      </c>
      <c r="I61" s="30" t="s">
        <v>29</v>
      </c>
      <c r="J61" s="30" t="s">
        <v>71</v>
      </c>
      <c r="K61" s="30" t="s">
        <v>71</v>
      </c>
      <c r="L61" s="35">
        <v>15000302711</v>
      </c>
      <c r="M61" s="30" t="s">
        <v>294</v>
      </c>
      <c r="N61" s="38" t="s">
        <v>295</v>
      </c>
    </row>
    <row r="62" spans="1:14" x14ac:dyDescent="0.15">
      <c r="A62" s="30" t="s">
        <v>296</v>
      </c>
      <c r="B62" s="30" t="s">
        <v>210</v>
      </c>
      <c r="C62" s="30" t="s">
        <v>833</v>
      </c>
      <c r="D62" s="30" t="s">
        <v>833</v>
      </c>
      <c r="E62" s="30" t="s">
        <v>833</v>
      </c>
      <c r="F62" s="91"/>
      <c r="G62" s="30" t="s">
        <v>83</v>
      </c>
      <c r="H62" s="99" t="s">
        <v>27</v>
      </c>
      <c r="I62" s="30" t="s">
        <v>27</v>
      </c>
      <c r="J62" s="30" t="s">
        <v>62</v>
      </c>
      <c r="K62" s="30" t="s">
        <v>62</v>
      </c>
      <c r="L62" s="35">
        <v>18539650795</v>
      </c>
      <c r="M62" s="30" t="s">
        <v>297</v>
      </c>
      <c r="N62" s="36" t="s">
        <v>789</v>
      </c>
    </row>
    <row r="63" spans="1:14" x14ac:dyDescent="0.15">
      <c r="A63" s="32" t="s">
        <v>298</v>
      </c>
      <c r="B63" s="31" t="s">
        <v>145</v>
      </c>
      <c r="C63" s="30" t="s">
        <v>846</v>
      </c>
      <c r="D63" s="30" t="s">
        <v>846</v>
      </c>
      <c r="E63" s="30" t="s">
        <v>846</v>
      </c>
      <c r="F63" s="91"/>
      <c r="G63" s="30" t="s">
        <v>943</v>
      </c>
      <c r="H63" s="99" t="s">
        <v>29</v>
      </c>
      <c r="I63" s="30" t="s">
        <v>29</v>
      </c>
      <c r="J63" s="30" t="s">
        <v>71</v>
      </c>
      <c r="K63" s="30" t="s">
        <v>71</v>
      </c>
      <c r="L63" s="35">
        <v>18530047731</v>
      </c>
      <c r="M63" s="30" t="s">
        <v>299</v>
      </c>
      <c r="N63" s="36" t="s">
        <v>300</v>
      </c>
    </row>
    <row r="64" spans="1:14" x14ac:dyDescent="0.15">
      <c r="A64" s="31" t="s">
        <v>301</v>
      </c>
      <c r="B64" s="31" t="s">
        <v>162</v>
      </c>
      <c r="C64" s="30" t="s">
        <v>848</v>
      </c>
      <c r="D64" s="30"/>
      <c r="E64" s="30"/>
      <c r="F64" s="91"/>
      <c r="G64" s="30"/>
      <c r="H64" s="99" t="s">
        <v>19</v>
      </c>
      <c r="I64" s="30" t="s">
        <v>19</v>
      </c>
      <c r="J64" s="30" t="s">
        <v>67</v>
      </c>
      <c r="K64" s="30" t="s">
        <v>67</v>
      </c>
      <c r="L64" s="35">
        <v>15262615675</v>
      </c>
      <c r="M64" s="37" t="s">
        <v>302</v>
      </c>
      <c r="N64" s="36" t="s">
        <v>303</v>
      </c>
    </row>
    <row r="65" spans="1:14" x14ac:dyDescent="0.15">
      <c r="A65" s="31" t="s">
        <v>304</v>
      </c>
      <c r="B65" s="31" t="s">
        <v>166</v>
      </c>
      <c r="C65" s="30" t="s">
        <v>843</v>
      </c>
      <c r="D65" s="30" t="s">
        <v>843</v>
      </c>
      <c r="E65" s="30" t="s">
        <v>843</v>
      </c>
      <c r="F65" s="91"/>
      <c r="G65" s="30" t="s">
        <v>943</v>
      </c>
      <c r="H65" s="99" t="s">
        <v>27</v>
      </c>
      <c r="I65" s="30" t="s">
        <v>49</v>
      </c>
      <c r="J65" s="30" t="s">
        <v>61</v>
      </c>
      <c r="K65" s="30" t="s">
        <v>61</v>
      </c>
      <c r="L65" s="39">
        <v>13764514223</v>
      </c>
      <c r="M65" s="30"/>
      <c r="N65" s="36" t="s">
        <v>305</v>
      </c>
    </row>
    <row r="66" spans="1:14" x14ac:dyDescent="0.15">
      <c r="A66" s="31" t="s">
        <v>306</v>
      </c>
      <c r="B66" s="31" t="s">
        <v>307</v>
      </c>
      <c r="C66" s="30" t="s">
        <v>838</v>
      </c>
      <c r="D66" s="30" t="s">
        <v>820</v>
      </c>
      <c r="E66" s="30" t="s">
        <v>820</v>
      </c>
      <c r="F66" s="91"/>
      <c r="G66" s="30" t="s">
        <v>83</v>
      </c>
      <c r="H66" s="99" t="s">
        <v>26</v>
      </c>
      <c r="I66" s="30" t="s">
        <v>26</v>
      </c>
      <c r="J66" s="30" t="s">
        <v>59</v>
      </c>
      <c r="K66" s="30" t="s">
        <v>59</v>
      </c>
      <c r="L66" s="35">
        <v>13764327990</v>
      </c>
      <c r="M66" s="30" t="s">
        <v>308</v>
      </c>
      <c r="N66" s="36" t="s">
        <v>309</v>
      </c>
    </row>
    <row r="67" spans="1:14" x14ac:dyDescent="0.15">
      <c r="A67" s="31" t="s">
        <v>310</v>
      </c>
      <c r="B67" s="31" t="s">
        <v>148</v>
      </c>
      <c r="C67" s="30" t="s">
        <v>813</v>
      </c>
      <c r="D67" s="30" t="s">
        <v>813</v>
      </c>
      <c r="E67" s="30" t="s">
        <v>813</v>
      </c>
      <c r="F67" s="91"/>
      <c r="G67" s="30" t="s">
        <v>83</v>
      </c>
      <c r="H67" s="99" t="s">
        <v>28</v>
      </c>
      <c r="I67" s="30" t="s">
        <v>28</v>
      </c>
      <c r="J67" s="30" t="s">
        <v>62</v>
      </c>
      <c r="K67" s="30" t="s">
        <v>62</v>
      </c>
      <c r="L67" s="35">
        <v>15238652181</v>
      </c>
      <c r="M67" s="30" t="s">
        <v>311</v>
      </c>
      <c r="N67" s="36" t="s">
        <v>875</v>
      </c>
    </row>
    <row r="68" spans="1:14" x14ac:dyDescent="0.15">
      <c r="A68" s="32" t="s">
        <v>313</v>
      </c>
      <c r="B68" s="31" t="s">
        <v>314</v>
      </c>
      <c r="C68" s="30" t="s">
        <v>820</v>
      </c>
      <c r="D68" s="30" t="s">
        <v>820</v>
      </c>
      <c r="E68" s="30" t="s">
        <v>820</v>
      </c>
      <c r="F68" s="91"/>
      <c r="G68" s="30" t="s">
        <v>770</v>
      </c>
      <c r="H68" s="99" t="s">
        <v>29</v>
      </c>
      <c r="I68" s="30" t="s">
        <v>29</v>
      </c>
      <c r="J68" s="30" t="s">
        <v>71</v>
      </c>
      <c r="K68" s="30" t="s">
        <v>71</v>
      </c>
      <c r="L68" s="35">
        <v>13053179212</v>
      </c>
      <c r="M68" s="30" t="s">
        <v>315</v>
      </c>
      <c r="N68" s="36" t="s">
        <v>876</v>
      </c>
    </row>
    <row r="69" spans="1:14" x14ac:dyDescent="0.15">
      <c r="A69" s="32" t="s">
        <v>316</v>
      </c>
      <c r="B69" s="31" t="s">
        <v>255</v>
      </c>
      <c r="C69" s="30" t="s">
        <v>820</v>
      </c>
      <c r="D69" s="30" t="s">
        <v>820</v>
      </c>
      <c r="E69" s="30" t="s">
        <v>820</v>
      </c>
      <c r="F69" s="91"/>
      <c r="G69" s="30" t="s">
        <v>770</v>
      </c>
      <c r="H69" s="99" t="s">
        <v>28</v>
      </c>
      <c r="I69" s="30" t="s">
        <v>51</v>
      </c>
      <c r="J69" s="30" t="s">
        <v>61</v>
      </c>
      <c r="K69" s="30" t="s">
        <v>61</v>
      </c>
      <c r="L69" s="35">
        <v>18801770121</v>
      </c>
      <c r="M69" s="30" t="s">
        <v>317</v>
      </c>
      <c r="N69" s="36" t="s">
        <v>318</v>
      </c>
    </row>
    <row r="70" spans="1:14" x14ac:dyDescent="0.15">
      <c r="A70" s="31" t="s">
        <v>319</v>
      </c>
      <c r="B70" s="31" t="s">
        <v>148</v>
      </c>
      <c r="C70" s="30" t="s">
        <v>97</v>
      </c>
      <c r="D70" s="30" t="s">
        <v>901</v>
      </c>
      <c r="E70" s="30" t="s">
        <v>901</v>
      </c>
      <c r="F70" s="91"/>
      <c r="G70" s="30" t="s">
        <v>96</v>
      </c>
      <c r="H70" s="99" t="s">
        <v>28</v>
      </c>
      <c r="I70" s="30" t="s">
        <v>28</v>
      </c>
      <c r="J70" s="30" t="s">
        <v>62</v>
      </c>
      <c r="K70" s="30" t="s">
        <v>62</v>
      </c>
      <c r="L70" s="35">
        <v>13501973116</v>
      </c>
      <c r="M70" s="30" t="s">
        <v>320</v>
      </c>
      <c r="N70" s="36" t="s">
        <v>321</v>
      </c>
    </row>
    <row r="71" spans="1:14" x14ac:dyDescent="0.15">
      <c r="A71" s="32" t="s">
        <v>322</v>
      </c>
      <c r="B71" s="31" t="s">
        <v>152</v>
      </c>
      <c r="C71" s="30" t="s">
        <v>92</v>
      </c>
      <c r="D71" s="30" t="s">
        <v>92</v>
      </c>
      <c r="E71" s="30" t="s">
        <v>92</v>
      </c>
      <c r="F71" s="91"/>
      <c r="G71" s="30" t="s">
        <v>936</v>
      </c>
      <c r="H71" s="99" t="s">
        <v>26</v>
      </c>
      <c r="I71" s="30" t="s">
        <v>26</v>
      </c>
      <c r="J71" s="30" t="s">
        <v>59</v>
      </c>
      <c r="K71" s="30" t="s">
        <v>59</v>
      </c>
      <c r="L71" s="35">
        <v>18917051607</v>
      </c>
      <c r="M71" s="30" t="s">
        <v>323</v>
      </c>
      <c r="N71" s="36" t="s">
        <v>324</v>
      </c>
    </row>
    <row r="72" spans="1:14" x14ac:dyDescent="0.15">
      <c r="A72" s="32" t="s">
        <v>325</v>
      </c>
      <c r="B72" s="31" t="s">
        <v>326</v>
      </c>
      <c r="C72" s="33" t="s">
        <v>827</v>
      </c>
      <c r="D72" s="33" t="s">
        <v>827</v>
      </c>
      <c r="E72" s="33" t="s">
        <v>907</v>
      </c>
      <c r="F72" s="92" t="s">
        <v>894</v>
      </c>
      <c r="G72" s="30" t="s">
        <v>81</v>
      </c>
      <c r="H72" s="99" t="s">
        <v>26</v>
      </c>
      <c r="I72" s="30" t="s">
        <v>26</v>
      </c>
      <c r="J72" s="30" t="s">
        <v>60</v>
      </c>
      <c r="K72" s="30" t="s">
        <v>60</v>
      </c>
      <c r="L72" s="35">
        <v>18521302776</v>
      </c>
      <c r="M72" s="30" t="s">
        <v>327</v>
      </c>
      <c r="N72" s="38" t="s">
        <v>328</v>
      </c>
    </row>
    <row r="73" spans="1:14" x14ac:dyDescent="0.15">
      <c r="A73" s="30" t="s">
        <v>329</v>
      </c>
      <c r="B73" s="30" t="s">
        <v>238</v>
      </c>
      <c r="C73" s="33" t="s">
        <v>827</v>
      </c>
      <c r="D73" s="33" t="s">
        <v>827</v>
      </c>
      <c r="E73" s="92" t="s">
        <v>895</v>
      </c>
      <c r="F73" s="92" t="s">
        <v>895</v>
      </c>
      <c r="G73" s="30" t="s">
        <v>81</v>
      </c>
      <c r="H73" s="99" t="s">
        <v>19</v>
      </c>
      <c r="I73" s="30" t="s">
        <v>19</v>
      </c>
      <c r="J73" s="30" t="s">
        <v>67</v>
      </c>
      <c r="K73" s="30" t="s">
        <v>67</v>
      </c>
      <c r="L73" s="35">
        <v>15000478926</v>
      </c>
      <c r="M73" s="32" t="s">
        <v>330</v>
      </c>
      <c r="N73" s="38" t="s">
        <v>331</v>
      </c>
    </row>
    <row r="74" spans="1:14" x14ac:dyDescent="0.15">
      <c r="A74" s="32" t="s">
        <v>332</v>
      </c>
      <c r="B74" s="31" t="s">
        <v>255</v>
      </c>
      <c r="C74" s="30" t="s">
        <v>846</v>
      </c>
      <c r="D74" s="30" t="s">
        <v>846</v>
      </c>
      <c r="E74" s="30" t="s">
        <v>895</v>
      </c>
      <c r="F74" s="30" t="s">
        <v>895</v>
      </c>
      <c r="G74" s="30" t="s">
        <v>776</v>
      </c>
      <c r="H74" s="99" t="s">
        <v>25</v>
      </c>
      <c r="I74" s="30" t="s">
        <v>51</v>
      </c>
      <c r="J74" s="30" t="s">
        <v>59</v>
      </c>
      <c r="K74" s="30" t="s">
        <v>59</v>
      </c>
      <c r="L74" s="35">
        <v>19901703891</v>
      </c>
      <c r="M74" s="30" t="s">
        <v>333</v>
      </c>
      <c r="N74" s="36" t="s">
        <v>334</v>
      </c>
    </row>
    <row r="75" spans="1:14" x14ac:dyDescent="0.15">
      <c r="A75" s="32" t="s">
        <v>335</v>
      </c>
      <c r="B75" s="31" t="s">
        <v>145</v>
      </c>
      <c r="C75" s="30" t="s">
        <v>833</v>
      </c>
      <c r="D75" s="30" t="s">
        <v>833</v>
      </c>
      <c r="E75" s="30" t="s">
        <v>833</v>
      </c>
      <c r="F75" s="91"/>
      <c r="G75" s="30" t="s">
        <v>83</v>
      </c>
      <c r="H75" s="99" t="s">
        <v>19</v>
      </c>
      <c r="I75" s="32" t="s">
        <v>19</v>
      </c>
      <c r="J75" s="30" t="s">
        <v>67</v>
      </c>
      <c r="K75" s="30" t="s">
        <v>67</v>
      </c>
      <c r="L75" s="35">
        <v>18354266162</v>
      </c>
      <c r="M75" s="37" t="s">
        <v>336</v>
      </c>
      <c r="N75" s="36" t="s">
        <v>790</v>
      </c>
    </row>
    <row r="76" spans="1:14" x14ac:dyDescent="0.15">
      <c r="A76" s="31" t="s">
        <v>337</v>
      </c>
      <c r="B76" s="31" t="s">
        <v>152</v>
      </c>
      <c r="C76" s="33" t="s">
        <v>837</v>
      </c>
      <c r="D76" s="33" t="s">
        <v>837</v>
      </c>
      <c r="E76" s="33" t="s">
        <v>837</v>
      </c>
      <c r="F76" s="92"/>
      <c r="G76" s="32" t="s">
        <v>81</v>
      </c>
      <c r="H76" s="99" t="s">
        <v>28</v>
      </c>
      <c r="I76" s="30" t="s">
        <v>28</v>
      </c>
      <c r="J76" s="30" t="s">
        <v>62</v>
      </c>
      <c r="K76" s="30" t="s">
        <v>62</v>
      </c>
      <c r="L76" s="35">
        <v>13918379524</v>
      </c>
      <c r="M76" s="30" t="s">
        <v>338</v>
      </c>
      <c r="N76" s="36" t="s">
        <v>339</v>
      </c>
    </row>
    <row r="77" spans="1:14" x14ac:dyDescent="0.15">
      <c r="A77" s="32" t="s">
        <v>340</v>
      </c>
      <c r="B77" s="31" t="s">
        <v>178</v>
      </c>
      <c r="C77" s="30"/>
      <c r="D77" s="30" t="s">
        <v>926</v>
      </c>
      <c r="E77" s="30" t="s">
        <v>996</v>
      </c>
      <c r="F77" s="91"/>
      <c r="G77" s="30" t="s">
        <v>770</v>
      </c>
      <c r="H77" s="99" t="s">
        <v>25</v>
      </c>
      <c r="I77" s="30" t="s">
        <v>25</v>
      </c>
      <c r="J77" s="30" t="s">
        <v>60</v>
      </c>
      <c r="K77" s="30" t="s">
        <v>60</v>
      </c>
      <c r="L77" s="35">
        <v>15801897800</v>
      </c>
      <c r="M77" s="30" t="s">
        <v>341</v>
      </c>
      <c r="N77" s="36" t="s">
        <v>342</v>
      </c>
    </row>
    <row r="78" spans="1:14" x14ac:dyDescent="0.15">
      <c r="A78" s="34" t="s">
        <v>343</v>
      </c>
      <c r="B78" s="31" t="s">
        <v>182</v>
      </c>
      <c r="C78" s="30" t="s">
        <v>831</v>
      </c>
      <c r="D78" s="30" t="s">
        <v>831</v>
      </c>
      <c r="E78" s="91" t="s">
        <v>907</v>
      </c>
      <c r="F78" s="30" t="s">
        <v>894</v>
      </c>
      <c r="G78" s="30" t="s">
        <v>81</v>
      </c>
      <c r="H78" s="99" t="s">
        <v>28</v>
      </c>
      <c r="I78" s="30" t="s">
        <v>28</v>
      </c>
      <c r="J78" s="30" t="s">
        <v>62</v>
      </c>
      <c r="K78" s="30" t="s">
        <v>62</v>
      </c>
      <c r="L78" s="35">
        <v>18149757546</v>
      </c>
      <c r="M78" s="30" t="s">
        <v>344</v>
      </c>
      <c r="N78" s="36" t="s">
        <v>345</v>
      </c>
    </row>
    <row r="79" spans="1:14" x14ac:dyDescent="0.15">
      <c r="A79" s="32" t="s">
        <v>800</v>
      </c>
      <c r="B79" s="31" t="s">
        <v>162</v>
      </c>
      <c r="C79" s="30" t="s">
        <v>834</v>
      </c>
      <c r="D79" s="30" t="s">
        <v>833</v>
      </c>
      <c r="E79" s="30" t="s">
        <v>833</v>
      </c>
      <c r="F79" s="91"/>
      <c r="G79" s="30" t="s">
        <v>770</v>
      </c>
      <c r="H79" s="99" t="s">
        <v>19</v>
      </c>
      <c r="I79" s="30" t="s">
        <v>19</v>
      </c>
      <c r="J79" s="30" t="s">
        <v>67</v>
      </c>
      <c r="K79" s="30" t="s">
        <v>67</v>
      </c>
      <c r="L79" s="35">
        <v>13585689749</v>
      </c>
      <c r="M79" s="30" t="s">
        <v>346</v>
      </c>
      <c r="N79" s="36" t="s">
        <v>347</v>
      </c>
    </row>
    <row r="80" spans="1:14" ht="24" customHeight="1" x14ac:dyDescent="0.15">
      <c r="A80" s="31" t="s">
        <v>348</v>
      </c>
      <c r="B80" s="31" t="s">
        <v>255</v>
      </c>
      <c r="C80" s="30" t="s">
        <v>839</v>
      </c>
      <c r="D80" s="30"/>
      <c r="E80" s="30" t="s">
        <v>933</v>
      </c>
      <c r="F80" s="91"/>
      <c r="G80" s="30" t="s">
        <v>818</v>
      </c>
      <c r="H80" s="99" t="s">
        <v>26</v>
      </c>
      <c r="I80" s="30" t="s">
        <v>52</v>
      </c>
      <c r="J80" s="30" t="s">
        <v>62</v>
      </c>
      <c r="K80" s="30" t="s">
        <v>62</v>
      </c>
      <c r="L80" s="35">
        <v>13262860318</v>
      </c>
      <c r="M80" s="30" t="s">
        <v>349</v>
      </c>
      <c r="N80" s="36" t="s">
        <v>350</v>
      </c>
    </row>
    <row r="81" spans="1:14" x14ac:dyDescent="0.15">
      <c r="A81" s="32" t="s">
        <v>19</v>
      </c>
      <c r="B81" s="31" t="s">
        <v>351</v>
      </c>
      <c r="C81" s="30" t="s">
        <v>103</v>
      </c>
      <c r="D81" s="30" t="s">
        <v>103</v>
      </c>
      <c r="E81" s="30" t="s">
        <v>103</v>
      </c>
      <c r="F81" s="91"/>
      <c r="G81" s="30" t="s">
        <v>103</v>
      </c>
      <c r="H81" s="99" t="s">
        <v>19</v>
      </c>
      <c r="I81" s="30" t="s">
        <v>19</v>
      </c>
      <c r="J81" s="30" t="s">
        <v>67</v>
      </c>
      <c r="K81" s="30" t="s">
        <v>67</v>
      </c>
      <c r="L81" s="35">
        <v>13989452181</v>
      </c>
      <c r="M81" s="30" t="s">
        <v>352</v>
      </c>
      <c r="N81" s="36" t="s">
        <v>353</v>
      </c>
    </row>
    <row r="82" spans="1:14" x14ac:dyDescent="0.15">
      <c r="A82" s="30" t="s">
        <v>354</v>
      </c>
      <c r="B82" s="31" t="s">
        <v>148</v>
      </c>
      <c r="C82" s="30" t="s">
        <v>831</v>
      </c>
      <c r="D82" s="30" t="s">
        <v>831</v>
      </c>
      <c r="E82" s="30" t="s">
        <v>831</v>
      </c>
      <c r="F82" s="92"/>
      <c r="G82" s="30" t="s">
        <v>943</v>
      </c>
      <c r="H82" s="99" t="s">
        <v>25</v>
      </c>
      <c r="I82" s="30" t="s">
        <v>25</v>
      </c>
      <c r="J82" s="30" t="s">
        <v>61</v>
      </c>
      <c r="K82" s="30" t="s">
        <v>61</v>
      </c>
      <c r="L82" s="35">
        <v>15000567035</v>
      </c>
      <c r="M82" s="30" t="s">
        <v>355</v>
      </c>
      <c r="N82" s="36" t="s">
        <v>356</v>
      </c>
    </row>
    <row r="83" spans="1:14" x14ac:dyDescent="0.15">
      <c r="A83" s="31" t="s">
        <v>357</v>
      </c>
      <c r="B83" s="31" t="s">
        <v>238</v>
      </c>
      <c r="C83" s="30" t="s">
        <v>798</v>
      </c>
      <c r="D83" s="30" t="s">
        <v>939</v>
      </c>
      <c r="E83" s="30"/>
      <c r="F83" s="92"/>
      <c r="G83" s="30"/>
      <c r="H83" s="99" t="s">
        <v>12</v>
      </c>
      <c r="I83" s="30" t="s">
        <v>12</v>
      </c>
      <c r="J83" s="30" t="s">
        <v>54</v>
      </c>
      <c r="K83" s="30" t="s">
        <v>54</v>
      </c>
      <c r="L83" s="35">
        <v>15900868254</v>
      </c>
      <c r="M83" s="30" t="s">
        <v>358</v>
      </c>
      <c r="N83" s="36" t="s">
        <v>359</v>
      </c>
    </row>
    <row r="84" spans="1:14" x14ac:dyDescent="0.15">
      <c r="A84" s="32" t="s">
        <v>360</v>
      </c>
      <c r="B84" s="31" t="s">
        <v>148</v>
      </c>
      <c r="C84" s="30" t="s">
        <v>813</v>
      </c>
      <c r="D84" s="30" t="s">
        <v>813</v>
      </c>
      <c r="E84" s="30" t="s">
        <v>813</v>
      </c>
      <c r="F84" s="91"/>
      <c r="G84" s="30" t="s">
        <v>770</v>
      </c>
      <c r="H84" s="99" t="s">
        <v>27</v>
      </c>
      <c r="I84" s="30" t="s">
        <v>27</v>
      </c>
      <c r="J84" s="30" t="s">
        <v>62</v>
      </c>
      <c r="K84" s="30" t="s">
        <v>62</v>
      </c>
      <c r="L84" s="35">
        <v>13029462719</v>
      </c>
      <c r="M84" s="30" t="s">
        <v>361</v>
      </c>
      <c r="N84" s="36" t="s">
        <v>362</v>
      </c>
    </row>
    <row r="85" spans="1:14" x14ac:dyDescent="0.15">
      <c r="A85" s="32" t="s">
        <v>363</v>
      </c>
      <c r="B85" s="31" t="s">
        <v>145</v>
      </c>
      <c r="C85" s="30" t="s">
        <v>904</v>
      </c>
      <c r="D85" s="30" t="s">
        <v>904</v>
      </c>
      <c r="E85" s="30" t="s">
        <v>904</v>
      </c>
      <c r="F85" s="91"/>
      <c r="G85" s="30" t="s">
        <v>910</v>
      </c>
      <c r="H85" s="99" t="s">
        <v>16</v>
      </c>
      <c r="I85" s="30" t="s">
        <v>45</v>
      </c>
      <c r="J85" s="30" t="s">
        <v>65</v>
      </c>
      <c r="K85" s="30" t="s">
        <v>65</v>
      </c>
      <c r="L85" s="35">
        <v>18717867706</v>
      </c>
      <c r="M85" s="30" t="s">
        <v>364</v>
      </c>
      <c r="N85" s="36" t="s">
        <v>365</v>
      </c>
    </row>
    <row r="86" spans="1:14" x14ac:dyDescent="0.15">
      <c r="A86" s="32" t="s">
        <v>366</v>
      </c>
      <c r="B86" s="31" t="s">
        <v>367</v>
      </c>
      <c r="C86" s="30" t="s">
        <v>813</v>
      </c>
      <c r="D86" s="30" t="s">
        <v>813</v>
      </c>
      <c r="E86" s="30" t="s">
        <v>813</v>
      </c>
      <c r="F86" s="91"/>
      <c r="G86" s="30" t="s">
        <v>770</v>
      </c>
      <c r="H86" s="99" t="s">
        <v>29</v>
      </c>
      <c r="I86" s="30" t="s">
        <v>29</v>
      </c>
      <c r="J86" s="30" t="s">
        <v>71</v>
      </c>
      <c r="K86" s="30" t="s">
        <v>71</v>
      </c>
      <c r="L86" s="35">
        <v>15728046038</v>
      </c>
      <c r="M86" s="30" t="s">
        <v>368</v>
      </c>
      <c r="N86" s="36" t="s">
        <v>391</v>
      </c>
    </row>
    <row r="87" spans="1:14" x14ac:dyDescent="0.15">
      <c r="A87" s="31" t="s">
        <v>369</v>
      </c>
      <c r="B87" s="31" t="s">
        <v>188</v>
      </c>
      <c r="C87" s="30" t="s">
        <v>848</v>
      </c>
      <c r="D87" s="30" t="s">
        <v>926</v>
      </c>
      <c r="E87" s="30" t="s">
        <v>996</v>
      </c>
      <c r="F87" s="91"/>
      <c r="G87" s="30" t="s">
        <v>770</v>
      </c>
      <c r="H87" s="99" t="s">
        <v>29</v>
      </c>
      <c r="I87" s="30" t="s">
        <v>29</v>
      </c>
      <c r="J87" s="30" t="s">
        <v>71</v>
      </c>
      <c r="K87" s="30" t="s">
        <v>71</v>
      </c>
      <c r="L87" s="35">
        <v>13122676919</v>
      </c>
      <c r="M87" s="30" t="s">
        <v>370</v>
      </c>
      <c r="N87" s="36" t="s">
        <v>371</v>
      </c>
    </row>
    <row r="88" spans="1:14" x14ac:dyDescent="0.15">
      <c r="A88" s="32" t="s">
        <v>372</v>
      </c>
      <c r="B88" s="31" t="s">
        <v>145</v>
      </c>
      <c r="C88" s="30"/>
      <c r="D88" s="30" t="s">
        <v>783</v>
      </c>
      <c r="E88" s="30" t="s">
        <v>783</v>
      </c>
      <c r="F88" s="91"/>
      <c r="G88" s="30" t="s">
        <v>783</v>
      </c>
      <c r="H88" s="99" t="s">
        <v>15</v>
      </c>
      <c r="I88" s="30" t="s">
        <v>15</v>
      </c>
      <c r="J88" s="30" t="s">
        <v>63</v>
      </c>
      <c r="K88" s="30" t="s">
        <v>63</v>
      </c>
      <c r="L88" s="35">
        <v>18862281597</v>
      </c>
      <c r="M88" s="30" t="s">
        <v>373</v>
      </c>
      <c r="N88" s="36" t="s">
        <v>374</v>
      </c>
    </row>
    <row r="89" spans="1:14" x14ac:dyDescent="0.15">
      <c r="A89" s="31" t="s">
        <v>375</v>
      </c>
      <c r="B89" s="31" t="s">
        <v>135</v>
      </c>
      <c r="C89" s="30" t="s">
        <v>80</v>
      </c>
      <c r="D89" s="30"/>
      <c r="E89" s="30" t="s">
        <v>996</v>
      </c>
      <c r="F89" s="91"/>
      <c r="G89" s="30" t="s">
        <v>770</v>
      </c>
      <c r="H89" s="99" t="s">
        <v>29</v>
      </c>
      <c r="I89" s="30" t="s">
        <v>53</v>
      </c>
      <c r="J89" s="30" t="s">
        <v>976</v>
      </c>
      <c r="K89" s="30" t="s">
        <v>976</v>
      </c>
      <c r="L89" s="35">
        <v>19121193979</v>
      </c>
      <c r="M89" s="30" t="s">
        <v>376</v>
      </c>
      <c r="N89" s="36" t="s">
        <v>377</v>
      </c>
    </row>
    <row r="90" spans="1:14" x14ac:dyDescent="0.15">
      <c r="A90" s="30" t="s">
        <v>378</v>
      </c>
      <c r="B90" s="31" t="s">
        <v>152</v>
      </c>
      <c r="C90" s="30" t="s">
        <v>103</v>
      </c>
      <c r="D90" s="30" t="s">
        <v>103</v>
      </c>
      <c r="E90" s="30" t="s">
        <v>103</v>
      </c>
      <c r="F90" s="91"/>
      <c r="G90" s="30" t="s">
        <v>103</v>
      </c>
      <c r="H90" s="99" t="s">
        <v>26</v>
      </c>
      <c r="I90" s="30" t="s">
        <v>26</v>
      </c>
      <c r="J90" s="30" t="s">
        <v>61</v>
      </c>
      <c r="K90" s="30" t="s">
        <v>61</v>
      </c>
      <c r="L90" s="35">
        <v>13671901506</v>
      </c>
      <c r="M90" s="30" t="s">
        <v>379</v>
      </c>
      <c r="N90" s="36" t="s">
        <v>380</v>
      </c>
    </row>
    <row r="91" spans="1:14" x14ac:dyDescent="0.15">
      <c r="A91" s="31" t="s">
        <v>381</v>
      </c>
      <c r="B91" s="31" t="s">
        <v>148</v>
      </c>
      <c r="C91" s="30" t="s">
        <v>833</v>
      </c>
      <c r="D91" s="30" t="s">
        <v>833</v>
      </c>
      <c r="E91" s="30" t="s">
        <v>833</v>
      </c>
      <c r="F91" s="91"/>
      <c r="G91" s="30" t="s">
        <v>83</v>
      </c>
      <c r="H91" s="99" t="s">
        <v>27</v>
      </c>
      <c r="I91" s="30" t="s">
        <v>27</v>
      </c>
      <c r="J91" s="30" t="s">
        <v>62</v>
      </c>
      <c r="K91" s="30" t="s">
        <v>62</v>
      </c>
      <c r="L91" s="35">
        <v>15001929875</v>
      </c>
      <c r="M91" s="30" t="s">
        <v>382</v>
      </c>
      <c r="N91" s="36" t="s">
        <v>383</v>
      </c>
    </row>
    <row r="92" spans="1:14" x14ac:dyDescent="0.15">
      <c r="A92" s="31" t="s">
        <v>384</v>
      </c>
      <c r="B92" s="31" t="s">
        <v>145</v>
      </c>
      <c r="C92" s="30" t="s">
        <v>839</v>
      </c>
      <c r="D92" s="30"/>
      <c r="E92" s="30"/>
      <c r="F92" s="91"/>
      <c r="G92" s="30"/>
      <c r="H92" s="99" t="s">
        <v>19</v>
      </c>
      <c r="I92" s="30" t="s">
        <v>19</v>
      </c>
      <c r="J92" s="30" t="s">
        <v>67</v>
      </c>
      <c r="K92" s="30" t="s">
        <v>67</v>
      </c>
      <c r="L92" s="35">
        <v>18017282598</v>
      </c>
      <c r="M92" s="30" t="s">
        <v>385</v>
      </c>
      <c r="N92" s="36" t="s">
        <v>386</v>
      </c>
    </row>
    <row r="93" spans="1:14" x14ac:dyDescent="0.15">
      <c r="A93" s="32" t="s">
        <v>29</v>
      </c>
      <c r="B93" s="31" t="s">
        <v>255</v>
      </c>
      <c r="C93" s="30" t="s">
        <v>103</v>
      </c>
      <c r="D93" s="30" t="s">
        <v>103</v>
      </c>
      <c r="E93" s="30" t="s">
        <v>103</v>
      </c>
      <c r="F93" s="91"/>
      <c r="G93" s="30" t="s">
        <v>103</v>
      </c>
      <c r="H93" s="99" t="s">
        <v>29</v>
      </c>
      <c r="I93" s="30" t="s">
        <v>29</v>
      </c>
      <c r="J93" s="30" t="s">
        <v>71</v>
      </c>
      <c r="K93" s="30" t="s">
        <v>71</v>
      </c>
      <c r="L93" s="35">
        <v>13764337616</v>
      </c>
      <c r="M93" s="30" t="s">
        <v>387</v>
      </c>
      <c r="N93" s="36" t="s">
        <v>388</v>
      </c>
    </row>
    <row r="94" spans="1:14" x14ac:dyDescent="0.15">
      <c r="A94" s="32" t="s">
        <v>389</v>
      </c>
      <c r="B94" s="31" t="s">
        <v>152</v>
      </c>
      <c r="C94" s="30" t="s">
        <v>816</v>
      </c>
      <c r="D94" s="30" t="s">
        <v>816</v>
      </c>
      <c r="E94" s="30" t="s">
        <v>816</v>
      </c>
      <c r="F94" s="91"/>
      <c r="G94" s="30" t="s">
        <v>818</v>
      </c>
      <c r="H94" s="99" t="s">
        <v>27</v>
      </c>
      <c r="I94" s="30" t="s">
        <v>27</v>
      </c>
      <c r="J94" s="30" t="s">
        <v>62</v>
      </c>
      <c r="K94" s="30" t="s">
        <v>62</v>
      </c>
      <c r="L94" s="35">
        <v>17730021982</v>
      </c>
      <c r="M94" s="30" t="s">
        <v>390</v>
      </c>
      <c r="N94" s="36" t="s">
        <v>877</v>
      </c>
    </row>
    <row r="95" spans="1:14" x14ac:dyDescent="0.15">
      <c r="A95" s="32" t="s">
        <v>26</v>
      </c>
      <c r="B95" s="31" t="s">
        <v>166</v>
      </c>
      <c r="C95" s="30" t="s">
        <v>103</v>
      </c>
      <c r="D95" s="30" t="s">
        <v>103</v>
      </c>
      <c r="E95" s="30" t="s">
        <v>103</v>
      </c>
      <c r="F95" s="91"/>
      <c r="G95" s="30" t="s">
        <v>103</v>
      </c>
      <c r="H95" s="99" t="s">
        <v>26</v>
      </c>
      <c r="I95" s="30" t="s">
        <v>26</v>
      </c>
      <c r="J95" s="30" t="s">
        <v>59</v>
      </c>
      <c r="K95" s="30" t="s">
        <v>59</v>
      </c>
      <c r="L95" s="35">
        <v>18717891363</v>
      </c>
      <c r="M95" s="30" t="s">
        <v>392</v>
      </c>
      <c r="N95" s="36" t="s">
        <v>393</v>
      </c>
    </row>
    <row r="96" spans="1:14" x14ac:dyDescent="0.15">
      <c r="A96" s="31" t="s">
        <v>394</v>
      </c>
      <c r="B96" s="31" t="s">
        <v>210</v>
      </c>
      <c r="C96" s="30" t="s">
        <v>847</v>
      </c>
      <c r="D96" s="30" t="s">
        <v>783</v>
      </c>
      <c r="E96" s="30" t="s">
        <v>783</v>
      </c>
      <c r="F96" s="91"/>
      <c r="G96" s="30" t="s">
        <v>103</v>
      </c>
      <c r="H96" s="99" t="s">
        <v>27</v>
      </c>
      <c r="I96" s="30" t="s">
        <v>27</v>
      </c>
      <c r="J96" s="30" t="s">
        <v>61</v>
      </c>
      <c r="K96" s="30" t="s">
        <v>61</v>
      </c>
      <c r="L96" s="35">
        <v>13817676171</v>
      </c>
      <c r="M96" s="30" t="s">
        <v>395</v>
      </c>
      <c r="N96" s="36" t="s">
        <v>396</v>
      </c>
    </row>
    <row r="97" spans="1:14" x14ac:dyDescent="0.15">
      <c r="A97" s="32" t="s">
        <v>25</v>
      </c>
      <c r="B97" s="31" t="s">
        <v>255</v>
      </c>
      <c r="C97" s="30" t="s">
        <v>103</v>
      </c>
      <c r="D97" s="30" t="s">
        <v>103</v>
      </c>
      <c r="E97" s="30" t="s">
        <v>103</v>
      </c>
      <c r="F97" s="91"/>
      <c r="G97" s="30" t="s">
        <v>103</v>
      </c>
      <c r="H97" s="99" t="s">
        <v>25</v>
      </c>
      <c r="I97" s="30" t="s">
        <v>25</v>
      </c>
      <c r="J97" s="30" t="s">
        <v>61</v>
      </c>
      <c r="K97" s="30" t="s">
        <v>61</v>
      </c>
      <c r="L97" s="35">
        <v>18800125205</v>
      </c>
      <c r="M97" s="30" t="s">
        <v>397</v>
      </c>
      <c r="N97" s="36" t="s">
        <v>398</v>
      </c>
    </row>
    <row r="98" spans="1:14" x14ac:dyDescent="0.15">
      <c r="A98" s="32" t="s">
        <v>399</v>
      </c>
      <c r="B98" s="31" t="s">
        <v>314</v>
      </c>
      <c r="C98" s="30" t="s">
        <v>833</v>
      </c>
      <c r="D98" s="30" t="s">
        <v>833</v>
      </c>
      <c r="E98" s="30" t="s">
        <v>833</v>
      </c>
      <c r="F98" s="91"/>
      <c r="G98" s="30" t="s">
        <v>83</v>
      </c>
      <c r="H98" s="99" t="s">
        <v>29</v>
      </c>
      <c r="I98" s="30" t="s">
        <v>29</v>
      </c>
      <c r="J98" s="30" t="s">
        <v>71</v>
      </c>
      <c r="K98" s="30" t="s">
        <v>71</v>
      </c>
      <c r="L98" s="35">
        <v>13072131099</v>
      </c>
      <c r="M98" s="30" t="s">
        <v>400</v>
      </c>
      <c r="N98" s="36" t="s">
        <v>791</v>
      </c>
    </row>
    <row r="99" spans="1:14" x14ac:dyDescent="0.15">
      <c r="A99" s="32" t="s">
        <v>401</v>
      </c>
      <c r="B99" s="31" t="s">
        <v>148</v>
      </c>
      <c r="C99" s="30" t="s">
        <v>783</v>
      </c>
      <c r="D99" s="30" t="s">
        <v>783</v>
      </c>
      <c r="E99" s="30" t="s">
        <v>783</v>
      </c>
      <c r="F99" s="91"/>
      <c r="G99" s="30" t="s">
        <v>783</v>
      </c>
      <c r="H99" s="99" t="s">
        <v>28</v>
      </c>
      <c r="I99" s="30" t="s">
        <v>28</v>
      </c>
      <c r="J99" s="30" t="s">
        <v>62</v>
      </c>
      <c r="K99" s="30" t="s">
        <v>62</v>
      </c>
      <c r="L99" s="35">
        <v>13478689484</v>
      </c>
      <c r="M99" s="30" t="s">
        <v>402</v>
      </c>
      <c r="N99" s="36" t="s">
        <v>249</v>
      </c>
    </row>
    <row r="100" spans="1:14" x14ac:dyDescent="0.15">
      <c r="A100" s="32" t="s">
        <v>403</v>
      </c>
      <c r="B100" s="31" t="s">
        <v>152</v>
      </c>
      <c r="C100" s="30" t="s">
        <v>783</v>
      </c>
      <c r="D100" s="30" t="s">
        <v>783</v>
      </c>
      <c r="E100" s="30" t="s">
        <v>783</v>
      </c>
      <c r="F100" s="91"/>
      <c r="G100" s="30" t="s">
        <v>783</v>
      </c>
      <c r="H100" s="99" t="s">
        <v>26</v>
      </c>
      <c r="I100" s="30" t="s">
        <v>26</v>
      </c>
      <c r="J100" s="30" t="s">
        <v>59</v>
      </c>
      <c r="K100" s="30" t="s">
        <v>59</v>
      </c>
      <c r="L100" s="35">
        <v>17701686388</v>
      </c>
      <c r="M100" s="30" t="s">
        <v>404</v>
      </c>
      <c r="N100" s="36" t="s">
        <v>878</v>
      </c>
    </row>
    <row r="101" spans="1:14" x14ac:dyDescent="0.15">
      <c r="A101" s="32" t="s">
        <v>405</v>
      </c>
      <c r="B101" s="31" t="s">
        <v>166</v>
      </c>
      <c r="C101" s="30" t="s">
        <v>63</v>
      </c>
      <c r="D101" s="30" t="s">
        <v>63</v>
      </c>
      <c r="E101" s="30" t="s">
        <v>63</v>
      </c>
      <c r="F101" s="91"/>
      <c r="G101" s="30" t="s">
        <v>63</v>
      </c>
      <c r="H101" s="99" t="s">
        <v>15</v>
      </c>
      <c r="I101" s="30" t="s">
        <v>15</v>
      </c>
      <c r="J101" s="30" t="s">
        <v>63</v>
      </c>
      <c r="K101" s="30" t="s">
        <v>63</v>
      </c>
      <c r="L101" s="35">
        <v>15800353831</v>
      </c>
      <c r="M101" s="30" t="s">
        <v>406</v>
      </c>
      <c r="N101" s="36" t="s">
        <v>407</v>
      </c>
    </row>
    <row r="102" spans="1:14" x14ac:dyDescent="0.15">
      <c r="A102" s="31" t="s">
        <v>408</v>
      </c>
      <c r="B102" s="31" t="s">
        <v>238</v>
      </c>
      <c r="C102" s="30" t="s">
        <v>63</v>
      </c>
      <c r="D102" s="30" t="s">
        <v>63</v>
      </c>
      <c r="E102" s="30" t="s">
        <v>63</v>
      </c>
      <c r="F102" s="91"/>
      <c r="G102" s="30" t="s">
        <v>63</v>
      </c>
      <c r="H102" s="99" t="s">
        <v>15</v>
      </c>
      <c r="I102" s="30" t="s">
        <v>15</v>
      </c>
      <c r="J102" s="30" t="s">
        <v>63</v>
      </c>
      <c r="K102" s="30" t="s">
        <v>63</v>
      </c>
      <c r="L102" s="35">
        <v>16621235212</v>
      </c>
      <c r="M102" s="30" t="s">
        <v>409</v>
      </c>
      <c r="N102" s="36" t="s">
        <v>410</v>
      </c>
    </row>
    <row r="103" spans="1:14" x14ac:dyDescent="0.15">
      <c r="A103" s="32" t="s">
        <v>15</v>
      </c>
      <c r="B103" s="31" t="s">
        <v>411</v>
      </c>
      <c r="C103" s="30" t="s">
        <v>103</v>
      </c>
      <c r="D103" s="30" t="s">
        <v>103</v>
      </c>
      <c r="E103" s="30" t="s">
        <v>103</v>
      </c>
      <c r="F103" s="91"/>
      <c r="G103" s="30" t="s">
        <v>103</v>
      </c>
      <c r="H103" s="99" t="s">
        <v>15</v>
      </c>
      <c r="I103" s="30" t="s">
        <v>15</v>
      </c>
      <c r="J103" s="30" t="s">
        <v>63</v>
      </c>
      <c r="K103" s="30" t="s">
        <v>63</v>
      </c>
      <c r="L103" s="35">
        <v>13127830830</v>
      </c>
      <c r="M103" s="37" t="s">
        <v>412</v>
      </c>
      <c r="N103" s="36" t="s">
        <v>121</v>
      </c>
    </row>
    <row r="104" spans="1:14" x14ac:dyDescent="0.15">
      <c r="A104" s="31" t="s">
        <v>413</v>
      </c>
      <c r="B104" s="31" t="s">
        <v>152</v>
      </c>
      <c r="C104" s="30" t="s">
        <v>63</v>
      </c>
      <c r="D104" s="30" t="s">
        <v>63</v>
      </c>
      <c r="E104" s="30" t="s">
        <v>63</v>
      </c>
      <c r="F104" s="91"/>
      <c r="G104" s="30" t="s">
        <v>63</v>
      </c>
      <c r="H104" s="99" t="s">
        <v>15</v>
      </c>
      <c r="I104" s="30" t="s">
        <v>15</v>
      </c>
      <c r="J104" s="30" t="s">
        <v>63</v>
      </c>
      <c r="K104" s="30" t="s">
        <v>63</v>
      </c>
      <c r="L104" s="35">
        <v>13564066859</v>
      </c>
      <c r="M104" s="30" t="s">
        <v>414</v>
      </c>
      <c r="N104" s="36" t="s">
        <v>415</v>
      </c>
    </row>
    <row r="105" spans="1:14" x14ac:dyDescent="0.15">
      <c r="A105" s="32" t="s">
        <v>416</v>
      </c>
      <c r="B105" s="31" t="s">
        <v>145</v>
      </c>
      <c r="C105" s="30" t="s">
        <v>904</v>
      </c>
      <c r="D105" s="30" t="s">
        <v>904</v>
      </c>
      <c r="E105" s="30" t="s">
        <v>904</v>
      </c>
      <c r="F105" s="91"/>
      <c r="G105" s="30" t="s">
        <v>910</v>
      </c>
      <c r="H105" s="99" t="s">
        <v>12</v>
      </c>
      <c r="I105" s="30" t="s">
        <v>43</v>
      </c>
      <c r="J105" s="30" t="s">
        <v>54</v>
      </c>
      <c r="K105" s="30" t="s">
        <v>54</v>
      </c>
      <c r="L105" s="35">
        <v>15172055725</v>
      </c>
      <c r="M105" s="30" t="s">
        <v>417</v>
      </c>
      <c r="N105" s="36" t="s">
        <v>418</v>
      </c>
    </row>
    <row r="106" spans="1:14" x14ac:dyDescent="0.15">
      <c r="A106" s="31" t="s">
        <v>419</v>
      </c>
      <c r="B106" s="31" t="s">
        <v>145</v>
      </c>
      <c r="C106" s="30" t="s">
        <v>904</v>
      </c>
      <c r="D106" s="30" t="s">
        <v>904</v>
      </c>
      <c r="E106" s="30" t="s">
        <v>904</v>
      </c>
      <c r="F106" s="91"/>
      <c r="G106" s="30" t="s">
        <v>910</v>
      </c>
      <c r="H106" s="99" t="s">
        <v>11</v>
      </c>
      <c r="I106" s="30" t="s">
        <v>46</v>
      </c>
      <c r="J106" s="30" t="s">
        <v>69</v>
      </c>
      <c r="K106" s="30" t="s">
        <v>69</v>
      </c>
      <c r="L106" s="35">
        <v>18317106729</v>
      </c>
      <c r="M106" s="30" t="s">
        <v>420</v>
      </c>
      <c r="N106" s="36" t="s">
        <v>421</v>
      </c>
    </row>
    <row r="107" spans="1:14" x14ac:dyDescent="0.15">
      <c r="A107" s="32" t="s">
        <v>422</v>
      </c>
      <c r="B107" s="31" t="s">
        <v>162</v>
      </c>
      <c r="C107" s="30" t="s">
        <v>814</v>
      </c>
      <c r="D107" s="30" t="s">
        <v>813</v>
      </c>
      <c r="E107" s="30" t="s">
        <v>813</v>
      </c>
      <c r="F107" s="91"/>
      <c r="G107" s="30" t="s">
        <v>770</v>
      </c>
      <c r="H107" s="99" t="s">
        <v>11</v>
      </c>
      <c r="I107" s="30" t="s">
        <v>11</v>
      </c>
      <c r="J107" s="30" t="s">
        <v>69</v>
      </c>
      <c r="K107" s="30" t="s">
        <v>69</v>
      </c>
      <c r="L107" s="35">
        <v>18501613319</v>
      </c>
      <c r="M107" s="30" t="s">
        <v>423</v>
      </c>
      <c r="N107" s="36" t="s">
        <v>521</v>
      </c>
    </row>
    <row r="108" spans="1:14" x14ac:dyDescent="0.15">
      <c r="A108" s="32" t="s">
        <v>424</v>
      </c>
      <c r="B108" s="31" t="s">
        <v>148</v>
      </c>
      <c r="C108" s="30" t="s">
        <v>98</v>
      </c>
      <c r="D108" s="30" t="s">
        <v>98</v>
      </c>
      <c r="E108" s="30" t="s">
        <v>98</v>
      </c>
      <c r="F108" s="91"/>
      <c r="G108" s="30" t="s">
        <v>96</v>
      </c>
      <c r="H108" s="99" t="s">
        <v>26</v>
      </c>
      <c r="I108" s="30" t="s">
        <v>26</v>
      </c>
      <c r="J108" s="30" t="s">
        <v>59</v>
      </c>
      <c r="K108" s="30" t="s">
        <v>59</v>
      </c>
      <c r="L108" s="35">
        <v>13693620052</v>
      </c>
      <c r="M108" s="30" t="s">
        <v>425</v>
      </c>
      <c r="N108" s="36" t="s">
        <v>792</v>
      </c>
    </row>
    <row r="109" spans="1:14" x14ac:dyDescent="0.15">
      <c r="A109" s="32" t="s">
        <v>426</v>
      </c>
      <c r="B109" s="31" t="s">
        <v>135</v>
      </c>
      <c r="C109" s="33" t="s">
        <v>837</v>
      </c>
      <c r="D109" s="33" t="s">
        <v>837</v>
      </c>
      <c r="E109" s="33" t="s">
        <v>837</v>
      </c>
      <c r="F109" s="92"/>
      <c r="G109" s="32" t="s">
        <v>81</v>
      </c>
      <c r="H109" s="99" t="s">
        <v>27</v>
      </c>
      <c r="I109" s="30" t="s">
        <v>49</v>
      </c>
      <c r="J109" s="30" t="s">
        <v>977</v>
      </c>
      <c r="K109" s="30" t="s">
        <v>977</v>
      </c>
      <c r="L109" s="35">
        <v>13816223936</v>
      </c>
      <c r="M109" s="30" t="s">
        <v>427</v>
      </c>
      <c r="N109" s="36" t="s">
        <v>428</v>
      </c>
    </row>
    <row r="110" spans="1:14" x14ac:dyDescent="0.15">
      <c r="A110" s="30" t="s">
        <v>429</v>
      </c>
      <c r="B110" s="30" t="s">
        <v>148</v>
      </c>
      <c r="C110" s="30" t="s">
        <v>816</v>
      </c>
      <c r="D110" s="30" t="s">
        <v>816</v>
      </c>
      <c r="E110" s="30" t="s">
        <v>816</v>
      </c>
      <c r="F110" s="91"/>
      <c r="G110" s="30" t="s">
        <v>818</v>
      </c>
      <c r="H110" s="99" t="s">
        <v>27</v>
      </c>
      <c r="I110" s="30" t="s">
        <v>27</v>
      </c>
      <c r="J110" s="30" t="s">
        <v>62</v>
      </c>
      <c r="K110" s="30" t="s">
        <v>62</v>
      </c>
      <c r="L110" s="35">
        <v>18792145521</v>
      </c>
      <c r="M110" s="30" t="s">
        <v>430</v>
      </c>
      <c r="N110" s="36" t="s">
        <v>879</v>
      </c>
    </row>
    <row r="111" spans="1:14" x14ac:dyDescent="0.15">
      <c r="A111" s="31" t="s">
        <v>431</v>
      </c>
      <c r="B111" s="31" t="s">
        <v>210</v>
      </c>
      <c r="C111" s="30" t="s">
        <v>92</v>
      </c>
      <c r="D111" s="30" t="s">
        <v>92</v>
      </c>
      <c r="E111" s="30" t="s">
        <v>92</v>
      </c>
      <c r="F111" s="91"/>
      <c r="G111" s="30" t="s">
        <v>936</v>
      </c>
      <c r="H111" s="99" t="s">
        <v>27</v>
      </c>
      <c r="I111" s="30" t="s">
        <v>27</v>
      </c>
      <c r="J111" s="30" t="s">
        <v>61</v>
      </c>
      <c r="K111" s="30" t="s">
        <v>61</v>
      </c>
      <c r="L111" s="35">
        <v>16621066156</v>
      </c>
      <c r="M111" s="30" t="s">
        <v>432</v>
      </c>
      <c r="N111" s="36" t="s">
        <v>433</v>
      </c>
    </row>
    <row r="112" spans="1:14" x14ac:dyDescent="0.15">
      <c r="A112" s="32" t="s">
        <v>434</v>
      </c>
      <c r="B112" s="31" t="s">
        <v>156</v>
      </c>
      <c r="C112" s="33" t="s">
        <v>837</v>
      </c>
      <c r="D112" s="33" t="s">
        <v>837</v>
      </c>
      <c r="E112" s="33" t="s">
        <v>895</v>
      </c>
      <c r="F112" s="33" t="s">
        <v>895</v>
      </c>
      <c r="G112" s="30" t="s">
        <v>81</v>
      </c>
      <c r="H112" s="99" t="s">
        <v>28</v>
      </c>
      <c r="I112" s="30" t="s">
        <v>28</v>
      </c>
      <c r="J112" s="30" t="s">
        <v>62</v>
      </c>
      <c r="K112" s="30" t="s">
        <v>62</v>
      </c>
      <c r="L112" s="35">
        <v>15921411314</v>
      </c>
      <c r="M112" s="30" t="s">
        <v>435</v>
      </c>
      <c r="N112" s="36" t="s">
        <v>436</v>
      </c>
    </row>
    <row r="113" spans="1:14" x14ac:dyDescent="0.15">
      <c r="A113" s="32" t="s">
        <v>437</v>
      </c>
      <c r="B113" s="31" t="s">
        <v>367</v>
      </c>
      <c r="C113" s="30" t="s">
        <v>843</v>
      </c>
      <c r="D113" s="30" t="s">
        <v>843</v>
      </c>
      <c r="E113" s="91" t="s">
        <v>907</v>
      </c>
      <c r="F113" s="91" t="s">
        <v>894</v>
      </c>
      <c r="G113" s="30" t="s">
        <v>81</v>
      </c>
      <c r="H113" s="99" t="s">
        <v>29</v>
      </c>
      <c r="I113" s="30" t="s">
        <v>29</v>
      </c>
      <c r="J113" s="30" t="s">
        <v>71</v>
      </c>
      <c r="K113" s="30" t="s">
        <v>71</v>
      </c>
      <c r="L113" s="35">
        <v>13816040282</v>
      </c>
      <c r="M113" s="30" t="s">
        <v>438</v>
      </c>
      <c r="N113" s="36" t="s">
        <v>439</v>
      </c>
    </row>
    <row r="114" spans="1:14" x14ac:dyDescent="0.15">
      <c r="A114" s="32" t="s">
        <v>440</v>
      </c>
      <c r="B114" s="31" t="s">
        <v>182</v>
      </c>
      <c r="C114" s="30" t="s">
        <v>843</v>
      </c>
      <c r="D114" s="30" t="s">
        <v>843</v>
      </c>
      <c r="E114" s="30" t="s">
        <v>843</v>
      </c>
      <c r="F114" s="91"/>
      <c r="G114" s="30" t="s">
        <v>943</v>
      </c>
      <c r="H114" s="99" t="s">
        <v>25</v>
      </c>
      <c r="I114" s="30" t="s">
        <v>25</v>
      </c>
      <c r="J114" s="30" t="s">
        <v>61</v>
      </c>
      <c r="K114" s="30" t="s">
        <v>61</v>
      </c>
      <c r="L114" s="35">
        <v>18616688263</v>
      </c>
      <c r="M114" s="30" t="s">
        <v>441</v>
      </c>
      <c r="N114" s="36" t="s">
        <v>442</v>
      </c>
    </row>
    <row r="115" spans="1:14" ht="24.75" customHeight="1" x14ac:dyDescent="0.15">
      <c r="A115" s="32" t="s">
        <v>443</v>
      </c>
      <c r="B115" s="31" t="s">
        <v>255</v>
      </c>
      <c r="C115" s="30" t="s">
        <v>833</v>
      </c>
      <c r="D115" s="30" t="s">
        <v>833</v>
      </c>
      <c r="E115" s="30" t="s">
        <v>833</v>
      </c>
      <c r="F115" s="91"/>
      <c r="G115" s="30" t="s">
        <v>83</v>
      </c>
      <c r="H115" s="99" t="s">
        <v>16</v>
      </c>
      <c r="I115" s="30" t="s">
        <v>45</v>
      </c>
      <c r="J115" s="30" t="s">
        <v>65</v>
      </c>
      <c r="K115" s="30" t="s">
        <v>65</v>
      </c>
      <c r="L115" s="35">
        <v>17321067590</v>
      </c>
      <c r="M115" s="30" t="s">
        <v>444</v>
      </c>
      <c r="N115" s="36" t="s">
        <v>793</v>
      </c>
    </row>
    <row r="116" spans="1:14" x14ac:dyDescent="0.15">
      <c r="A116" s="31" t="s">
        <v>445</v>
      </c>
      <c r="B116" s="31" t="s">
        <v>148</v>
      </c>
      <c r="C116" s="30" t="s">
        <v>816</v>
      </c>
      <c r="D116" s="30" t="s">
        <v>816</v>
      </c>
      <c r="E116" s="30" t="s">
        <v>816</v>
      </c>
      <c r="F116" s="91" t="s">
        <v>895</v>
      </c>
      <c r="G116" s="30" t="s">
        <v>818</v>
      </c>
      <c r="H116" s="99" t="s">
        <v>16</v>
      </c>
      <c r="I116" s="30" t="s">
        <v>16</v>
      </c>
      <c r="J116" s="30" t="s">
        <v>65</v>
      </c>
      <c r="K116" s="30" t="s">
        <v>65</v>
      </c>
      <c r="L116" s="35">
        <v>13524047687</v>
      </c>
      <c r="M116" s="30" t="s">
        <v>446</v>
      </c>
      <c r="N116" s="36" t="s">
        <v>880</v>
      </c>
    </row>
    <row r="117" spans="1:14" x14ac:dyDescent="0.15">
      <c r="A117" s="32" t="s">
        <v>447</v>
      </c>
      <c r="B117" s="31" t="s">
        <v>351</v>
      </c>
      <c r="C117" s="33" t="s">
        <v>827</v>
      </c>
      <c r="D117" s="33" t="s">
        <v>827</v>
      </c>
      <c r="E117" s="33" t="s">
        <v>907</v>
      </c>
      <c r="F117" s="92" t="s">
        <v>894</v>
      </c>
      <c r="G117" s="33" t="s">
        <v>81</v>
      </c>
      <c r="H117" s="99" t="s">
        <v>12</v>
      </c>
      <c r="I117" s="30" t="s">
        <v>43</v>
      </c>
      <c r="J117" s="30" t="s">
        <v>54</v>
      </c>
      <c r="K117" s="30" t="s">
        <v>54</v>
      </c>
      <c r="L117" s="35">
        <v>18717727696</v>
      </c>
      <c r="M117" s="30" t="s">
        <v>448</v>
      </c>
      <c r="N117" s="38" t="s">
        <v>449</v>
      </c>
    </row>
    <row r="118" spans="1:14" x14ac:dyDescent="0.15">
      <c r="A118" s="32" t="s">
        <v>450</v>
      </c>
      <c r="B118" s="31" t="s">
        <v>182</v>
      </c>
      <c r="C118" s="30" t="s">
        <v>846</v>
      </c>
      <c r="D118" s="30" t="s">
        <v>846</v>
      </c>
      <c r="E118" s="30" t="s">
        <v>846</v>
      </c>
      <c r="F118" s="91"/>
      <c r="G118" s="30" t="s">
        <v>943</v>
      </c>
      <c r="H118" s="99" t="s">
        <v>11</v>
      </c>
      <c r="I118" s="30" t="s">
        <v>11</v>
      </c>
      <c r="J118" s="30" t="s">
        <v>69</v>
      </c>
      <c r="K118" s="30" t="s">
        <v>69</v>
      </c>
      <c r="L118" s="35">
        <v>15121000769</v>
      </c>
      <c r="M118" s="30" t="s">
        <v>451</v>
      </c>
      <c r="N118" s="36" t="s">
        <v>881</v>
      </c>
    </row>
    <row r="119" spans="1:14" x14ac:dyDescent="0.15">
      <c r="A119" s="30" t="s">
        <v>452</v>
      </c>
      <c r="B119" s="30" t="s">
        <v>314</v>
      </c>
      <c r="C119" s="30" t="s">
        <v>833</v>
      </c>
      <c r="D119" s="30" t="s">
        <v>833</v>
      </c>
      <c r="E119" s="30" t="s">
        <v>833</v>
      </c>
      <c r="F119" s="91"/>
      <c r="G119" s="30" t="s">
        <v>83</v>
      </c>
      <c r="H119" s="99" t="s">
        <v>29</v>
      </c>
      <c r="I119" s="30" t="s">
        <v>29</v>
      </c>
      <c r="J119" s="30" t="s">
        <v>71</v>
      </c>
      <c r="K119" s="30" t="s">
        <v>71</v>
      </c>
      <c r="L119" s="35">
        <v>18037179187</v>
      </c>
      <c r="M119" s="30" t="s">
        <v>453</v>
      </c>
      <c r="N119" s="36" t="s">
        <v>794</v>
      </c>
    </row>
    <row r="120" spans="1:14" x14ac:dyDescent="0.15">
      <c r="A120" s="30" t="s">
        <v>454</v>
      </c>
      <c r="B120" s="30" t="s">
        <v>238</v>
      </c>
      <c r="C120" s="30" t="s">
        <v>823</v>
      </c>
      <c r="D120" s="30" t="s">
        <v>825</v>
      </c>
      <c r="E120" s="30" t="s">
        <v>825</v>
      </c>
      <c r="F120" s="91"/>
      <c r="G120" s="30" t="s">
        <v>770</v>
      </c>
      <c r="H120" s="99" t="s">
        <v>16</v>
      </c>
      <c r="I120" s="30" t="s">
        <v>16</v>
      </c>
      <c r="J120" s="30" t="s">
        <v>65</v>
      </c>
      <c r="K120" s="30" t="s">
        <v>65</v>
      </c>
      <c r="L120" s="35">
        <v>18817383470</v>
      </c>
      <c r="M120" s="30" t="s">
        <v>455</v>
      </c>
      <c r="N120" s="36" t="s">
        <v>456</v>
      </c>
    </row>
    <row r="121" spans="1:14" x14ac:dyDescent="0.15">
      <c r="A121" s="30" t="s">
        <v>457</v>
      </c>
      <c r="B121" s="31" t="s">
        <v>145</v>
      </c>
      <c r="C121" s="33" t="s">
        <v>837</v>
      </c>
      <c r="D121" s="33" t="s">
        <v>837</v>
      </c>
      <c r="E121" s="33" t="s">
        <v>837</v>
      </c>
      <c r="F121" s="92"/>
      <c r="G121" s="30" t="s">
        <v>81</v>
      </c>
      <c r="H121" s="99" t="s">
        <v>29</v>
      </c>
      <c r="I121" s="30" t="s">
        <v>29</v>
      </c>
      <c r="J121" s="30" t="s">
        <v>71</v>
      </c>
      <c r="K121" s="30" t="s">
        <v>71</v>
      </c>
      <c r="L121" s="35">
        <v>13162055729</v>
      </c>
      <c r="M121" s="30" t="s">
        <v>458</v>
      </c>
      <c r="N121" s="36" t="s">
        <v>795</v>
      </c>
    </row>
    <row r="122" spans="1:14" x14ac:dyDescent="0.15">
      <c r="A122" s="31" t="s">
        <v>460</v>
      </c>
      <c r="B122" s="31" t="s">
        <v>156</v>
      </c>
      <c r="C122" s="30" t="s">
        <v>833</v>
      </c>
      <c r="D122" s="30" t="s">
        <v>833</v>
      </c>
      <c r="E122" s="30" t="s">
        <v>833</v>
      </c>
      <c r="F122" s="91"/>
      <c r="G122" s="30" t="s">
        <v>83</v>
      </c>
      <c r="H122" s="99" t="s">
        <v>26</v>
      </c>
      <c r="I122" s="30" t="s">
        <v>26</v>
      </c>
      <c r="J122" s="30" t="s">
        <v>59</v>
      </c>
      <c r="K122" s="30" t="s">
        <v>59</v>
      </c>
      <c r="L122" s="35">
        <v>13641784941</v>
      </c>
      <c r="M122" s="30" t="s">
        <v>461</v>
      </c>
      <c r="N122" s="36" t="s">
        <v>462</v>
      </c>
    </row>
    <row r="123" spans="1:14" x14ac:dyDescent="0.15">
      <c r="A123" s="32" t="s">
        <v>463</v>
      </c>
      <c r="B123" s="31" t="s">
        <v>182</v>
      </c>
      <c r="C123" s="30" t="s">
        <v>103</v>
      </c>
      <c r="D123" s="30" t="s">
        <v>103</v>
      </c>
      <c r="E123" s="30" t="s">
        <v>103</v>
      </c>
      <c r="F123" s="91"/>
      <c r="G123" s="30" t="s">
        <v>103</v>
      </c>
      <c r="H123" s="99" t="s">
        <v>16</v>
      </c>
      <c r="I123" s="30" t="s">
        <v>16</v>
      </c>
      <c r="J123" s="30" t="s">
        <v>65</v>
      </c>
      <c r="K123" s="30" t="s">
        <v>65</v>
      </c>
      <c r="L123" s="35">
        <v>15102122583</v>
      </c>
      <c r="M123" s="30" t="s">
        <v>464</v>
      </c>
      <c r="N123" s="36" t="s">
        <v>465</v>
      </c>
    </row>
    <row r="124" spans="1:14" x14ac:dyDescent="0.15">
      <c r="A124" s="32" t="s">
        <v>466</v>
      </c>
      <c r="B124" s="31" t="s">
        <v>314</v>
      </c>
      <c r="C124" s="30" t="s">
        <v>831</v>
      </c>
      <c r="D124" s="30" t="s">
        <v>831</v>
      </c>
      <c r="E124" s="30" t="s">
        <v>895</v>
      </c>
      <c r="F124" s="30" t="s">
        <v>895</v>
      </c>
      <c r="G124" s="30" t="s">
        <v>81</v>
      </c>
      <c r="H124" s="99" t="s">
        <v>29</v>
      </c>
      <c r="I124" s="30" t="s">
        <v>29</v>
      </c>
      <c r="J124" s="30" t="s">
        <v>71</v>
      </c>
      <c r="K124" s="30" t="s">
        <v>71</v>
      </c>
      <c r="L124" s="35">
        <v>18516548059</v>
      </c>
      <c r="M124" s="30" t="s">
        <v>467</v>
      </c>
      <c r="N124" s="36" t="s">
        <v>468</v>
      </c>
    </row>
    <row r="125" spans="1:14" x14ac:dyDescent="0.15">
      <c r="A125" s="30" t="s">
        <v>469</v>
      </c>
      <c r="B125" s="30" t="s">
        <v>182</v>
      </c>
      <c r="C125" s="30" t="s">
        <v>846</v>
      </c>
      <c r="D125" s="30" t="s">
        <v>929</v>
      </c>
      <c r="E125" s="30" t="s">
        <v>933</v>
      </c>
      <c r="F125" s="91"/>
      <c r="G125" s="30" t="s">
        <v>818</v>
      </c>
      <c r="H125" s="99" t="s">
        <v>28</v>
      </c>
      <c r="I125" s="30" t="s">
        <v>28</v>
      </c>
      <c r="J125" s="30" t="s">
        <v>62</v>
      </c>
      <c r="K125" s="30" t="s">
        <v>62</v>
      </c>
      <c r="L125" s="35">
        <v>18872934554</v>
      </c>
      <c r="M125" s="30" t="s">
        <v>470</v>
      </c>
      <c r="N125" s="38" t="s">
        <v>471</v>
      </c>
    </row>
    <row r="126" spans="1:14" x14ac:dyDescent="0.15">
      <c r="A126" s="31" t="s">
        <v>472</v>
      </c>
      <c r="B126" s="31" t="s">
        <v>188</v>
      </c>
      <c r="C126" s="30" t="s">
        <v>833</v>
      </c>
      <c r="D126" s="30" t="s">
        <v>833</v>
      </c>
      <c r="E126" s="30" t="s">
        <v>833</v>
      </c>
      <c r="F126" s="91"/>
      <c r="G126" s="30" t="s">
        <v>83</v>
      </c>
      <c r="H126" s="99" t="s">
        <v>29</v>
      </c>
      <c r="I126" s="30" t="s">
        <v>29</v>
      </c>
      <c r="J126" s="30" t="s">
        <v>71</v>
      </c>
      <c r="K126" s="30" t="s">
        <v>71</v>
      </c>
      <c r="L126" s="35">
        <v>17633712276</v>
      </c>
      <c r="M126" s="30" t="s">
        <v>473</v>
      </c>
      <c r="N126" s="36" t="s">
        <v>459</v>
      </c>
    </row>
    <row r="127" spans="1:14" x14ac:dyDescent="0.15">
      <c r="A127" s="31" t="s">
        <v>474</v>
      </c>
      <c r="B127" s="31" t="s">
        <v>148</v>
      </c>
      <c r="C127" s="30" t="s">
        <v>80</v>
      </c>
      <c r="D127" s="30" t="s">
        <v>926</v>
      </c>
      <c r="E127" s="30" t="s">
        <v>996</v>
      </c>
      <c r="F127" s="91"/>
      <c r="G127" s="30" t="s">
        <v>770</v>
      </c>
      <c r="H127" s="99" t="s">
        <v>28</v>
      </c>
      <c r="I127" s="30" t="s">
        <v>48</v>
      </c>
      <c r="J127" s="30" t="s">
        <v>62</v>
      </c>
      <c r="K127" s="30" t="s">
        <v>62</v>
      </c>
      <c r="L127" s="35">
        <v>15800782540</v>
      </c>
      <c r="M127" s="30" t="s">
        <v>475</v>
      </c>
      <c r="N127" s="36" t="s">
        <v>476</v>
      </c>
    </row>
    <row r="128" spans="1:14" x14ac:dyDescent="0.15">
      <c r="A128" s="31" t="s">
        <v>477</v>
      </c>
      <c r="B128" s="31" t="s">
        <v>162</v>
      </c>
      <c r="C128" s="30" t="s">
        <v>843</v>
      </c>
      <c r="D128" s="30" t="s">
        <v>843</v>
      </c>
      <c r="E128" s="30" t="s">
        <v>913</v>
      </c>
      <c r="F128" s="91" t="s">
        <v>896</v>
      </c>
      <c r="G128" s="40" t="s">
        <v>81</v>
      </c>
      <c r="H128" s="99" t="s">
        <v>16</v>
      </c>
      <c r="I128" s="30" t="s">
        <v>16</v>
      </c>
      <c r="J128" s="30" t="s">
        <v>65</v>
      </c>
      <c r="K128" s="30" t="s">
        <v>65</v>
      </c>
      <c r="L128" s="35">
        <v>17621152700</v>
      </c>
      <c r="M128" s="30" t="s">
        <v>478</v>
      </c>
      <c r="N128" s="36" t="s">
        <v>479</v>
      </c>
    </row>
    <row r="129" spans="1:14" x14ac:dyDescent="0.15">
      <c r="A129" s="31" t="s">
        <v>480</v>
      </c>
      <c r="B129" s="31" t="s">
        <v>210</v>
      </c>
      <c r="C129" s="30" t="s">
        <v>95</v>
      </c>
      <c r="D129" s="30" t="s">
        <v>95</v>
      </c>
      <c r="E129" s="30" t="s">
        <v>95</v>
      </c>
      <c r="F129" s="91"/>
      <c r="G129" s="30" t="s">
        <v>854</v>
      </c>
      <c r="H129" s="99" t="s">
        <v>25</v>
      </c>
      <c r="I129" s="30" t="s">
        <v>25</v>
      </c>
      <c r="J129" s="30" t="s">
        <v>61</v>
      </c>
      <c r="K129" s="30" t="s">
        <v>61</v>
      </c>
      <c r="L129" s="35">
        <v>17621655654</v>
      </c>
      <c r="M129" s="30" t="s">
        <v>481</v>
      </c>
      <c r="N129" s="36" t="s">
        <v>482</v>
      </c>
    </row>
    <row r="130" spans="1:14" x14ac:dyDescent="0.15">
      <c r="A130" s="31" t="s">
        <v>483</v>
      </c>
      <c r="B130" s="31" t="s">
        <v>314</v>
      </c>
      <c r="C130" s="30" t="s">
        <v>839</v>
      </c>
      <c r="D130" s="30" t="s">
        <v>926</v>
      </c>
      <c r="E130" s="30" t="s">
        <v>996</v>
      </c>
      <c r="F130" s="91"/>
      <c r="G130" s="30" t="s">
        <v>770</v>
      </c>
      <c r="H130" s="99" t="s">
        <v>29</v>
      </c>
      <c r="I130" s="30" t="s">
        <v>29</v>
      </c>
      <c r="J130" s="30" t="s">
        <v>71</v>
      </c>
      <c r="K130" s="30" t="s">
        <v>71</v>
      </c>
      <c r="L130" s="35">
        <v>13913702376</v>
      </c>
      <c r="M130" s="30" t="s">
        <v>484</v>
      </c>
      <c r="N130" s="36" t="s">
        <v>485</v>
      </c>
    </row>
    <row r="131" spans="1:14" x14ac:dyDescent="0.15">
      <c r="A131" s="32" t="s">
        <v>486</v>
      </c>
      <c r="B131" s="31" t="s">
        <v>152</v>
      </c>
      <c r="C131" s="30" t="s">
        <v>94</v>
      </c>
      <c r="D131" s="30" t="s">
        <v>94</v>
      </c>
      <c r="E131" s="30" t="s">
        <v>94</v>
      </c>
      <c r="F131" s="91"/>
      <c r="G131" s="30" t="s">
        <v>94</v>
      </c>
      <c r="H131" s="99" t="s">
        <v>26</v>
      </c>
      <c r="I131" s="30" t="s">
        <v>26</v>
      </c>
      <c r="J131" s="30" t="s">
        <v>61</v>
      </c>
      <c r="K131" s="30" t="s">
        <v>61</v>
      </c>
      <c r="L131" s="35">
        <v>13681846814</v>
      </c>
      <c r="M131" s="30" t="s">
        <v>487</v>
      </c>
      <c r="N131" s="36" t="s">
        <v>208</v>
      </c>
    </row>
    <row r="132" spans="1:14" x14ac:dyDescent="0.15">
      <c r="A132" s="31" t="s">
        <v>488</v>
      </c>
      <c r="B132" s="31" t="s">
        <v>145</v>
      </c>
      <c r="C132" s="30" t="s">
        <v>825</v>
      </c>
      <c r="D132" s="30" t="s">
        <v>825</v>
      </c>
      <c r="E132" s="30" t="s">
        <v>825</v>
      </c>
      <c r="F132" s="91"/>
      <c r="G132" s="30" t="s">
        <v>83</v>
      </c>
      <c r="H132" s="99" t="s">
        <v>25</v>
      </c>
      <c r="I132" s="30" t="s">
        <v>25</v>
      </c>
      <c r="J132" s="30" t="s">
        <v>60</v>
      </c>
      <c r="K132" s="30" t="s">
        <v>60</v>
      </c>
      <c r="L132" s="35">
        <v>18618480191</v>
      </c>
      <c r="M132" s="30" t="s">
        <v>489</v>
      </c>
      <c r="N132" s="36" t="s">
        <v>490</v>
      </c>
    </row>
    <row r="133" spans="1:14" x14ac:dyDescent="0.15">
      <c r="A133" s="32" t="s">
        <v>16</v>
      </c>
      <c r="B133" s="31" t="s">
        <v>255</v>
      </c>
      <c r="C133" s="30" t="s">
        <v>103</v>
      </c>
      <c r="D133" s="30" t="s">
        <v>103</v>
      </c>
      <c r="E133" s="30" t="s">
        <v>103</v>
      </c>
      <c r="F133" s="91"/>
      <c r="G133" s="30" t="s">
        <v>103</v>
      </c>
      <c r="H133" s="99" t="s">
        <v>16</v>
      </c>
      <c r="I133" s="30" t="s">
        <v>16</v>
      </c>
      <c r="J133" s="30" t="s">
        <v>65</v>
      </c>
      <c r="K133" s="30" t="s">
        <v>65</v>
      </c>
      <c r="L133" s="35">
        <v>13361816821</v>
      </c>
      <c r="M133" s="30" t="s">
        <v>491</v>
      </c>
      <c r="N133" s="36" t="s">
        <v>492</v>
      </c>
    </row>
    <row r="134" spans="1:14" x14ac:dyDescent="0.15">
      <c r="A134" s="32" t="s">
        <v>493</v>
      </c>
      <c r="B134" s="31" t="s">
        <v>326</v>
      </c>
      <c r="C134" s="30" t="s">
        <v>494</v>
      </c>
      <c r="D134" s="30" t="s">
        <v>494</v>
      </c>
      <c r="E134" s="30" t="s">
        <v>494</v>
      </c>
      <c r="F134" s="91"/>
      <c r="G134" s="30" t="s">
        <v>495</v>
      </c>
      <c r="H134" s="99" t="s">
        <v>12</v>
      </c>
      <c r="I134" s="30" t="s">
        <v>12</v>
      </c>
      <c r="J134" s="30" t="s">
        <v>494</v>
      </c>
      <c r="K134" s="30" t="s">
        <v>494</v>
      </c>
      <c r="L134" s="35">
        <v>15225088386</v>
      </c>
      <c r="M134" s="30" t="s">
        <v>496</v>
      </c>
      <c r="N134" s="36" t="s">
        <v>497</v>
      </c>
    </row>
    <row r="135" spans="1:14" x14ac:dyDescent="0.15">
      <c r="A135" s="31" t="s">
        <v>498</v>
      </c>
      <c r="B135" s="31" t="s">
        <v>162</v>
      </c>
      <c r="C135" s="30" t="s">
        <v>494</v>
      </c>
      <c r="D135" s="30" t="s">
        <v>494</v>
      </c>
      <c r="E135" s="30" t="s">
        <v>494</v>
      </c>
      <c r="F135" s="91"/>
      <c r="G135" s="30" t="s">
        <v>495</v>
      </c>
      <c r="H135" s="99" t="s">
        <v>12</v>
      </c>
      <c r="I135" s="30" t="s">
        <v>12</v>
      </c>
      <c r="J135" s="30" t="s">
        <v>494</v>
      </c>
      <c r="K135" s="30" t="s">
        <v>494</v>
      </c>
      <c r="L135" s="35">
        <v>13818695034</v>
      </c>
      <c r="M135" s="30" t="s">
        <v>499</v>
      </c>
      <c r="N135" s="36" t="s">
        <v>141</v>
      </c>
    </row>
    <row r="136" spans="1:14" x14ac:dyDescent="0.15">
      <c r="A136" s="31" t="s">
        <v>500</v>
      </c>
      <c r="B136" s="31" t="s">
        <v>162</v>
      </c>
      <c r="C136" s="30" t="s">
        <v>494</v>
      </c>
      <c r="D136" s="30" t="s">
        <v>494</v>
      </c>
      <c r="E136" s="30" t="s">
        <v>494</v>
      </c>
      <c r="F136" s="91"/>
      <c r="G136" s="30" t="s">
        <v>495</v>
      </c>
      <c r="H136" s="99" t="s">
        <v>12</v>
      </c>
      <c r="I136" s="30" t="s">
        <v>12</v>
      </c>
      <c r="J136" s="30" t="s">
        <v>494</v>
      </c>
      <c r="K136" s="30" t="s">
        <v>494</v>
      </c>
      <c r="L136" s="35">
        <v>13166063086</v>
      </c>
      <c r="M136" s="30" t="s">
        <v>501</v>
      </c>
      <c r="N136" s="36" t="s">
        <v>141</v>
      </c>
    </row>
    <row r="137" spans="1:14" x14ac:dyDescent="0.15">
      <c r="A137" s="85" t="s">
        <v>866</v>
      </c>
      <c r="B137" s="85" t="s">
        <v>148</v>
      </c>
      <c r="C137" s="30" t="s">
        <v>494</v>
      </c>
      <c r="D137" s="30" t="s">
        <v>494</v>
      </c>
      <c r="E137" s="30" t="s">
        <v>494</v>
      </c>
      <c r="F137" s="91"/>
      <c r="G137" s="30" t="s">
        <v>495</v>
      </c>
      <c r="H137" s="100" t="s">
        <v>12</v>
      </c>
      <c r="I137" s="86" t="s">
        <v>12</v>
      </c>
      <c r="J137" s="86" t="s">
        <v>494</v>
      </c>
      <c r="K137" s="30" t="s">
        <v>494</v>
      </c>
      <c r="L137" s="87">
        <v>13665696496</v>
      </c>
      <c r="M137" s="48" t="s">
        <v>867</v>
      </c>
      <c r="N137" t="s">
        <v>497</v>
      </c>
    </row>
    <row r="138" spans="1:14" x14ac:dyDescent="0.15">
      <c r="A138" s="30" t="s">
        <v>502</v>
      </c>
      <c r="B138" s="31" t="s">
        <v>182</v>
      </c>
      <c r="C138" s="30" t="s">
        <v>494</v>
      </c>
      <c r="D138" s="30" t="s">
        <v>494</v>
      </c>
      <c r="E138" s="30" t="s">
        <v>494</v>
      </c>
      <c r="F138" s="91"/>
      <c r="G138" s="30" t="s">
        <v>495</v>
      </c>
      <c r="H138" s="99" t="s">
        <v>12</v>
      </c>
      <c r="I138" s="30" t="s">
        <v>12</v>
      </c>
      <c r="J138" s="30" t="s">
        <v>494</v>
      </c>
      <c r="K138" s="30" t="s">
        <v>494</v>
      </c>
      <c r="L138" s="35">
        <v>17802973068</v>
      </c>
      <c r="M138" s="30" t="s">
        <v>503</v>
      </c>
      <c r="N138" s="36" t="s">
        <v>497</v>
      </c>
    </row>
    <row r="139" spans="1:14" x14ac:dyDescent="0.15">
      <c r="A139" s="31" t="s">
        <v>504</v>
      </c>
      <c r="B139" s="31" t="s">
        <v>148</v>
      </c>
      <c r="C139" s="30" t="s">
        <v>58</v>
      </c>
      <c r="D139" s="30" t="s">
        <v>58</v>
      </c>
      <c r="E139" s="30" t="s">
        <v>58</v>
      </c>
      <c r="F139" s="91"/>
      <c r="G139" s="30" t="s">
        <v>104</v>
      </c>
      <c r="H139" s="99" t="s">
        <v>12</v>
      </c>
      <c r="I139" s="30" t="s">
        <v>12</v>
      </c>
      <c r="J139" s="30" t="s">
        <v>58</v>
      </c>
      <c r="K139" s="30" t="s">
        <v>58</v>
      </c>
      <c r="L139" s="35">
        <v>13918823156</v>
      </c>
      <c r="M139" s="30" t="s">
        <v>505</v>
      </c>
      <c r="N139" s="36" t="s">
        <v>506</v>
      </c>
    </row>
    <row r="140" spans="1:14" x14ac:dyDescent="0.15">
      <c r="A140" s="30" t="s">
        <v>507</v>
      </c>
      <c r="B140" s="30" t="s">
        <v>226</v>
      </c>
      <c r="C140" s="30" t="s">
        <v>58</v>
      </c>
      <c r="D140" s="30" t="s">
        <v>58</v>
      </c>
      <c r="E140" s="30" t="s">
        <v>58</v>
      </c>
      <c r="F140" s="91"/>
      <c r="G140" s="30" t="s">
        <v>104</v>
      </c>
      <c r="H140" s="99" t="s">
        <v>12</v>
      </c>
      <c r="I140" s="30" t="s">
        <v>12</v>
      </c>
      <c r="J140" s="30" t="s">
        <v>58</v>
      </c>
      <c r="K140" s="30" t="s">
        <v>58</v>
      </c>
      <c r="L140" s="35">
        <v>13816434470</v>
      </c>
      <c r="M140" s="30" t="s">
        <v>508</v>
      </c>
      <c r="N140" s="36" t="s">
        <v>882</v>
      </c>
    </row>
    <row r="141" spans="1:14" x14ac:dyDescent="0.15">
      <c r="A141" s="32" t="s">
        <v>509</v>
      </c>
      <c r="B141" s="31" t="s">
        <v>210</v>
      </c>
      <c r="C141" s="30" t="s">
        <v>58</v>
      </c>
      <c r="D141" s="30" t="s">
        <v>58</v>
      </c>
      <c r="E141" s="30" t="s">
        <v>58</v>
      </c>
      <c r="F141" s="91"/>
      <c r="G141" s="30" t="s">
        <v>104</v>
      </c>
      <c r="H141" s="99" t="s">
        <v>12</v>
      </c>
      <c r="I141" s="30" t="s">
        <v>12</v>
      </c>
      <c r="J141" s="30" t="s">
        <v>510</v>
      </c>
      <c r="K141" s="30" t="s">
        <v>510</v>
      </c>
      <c r="L141" s="35">
        <v>18964612186</v>
      </c>
      <c r="M141" s="30" t="s">
        <v>511</v>
      </c>
      <c r="N141" s="36" t="s">
        <v>512</v>
      </c>
    </row>
    <row r="142" spans="1:14" x14ac:dyDescent="0.15">
      <c r="A142" s="32" t="s">
        <v>513</v>
      </c>
      <c r="B142" s="31" t="s">
        <v>148</v>
      </c>
      <c r="C142" s="30" t="s">
        <v>838</v>
      </c>
      <c r="D142" s="30" t="s">
        <v>820</v>
      </c>
      <c r="E142" s="30" t="s">
        <v>820</v>
      </c>
      <c r="F142" s="91"/>
      <c r="G142" s="30" t="s">
        <v>83</v>
      </c>
      <c r="H142" s="99" t="s">
        <v>28</v>
      </c>
      <c r="I142" s="30" t="s">
        <v>28</v>
      </c>
      <c r="J142" s="30" t="s">
        <v>61</v>
      </c>
      <c r="K142" s="30" t="s">
        <v>61</v>
      </c>
      <c r="L142" s="35">
        <v>17600660402</v>
      </c>
      <c r="M142" s="30" t="s">
        <v>514</v>
      </c>
      <c r="N142" s="36" t="s">
        <v>515</v>
      </c>
    </row>
    <row r="143" spans="1:14" x14ac:dyDescent="0.15">
      <c r="A143" s="32" t="s">
        <v>516</v>
      </c>
      <c r="B143" s="31" t="s">
        <v>210</v>
      </c>
      <c r="C143" s="30" t="s">
        <v>839</v>
      </c>
      <c r="D143" s="30"/>
      <c r="E143" s="30"/>
      <c r="F143" s="91"/>
      <c r="G143" s="30" t="s">
        <v>957</v>
      </c>
      <c r="H143" s="99" t="s">
        <v>27</v>
      </c>
      <c r="I143" s="32" t="s">
        <v>27</v>
      </c>
      <c r="J143" s="30" t="s">
        <v>62</v>
      </c>
      <c r="K143" s="30" t="s">
        <v>62</v>
      </c>
      <c r="L143" s="35">
        <v>13216086970</v>
      </c>
      <c r="M143" s="37" t="s">
        <v>517</v>
      </c>
      <c r="N143" s="36" t="s">
        <v>518</v>
      </c>
    </row>
    <row r="144" spans="1:14" x14ac:dyDescent="0.15">
      <c r="A144" s="32" t="s">
        <v>519</v>
      </c>
      <c r="B144" s="31" t="s">
        <v>210</v>
      </c>
      <c r="C144" s="30" t="s">
        <v>816</v>
      </c>
      <c r="D144" s="30" t="s">
        <v>816</v>
      </c>
      <c r="E144" s="30" t="s">
        <v>816</v>
      </c>
      <c r="F144" s="91"/>
      <c r="G144" s="30" t="s">
        <v>818</v>
      </c>
      <c r="H144" s="99" t="s">
        <v>27</v>
      </c>
      <c r="I144" s="32" t="s">
        <v>27</v>
      </c>
      <c r="J144" s="30" t="s">
        <v>62</v>
      </c>
      <c r="K144" s="30" t="s">
        <v>62</v>
      </c>
      <c r="L144" s="35">
        <v>17502186239</v>
      </c>
      <c r="M144" s="37" t="s">
        <v>520</v>
      </c>
      <c r="N144" s="36" t="s">
        <v>883</v>
      </c>
    </row>
    <row r="145" spans="1:14" x14ac:dyDescent="0.15">
      <c r="A145" s="31" t="s">
        <v>522</v>
      </c>
      <c r="B145" s="31" t="s">
        <v>238</v>
      </c>
      <c r="C145" s="30" t="s">
        <v>846</v>
      </c>
      <c r="D145" s="30" t="s">
        <v>846</v>
      </c>
      <c r="E145" s="30" t="s">
        <v>846</v>
      </c>
      <c r="F145" s="94"/>
      <c r="G145" s="30" t="s">
        <v>943</v>
      </c>
      <c r="H145" s="99" t="s">
        <v>16</v>
      </c>
      <c r="I145" s="30" t="s">
        <v>16</v>
      </c>
      <c r="J145" s="30" t="s">
        <v>65</v>
      </c>
      <c r="K145" s="30" t="s">
        <v>65</v>
      </c>
      <c r="L145" s="35">
        <v>18221102450</v>
      </c>
      <c r="M145" s="30" t="s">
        <v>523</v>
      </c>
      <c r="N145" s="36" t="s">
        <v>524</v>
      </c>
    </row>
    <row r="146" spans="1:14" x14ac:dyDescent="0.15">
      <c r="A146" s="31" t="s">
        <v>525</v>
      </c>
      <c r="B146" s="32" t="s">
        <v>148</v>
      </c>
      <c r="C146" s="32" t="s">
        <v>820</v>
      </c>
      <c r="D146" s="32" t="s">
        <v>820</v>
      </c>
      <c r="E146" s="32" t="s">
        <v>820</v>
      </c>
      <c r="F146" s="93"/>
      <c r="G146" s="30" t="s">
        <v>770</v>
      </c>
      <c r="H146" s="99" t="s">
        <v>25</v>
      </c>
      <c r="I146" s="32" t="s">
        <v>25</v>
      </c>
      <c r="J146" s="30" t="s">
        <v>62</v>
      </c>
      <c r="K146" s="30" t="s">
        <v>62</v>
      </c>
      <c r="L146" s="35">
        <v>17621063668</v>
      </c>
      <c r="M146" s="30" t="s">
        <v>526</v>
      </c>
      <c r="N146" s="36" t="s">
        <v>884</v>
      </c>
    </row>
    <row r="147" spans="1:14" x14ac:dyDescent="0.15">
      <c r="A147" s="31" t="s">
        <v>527</v>
      </c>
      <c r="B147" s="32" t="s">
        <v>145</v>
      </c>
      <c r="C147" s="30" t="s">
        <v>835</v>
      </c>
      <c r="D147" s="30" t="s">
        <v>926</v>
      </c>
      <c r="E147" s="30" t="s">
        <v>996</v>
      </c>
      <c r="F147" s="91"/>
      <c r="G147" s="32" t="s">
        <v>770</v>
      </c>
      <c r="H147" s="99" t="s">
        <v>12</v>
      </c>
      <c r="I147" s="32" t="s">
        <v>12</v>
      </c>
      <c r="J147" s="30" t="s">
        <v>54</v>
      </c>
      <c r="K147" s="30" t="s">
        <v>54</v>
      </c>
      <c r="L147" s="35"/>
      <c r="M147" s="30"/>
      <c r="N147" s="36" t="s">
        <v>796</v>
      </c>
    </row>
    <row r="148" spans="1:14" x14ac:dyDescent="0.15">
      <c r="A148" s="31" t="s">
        <v>528</v>
      </c>
      <c r="B148" s="32" t="s">
        <v>148</v>
      </c>
      <c r="C148" s="33" t="s">
        <v>827</v>
      </c>
      <c r="D148" s="33" t="s">
        <v>928</v>
      </c>
      <c r="E148" s="30" t="s">
        <v>996</v>
      </c>
      <c r="F148" s="92"/>
      <c r="G148" s="30" t="s">
        <v>770</v>
      </c>
      <c r="H148" s="99" t="s">
        <v>28</v>
      </c>
      <c r="I148" s="32" t="s">
        <v>28</v>
      </c>
      <c r="J148" s="30" t="s">
        <v>62</v>
      </c>
      <c r="K148" s="30" t="s">
        <v>62</v>
      </c>
      <c r="L148" s="35">
        <v>18538150868</v>
      </c>
      <c r="M148" s="30" t="s">
        <v>529</v>
      </c>
      <c r="N148" s="38" t="s">
        <v>530</v>
      </c>
    </row>
    <row r="149" spans="1:14" x14ac:dyDescent="0.15">
      <c r="A149" s="31" t="s">
        <v>531</v>
      </c>
      <c r="B149" s="40" t="s">
        <v>238</v>
      </c>
      <c r="C149" s="30" t="s">
        <v>89</v>
      </c>
      <c r="D149" s="30" t="s">
        <v>895</v>
      </c>
      <c r="E149" s="30" t="s">
        <v>895</v>
      </c>
      <c r="F149" s="92" t="s">
        <v>895</v>
      </c>
      <c r="G149" s="30" t="s">
        <v>776</v>
      </c>
      <c r="H149" s="99" t="s">
        <v>19</v>
      </c>
      <c r="I149" s="40" t="s">
        <v>19</v>
      </c>
      <c r="J149" s="30" t="s">
        <v>68</v>
      </c>
      <c r="K149" s="30" t="s">
        <v>68</v>
      </c>
      <c r="L149" s="43">
        <v>17602180061</v>
      </c>
      <c r="M149" s="44" t="s">
        <v>532</v>
      </c>
      <c r="N149" s="36" t="s">
        <v>533</v>
      </c>
    </row>
    <row r="150" spans="1:14" x14ac:dyDescent="0.15">
      <c r="A150" s="31" t="s">
        <v>534</v>
      </c>
      <c r="B150" s="40" t="s">
        <v>238</v>
      </c>
      <c r="C150" s="84" t="s">
        <v>89</v>
      </c>
      <c r="D150" s="95" t="s">
        <v>899</v>
      </c>
      <c r="E150" s="95" t="s">
        <v>899</v>
      </c>
      <c r="F150" s="95" t="s">
        <v>899</v>
      </c>
      <c r="G150" s="30" t="s">
        <v>776</v>
      </c>
      <c r="H150" s="99" t="s">
        <v>16</v>
      </c>
      <c r="I150" s="40" t="s">
        <v>16</v>
      </c>
      <c r="J150" s="30" t="s">
        <v>66</v>
      </c>
      <c r="K150" s="30" t="s">
        <v>66</v>
      </c>
      <c r="L150" s="43">
        <v>18516579876</v>
      </c>
      <c r="M150" s="44" t="s">
        <v>535</v>
      </c>
      <c r="N150" s="36" t="s">
        <v>536</v>
      </c>
    </row>
    <row r="151" spans="1:14" x14ac:dyDescent="0.15">
      <c r="A151" s="31" t="s">
        <v>537</v>
      </c>
      <c r="B151" s="40" t="s">
        <v>238</v>
      </c>
      <c r="C151" s="33" t="s">
        <v>837</v>
      </c>
      <c r="D151" s="33" t="s">
        <v>837</v>
      </c>
      <c r="E151" s="33" t="s">
        <v>837</v>
      </c>
      <c r="F151" s="92"/>
      <c r="G151" s="30" t="s">
        <v>81</v>
      </c>
      <c r="H151" s="99" t="s">
        <v>19</v>
      </c>
      <c r="I151" s="40" t="s">
        <v>19</v>
      </c>
      <c r="J151" s="45" t="s">
        <v>67</v>
      </c>
      <c r="K151" s="45" t="s">
        <v>67</v>
      </c>
      <c r="L151" s="43">
        <v>18858782638</v>
      </c>
      <c r="M151" s="46" t="s">
        <v>538</v>
      </c>
      <c r="N151" s="36" t="s">
        <v>539</v>
      </c>
    </row>
    <row r="152" spans="1:14" x14ac:dyDescent="0.15">
      <c r="A152" s="31" t="s">
        <v>540</v>
      </c>
      <c r="B152" s="40" t="s">
        <v>238</v>
      </c>
      <c r="C152" s="84" t="s">
        <v>831</v>
      </c>
      <c r="D152" s="84" t="s">
        <v>831</v>
      </c>
      <c r="E152" s="95" t="s">
        <v>899</v>
      </c>
      <c r="F152" s="95" t="s">
        <v>899</v>
      </c>
      <c r="G152" s="40" t="s">
        <v>81</v>
      </c>
      <c r="H152" s="99" t="s">
        <v>12</v>
      </c>
      <c r="I152" s="40" t="s">
        <v>12</v>
      </c>
      <c r="J152" s="45" t="s">
        <v>56</v>
      </c>
      <c r="K152" s="45" t="s">
        <v>56</v>
      </c>
      <c r="L152" s="43">
        <v>18601748629</v>
      </c>
      <c r="M152" s="44" t="s">
        <v>541</v>
      </c>
      <c r="N152" s="36" t="s">
        <v>542</v>
      </c>
    </row>
    <row r="153" spans="1:14" x14ac:dyDescent="0.15">
      <c r="A153" s="31" t="s">
        <v>543</v>
      </c>
      <c r="B153" s="40" t="s">
        <v>182</v>
      </c>
      <c r="C153" s="40" t="s">
        <v>89</v>
      </c>
      <c r="D153" s="96" t="s">
        <v>895</v>
      </c>
      <c r="E153" s="96" t="s">
        <v>895</v>
      </c>
      <c r="F153" s="96" t="s">
        <v>895</v>
      </c>
      <c r="G153" s="40" t="s">
        <v>776</v>
      </c>
      <c r="H153" s="99" t="s">
        <v>16</v>
      </c>
      <c r="I153" s="40" t="s">
        <v>16</v>
      </c>
      <c r="J153" s="30" t="s">
        <v>66</v>
      </c>
      <c r="K153" s="30" t="s">
        <v>66</v>
      </c>
      <c r="L153" s="43">
        <v>18019379163</v>
      </c>
      <c r="M153" s="45" t="s">
        <v>544</v>
      </c>
      <c r="N153" s="38" t="s">
        <v>545</v>
      </c>
    </row>
    <row r="154" spans="1:14" x14ac:dyDescent="0.15">
      <c r="A154" s="31" t="s">
        <v>546</v>
      </c>
      <c r="B154" s="40" t="s">
        <v>162</v>
      </c>
      <c r="C154" s="40" t="s">
        <v>89</v>
      </c>
      <c r="D154" s="40" t="s">
        <v>925</v>
      </c>
      <c r="E154" s="40" t="s">
        <v>925</v>
      </c>
      <c r="F154" s="96"/>
      <c r="G154" s="40" t="s">
        <v>776</v>
      </c>
      <c r="H154" s="99" t="s">
        <v>15</v>
      </c>
      <c r="I154" s="40" t="s">
        <v>15</v>
      </c>
      <c r="J154" s="30" t="s">
        <v>64</v>
      </c>
      <c r="K154" s="30" t="s">
        <v>64</v>
      </c>
      <c r="L154" s="43">
        <v>15317095786</v>
      </c>
      <c r="M154" s="44" t="s">
        <v>547</v>
      </c>
      <c r="N154" s="36" t="s">
        <v>548</v>
      </c>
    </row>
    <row r="155" spans="1:14" x14ac:dyDescent="0.15">
      <c r="A155" s="31" t="s">
        <v>549</v>
      </c>
      <c r="B155" s="40" t="s">
        <v>162</v>
      </c>
      <c r="C155" s="41" t="s">
        <v>775</v>
      </c>
      <c r="D155" s="41" t="s">
        <v>775</v>
      </c>
      <c r="E155" s="41" t="s">
        <v>775</v>
      </c>
      <c r="F155" s="95" t="s">
        <v>899</v>
      </c>
      <c r="G155" s="79" t="s">
        <v>776</v>
      </c>
      <c r="H155" s="99" t="s">
        <v>19</v>
      </c>
      <c r="I155" s="40" t="s">
        <v>19</v>
      </c>
      <c r="J155" s="45" t="s">
        <v>68</v>
      </c>
      <c r="K155" s="45" t="s">
        <v>68</v>
      </c>
      <c r="L155" s="43">
        <v>18351253194</v>
      </c>
      <c r="M155" s="44" t="s">
        <v>550</v>
      </c>
      <c r="N155" s="36" t="s">
        <v>551</v>
      </c>
    </row>
    <row r="156" spans="1:14" x14ac:dyDescent="0.15">
      <c r="A156" s="31" t="s">
        <v>552</v>
      </c>
      <c r="B156" s="40" t="s">
        <v>162</v>
      </c>
      <c r="C156" s="40" t="s">
        <v>89</v>
      </c>
      <c r="D156" s="96" t="s">
        <v>895</v>
      </c>
      <c r="E156" s="96" t="s">
        <v>895</v>
      </c>
      <c r="F156" s="96" t="s">
        <v>895</v>
      </c>
      <c r="G156" s="30" t="s">
        <v>776</v>
      </c>
      <c r="H156" s="99" t="s">
        <v>12</v>
      </c>
      <c r="I156" s="40" t="s">
        <v>12</v>
      </c>
      <c r="J156" s="45" t="s">
        <v>56</v>
      </c>
      <c r="K156" s="45" t="s">
        <v>56</v>
      </c>
      <c r="L156" s="43">
        <v>15201739610</v>
      </c>
      <c r="M156" s="44" t="s">
        <v>553</v>
      </c>
      <c r="N156" s="38" t="s">
        <v>554</v>
      </c>
    </row>
    <row r="157" spans="1:14" x14ac:dyDescent="0.15">
      <c r="A157" s="31" t="s">
        <v>555</v>
      </c>
      <c r="B157" s="40" t="s">
        <v>162</v>
      </c>
      <c r="C157" s="40" t="s">
        <v>89</v>
      </c>
      <c r="D157" s="40"/>
      <c r="E157" s="40"/>
      <c r="F157" s="96"/>
      <c r="G157" s="30"/>
      <c r="H157" s="99" t="s">
        <v>16</v>
      </c>
      <c r="I157" s="40" t="s">
        <v>16</v>
      </c>
      <c r="J157" s="30" t="s">
        <v>66</v>
      </c>
      <c r="K157" s="30" t="s">
        <v>66</v>
      </c>
      <c r="L157" s="43">
        <v>13020297046</v>
      </c>
      <c r="M157" s="44" t="s">
        <v>556</v>
      </c>
      <c r="N157" s="36" t="s">
        <v>557</v>
      </c>
    </row>
    <row r="158" spans="1:14" x14ac:dyDescent="0.15">
      <c r="A158" s="31" t="s">
        <v>558</v>
      </c>
      <c r="B158" s="40" t="s">
        <v>162</v>
      </c>
      <c r="C158" s="41"/>
      <c r="D158" s="95" t="s">
        <v>899</v>
      </c>
      <c r="E158" s="95" t="s">
        <v>899</v>
      </c>
      <c r="F158" s="95" t="s">
        <v>899</v>
      </c>
      <c r="G158" s="40" t="s">
        <v>776</v>
      </c>
      <c r="H158" s="99" t="s">
        <v>12</v>
      </c>
      <c r="I158" s="40" t="s">
        <v>12</v>
      </c>
      <c r="J158" s="45" t="s">
        <v>56</v>
      </c>
      <c r="K158" s="45" t="s">
        <v>56</v>
      </c>
      <c r="L158" s="43">
        <v>17621252511</v>
      </c>
      <c r="M158" s="44" t="s">
        <v>559</v>
      </c>
      <c r="N158" s="36" t="s">
        <v>560</v>
      </c>
    </row>
    <row r="159" spans="1:14" x14ac:dyDescent="0.15">
      <c r="A159" s="31" t="s">
        <v>561</v>
      </c>
      <c r="B159" s="40" t="s">
        <v>162</v>
      </c>
      <c r="C159" s="78" t="s">
        <v>775</v>
      </c>
      <c r="D159" s="78" t="s">
        <v>775</v>
      </c>
      <c r="E159" s="78" t="s">
        <v>775</v>
      </c>
      <c r="F159" s="95" t="s">
        <v>899</v>
      </c>
      <c r="G159" s="79" t="s">
        <v>776</v>
      </c>
      <c r="H159" s="99" t="s">
        <v>11</v>
      </c>
      <c r="I159" s="40" t="s">
        <v>11</v>
      </c>
      <c r="J159" s="30" t="s">
        <v>70</v>
      </c>
      <c r="K159" s="30" t="s">
        <v>70</v>
      </c>
      <c r="L159" s="43">
        <v>15021864595</v>
      </c>
      <c r="M159" s="44" t="s">
        <v>562</v>
      </c>
      <c r="N159" s="38" t="s">
        <v>563</v>
      </c>
    </row>
    <row r="160" spans="1:14" x14ac:dyDescent="0.15">
      <c r="A160" s="31" t="s">
        <v>564</v>
      </c>
      <c r="B160" s="40" t="s">
        <v>162</v>
      </c>
      <c r="C160" s="41" t="s">
        <v>822</v>
      </c>
      <c r="D160" s="41" t="s">
        <v>822</v>
      </c>
      <c r="E160" s="41" t="s">
        <v>822</v>
      </c>
      <c r="F160" s="95" t="s">
        <v>899</v>
      </c>
      <c r="G160" s="79" t="s">
        <v>776</v>
      </c>
      <c r="H160" s="99" t="s">
        <v>19</v>
      </c>
      <c r="I160" s="40" t="s">
        <v>19</v>
      </c>
      <c r="J160" s="30" t="s">
        <v>68</v>
      </c>
      <c r="K160" s="30" t="s">
        <v>68</v>
      </c>
      <c r="L160" s="43">
        <v>18516539456</v>
      </c>
      <c r="M160" s="44" t="s">
        <v>565</v>
      </c>
      <c r="N160" s="38" t="s">
        <v>566</v>
      </c>
    </row>
    <row r="161" spans="1:14" x14ac:dyDescent="0.15">
      <c r="A161" s="31" t="s">
        <v>567</v>
      </c>
      <c r="B161" s="40" t="s">
        <v>162</v>
      </c>
      <c r="C161" s="41" t="s">
        <v>87</v>
      </c>
      <c r="D161" s="41" t="s">
        <v>899</v>
      </c>
      <c r="E161" s="41" t="s">
        <v>899</v>
      </c>
      <c r="F161" s="95" t="s">
        <v>899</v>
      </c>
      <c r="G161" s="40" t="s">
        <v>776</v>
      </c>
      <c r="H161" s="99" t="s">
        <v>11</v>
      </c>
      <c r="I161" s="40" t="s">
        <v>11</v>
      </c>
      <c r="J161" s="30" t="s">
        <v>70</v>
      </c>
      <c r="K161" s="30" t="s">
        <v>70</v>
      </c>
      <c r="L161" s="43">
        <v>15821850143</v>
      </c>
      <c r="M161" s="44" t="s">
        <v>568</v>
      </c>
      <c r="N161" s="36" t="s">
        <v>569</v>
      </c>
    </row>
    <row r="162" spans="1:14" ht="16.5" customHeight="1" x14ac:dyDescent="0.15">
      <c r="A162" s="31" t="s">
        <v>570</v>
      </c>
      <c r="B162" s="40" t="s">
        <v>162</v>
      </c>
      <c r="C162" s="41" t="s">
        <v>820</v>
      </c>
      <c r="D162" s="41" t="s">
        <v>820</v>
      </c>
      <c r="E162" s="41" t="s">
        <v>820</v>
      </c>
      <c r="F162" s="106" t="s">
        <v>938</v>
      </c>
      <c r="G162" s="40" t="s">
        <v>770</v>
      </c>
      <c r="H162" s="99" t="s">
        <v>15</v>
      </c>
      <c r="I162" s="40" t="s">
        <v>15</v>
      </c>
      <c r="J162" s="30" t="s">
        <v>64</v>
      </c>
      <c r="K162" s="30" t="s">
        <v>64</v>
      </c>
      <c r="L162" s="43">
        <v>18001645679</v>
      </c>
      <c r="M162" s="44" t="s">
        <v>571</v>
      </c>
      <c r="N162" s="36" t="s">
        <v>885</v>
      </c>
    </row>
    <row r="163" spans="1:14" x14ac:dyDescent="0.15">
      <c r="A163" s="31" t="s">
        <v>572</v>
      </c>
      <c r="B163" s="40" t="s">
        <v>162</v>
      </c>
      <c r="C163" s="84" t="s">
        <v>839</v>
      </c>
      <c r="D163" s="95" t="s">
        <v>899</v>
      </c>
      <c r="E163" s="95" t="s">
        <v>899</v>
      </c>
      <c r="F163" s="95" t="s">
        <v>899</v>
      </c>
      <c r="G163" s="30" t="s">
        <v>776</v>
      </c>
      <c r="H163" s="99" t="s">
        <v>19</v>
      </c>
      <c r="I163" s="40" t="s">
        <v>19</v>
      </c>
      <c r="J163" s="30" t="s">
        <v>68</v>
      </c>
      <c r="K163" s="30" t="s">
        <v>68</v>
      </c>
      <c r="L163" s="43">
        <v>17321199952</v>
      </c>
      <c r="M163" s="44" t="s">
        <v>573</v>
      </c>
      <c r="N163" s="38" t="s">
        <v>574</v>
      </c>
    </row>
    <row r="164" spans="1:14" x14ac:dyDescent="0.15">
      <c r="A164" s="31" t="s">
        <v>575</v>
      </c>
      <c r="B164" s="40" t="s">
        <v>162</v>
      </c>
      <c r="C164" s="40" t="s">
        <v>89</v>
      </c>
      <c r="D164" s="40"/>
      <c r="E164" s="40"/>
      <c r="F164" s="96"/>
      <c r="G164" s="30"/>
      <c r="H164" s="99" t="s">
        <v>11</v>
      </c>
      <c r="I164" s="40" t="s">
        <v>11</v>
      </c>
      <c r="J164" s="30" t="s">
        <v>70</v>
      </c>
      <c r="K164" s="30" t="s">
        <v>70</v>
      </c>
      <c r="L164" s="43">
        <v>18317056330</v>
      </c>
      <c r="M164" s="44" t="s">
        <v>576</v>
      </c>
      <c r="N164" s="36" t="s">
        <v>577</v>
      </c>
    </row>
    <row r="165" spans="1:14" x14ac:dyDescent="0.15">
      <c r="A165" s="31" t="s">
        <v>578</v>
      </c>
      <c r="B165" s="40" t="s">
        <v>162</v>
      </c>
      <c r="C165" s="30" t="s">
        <v>89</v>
      </c>
      <c r="D165" s="30" t="s">
        <v>933</v>
      </c>
      <c r="E165" s="30" t="s">
        <v>933</v>
      </c>
      <c r="F165" s="91"/>
      <c r="G165" s="30" t="s">
        <v>818</v>
      </c>
      <c r="H165" s="99" t="s">
        <v>12</v>
      </c>
      <c r="I165" s="40" t="s">
        <v>12</v>
      </c>
      <c r="J165" s="45" t="s">
        <v>56</v>
      </c>
      <c r="K165" s="45" t="s">
        <v>56</v>
      </c>
      <c r="L165" s="43">
        <v>18301808690</v>
      </c>
      <c r="M165" s="44" t="s">
        <v>579</v>
      </c>
      <c r="N165" s="36" t="s">
        <v>580</v>
      </c>
    </row>
    <row r="166" spans="1:14" x14ac:dyDescent="0.15">
      <c r="A166" s="31" t="s">
        <v>581</v>
      </c>
      <c r="B166" s="40" t="s">
        <v>162</v>
      </c>
      <c r="C166" s="40" t="s">
        <v>89</v>
      </c>
      <c r="D166" s="30" t="s">
        <v>813</v>
      </c>
      <c r="E166" s="30" t="s">
        <v>813</v>
      </c>
      <c r="F166" s="91"/>
      <c r="G166" s="30" t="s">
        <v>770</v>
      </c>
      <c r="H166" s="99" t="s">
        <v>11</v>
      </c>
      <c r="I166" s="40" t="s">
        <v>11</v>
      </c>
      <c r="J166" s="30" t="s">
        <v>70</v>
      </c>
      <c r="K166" s="30" t="s">
        <v>70</v>
      </c>
      <c r="L166" s="43">
        <v>15603802065</v>
      </c>
      <c r="M166" s="44" t="s">
        <v>582</v>
      </c>
      <c r="N166" s="38" t="s">
        <v>583</v>
      </c>
    </row>
    <row r="167" spans="1:14" x14ac:dyDescent="0.15">
      <c r="A167" s="31" t="s">
        <v>584</v>
      </c>
      <c r="B167" s="40" t="s">
        <v>162</v>
      </c>
      <c r="C167" s="41" t="s">
        <v>822</v>
      </c>
      <c r="D167" s="41" t="s">
        <v>822</v>
      </c>
      <c r="E167" s="41" t="s">
        <v>822</v>
      </c>
      <c r="F167" s="95" t="s">
        <v>899</v>
      </c>
      <c r="G167" s="79" t="s">
        <v>776</v>
      </c>
      <c r="H167" s="99" t="s">
        <v>16</v>
      </c>
      <c r="I167" s="40" t="s">
        <v>16</v>
      </c>
      <c r="J167" s="30" t="s">
        <v>66</v>
      </c>
      <c r="K167" s="30" t="s">
        <v>66</v>
      </c>
      <c r="L167" s="43">
        <v>17730158846</v>
      </c>
      <c r="M167" s="45" t="s">
        <v>585</v>
      </c>
      <c r="N167" s="36" t="s">
        <v>586</v>
      </c>
    </row>
    <row r="168" spans="1:14" x14ac:dyDescent="0.15">
      <c r="A168" s="31" t="s">
        <v>587</v>
      </c>
      <c r="B168" s="40" t="s">
        <v>162</v>
      </c>
      <c r="C168" s="78" t="s">
        <v>775</v>
      </c>
      <c r="D168" s="78" t="s">
        <v>775</v>
      </c>
      <c r="E168" s="78" t="s">
        <v>775</v>
      </c>
      <c r="F168" s="95" t="s">
        <v>899</v>
      </c>
      <c r="G168" s="79" t="s">
        <v>776</v>
      </c>
      <c r="H168" s="99" t="s">
        <v>11</v>
      </c>
      <c r="I168" s="40" t="s">
        <v>11</v>
      </c>
      <c r="J168" s="30" t="s">
        <v>70</v>
      </c>
      <c r="K168" s="30" t="s">
        <v>70</v>
      </c>
      <c r="L168" s="43">
        <v>18101658299</v>
      </c>
      <c r="M168" s="44" t="s">
        <v>588</v>
      </c>
      <c r="N168" s="36" t="s">
        <v>589</v>
      </c>
    </row>
    <row r="169" spans="1:14" x14ac:dyDescent="0.15">
      <c r="A169" s="31" t="s">
        <v>590</v>
      </c>
      <c r="B169" s="40" t="s">
        <v>162</v>
      </c>
      <c r="C169" s="30" t="s">
        <v>89</v>
      </c>
      <c r="D169" s="30" t="s">
        <v>933</v>
      </c>
      <c r="E169" s="30" t="s">
        <v>933</v>
      </c>
      <c r="F169" s="91"/>
      <c r="G169" s="30" t="s">
        <v>818</v>
      </c>
      <c r="H169" s="99" t="s">
        <v>19</v>
      </c>
      <c r="I169" s="40" t="s">
        <v>19</v>
      </c>
      <c r="J169" s="30" t="s">
        <v>68</v>
      </c>
      <c r="K169" s="30" t="s">
        <v>68</v>
      </c>
      <c r="L169" s="43">
        <v>19939475010</v>
      </c>
      <c r="M169" s="44" t="s">
        <v>591</v>
      </c>
      <c r="N169" s="36" t="s">
        <v>592</v>
      </c>
    </row>
    <row r="170" spans="1:14" x14ac:dyDescent="0.15">
      <c r="A170" s="31" t="s">
        <v>593</v>
      </c>
      <c r="B170" s="40" t="s">
        <v>162</v>
      </c>
      <c r="C170" s="40" t="s">
        <v>89</v>
      </c>
      <c r="D170" s="40" t="s">
        <v>926</v>
      </c>
      <c r="E170" s="30" t="s">
        <v>996</v>
      </c>
      <c r="F170" s="96"/>
      <c r="G170" s="30" t="s">
        <v>770</v>
      </c>
      <c r="H170" s="99" t="s">
        <v>12</v>
      </c>
      <c r="I170" s="40" t="s">
        <v>12</v>
      </c>
      <c r="J170" s="45" t="s">
        <v>56</v>
      </c>
      <c r="K170" s="45" t="s">
        <v>56</v>
      </c>
      <c r="L170" s="43">
        <v>13482490162</v>
      </c>
      <c r="M170" s="44" t="s">
        <v>594</v>
      </c>
      <c r="N170" s="38" t="s">
        <v>595</v>
      </c>
    </row>
    <row r="171" spans="1:14" x14ac:dyDescent="0.15">
      <c r="A171" s="31" t="s">
        <v>918</v>
      </c>
      <c r="B171" s="40" t="s">
        <v>162</v>
      </c>
      <c r="C171" s="84"/>
      <c r="D171" s="84" t="s">
        <v>899</v>
      </c>
      <c r="E171" s="84" t="s">
        <v>899</v>
      </c>
      <c r="F171" s="95" t="s">
        <v>899</v>
      </c>
      <c r="G171" s="40" t="s">
        <v>776</v>
      </c>
      <c r="H171" s="99" t="s">
        <v>15</v>
      </c>
      <c r="I171" s="40" t="s">
        <v>15</v>
      </c>
      <c r="J171" s="30" t="s">
        <v>64</v>
      </c>
      <c r="K171" s="30" t="s">
        <v>64</v>
      </c>
      <c r="L171" s="43">
        <v>15938624682</v>
      </c>
      <c r="M171" s="44" t="s">
        <v>596</v>
      </c>
      <c r="N171" s="38" t="s">
        <v>597</v>
      </c>
    </row>
    <row r="172" spans="1:14" x14ac:dyDescent="0.15">
      <c r="A172" s="31" t="s">
        <v>598</v>
      </c>
      <c r="B172" s="40" t="s">
        <v>162</v>
      </c>
      <c r="C172" s="40" t="s">
        <v>89</v>
      </c>
      <c r="D172" s="40"/>
      <c r="E172" s="40"/>
      <c r="F172" s="96"/>
      <c r="G172" s="30"/>
      <c r="H172" s="99" t="s">
        <v>11</v>
      </c>
      <c r="I172" s="40" t="s">
        <v>11</v>
      </c>
      <c r="J172" s="30" t="s">
        <v>70</v>
      </c>
      <c r="K172" s="30" t="s">
        <v>70</v>
      </c>
      <c r="L172" s="43">
        <v>15300700801</v>
      </c>
      <c r="M172" s="44" t="s">
        <v>599</v>
      </c>
      <c r="N172" s="36" t="s">
        <v>600</v>
      </c>
    </row>
    <row r="173" spans="1:14" x14ac:dyDescent="0.15">
      <c r="A173" s="31" t="s">
        <v>601</v>
      </c>
      <c r="B173" s="40" t="s">
        <v>162</v>
      </c>
      <c r="C173" s="30" t="s">
        <v>816</v>
      </c>
      <c r="D173" s="30" t="s">
        <v>816</v>
      </c>
      <c r="E173" s="30" t="s">
        <v>816</v>
      </c>
      <c r="F173" s="91"/>
      <c r="G173" s="30" t="s">
        <v>818</v>
      </c>
      <c r="H173" s="99" t="s">
        <v>19</v>
      </c>
      <c r="I173" s="40" t="s">
        <v>19</v>
      </c>
      <c r="J173" s="30" t="s">
        <v>68</v>
      </c>
      <c r="K173" s="30" t="s">
        <v>68</v>
      </c>
      <c r="L173" s="43">
        <v>18621750734</v>
      </c>
      <c r="M173" s="44" t="s">
        <v>602</v>
      </c>
      <c r="N173" s="38" t="s">
        <v>312</v>
      </c>
    </row>
    <row r="174" spans="1:14" x14ac:dyDescent="0.15">
      <c r="A174" s="31" t="s">
        <v>603</v>
      </c>
      <c r="B174" s="40" t="s">
        <v>238</v>
      </c>
      <c r="C174" s="40" t="s">
        <v>820</v>
      </c>
      <c r="D174" s="40" t="s">
        <v>820</v>
      </c>
      <c r="E174" s="40" t="s">
        <v>820</v>
      </c>
      <c r="F174" s="96"/>
      <c r="G174" s="40" t="s">
        <v>770</v>
      </c>
      <c r="H174" s="99" t="s">
        <v>15</v>
      </c>
      <c r="I174" s="40" t="s">
        <v>15</v>
      </c>
      <c r="J174" s="30" t="s">
        <v>64</v>
      </c>
      <c r="K174" s="30" t="s">
        <v>64</v>
      </c>
      <c r="L174" s="43"/>
      <c r="M174" s="45"/>
      <c r="N174" s="38" t="s">
        <v>886</v>
      </c>
    </row>
    <row r="175" spans="1:14" x14ac:dyDescent="0.15">
      <c r="A175" s="31" t="s">
        <v>604</v>
      </c>
      <c r="B175" s="40" t="s">
        <v>162</v>
      </c>
      <c r="C175" s="41" t="s">
        <v>822</v>
      </c>
      <c r="D175" s="41" t="s">
        <v>822</v>
      </c>
      <c r="E175" s="41" t="s">
        <v>822</v>
      </c>
      <c r="F175" s="95" t="s">
        <v>899</v>
      </c>
      <c r="G175" s="79" t="s">
        <v>776</v>
      </c>
      <c r="H175" s="99" t="s">
        <v>12</v>
      </c>
      <c r="I175" s="40" t="s">
        <v>12</v>
      </c>
      <c r="J175" s="45" t="s">
        <v>56</v>
      </c>
      <c r="K175" s="45" t="s">
        <v>56</v>
      </c>
      <c r="L175" s="43">
        <v>13382070073</v>
      </c>
      <c r="M175" s="44" t="s">
        <v>605</v>
      </c>
      <c r="N175" s="38" t="s">
        <v>606</v>
      </c>
    </row>
    <row r="176" spans="1:14" x14ac:dyDescent="0.15">
      <c r="A176" s="31" t="s">
        <v>915</v>
      </c>
      <c r="B176" s="40" t="s">
        <v>162</v>
      </c>
      <c r="C176" s="40" t="s">
        <v>89</v>
      </c>
      <c r="D176" s="30" t="s">
        <v>913</v>
      </c>
      <c r="E176" s="30" t="s">
        <v>913</v>
      </c>
      <c r="F176" s="91" t="s">
        <v>896</v>
      </c>
      <c r="G176" s="40" t="s">
        <v>776</v>
      </c>
      <c r="H176" s="99" t="s">
        <v>16</v>
      </c>
      <c r="I176" s="40" t="s">
        <v>16</v>
      </c>
      <c r="J176" s="30" t="s">
        <v>66</v>
      </c>
      <c r="K176" s="30" t="s">
        <v>66</v>
      </c>
      <c r="L176" s="43">
        <v>13601797642</v>
      </c>
      <c r="M176" s="44" t="s">
        <v>607</v>
      </c>
      <c r="N176" s="38" t="s">
        <v>608</v>
      </c>
    </row>
    <row r="177" spans="1:14" x14ac:dyDescent="0.15">
      <c r="A177" s="31" t="s">
        <v>609</v>
      </c>
      <c r="B177" s="31" t="s">
        <v>162</v>
      </c>
      <c r="C177" s="30" t="s">
        <v>87</v>
      </c>
      <c r="D177" s="30" t="s">
        <v>899</v>
      </c>
      <c r="E177" s="30" t="s">
        <v>899</v>
      </c>
      <c r="F177" s="30" t="s">
        <v>899</v>
      </c>
      <c r="G177" s="30" t="s">
        <v>776</v>
      </c>
      <c r="H177" s="99" t="s">
        <v>12</v>
      </c>
      <c r="I177" s="42" t="s">
        <v>12</v>
      </c>
      <c r="J177" s="45" t="s">
        <v>54</v>
      </c>
      <c r="K177" s="45" t="s">
        <v>54</v>
      </c>
      <c r="L177" s="35"/>
      <c r="M177" s="47"/>
      <c r="N177" s="48" t="s">
        <v>610</v>
      </c>
    </row>
    <row r="178" spans="1:14" x14ac:dyDescent="0.15">
      <c r="A178" s="31" t="s">
        <v>611</v>
      </c>
      <c r="B178" s="31" t="s">
        <v>162</v>
      </c>
      <c r="C178" s="30" t="s">
        <v>833</v>
      </c>
      <c r="D178" s="30" t="s">
        <v>833</v>
      </c>
      <c r="E178" s="30" t="s">
        <v>833</v>
      </c>
      <c r="F178" s="91"/>
      <c r="G178" s="30" t="s">
        <v>83</v>
      </c>
      <c r="H178" s="99" t="s">
        <v>11</v>
      </c>
      <c r="I178" s="42" t="s">
        <v>11</v>
      </c>
      <c r="J178" s="42" t="s">
        <v>69</v>
      </c>
      <c r="K178" s="42" t="s">
        <v>69</v>
      </c>
      <c r="L178" s="47"/>
      <c r="M178" s="47"/>
      <c r="N178" s="48" t="s">
        <v>612</v>
      </c>
    </row>
    <row r="179" spans="1:14" x14ac:dyDescent="0.15">
      <c r="A179" s="31" t="s">
        <v>613</v>
      </c>
      <c r="B179" s="31" t="s">
        <v>162</v>
      </c>
      <c r="C179" s="78" t="s">
        <v>775</v>
      </c>
      <c r="D179" s="78" t="s">
        <v>775</v>
      </c>
      <c r="E179" s="78" t="s">
        <v>775</v>
      </c>
      <c r="F179" s="95" t="s">
        <v>899</v>
      </c>
      <c r="G179" s="79" t="s">
        <v>776</v>
      </c>
      <c r="H179" s="99" t="s">
        <v>11</v>
      </c>
      <c r="I179" s="42" t="s">
        <v>11</v>
      </c>
      <c r="J179" s="30" t="s">
        <v>70</v>
      </c>
      <c r="K179" s="30" t="s">
        <v>70</v>
      </c>
      <c r="L179" s="35"/>
      <c r="M179" s="47"/>
      <c r="N179" s="48" t="s">
        <v>614</v>
      </c>
    </row>
    <row r="180" spans="1:14" x14ac:dyDescent="0.15">
      <c r="A180" s="31" t="s">
        <v>615</v>
      </c>
      <c r="B180" s="40" t="s">
        <v>145</v>
      </c>
      <c r="C180" s="30" t="s">
        <v>100</v>
      </c>
      <c r="D180" s="30" t="s">
        <v>900</v>
      </c>
      <c r="E180" s="30" t="s">
        <v>900</v>
      </c>
      <c r="F180" s="91"/>
      <c r="G180" s="30" t="s">
        <v>99</v>
      </c>
      <c r="H180" s="99" t="s">
        <v>30</v>
      </c>
      <c r="I180" s="40" t="s">
        <v>30</v>
      </c>
      <c r="J180" s="30" t="s">
        <v>982</v>
      </c>
      <c r="K180" s="30" t="s">
        <v>984</v>
      </c>
      <c r="L180" s="43"/>
      <c r="M180" s="45"/>
      <c r="N180" s="36" t="s">
        <v>616</v>
      </c>
    </row>
    <row r="181" spans="1:14" x14ac:dyDescent="0.15">
      <c r="A181" s="31" t="s">
        <v>617</v>
      </c>
      <c r="B181" s="31" t="s">
        <v>156</v>
      </c>
      <c r="C181" s="30" t="s">
        <v>102</v>
      </c>
      <c r="D181" s="30" t="s">
        <v>102</v>
      </c>
      <c r="E181" s="30" t="s">
        <v>986</v>
      </c>
      <c r="F181" s="91"/>
      <c r="G181" s="30" t="s">
        <v>99</v>
      </c>
      <c r="H181" s="99" t="s">
        <v>30</v>
      </c>
      <c r="I181" s="30" t="s">
        <v>30</v>
      </c>
      <c r="J181" s="30" t="s">
        <v>984</v>
      </c>
      <c r="K181" s="30" t="s">
        <v>984</v>
      </c>
      <c r="L181" s="35">
        <v>18217448147</v>
      </c>
      <c r="M181" s="30" t="s">
        <v>618</v>
      </c>
      <c r="N181" s="36" t="s">
        <v>312</v>
      </c>
    </row>
    <row r="182" spans="1:14" x14ac:dyDescent="0.15">
      <c r="A182" s="31" t="s">
        <v>619</v>
      </c>
      <c r="B182" s="31" t="s">
        <v>152</v>
      </c>
      <c r="C182" s="30" t="s">
        <v>783</v>
      </c>
      <c r="D182" s="30" t="s">
        <v>783</v>
      </c>
      <c r="E182" s="30" t="s">
        <v>783</v>
      </c>
      <c r="F182" s="91"/>
      <c r="G182" s="30" t="s">
        <v>783</v>
      </c>
      <c r="H182" s="99" t="s">
        <v>30</v>
      </c>
      <c r="I182" s="30" t="s">
        <v>30</v>
      </c>
      <c r="J182" s="30" t="s">
        <v>971</v>
      </c>
      <c r="K182" s="30" t="s">
        <v>971</v>
      </c>
      <c r="L182" s="35">
        <v>13774402593</v>
      </c>
      <c r="M182" s="30" t="s">
        <v>620</v>
      </c>
      <c r="N182" s="36" t="s">
        <v>312</v>
      </c>
    </row>
    <row r="183" spans="1:14" x14ac:dyDescent="0.15">
      <c r="A183" s="31" t="s">
        <v>621</v>
      </c>
      <c r="B183" s="31" t="s">
        <v>622</v>
      </c>
      <c r="C183" s="30" t="s">
        <v>99</v>
      </c>
      <c r="D183" s="30" t="s">
        <v>99</v>
      </c>
      <c r="E183" s="30" t="s">
        <v>99</v>
      </c>
      <c r="F183" s="91"/>
      <c r="G183" s="30" t="s">
        <v>99</v>
      </c>
      <c r="H183" s="99" t="s">
        <v>30</v>
      </c>
      <c r="I183" s="30" t="s">
        <v>30</v>
      </c>
      <c r="J183" s="30" t="s">
        <v>982</v>
      </c>
      <c r="K183" s="30" t="s">
        <v>982</v>
      </c>
      <c r="L183" s="35">
        <v>18616924767</v>
      </c>
      <c r="M183" s="30" t="s">
        <v>623</v>
      </c>
      <c r="N183" s="36" t="s">
        <v>312</v>
      </c>
    </row>
    <row r="184" spans="1:14" x14ac:dyDescent="0.15">
      <c r="A184" s="31" t="s">
        <v>624</v>
      </c>
      <c r="B184" s="31" t="s">
        <v>182</v>
      </c>
      <c r="C184" s="30" t="s">
        <v>820</v>
      </c>
      <c r="D184" s="30" t="s">
        <v>820</v>
      </c>
      <c r="E184" s="30" t="s">
        <v>820</v>
      </c>
      <c r="F184" s="91"/>
      <c r="G184" s="30" t="s">
        <v>83</v>
      </c>
      <c r="H184" s="99" t="s">
        <v>30</v>
      </c>
      <c r="I184" s="30" t="s">
        <v>30</v>
      </c>
      <c r="J184" s="30" t="s">
        <v>971</v>
      </c>
      <c r="K184" s="30" t="s">
        <v>971</v>
      </c>
      <c r="L184" s="35">
        <v>15773243797</v>
      </c>
      <c r="M184" s="30" t="s">
        <v>625</v>
      </c>
      <c r="N184" s="36" t="s">
        <v>887</v>
      </c>
    </row>
    <row r="185" spans="1:14" x14ac:dyDescent="0.15">
      <c r="A185" s="31" t="s">
        <v>916</v>
      </c>
      <c r="B185" s="31" t="s">
        <v>314</v>
      </c>
      <c r="C185" s="33" t="s">
        <v>827</v>
      </c>
      <c r="D185" s="33" t="s">
        <v>827</v>
      </c>
      <c r="E185" s="33" t="s">
        <v>907</v>
      </c>
      <c r="F185" s="92" t="s">
        <v>894</v>
      </c>
      <c r="G185" s="30" t="s">
        <v>81</v>
      </c>
      <c r="H185" s="99" t="s">
        <v>30</v>
      </c>
      <c r="I185" s="30" t="s">
        <v>30</v>
      </c>
      <c r="J185" s="30" t="s">
        <v>971</v>
      </c>
      <c r="K185" s="30" t="s">
        <v>971</v>
      </c>
      <c r="L185" s="35">
        <v>13849025289</v>
      </c>
      <c r="M185" s="30" t="s">
        <v>626</v>
      </c>
      <c r="N185" s="45" t="s">
        <v>312</v>
      </c>
    </row>
    <row r="186" spans="1:14" x14ac:dyDescent="0.15">
      <c r="A186" s="31" t="s">
        <v>627</v>
      </c>
      <c r="B186" s="31" t="s">
        <v>182</v>
      </c>
      <c r="C186" s="30" t="s">
        <v>813</v>
      </c>
      <c r="D186" s="30" t="s">
        <v>934</v>
      </c>
      <c r="E186" s="30" t="s">
        <v>933</v>
      </c>
      <c r="F186" s="91"/>
      <c r="G186" s="30" t="s">
        <v>818</v>
      </c>
      <c r="H186" s="99" t="s">
        <v>30</v>
      </c>
      <c r="I186" s="30" t="s">
        <v>30</v>
      </c>
      <c r="J186" s="30" t="s">
        <v>971</v>
      </c>
      <c r="K186" s="30" t="s">
        <v>971</v>
      </c>
      <c r="L186" s="35">
        <v>13486686558</v>
      </c>
      <c r="M186" s="30" t="s">
        <v>628</v>
      </c>
      <c r="N186" s="36" t="s">
        <v>312</v>
      </c>
    </row>
    <row r="187" spans="1:14" x14ac:dyDescent="0.15">
      <c r="A187" s="31" t="s">
        <v>629</v>
      </c>
      <c r="B187" s="31" t="s">
        <v>182</v>
      </c>
      <c r="C187" s="30" t="s">
        <v>813</v>
      </c>
      <c r="D187" s="30" t="s">
        <v>813</v>
      </c>
      <c r="E187" s="30" t="s">
        <v>813</v>
      </c>
      <c r="F187" s="91"/>
      <c r="G187" s="30" t="s">
        <v>770</v>
      </c>
      <c r="H187" s="99" t="s">
        <v>30</v>
      </c>
      <c r="I187" s="30" t="s">
        <v>30</v>
      </c>
      <c r="J187" s="30" t="s">
        <v>971</v>
      </c>
      <c r="K187" s="30" t="s">
        <v>971</v>
      </c>
      <c r="L187" s="35">
        <v>18217411321</v>
      </c>
      <c r="M187" s="30" t="s">
        <v>630</v>
      </c>
      <c r="N187" s="45" t="s">
        <v>888</v>
      </c>
    </row>
    <row r="188" spans="1:14" x14ac:dyDescent="0.15">
      <c r="A188" s="31" t="s">
        <v>631</v>
      </c>
      <c r="B188" s="31" t="s">
        <v>152</v>
      </c>
      <c r="C188" s="30" t="s">
        <v>101</v>
      </c>
      <c r="D188" s="30" t="s">
        <v>101</v>
      </c>
      <c r="E188" s="30" t="s">
        <v>988</v>
      </c>
      <c r="F188" s="91"/>
      <c r="G188" s="30" t="s">
        <v>99</v>
      </c>
      <c r="H188" s="99" t="s">
        <v>30</v>
      </c>
      <c r="I188" s="30" t="s">
        <v>30</v>
      </c>
      <c r="J188" s="30" t="s">
        <v>982</v>
      </c>
      <c r="K188" s="30" t="s">
        <v>982</v>
      </c>
      <c r="L188" s="35">
        <v>13681925576</v>
      </c>
      <c r="M188" s="30" t="s">
        <v>632</v>
      </c>
      <c r="N188" s="45" t="s">
        <v>312</v>
      </c>
    </row>
    <row r="189" spans="1:14" x14ac:dyDescent="0.15">
      <c r="A189" s="31" t="s">
        <v>633</v>
      </c>
      <c r="B189" s="31" t="s">
        <v>182</v>
      </c>
      <c r="C189" s="30" t="s">
        <v>87</v>
      </c>
      <c r="D189" s="30" t="s">
        <v>926</v>
      </c>
      <c r="E189" s="30" t="s">
        <v>996</v>
      </c>
      <c r="F189" s="91"/>
      <c r="G189" s="30" t="s">
        <v>770</v>
      </c>
      <c r="H189" s="99" t="s">
        <v>16</v>
      </c>
      <c r="I189" s="30" t="s">
        <v>16</v>
      </c>
      <c r="J189" s="30" t="s">
        <v>65</v>
      </c>
      <c r="K189" s="30" t="s">
        <v>65</v>
      </c>
      <c r="L189" s="35">
        <v>15900459203</v>
      </c>
      <c r="M189" s="30" t="s">
        <v>634</v>
      </c>
      <c r="N189" s="36" t="s">
        <v>635</v>
      </c>
    </row>
    <row r="190" spans="1:14" x14ac:dyDescent="0.15">
      <c r="A190" s="31" t="s">
        <v>636</v>
      </c>
      <c r="B190" s="31" t="s">
        <v>351</v>
      </c>
      <c r="C190" s="30" t="s">
        <v>102</v>
      </c>
      <c r="D190" s="30" t="s">
        <v>102</v>
      </c>
      <c r="E190" s="30" t="s">
        <v>986</v>
      </c>
      <c r="F190" s="91"/>
      <c r="G190" s="30" t="s">
        <v>99</v>
      </c>
      <c r="H190" s="99" t="s">
        <v>30</v>
      </c>
      <c r="I190" s="30" t="s">
        <v>30</v>
      </c>
      <c r="J190" s="30" t="s">
        <v>982</v>
      </c>
      <c r="K190" s="30" t="s">
        <v>982</v>
      </c>
      <c r="L190" s="35">
        <v>15216777835</v>
      </c>
      <c r="M190" s="30" t="s">
        <v>637</v>
      </c>
      <c r="N190" s="45" t="s">
        <v>312</v>
      </c>
    </row>
    <row r="191" spans="1:14" x14ac:dyDescent="0.15">
      <c r="A191" s="31" t="s">
        <v>638</v>
      </c>
      <c r="B191" s="31" t="s">
        <v>226</v>
      </c>
      <c r="C191" s="30" t="s">
        <v>101</v>
      </c>
      <c r="D191" s="30" t="s">
        <v>101</v>
      </c>
      <c r="E191" s="30" t="s">
        <v>988</v>
      </c>
      <c r="F191" s="91"/>
      <c r="G191" s="30" t="s">
        <v>99</v>
      </c>
      <c r="H191" s="99" t="s">
        <v>30</v>
      </c>
      <c r="I191" s="30" t="s">
        <v>30</v>
      </c>
      <c r="J191" s="30" t="s">
        <v>982</v>
      </c>
      <c r="K191" s="30" t="s">
        <v>982</v>
      </c>
      <c r="L191" s="35">
        <v>17602143014</v>
      </c>
      <c r="M191" s="30" t="s">
        <v>639</v>
      </c>
      <c r="N191" s="45" t="s">
        <v>312</v>
      </c>
    </row>
    <row r="192" spans="1:14" x14ac:dyDescent="0.15">
      <c r="A192" s="31" t="s">
        <v>640</v>
      </c>
      <c r="B192" s="31" t="s">
        <v>182</v>
      </c>
      <c r="C192" s="33" t="s">
        <v>827</v>
      </c>
      <c r="D192" s="33" t="s">
        <v>928</v>
      </c>
      <c r="E192" s="30" t="s">
        <v>996</v>
      </c>
      <c r="F192" s="92"/>
      <c r="G192" s="30" t="s">
        <v>770</v>
      </c>
      <c r="H192" s="99" t="s">
        <v>30</v>
      </c>
      <c r="I192" s="30" t="s">
        <v>30</v>
      </c>
      <c r="J192" s="30" t="s">
        <v>971</v>
      </c>
      <c r="K192" s="30" t="s">
        <v>971</v>
      </c>
      <c r="L192" s="35">
        <v>15514267267</v>
      </c>
      <c r="M192" s="30" t="s">
        <v>641</v>
      </c>
      <c r="N192" s="45" t="s">
        <v>312</v>
      </c>
    </row>
    <row r="193" spans="1:14" x14ac:dyDescent="0.15">
      <c r="A193" s="31" t="s">
        <v>642</v>
      </c>
      <c r="B193" s="31" t="s">
        <v>152</v>
      </c>
      <c r="C193" s="30" t="s">
        <v>833</v>
      </c>
      <c r="D193" s="30" t="s">
        <v>833</v>
      </c>
      <c r="E193" s="30" t="s">
        <v>833</v>
      </c>
      <c r="F193" s="91"/>
      <c r="G193" s="30" t="s">
        <v>83</v>
      </c>
      <c r="H193" s="99" t="s">
        <v>30</v>
      </c>
      <c r="I193" s="30" t="s">
        <v>30</v>
      </c>
      <c r="J193" s="30" t="s">
        <v>971</v>
      </c>
      <c r="K193" s="30" t="s">
        <v>971</v>
      </c>
      <c r="L193" s="35">
        <v>13601749561</v>
      </c>
      <c r="M193" s="30" t="s">
        <v>643</v>
      </c>
      <c r="N193" s="45" t="s">
        <v>644</v>
      </c>
    </row>
    <row r="194" spans="1:14" x14ac:dyDescent="0.15">
      <c r="A194" s="31" t="s">
        <v>645</v>
      </c>
      <c r="B194" s="31" t="s">
        <v>255</v>
      </c>
      <c r="C194" s="30" t="s">
        <v>852</v>
      </c>
      <c r="D194" s="30" t="s">
        <v>852</v>
      </c>
      <c r="E194" s="30" t="s">
        <v>852</v>
      </c>
      <c r="F194" s="91"/>
      <c r="G194" s="30" t="s">
        <v>770</v>
      </c>
      <c r="H194" s="99" t="s">
        <v>30</v>
      </c>
      <c r="I194" s="30" t="s">
        <v>30</v>
      </c>
      <c r="J194" s="30" t="s">
        <v>982</v>
      </c>
      <c r="K194" s="30" t="s">
        <v>982</v>
      </c>
      <c r="L194" s="35">
        <v>18310816676</v>
      </c>
      <c r="M194" s="30" t="s">
        <v>646</v>
      </c>
      <c r="N194" s="45" t="s">
        <v>312</v>
      </c>
    </row>
    <row r="195" spans="1:14" x14ac:dyDescent="0.15">
      <c r="A195" s="31" t="s">
        <v>647</v>
      </c>
      <c r="B195" s="31" t="s">
        <v>156</v>
      </c>
      <c r="C195" s="30" t="s">
        <v>101</v>
      </c>
      <c r="D195" s="30" t="s">
        <v>101</v>
      </c>
      <c r="E195" s="30" t="s">
        <v>988</v>
      </c>
      <c r="F195" s="91"/>
      <c r="G195" s="30" t="s">
        <v>99</v>
      </c>
      <c r="H195" s="99" t="s">
        <v>30</v>
      </c>
      <c r="I195" s="30" t="s">
        <v>30</v>
      </c>
      <c r="J195" s="30" t="s">
        <v>982</v>
      </c>
      <c r="K195" s="30" t="s">
        <v>982</v>
      </c>
      <c r="L195" s="35">
        <v>13120733801</v>
      </c>
      <c r="M195" s="30" t="s">
        <v>648</v>
      </c>
      <c r="N195" s="45" t="s">
        <v>312</v>
      </c>
    </row>
    <row r="196" spans="1:14" x14ac:dyDescent="0.15">
      <c r="A196" s="31" t="s">
        <v>649</v>
      </c>
      <c r="B196" s="31" t="s">
        <v>226</v>
      </c>
      <c r="C196" s="30" t="s">
        <v>99</v>
      </c>
      <c r="D196" s="30" t="s">
        <v>99</v>
      </c>
      <c r="E196" s="30" t="s">
        <v>99</v>
      </c>
      <c r="F196" s="91"/>
      <c r="G196" s="30" t="s">
        <v>99</v>
      </c>
      <c r="H196" s="99" t="s">
        <v>30</v>
      </c>
      <c r="I196" s="30" t="s">
        <v>30</v>
      </c>
      <c r="J196" s="30" t="s">
        <v>982</v>
      </c>
      <c r="K196" s="30" t="s">
        <v>982</v>
      </c>
      <c r="L196" s="35">
        <v>15371161736</v>
      </c>
      <c r="M196" s="30" t="s">
        <v>650</v>
      </c>
      <c r="N196" s="36" t="s">
        <v>312</v>
      </c>
    </row>
    <row r="197" spans="1:14" x14ac:dyDescent="0.15">
      <c r="A197" s="31" t="s">
        <v>30</v>
      </c>
      <c r="B197" s="31" t="s">
        <v>255</v>
      </c>
      <c r="C197" s="30" t="s">
        <v>103</v>
      </c>
      <c r="D197" s="30" t="s">
        <v>103</v>
      </c>
      <c r="E197" s="30" t="s">
        <v>103</v>
      </c>
      <c r="F197" s="91"/>
      <c r="G197" s="30" t="s">
        <v>103</v>
      </c>
      <c r="H197" s="99" t="s">
        <v>30</v>
      </c>
      <c r="I197" s="30" t="s">
        <v>30</v>
      </c>
      <c r="J197" s="30" t="s">
        <v>982</v>
      </c>
      <c r="K197" s="30" t="s">
        <v>982</v>
      </c>
      <c r="L197" s="35">
        <v>17321067591</v>
      </c>
      <c r="M197" s="30" t="s">
        <v>651</v>
      </c>
      <c r="N197" s="45" t="s">
        <v>312</v>
      </c>
    </row>
    <row r="198" spans="1:14" x14ac:dyDescent="0.15">
      <c r="A198" s="31" t="s">
        <v>652</v>
      </c>
      <c r="B198" s="31" t="s">
        <v>226</v>
      </c>
      <c r="C198" s="30" t="s">
        <v>783</v>
      </c>
      <c r="D198" s="30" t="s">
        <v>813</v>
      </c>
      <c r="E198" s="30" t="s">
        <v>813</v>
      </c>
      <c r="F198" s="91"/>
      <c r="G198" s="30" t="s">
        <v>770</v>
      </c>
      <c r="H198" s="99" t="s">
        <v>30</v>
      </c>
      <c r="I198" s="30" t="s">
        <v>30</v>
      </c>
      <c r="J198" s="30" t="s">
        <v>971</v>
      </c>
      <c r="K198" s="30" t="s">
        <v>971</v>
      </c>
      <c r="L198" s="35">
        <v>18721498798</v>
      </c>
      <c r="M198" s="30" t="s">
        <v>653</v>
      </c>
      <c r="N198" s="45" t="s">
        <v>889</v>
      </c>
    </row>
    <row r="199" spans="1:14" x14ac:dyDescent="0.15">
      <c r="A199" s="31" t="s">
        <v>654</v>
      </c>
      <c r="B199" s="31" t="s">
        <v>255</v>
      </c>
      <c r="C199" s="30" t="s">
        <v>816</v>
      </c>
      <c r="D199" s="30" t="s">
        <v>816</v>
      </c>
      <c r="E199" s="30" t="s">
        <v>816</v>
      </c>
      <c r="F199" s="91"/>
      <c r="G199" s="30" t="s">
        <v>818</v>
      </c>
      <c r="H199" s="99" t="s">
        <v>30</v>
      </c>
      <c r="I199" s="30" t="s">
        <v>30</v>
      </c>
      <c r="J199" s="30" t="s">
        <v>971</v>
      </c>
      <c r="K199" s="30" t="s">
        <v>971</v>
      </c>
      <c r="L199" s="35">
        <v>17521217982</v>
      </c>
      <c r="M199" s="30" t="s">
        <v>655</v>
      </c>
      <c r="N199" s="45" t="s">
        <v>312</v>
      </c>
    </row>
    <row r="200" spans="1:14" x14ac:dyDescent="0.15">
      <c r="A200" s="32" t="s">
        <v>656</v>
      </c>
      <c r="B200" s="31" t="s">
        <v>162</v>
      </c>
      <c r="C200" s="30" t="s">
        <v>813</v>
      </c>
      <c r="D200" s="30" t="s">
        <v>813</v>
      </c>
      <c r="E200" s="30" t="s">
        <v>813</v>
      </c>
      <c r="F200" s="91"/>
      <c r="G200" s="30" t="s">
        <v>83</v>
      </c>
      <c r="H200" s="99" t="s">
        <v>19</v>
      </c>
      <c r="I200" s="30" t="s">
        <v>19</v>
      </c>
      <c r="J200" s="30" t="s">
        <v>67</v>
      </c>
      <c r="K200" s="30" t="s">
        <v>67</v>
      </c>
      <c r="L200" s="35">
        <v>17621254897</v>
      </c>
      <c r="M200" s="30" t="s">
        <v>657</v>
      </c>
      <c r="N200" s="36" t="s">
        <v>890</v>
      </c>
    </row>
    <row r="201" spans="1:14" x14ac:dyDescent="0.15">
      <c r="A201" s="31" t="s">
        <v>658</v>
      </c>
      <c r="B201" s="31" t="s">
        <v>314</v>
      </c>
      <c r="C201" s="30" t="s">
        <v>102</v>
      </c>
      <c r="D201" s="30" t="s">
        <v>102</v>
      </c>
      <c r="E201" s="30" t="s">
        <v>986</v>
      </c>
      <c r="F201" s="91"/>
      <c r="G201" s="30" t="s">
        <v>99</v>
      </c>
      <c r="H201" s="99" t="s">
        <v>30</v>
      </c>
      <c r="I201" s="30" t="s">
        <v>30</v>
      </c>
      <c r="J201" s="30" t="s">
        <v>984</v>
      </c>
      <c r="K201" s="30" t="s">
        <v>984</v>
      </c>
      <c r="L201" s="35">
        <v>13227725828</v>
      </c>
      <c r="M201" s="37" t="s">
        <v>659</v>
      </c>
      <c r="N201" s="45" t="s">
        <v>312</v>
      </c>
    </row>
    <row r="202" spans="1:14" x14ac:dyDescent="0.15">
      <c r="A202" s="31" t="s">
        <v>660</v>
      </c>
      <c r="B202" s="31" t="s">
        <v>182</v>
      </c>
      <c r="C202" s="30" t="s">
        <v>813</v>
      </c>
      <c r="D202" s="30" t="s">
        <v>813</v>
      </c>
      <c r="E202" s="30" t="s">
        <v>813</v>
      </c>
      <c r="F202" s="91"/>
      <c r="G202" s="30" t="s">
        <v>770</v>
      </c>
      <c r="H202" s="99" t="s">
        <v>11</v>
      </c>
      <c r="I202" s="30" t="s">
        <v>11</v>
      </c>
      <c r="J202" s="30" t="s">
        <v>69</v>
      </c>
      <c r="K202" s="30" t="s">
        <v>69</v>
      </c>
      <c r="L202" s="35">
        <v>17621068196</v>
      </c>
      <c r="M202" s="37" t="s">
        <v>661</v>
      </c>
      <c r="N202" s="45" t="s">
        <v>891</v>
      </c>
    </row>
    <row r="203" spans="1:14" x14ac:dyDescent="0.15">
      <c r="A203" s="31" t="s">
        <v>662</v>
      </c>
      <c r="B203" s="31" t="s">
        <v>226</v>
      </c>
      <c r="C203" s="30" t="s">
        <v>102</v>
      </c>
      <c r="D203" s="30" t="s">
        <v>102</v>
      </c>
      <c r="E203" s="30" t="s">
        <v>986</v>
      </c>
      <c r="F203" s="91"/>
      <c r="G203" s="30" t="s">
        <v>99</v>
      </c>
      <c r="H203" s="99" t="s">
        <v>30</v>
      </c>
      <c r="I203" s="30" t="s">
        <v>30</v>
      </c>
      <c r="J203" s="30" t="s">
        <v>982</v>
      </c>
      <c r="K203" s="30" t="s">
        <v>982</v>
      </c>
      <c r="L203" s="35">
        <v>13782928558</v>
      </c>
      <c r="M203" s="37" t="s">
        <v>663</v>
      </c>
      <c r="N203" s="36" t="s">
        <v>312</v>
      </c>
    </row>
    <row r="204" spans="1:14" x14ac:dyDescent="0.15">
      <c r="A204" s="31" t="s">
        <v>664</v>
      </c>
      <c r="B204" s="31" t="s">
        <v>314</v>
      </c>
      <c r="C204" s="30" t="s">
        <v>102</v>
      </c>
      <c r="D204" s="30" t="s">
        <v>909</v>
      </c>
      <c r="E204" s="30" t="s">
        <v>909</v>
      </c>
      <c r="F204" s="91"/>
      <c r="G204" s="30" t="s">
        <v>99</v>
      </c>
      <c r="H204" s="99" t="s">
        <v>30</v>
      </c>
      <c r="I204" s="30" t="s">
        <v>30</v>
      </c>
      <c r="J204" s="30" t="s">
        <v>982</v>
      </c>
      <c r="K204" s="30" t="s">
        <v>982</v>
      </c>
      <c r="L204" s="35">
        <v>18252010317</v>
      </c>
      <c r="M204" s="36" t="s">
        <v>665</v>
      </c>
      <c r="N204" s="45" t="s">
        <v>312</v>
      </c>
    </row>
    <row r="205" spans="1:14" x14ac:dyDescent="0.15">
      <c r="A205" s="31" t="s">
        <v>666</v>
      </c>
      <c r="B205" s="31" t="s">
        <v>148</v>
      </c>
      <c r="C205" s="30" t="s">
        <v>97</v>
      </c>
      <c r="D205" s="30" t="s">
        <v>98</v>
      </c>
      <c r="E205" s="30" t="s">
        <v>98</v>
      </c>
      <c r="F205" s="91"/>
      <c r="G205" s="30" t="s">
        <v>96</v>
      </c>
      <c r="H205" s="99" t="s">
        <v>27</v>
      </c>
      <c r="I205" s="30" t="s">
        <v>47</v>
      </c>
      <c r="J205" s="30" t="s">
        <v>62</v>
      </c>
      <c r="K205" s="30" t="s">
        <v>62</v>
      </c>
      <c r="L205" s="35">
        <v>18995942664</v>
      </c>
      <c r="M205" s="36" t="s">
        <v>667</v>
      </c>
      <c r="N205" s="36" t="s">
        <v>668</v>
      </c>
    </row>
    <row r="206" spans="1:14" x14ac:dyDescent="0.15">
      <c r="A206" s="31" t="s">
        <v>669</v>
      </c>
      <c r="B206" s="31" t="s">
        <v>148</v>
      </c>
      <c r="C206" s="30" t="s">
        <v>97</v>
      </c>
      <c r="D206" s="30" t="s">
        <v>98</v>
      </c>
      <c r="E206" s="30" t="s">
        <v>98</v>
      </c>
      <c r="F206" s="91"/>
      <c r="G206" s="30" t="s">
        <v>96</v>
      </c>
      <c r="H206" s="99" t="s">
        <v>27</v>
      </c>
      <c r="I206" s="30" t="s">
        <v>47</v>
      </c>
      <c r="J206" s="30" t="s">
        <v>62</v>
      </c>
      <c r="K206" s="30" t="s">
        <v>62</v>
      </c>
      <c r="L206" s="35">
        <v>18551752649</v>
      </c>
      <c r="M206" s="36" t="s">
        <v>670</v>
      </c>
      <c r="N206" s="36" t="s">
        <v>671</v>
      </c>
    </row>
    <row r="207" spans="1:14" x14ac:dyDescent="0.15">
      <c r="A207" s="49" t="s">
        <v>672</v>
      </c>
      <c r="B207" s="49" t="s">
        <v>148</v>
      </c>
      <c r="C207" s="50" t="s">
        <v>63</v>
      </c>
      <c r="D207" s="50" t="s">
        <v>63</v>
      </c>
      <c r="E207" s="50" t="s">
        <v>63</v>
      </c>
      <c r="F207" s="97"/>
      <c r="G207" s="30" t="s">
        <v>63</v>
      </c>
      <c r="H207" s="99" t="s">
        <v>15</v>
      </c>
      <c r="I207" s="50" t="s">
        <v>15</v>
      </c>
      <c r="J207" s="50" t="s">
        <v>63</v>
      </c>
      <c r="K207" s="50" t="s">
        <v>63</v>
      </c>
      <c r="L207" s="51">
        <v>13918098688</v>
      </c>
      <c r="M207" s="52" t="s">
        <v>673</v>
      </c>
      <c r="N207" s="36" t="s">
        <v>674</v>
      </c>
    </row>
    <row r="208" spans="1:14" x14ac:dyDescent="0.15">
      <c r="A208" s="31" t="s">
        <v>917</v>
      </c>
      <c r="B208" s="40" t="s">
        <v>162</v>
      </c>
      <c r="C208" s="40" t="s">
        <v>89</v>
      </c>
      <c r="D208" s="96" t="s">
        <v>895</v>
      </c>
      <c r="E208" s="96" t="s">
        <v>895</v>
      </c>
      <c r="F208" s="96" t="s">
        <v>895</v>
      </c>
      <c r="G208" s="30" t="s">
        <v>776</v>
      </c>
      <c r="H208" s="99" t="s">
        <v>19</v>
      </c>
      <c r="I208" s="45" t="s">
        <v>19</v>
      </c>
      <c r="J208" s="45" t="s">
        <v>68</v>
      </c>
      <c r="K208" s="45" t="s">
        <v>68</v>
      </c>
      <c r="L208" s="43">
        <v>18710001357</v>
      </c>
      <c r="M208" s="36" t="s">
        <v>675</v>
      </c>
      <c r="N208" s="38" t="s">
        <v>676</v>
      </c>
    </row>
    <row r="209" spans="1:14" x14ac:dyDescent="0.15">
      <c r="A209" s="31" t="s">
        <v>677</v>
      </c>
      <c r="B209" s="31" t="s">
        <v>314</v>
      </c>
      <c r="C209" s="33" t="s">
        <v>837</v>
      </c>
      <c r="D209" s="33" t="s">
        <v>837</v>
      </c>
      <c r="E209" s="33" t="s">
        <v>837</v>
      </c>
      <c r="F209" s="92"/>
      <c r="G209" s="30" t="s">
        <v>943</v>
      </c>
      <c r="H209" s="99" t="s">
        <v>28</v>
      </c>
      <c r="I209" s="45" t="s">
        <v>28</v>
      </c>
      <c r="J209" s="45" t="s">
        <v>62</v>
      </c>
      <c r="K209" s="45" t="s">
        <v>62</v>
      </c>
      <c r="L209" s="43">
        <v>13062719880</v>
      </c>
      <c r="M209" s="36" t="s">
        <v>678</v>
      </c>
      <c r="N209" s="36" t="s">
        <v>679</v>
      </c>
    </row>
    <row r="210" spans="1:14" x14ac:dyDescent="0.15">
      <c r="A210" s="31" t="s">
        <v>680</v>
      </c>
      <c r="B210" s="31" t="s">
        <v>238</v>
      </c>
      <c r="C210" s="33" t="s">
        <v>827</v>
      </c>
      <c r="D210" s="33" t="s">
        <v>827</v>
      </c>
      <c r="E210" s="33" t="s">
        <v>827</v>
      </c>
      <c r="F210" s="92"/>
      <c r="G210" s="30" t="s">
        <v>943</v>
      </c>
      <c r="H210" s="99" t="s">
        <v>19</v>
      </c>
      <c r="I210" s="45" t="s">
        <v>19</v>
      </c>
      <c r="J210" s="45" t="s">
        <v>67</v>
      </c>
      <c r="K210" s="45" t="s">
        <v>67</v>
      </c>
      <c r="L210" s="43">
        <v>17621490514</v>
      </c>
      <c r="M210" s="36" t="s">
        <v>681</v>
      </c>
      <c r="N210" s="38" t="s">
        <v>682</v>
      </c>
    </row>
    <row r="211" spans="1:14" s="24" customFormat="1" x14ac:dyDescent="0.15">
      <c r="A211" s="31" t="s">
        <v>683</v>
      </c>
      <c r="B211" s="31" t="s">
        <v>238</v>
      </c>
      <c r="C211" s="30" t="s">
        <v>846</v>
      </c>
      <c r="D211" s="30" t="s">
        <v>846</v>
      </c>
      <c r="E211" s="95" t="s">
        <v>899</v>
      </c>
      <c r="F211" s="95" t="s">
        <v>899</v>
      </c>
      <c r="G211" s="30" t="s">
        <v>776</v>
      </c>
      <c r="H211" s="99" t="s">
        <v>16</v>
      </c>
      <c r="I211" s="45" t="s">
        <v>16</v>
      </c>
      <c r="J211" s="45" t="s">
        <v>66</v>
      </c>
      <c r="K211" s="45" t="s">
        <v>66</v>
      </c>
      <c r="L211" s="43">
        <v>15800584617</v>
      </c>
      <c r="M211" s="36" t="s">
        <v>684</v>
      </c>
      <c r="N211" s="48" t="s">
        <v>892</v>
      </c>
    </row>
    <row r="212" spans="1:14" s="24" customFormat="1" x14ac:dyDescent="0.15">
      <c r="A212" s="31" t="s">
        <v>685</v>
      </c>
      <c r="B212" s="31" t="s">
        <v>210</v>
      </c>
      <c r="C212" s="30" t="s">
        <v>863</v>
      </c>
      <c r="D212" s="30" t="s">
        <v>863</v>
      </c>
      <c r="E212" s="30" t="s">
        <v>863</v>
      </c>
      <c r="F212" s="30"/>
      <c r="G212" s="30" t="s">
        <v>863</v>
      </c>
      <c r="H212" s="30" t="s">
        <v>25</v>
      </c>
      <c r="I212" s="45" t="s">
        <v>25</v>
      </c>
      <c r="J212" s="45" t="s">
        <v>63</v>
      </c>
      <c r="K212" s="45" t="s">
        <v>63</v>
      </c>
      <c r="L212" s="43">
        <v>13681607786</v>
      </c>
      <c r="M212" s="45" t="s">
        <v>686</v>
      </c>
      <c r="N212" s="86" t="s">
        <v>687</v>
      </c>
    </row>
    <row r="213" spans="1:14" s="24" customFormat="1" x14ac:dyDescent="0.15">
      <c r="A213" s="31" t="s">
        <v>688</v>
      </c>
      <c r="B213" s="31" t="s">
        <v>210</v>
      </c>
      <c r="C213" s="30" t="s">
        <v>843</v>
      </c>
      <c r="D213" s="30" t="s">
        <v>843</v>
      </c>
      <c r="E213" s="30" t="s">
        <v>843</v>
      </c>
      <c r="F213" s="30"/>
      <c r="G213" s="30" t="s">
        <v>943</v>
      </c>
      <c r="H213" s="30" t="s">
        <v>27</v>
      </c>
      <c r="I213" s="45" t="s">
        <v>27</v>
      </c>
      <c r="J213" s="45" t="s">
        <v>62</v>
      </c>
      <c r="K213" s="45" t="s">
        <v>62</v>
      </c>
      <c r="L213" s="43">
        <v>17342066102</v>
      </c>
      <c r="M213" s="45" t="s">
        <v>689</v>
      </c>
      <c r="N213" s="86" t="s">
        <v>690</v>
      </c>
    </row>
    <row r="214" spans="1:14" x14ac:dyDescent="0.15">
      <c r="A214" s="31" t="s">
        <v>691</v>
      </c>
      <c r="B214" s="31" t="s">
        <v>238</v>
      </c>
      <c r="C214" s="33" t="s">
        <v>837</v>
      </c>
      <c r="D214" s="33" t="s">
        <v>837</v>
      </c>
      <c r="E214" s="33" t="s">
        <v>837</v>
      </c>
      <c r="F214" s="33"/>
      <c r="G214" s="104" t="s">
        <v>776</v>
      </c>
      <c r="H214" s="30" t="s">
        <v>19</v>
      </c>
      <c r="I214" s="45" t="s">
        <v>19</v>
      </c>
      <c r="J214" s="45" t="s">
        <v>68</v>
      </c>
      <c r="K214" s="45" t="s">
        <v>68</v>
      </c>
      <c r="L214" s="43">
        <v>17602107052</v>
      </c>
      <c r="M214" s="45" t="s">
        <v>692</v>
      </c>
      <c r="N214" s="103" t="s">
        <v>693</v>
      </c>
    </row>
    <row r="215" spans="1:14" ht="27" x14ac:dyDescent="0.15">
      <c r="A215" s="31" t="s">
        <v>694</v>
      </c>
      <c r="B215" s="31" t="s">
        <v>238</v>
      </c>
      <c r="C215" s="31" t="s">
        <v>852</v>
      </c>
      <c r="D215" s="31" t="s">
        <v>852</v>
      </c>
      <c r="E215" s="31" t="s">
        <v>852</v>
      </c>
      <c r="F215" s="31" t="s">
        <v>895</v>
      </c>
      <c r="G215" s="31" t="s">
        <v>770</v>
      </c>
      <c r="H215" s="30" t="s">
        <v>11</v>
      </c>
      <c r="I215" s="30" t="s">
        <v>11</v>
      </c>
      <c r="J215" s="45" t="s">
        <v>70</v>
      </c>
      <c r="K215" s="45" t="s">
        <v>70</v>
      </c>
      <c r="L215" s="43">
        <v>18202122652</v>
      </c>
      <c r="M215" s="45" t="s">
        <v>695</v>
      </c>
      <c r="N215" s="103" t="s">
        <v>893</v>
      </c>
    </row>
    <row r="216" spans="1:14" x14ac:dyDescent="0.15">
      <c r="A216" s="31" t="s">
        <v>696</v>
      </c>
      <c r="B216" s="31" t="s">
        <v>145</v>
      </c>
      <c r="C216" s="33" t="s">
        <v>827</v>
      </c>
      <c r="D216" s="33" t="s">
        <v>827</v>
      </c>
      <c r="E216" s="33" t="s">
        <v>895</v>
      </c>
      <c r="F216" s="33" t="s">
        <v>895</v>
      </c>
      <c r="G216" s="33" t="s">
        <v>778</v>
      </c>
      <c r="H216" s="30" t="s">
        <v>11</v>
      </c>
      <c r="I216" s="30" t="s">
        <v>11</v>
      </c>
      <c r="J216" s="45" t="s">
        <v>69</v>
      </c>
      <c r="K216" s="45" t="s">
        <v>69</v>
      </c>
      <c r="L216" s="43">
        <v>18601614677</v>
      </c>
      <c r="M216" s="45" t="s">
        <v>697</v>
      </c>
      <c r="N216" s="86" t="s">
        <v>698</v>
      </c>
    </row>
    <row r="217" spans="1:14" x14ac:dyDescent="0.15">
      <c r="A217" s="31" t="s">
        <v>699</v>
      </c>
      <c r="B217" s="31" t="s">
        <v>226</v>
      </c>
      <c r="C217" s="104"/>
      <c r="D217" s="104"/>
      <c r="E217" s="104"/>
      <c r="F217" s="104"/>
      <c r="G217" s="30"/>
      <c r="H217" s="30" t="s">
        <v>16</v>
      </c>
      <c r="I217" s="30" t="s">
        <v>16</v>
      </c>
      <c r="J217" s="45" t="s">
        <v>65</v>
      </c>
      <c r="K217" s="45" t="s">
        <v>65</v>
      </c>
      <c r="L217" s="43">
        <v>15800376863</v>
      </c>
      <c r="M217" s="45" t="s">
        <v>700</v>
      </c>
      <c r="N217" s="86" t="s">
        <v>701</v>
      </c>
    </row>
    <row r="218" spans="1:14" x14ac:dyDescent="0.15">
      <c r="A218" s="85" t="s">
        <v>868</v>
      </c>
      <c r="B218" s="85" t="s">
        <v>210</v>
      </c>
      <c r="C218" s="105"/>
      <c r="D218" s="105"/>
      <c r="E218" s="105"/>
      <c r="F218" s="105"/>
      <c r="G218" s="104" t="s">
        <v>778</v>
      </c>
      <c r="H218" s="86" t="s">
        <v>25</v>
      </c>
      <c r="I218" s="86" t="s">
        <v>25</v>
      </c>
      <c r="J218" s="86" t="s">
        <v>63</v>
      </c>
      <c r="K218" s="86" t="s">
        <v>63</v>
      </c>
      <c r="L218" s="87">
        <v>18435139184</v>
      </c>
      <c r="M218" s="86" t="s">
        <v>869</v>
      </c>
      <c r="N218" s="105" t="s">
        <v>870</v>
      </c>
    </row>
  </sheetData>
  <autoFilter ref="A1:N218" xr:uid="{D88002CB-1C01-4F93-942A-B41CCCA78489}"/>
  <phoneticPr fontId="17" type="noConversion"/>
  <hyperlinks>
    <hyperlink ref="M4" r:id="rId1" xr:uid="{00000000-0004-0000-0200-000000000000}"/>
    <hyperlink ref="M103" r:id="rId2" xr:uid="{00000000-0004-0000-0200-000001000000}"/>
    <hyperlink ref="M149" r:id="rId3" xr:uid="{00000000-0004-0000-0200-000002000000}"/>
    <hyperlink ref="M150" r:id="rId4" xr:uid="{00000000-0004-0000-0200-000004000000}"/>
    <hyperlink ref="M151" r:id="rId5" xr:uid="{00000000-0004-0000-0200-000005000000}"/>
    <hyperlink ref="M152" r:id="rId6" xr:uid="{00000000-0004-0000-0200-000006000000}"/>
    <hyperlink ref="M154" r:id="rId7" xr:uid="{00000000-0004-0000-0200-000007000000}"/>
    <hyperlink ref="M155" r:id="rId8" xr:uid="{00000000-0004-0000-0200-000008000000}"/>
    <hyperlink ref="M156" r:id="rId9" xr:uid="{00000000-0004-0000-0200-000009000000}"/>
    <hyperlink ref="M157" r:id="rId10" xr:uid="{00000000-0004-0000-0200-00000A000000}"/>
    <hyperlink ref="M158" r:id="rId11" xr:uid="{00000000-0004-0000-0200-00000B000000}"/>
    <hyperlink ref="M159" r:id="rId12" xr:uid="{00000000-0004-0000-0200-00000C000000}"/>
    <hyperlink ref="M160" r:id="rId13" xr:uid="{00000000-0004-0000-0200-00000D000000}"/>
    <hyperlink ref="M161" r:id="rId14" xr:uid="{00000000-0004-0000-0200-00000E000000}"/>
    <hyperlink ref="M162" r:id="rId15" xr:uid="{00000000-0004-0000-0200-00000F000000}"/>
    <hyperlink ref="M163" r:id="rId16" xr:uid="{00000000-0004-0000-0200-000010000000}"/>
    <hyperlink ref="M164" r:id="rId17" xr:uid="{00000000-0004-0000-0200-000011000000}"/>
    <hyperlink ref="M165" r:id="rId18" xr:uid="{00000000-0004-0000-0200-000012000000}"/>
    <hyperlink ref="M166" r:id="rId19" xr:uid="{00000000-0004-0000-0200-000013000000}"/>
    <hyperlink ref="M168" r:id="rId20" xr:uid="{00000000-0004-0000-0200-000014000000}"/>
    <hyperlink ref="M169" r:id="rId21" xr:uid="{00000000-0004-0000-0200-000015000000}"/>
    <hyperlink ref="M170" r:id="rId22" xr:uid="{00000000-0004-0000-0200-000016000000}"/>
    <hyperlink ref="M171" r:id="rId23" xr:uid="{00000000-0004-0000-0200-000017000000}"/>
    <hyperlink ref="M172" r:id="rId24" xr:uid="{00000000-0004-0000-0200-000018000000}"/>
    <hyperlink ref="M173" r:id="rId25" xr:uid="{00000000-0004-0000-0200-000019000000}"/>
    <hyperlink ref="M175" r:id="rId26" xr:uid="{00000000-0004-0000-0200-00001A000000}"/>
    <hyperlink ref="M176" r:id="rId27" xr:uid="{00000000-0004-0000-0200-00001B000000}"/>
    <hyperlink ref="M214" r:id="rId28" xr:uid="{00000000-0004-0000-0200-00001C000000}"/>
    <hyperlink ref="M215" r:id="rId29" xr:uid="{00000000-0004-0000-0200-00001D000000}"/>
    <hyperlink ref="M216" r:id="rId30" xr:uid="{00000000-0004-0000-0200-00001E000000}"/>
    <hyperlink ref="M212" r:id="rId31" xr:uid="{00000000-0004-0000-0200-00001F000000}"/>
    <hyperlink ref="M213" r:id="rId32" tooltip="mailto:luchaoli@kingkz.com" xr:uid="{00000000-0004-0000-0200-000020000000}"/>
    <hyperlink ref="M211" r:id="rId33" xr:uid="{00000000-0004-0000-0200-000021000000}"/>
    <hyperlink ref="M218" r:id="rId34" tooltip="mailto:liusuoyin@kingkz.com" xr:uid="{E11C71F6-D50F-439F-8085-45C0AF82EDCC}"/>
    <hyperlink ref="M137" r:id="rId35" xr:uid="{ACC08E06-0E4B-408C-8091-53244EBBA983}"/>
  </hyperlinks>
  <pageMargins left="0.69930555555555596" right="0.69930555555555596" top="0.75" bottom="0.75" header="0.3" footer="0.3"/>
  <pageSetup paperSize="9" orientation="portrait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6"/>
  <sheetViews>
    <sheetView showGridLines="0" topLeftCell="P53" zoomScale="120" zoomScaleNormal="120" workbookViewId="0">
      <selection activeCell="X25" sqref="X25"/>
    </sheetView>
  </sheetViews>
  <sheetFormatPr defaultColWidth="9" defaultRowHeight="14.25" x14ac:dyDescent="0.15"/>
  <cols>
    <col min="1" max="1" width="11.125" customWidth="1"/>
    <col min="2" max="2" width="25.75" customWidth="1"/>
    <col min="3" max="4" width="11.125" customWidth="1"/>
    <col min="5" max="5" width="11.875" customWidth="1"/>
    <col min="6" max="6" width="9.5" customWidth="1"/>
    <col min="7" max="7" width="15.25" customWidth="1"/>
    <col min="8" max="8" width="20.5" style="11" customWidth="1"/>
    <col min="9" max="9" width="19.625" style="11" customWidth="1"/>
    <col min="10" max="10" width="15.75" style="12" customWidth="1"/>
    <col min="11" max="11" width="15" customWidth="1"/>
    <col min="12" max="13" width="13.25" style="13" customWidth="1"/>
    <col min="14" max="15" width="9.5" customWidth="1"/>
    <col min="16" max="16" width="7" customWidth="1"/>
    <col min="17" max="17" width="13.75" customWidth="1"/>
    <col min="18" max="18" width="11.5" customWidth="1"/>
    <col min="19" max="19" width="25.5" style="11" customWidth="1"/>
    <col min="20" max="20" width="28.375" style="11" customWidth="1"/>
    <col min="21" max="21" width="13.625" style="14" customWidth="1"/>
    <col min="22" max="22" width="13.5" customWidth="1"/>
  </cols>
  <sheetData>
    <row r="1" spans="1:22" ht="15.75" x14ac:dyDescent="0.15">
      <c r="A1" s="8" t="s">
        <v>702</v>
      </c>
      <c r="B1" s="8" t="s">
        <v>703</v>
      </c>
      <c r="C1" s="8" t="s">
        <v>704</v>
      </c>
      <c r="D1" s="8" t="s">
        <v>805</v>
      </c>
      <c r="E1" s="8" t="s">
        <v>804</v>
      </c>
      <c r="F1" s="8" t="s">
        <v>705</v>
      </c>
      <c r="G1" s="8" t="s">
        <v>706</v>
      </c>
      <c r="H1" s="15" t="s">
        <v>707</v>
      </c>
      <c r="I1" s="15" t="s">
        <v>708</v>
      </c>
      <c r="J1" s="17" t="s">
        <v>709</v>
      </c>
      <c r="K1" s="8" t="s">
        <v>710</v>
      </c>
      <c r="L1" s="18" t="s">
        <v>711</v>
      </c>
      <c r="M1" s="18" t="s">
        <v>712</v>
      </c>
      <c r="N1" s="8" t="s">
        <v>713</v>
      </c>
      <c r="O1" s="8"/>
      <c r="P1" s="8" t="s">
        <v>801</v>
      </c>
      <c r="Q1" s="9">
        <v>44166</v>
      </c>
      <c r="R1" s="8" t="s">
        <v>105</v>
      </c>
      <c r="S1" s="15" t="s">
        <v>714</v>
      </c>
      <c r="T1" s="15" t="s">
        <v>708</v>
      </c>
      <c r="U1" s="19" t="s">
        <v>715</v>
      </c>
      <c r="V1" s="8" t="s">
        <v>716</v>
      </c>
    </row>
    <row r="2" spans="1:22" ht="15.75" x14ac:dyDescent="0.15">
      <c r="A2" s="8" t="s">
        <v>443</v>
      </c>
      <c r="B2" s="8" t="s">
        <v>717</v>
      </c>
      <c r="C2" s="8" t="s">
        <v>718</v>
      </c>
      <c r="D2" s="16">
        <v>0.56000000000000005</v>
      </c>
      <c r="E2" s="16">
        <f t="shared" ref="E2:E42" si="0">D2*CWHC</f>
        <v>25.200000000000003</v>
      </c>
      <c r="F2" s="9">
        <v>44148</v>
      </c>
      <c r="G2" s="9">
        <v>44172</v>
      </c>
      <c r="H2" s="15">
        <f ca="1">IF(L2&lt;0,0,L2/N2*E2)</f>
        <v>7.0560000000000018</v>
      </c>
      <c r="I2" s="15">
        <v>0</v>
      </c>
      <c r="J2" s="17">
        <f>IF(F2&lt;$Q$1,$Q$1,F2)</f>
        <v>44166</v>
      </c>
      <c r="K2" s="17">
        <f t="shared" ref="K2:K22" ca="1" si="1">IF(G2&lt;J2,J2-1,IF(TODAY()&gt;G2,G2,TODAY()))</f>
        <v>44172</v>
      </c>
      <c r="L2" s="18">
        <f ca="1">IF(K2-J2+1&lt;0,0,K2-J2+1)</f>
        <v>7</v>
      </c>
      <c r="M2" s="18">
        <f ca="1">IF(K2&gt;G2,0,G2-K2)</f>
        <v>0</v>
      </c>
      <c r="N2" s="8">
        <f>G2-F2+1</f>
        <v>25</v>
      </c>
      <c r="O2" s="8"/>
      <c r="P2" s="8" t="s">
        <v>806</v>
      </c>
      <c r="Q2" s="8">
        <v>45</v>
      </c>
      <c r="R2" s="8" t="s">
        <v>254</v>
      </c>
      <c r="S2" s="15">
        <f t="shared" ref="S2:S20" ca="1" si="2">SUMIFS(H:H,A:A,R2)</f>
        <v>110.74636824324324</v>
      </c>
      <c r="T2" s="15">
        <f t="shared" ref="T2:T20" ca="1" si="3">SUMIFS(I:I,A:A,R2)</f>
        <v>1.5468750000000002</v>
      </c>
      <c r="U2" s="15">
        <f ca="1">IF((V2-S2-T2)&gt;=0,V2-S2-T2,0)</f>
        <v>0</v>
      </c>
      <c r="V2" s="15">
        <v>90</v>
      </c>
    </row>
    <row r="3" spans="1:22" ht="15.75" x14ac:dyDescent="0.15">
      <c r="A3" s="8" t="s">
        <v>306</v>
      </c>
      <c r="B3" s="8" t="s">
        <v>717</v>
      </c>
      <c r="C3" s="8" t="s">
        <v>718</v>
      </c>
      <c r="D3" s="16">
        <v>0.56000000000000005</v>
      </c>
      <c r="E3" s="16">
        <f t="shared" si="0"/>
        <v>25.200000000000003</v>
      </c>
      <c r="F3" s="9">
        <v>44148</v>
      </c>
      <c r="G3" s="9">
        <v>44172</v>
      </c>
      <c r="H3" s="15">
        <f t="shared" ref="H3:H29" ca="1" si="4">IF(L3&lt;0,0,L3/N3*E3)</f>
        <v>7.0560000000000018</v>
      </c>
      <c r="I3" s="15">
        <v>0</v>
      </c>
      <c r="J3" s="17">
        <f t="shared" ref="J3:J21" si="5">IF(F3&lt;$Q$1,$Q$1,F3)</f>
        <v>44166</v>
      </c>
      <c r="K3" s="17">
        <f t="shared" ca="1" si="1"/>
        <v>44172</v>
      </c>
      <c r="L3" s="18">
        <f t="shared" ref="L3:L29" ca="1" si="6">IF(K3-J3+1&lt;0,0,K3-J3+1)</f>
        <v>7</v>
      </c>
      <c r="M3" s="18">
        <f t="shared" ref="M3:M22" ca="1" si="7">IF(K3&gt;G3,0,G3-K3)</f>
        <v>0</v>
      </c>
      <c r="N3" s="8">
        <f t="shared" ref="N3:N21" si="8">G3-F3+1</f>
        <v>25</v>
      </c>
      <c r="O3" s="8"/>
      <c r="P3" s="8" t="s">
        <v>807</v>
      </c>
      <c r="Q3" s="8">
        <v>2</v>
      </c>
      <c r="R3" s="8" t="s">
        <v>443</v>
      </c>
      <c r="S3" s="15">
        <f t="shared" ca="1" si="2"/>
        <v>83.965090909090918</v>
      </c>
      <c r="T3" s="15">
        <f t="shared" ca="1" si="3"/>
        <v>4.0909090909090908</v>
      </c>
      <c r="U3" s="15">
        <f t="shared" ref="U3:U4" ca="1" si="9">IF((V3-S3-T3)&gt;=0,V3-S3-T3,0)</f>
        <v>1.9439999999999911</v>
      </c>
      <c r="V3" s="15">
        <v>90</v>
      </c>
    </row>
    <row r="4" spans="1:22" ht="15.75" x14ac:dyDescent="0.15">
      <c r="A4" s="8" t="s">
        <v>348</v>
      </c>
      <c r="B4" s="8" t="s">
        <v>719</v>
      </c>
      <c r="C4" s="8" t="s">
        <v>718</v>
      </c>
      <c r="D4" s="16">
        <v>0.56000000000000005</v>
      </c>
      <c r="E4" s="16">
        <f t="shared" si="0"/>
        <v>25.200000000000003</v>
      </c>
      <c r="F4" s="9">
        <v>44148</v>
      </c>
      <c r="G4" s="9">
        <v>44172</v>
      </c>
      <c r="H4" s="15">
        <f t="shared" ca="1" si="4"/>
        <v>7.0560000000000018</v>
      </c>
      <c r="I4" s="15">
        <v>0</v>
      </c>
      <c r="J4" s="17">
        <f t="shared" si="5"/>
        <v>44166</v>
      </c>
      <c r="K4" s="17">
        <f t="shared" ca="1" si="1"/>
        <v>44172</v>
      </c>
      <c r="L4" s="18">
        <f t="shared" ca="1" si="6"/>
        <v>7</v>
      </c>
      <c r="M4" s="18">
        <f t="shared" ca="1" si="7"/>
        <v>0</v>
      </c>
      <c r="N4" s="8">
        <f t="shared" si="8"/>
        <v>25</v>
      </c>
      <c r="O4" s="8"/>
      <c r="P4" s="8"/>
      <c r="Q4" s="8"/>
      <c r="R4" s="8" t="s">
        <v>447</v>
      </c>
      <c r="S4" s="15">
        <f t="shared" ca="1" si="2"/>
        <v>102</v>
      </c>
      <c r="T4" s="15">
        <f t="shared" ca="1" si="3"/>
        <v>69</v>
      </c>
      <c r="U4" s="15">
        <f t="shared" ca="1" si="9"/>
        <v>0</v>
      </c>
      <c r="V4" s="15">
        <v>90</v>
      </c>
    </row>
    <row r="5" spans="1:22" ht="15.75" x14ac:dyDescent="0.15">
      <c r="A5" s="8" t="s">
        <v>219</v>
      </c>
      <c r="B5" s="8" t="s">
        <v>719</v>
      </c>
      <c r="C5" s="8" t="s">
        <v>718</v>
      </c>
      <c r="D5" s="16">
        <v>0.56000000000000005</v>
      </c>
      <c r="E5" s="16">
        <f t="shared" si="0"/>
        <v>25.200000000000003</v>
      </c>
      <c r="F5" s="9">
        <v>44148</v>
      </c>
      <c r="G5" s="9">
        <v>44172</v>
      </c>
      <c r="H5" s="15">
        <f t="shared" ca="1" si="4"/>
        <v>7.0560000000000018</v>
      </c>
      <c r="I5" s="15">
        <v>0</v>
      </c>
      <c r="J5" s="17">
        <f t="shared" si="5"/>
        <v>44166</v>
      </c>
      <c r="K5" s="17">
        <f t="shared" ca="1" si="1"/>
        <v>44172</v>
      </c>
      <c r="L5" s="18">
        <f t="shared" ca="1" si="6"/>
        <v>7</v>
      </c>
      <c r="M5" s="18">
        <f t="shared" ca="1" si="7"/>
        <v>0</v>
      </c>
      <c r="N5" s="8">
        <f t="shared" si="8"/>
        <v>25</v>
      </c>
      <c r="O5" s="8"/>
      <c r="P5" s="8"/>
      <c r="Q5" s="8"/>
      <c r="R5" s="8" t="s">
        <v>283</v>
      </c>
      <c r="S5" s="15">
        <f t="shared" ca="1" si="2"/>
        <v>80.121165321165321</v>
      </c>
      <c r="T5" s="15">
        <f t="shared" ca="1" si="3"/>
        <v>11.922077922077921</v>
      </c>
      <c r="U5" s="15">
        <f ca="1">IF((V5-S5-T5)&gt;=0,V5-S5-T5,0)</f>
        <v>0</v>
      </c>
      <c r="V5" s="15">
        <v>90</v>
      </c>
    </row>
    <row r="6" spans="1:22" ht="15.75" x14ac:dyDescent="0.15">
      <c r="A6" s="8" t="s">
        <v>138</v>
      </c>
      <c r="B6" s="8" t="s">
        <v>720</v>
      </c>
      <c r="C6" s="8" t="s">
        <v>718</v>
      </c>
      <c r="D6" s="16">
        <v>0.18</v>
      </c>
      <c r="E6" s="16">
        <f t="shared" si="0"/>
        <v>8.1</v>
      </c>
      <c r="F6" s="9">
        <v>44155</v>
      </c>
      <c r="G6" s="9">
        <v>44162</v>
      </c>
      <c r="H6" s="15">
        <f t="shared" ca="1" si="4"/>
        <v>0</v>
      </c>
      <c r="I6" s="15">
        <v>0</v>
      </c>
      <c r="J6" s="17">
        <f t="shared" si="5"/>
        <v>44166</v>
      </c>
      <c r="K6" s="17">
        <f t="shared" ca="1" si="1"/>
        <v>44165</v>
      </c>
      <c r="L6" s="18">
        <f t="shared" ref="L6" ca="1" si="10">K6-J6+1</f>
        <v>0</v>
      </c>
      <c r="M6" s="18">
        <f t="shared" ref="M6" ca="1" si="11">IF(K6&gt;G6,0,G6-K6)</f>
        <v>0</v>
      </c>
      <c r="N6" s="8">
        <f t="shared" si="8"/>
        <v>8</v>
      </c>
      <c r="O6" s="8"/>
      <c r="P6" s="8"/>
      <c r="Q6" s="8"/>
      <c r="R6" s="8" t="s">
        <v>316</v>
      </c>
      <c r="S6" s="15">
        <f t="shared" ca="1" si="2"/>
        <v>18.782608695652172</v>
      </c>
      <c r="T6" s="15">
        <f t="shared" ca="1" si="3"/>
        <v>17.217391304347828</v>
      </c>
      <c r="U6" s="15">
        <f ca="1">IF((V6-S6-T6)&gt;=0,V6-S6-T6,0)</f>
        <v>54</v>
      </c>
      <c r="V6" s="15">
        <v>90</v>
      </c>
    </row>
    <row r="7" spans="1:22" ht="15.75" x14ac:dyDescent="0.15">
      <c r="A7" s="8" t="s">
        <v>375</v>
      </c>
      <c r="B7" s="8" t="s">
        <v>721</v>
      </c>
      <c r="C7" s="8" t="s">
        <v>777</v>
      </c>
      <c r="D7" s="16">
        <v>1.63</v>
      </c>
      <c r="E7" s="16">
        <f t="shared" si="0"/>
        <v>73.349999999999994</v>
      </c>
      <c r="F7" s="9">
        <v>44155</v>
      </c>
      <c r="G7" s="9">
        <v>44191</v>
      </c>
      <c r="H7" s="15">
        <f t="shared" ca="1" si="4"/>
        <v>51.543243243243239</v>
      </c>
      <c r="I7" s="15">
        <f ca="1">(G7-K7)/N7*E7</f>
        <v>0</v>
      </c>
      <c r="J7" s="17">
        <f t="shared" si="5"/>
        <v>44166</v>
      </c>
      <c r="K7" s="17">
        <f t="shared" ca="1" si="1"/>
        <v>44191</v>
      </c>
      <c r="L7" s="18">
        <f t="shared" ca="1" si="6"/>
        <v>26</v>
      </c>
      <c r="M7" s="18">
        <f t="shared" ca="1" si="7"/>
        <v>0</v>
      </c>
      <c r="N7" s="8">
        <f t="shared" si="8"/>
        <v>37</v>
      </c>
      <c r="O7" s="8"/>
      <c r="P7" s="8"/>
      <c r="Q7" s="8"/>
      <c r="R7" s="8" t="s">
        <v>274</v>
      </c>
      <c r="S7" s="15">
        <f t="shared" ca="1" si="2"/>
        <v>31.5</v>
      </c>
      <c r="T7" s="15">
        <f t="shared" ca="1" si="3"/>
        <v>0</v>
      </c>
      <c r="U7" s="15">
        <f t="shared" ref="U7:U20" ca="1" si="12">IF((V7-S7-T7)&gt;=0,V7-S7-T7,0)</f>
        <v>58.5</v>
      </c>
      <c r="V7" s="15">
        <v>90</v>
      </c>
    </row>
    <row r="8" spans="1:22" ht="15.75" x14ac:dyDescent="0.15">
      <c r="A8" s="8" t="s">
        <v>254</v>
      </c>
      <c r="B8" s="8" t="s">
        <v>721</v>
      </c>
      <c r="C8" s="77" t="s">
        <v>777</v>
      </c>
      <c r="D8" s="16">
        <v>1.63</v>
      </c>
      <c r="E8" s="16">
        <f t="shared" si="0"/>
        <v>73.349999999999994</v>
      </c>
      <c r="F8" s="9">
        <v>44155</v>
      </c>
      <c r="G8" s="9">
        <v>44191</v>
      </c>
      <c r="H8" s="15">
        <f t="shared" ca="1" si="4"/>
        <v>51.543243243243239</v>
      </c>
      <c r="I8" s="15">
        <f t="shared" ref="I8:I29" ca="1" si="13">(G8-K8)/N8*E8</f>
        <v>0</v>
      </c>
      <c r="J8" s="17">
        <f t="shared" si="5"/>
        <v>44166</v>
      </c>
      <c r="K8" s="17">
        <f t="shared" ca="1" si="1"/>
        <v>44191</v>
      </c>
      <c r="L8" s="18">
        <f t="shared" ca="1" si="6"/>
        <v>26</v>
      </c>
      <c r="M8" s="18">
        <f t="shared" ca="1" si="7"/>
        <v>0</v>
      </c>
      <c r="N8" s="8">
        <f t="shared" si="8"/>
        <v>37</v>
      </c>
      <c r="O8" s="8"/>
      <c r="P8" s="8"/>
      <c r="Q8" s="8"/>
      <c r="R8" s="8" t="s">
        <v>332</v>
      </c>
      <c r="S8" s="15">
        <f t="shared" ca="1" si="2"/>
        <v>45.5</v>
      </c>
      <c r="T8" s="15">
        <f t="shared" ca="1" si="3"/>
        <v>81</v>
      </c>
      <c r="U8" s="15">
        <f t="shared" ca="1" si="12"/>
        <v>0</v>
      </c>
      <c r="V8" s="15">
        <v>90</v>
      </c>
    </row>
    <row r="9" spans="1:22" ht="15.75" x14ac:dyDescent="0.15">
      <c r="A9" s="8" t="s">
        <v>283</v>
      </c>
      <c r="B9" s="8" t="s">
        <v>87</v>
      </c>
      <c r="C9" s="77" t="s">
        <v>777</v>
      </c>
      <c r="D9" s="16">
        <v>1.63</v>
      </c>
      <c r="E9" s="16">
        <f t="shared" si="0"/>
        <v>73.349999999999994</v>
      </c>
      <c r="F9" s="9">
        <v>44155</v>
      </c>
      <c r="G9" s="9">
        <v>44191</v>
      </c>
      <c r="H9" s="15">
        <f t="shared" ca="1" si="4"/>
        <v>51.543243243243239</v>
      </c>
      <c r="I9" s="15">
        <f t="shared" ca="1" si="13"/>
        <v>0</v>
      </c>
      <c r="J9" s="17">
        <f t="shared" si="5"/>
        <v>44166</v>
      </c>
      <c r="K9" s="17">
        <f t="shared" ca="1" si="1"/>
        <v>44191</v>
      </c>
      <c r="L9" s="18">
        <f t="shared" ca="1" si="6"/>
        <v>26</v>
      </c>
      <c r="M9" s="18">
        <f t="shared" ca="1" si="7"/>
        <v>0</v>
      </c>
      <c r="N9" s="8">
        <f t="shared" si="8"/>
        <v>37</v>
      </c>
      <c r="O9" s="8"/>
      <c r="P9" s="8"/>
      <c r="Q9" s="8"/>
      <c r="R9" s="8" t="s">
        <v>348</v>
      </c>
      <c r="S9" s="15">
        <f t="shared" ca="1" si="2"/>
        <v>30.056000000000001</v>
      </c>
      <c r="T9" s="15">
        <f t="shared" ca="1" si="3"/>
        <v>22.5</v>
      </c>
      <c r="U9" s="15">
        <f t="shared" ca="1" si="12"/>
        <v>37.444000000000003</v>
      </c>
      <c r="V9" s="15">
        <v>90</v>
      </c>
    </row>
    <row r="10" spans="1:22" ht="15.75" x14ac:dyDescent="0.15">
      <c r="A10" s="8" t="s">
        <v>304</v>
      </c>
      <c r="B10" s="8" t="s">
        <v>87</v>
      </c>
      <c r="C10" s="77" t="s">
        <v>777</v>
      </c>
      <c r="D10" s="16">
        <v>1.63</v>
      </c>
      <c r="E10" s="16">
        <f t="shared" si="0"/>
        <v>73.349999999999994</v>
      </c>
      <c r="F10" s="9">
        <v>44155</v>
      </c>
      <c r="G10" s="9">
        <v>44191</v>
      </c>
      <c r="H10" s="15">
        <f t="shared" ca="1" si="4"/>
        <v>51.543243243243239</v>
      </c>
      <c r="I10" s="15">
        <f t="shared" ca="1" si="13"/>
        <v>0</v>
      </c>
      <c r="J10" s="17">
        <f t="shared" si="5"/>
        <v>44166</v>
      </c>
      <c r="K10" s="17">
        <f t="shared" ca="1" si="1"/>
        <v>44191</v>
      </c>
      <c r="L10" s="18">
        <f t="shared" ca="1" si="6"/>
        <v>26</v>
      </c>
      <c r="M10" s="18">
        <f t="shared" ca="1" si="7"/>
        <v>0</v>
      </c>
      <c r="N10" s="8">
        <f t="shared" si="8"/>
        <v>37</v>
      </c>
      <c r="O10" s="8"/>
      <c r="P10" s="8"/>
      <c r="Q10" s="8"/>
      <c r="R10" s="8" t="s">
        <v>165</v>
      </c>
      <c r="S10" s="15">
        <f t="shared" ca="1" si="2"/>
        <v>49.333333333333329</v>
      </c>
      <c r="T10" s="15">
        <f t="shared" ca="1" si="3"/>
        <v>76.666666666666671</v>
      </c>
      <c r="U10" s="15">
        <f t="shared" ca="1" si="12"/>
        <v>0</v>
      </c>
      <c r="V10" s="15">
        <v>90</v>
      </c>
    </row>
    <row r="11" spans="1:22" ht="15.75" x14ac:dyDescent="0.15">
      <c r="A11" s="8" t="s">
        <v>125</v>
      </c>
      <c r="B11" s="8" t="s">
        <v>89</v>
      </c>
      <c r="C11" s="8" t="s">
        <v>718</v>
      </c>
      <c r="D11" s="16">
        <v>0.67</v>
      </c>
      <c r="E11" s="16">
        <f t="shared" si="0"/>
        <v>30.150000000000002</v>
      </c>
      <c r="F11" s="9">
        <v>44169</v>
      </c>
      <c r="G11" s="9">
        <v>44182</v>
      </c>
      <c r="H11" s="15">
        <f t="shared" ca="1" si="4"/>
        <v>30.150000000000002</v>
      </c>
      <c r="I11" s="15">
        <f t="shared" ca="1" si="13"/>
        <v>0</v>
      </c>
      <c r="J11" s="17">
        <f t="shared" si="5"/>
        <v>44169</v>
      </c>
      <c r="K11" s="17">
        <f t="shared" ca="1" si="1"/>
        <v>44182</v>
      </c>
      <c r="L11" s="18">
        <f t="shared" ca="1" si="6"/>
        <v>14</v>
      </c>
      <c r="M11" s="18">
        <f t="shared" ca="1" si="7"/>
        <v>0</v>
      </c>
      <c r="N11" s="8">
        <f t="shared" si="8"/>
        <v>14</v>
      </c>
      <c r="O11" s="8"/>
      <c r="P11" s="8"/>
      <c r="Q11" s="8"/>
      <c r="R11" s="8" t="s">
        <v>306</v>
      </c>
      <c r="S11" s="15">
        <f t="shared" ca="1" si="2"/>
        <v>48.338608695652169</v>
      </c>
      <c r="T11" s="15">
        <f t="shared" ca="1" si="3"/>
        <v>17.217391304347828</v>
      </c>
      <c r="U11" s="15">
        <f t="shared" ca="1" si="12"/>
        <v>24.444000000000003</v>
      </c>
      <c r="V11" s="15">
        <v>90</v>
      </c>
    </row>
    <row r="12" spans="1:22" ht="15.75" x14ac:dyDescent="0.15">
      <c r="A12" s="8" t="s">
        <v>165</v>
      </c>
      <c r="B12" s="8" t="s">
        <v>723</v>
      </c>
      <c r="C12" s="8" t="s">
        <v>718</v>
      </c>
      <c r="D12" s="8">
        <v>0.5</v>
      </c>
      <c r="E12" s="16">
        <f t="shared" si="0"/>
        <v>22.5</v>
      </c>
      <c r="F12" s="9">
        <v>44174</v>
      </c>
      <c r="G12" s="9">
        <v>44188</v>
      </c>
      <c r="H12" s="15">
        <f t="shared" ca="1" si="4"/>
        <v>22.5</v>
      </c>
      <c r="I12" s="15">
        <f t="shared" ca="1" si="13"/>
        <v>0</v>
      </c>
      <c r="J12" s="17">
        <f t="shared" si="5"/>
        <v>44174</v>
      </c>
      <c r="K12" s="17">
        <f t="shared" ca="1" si="1"/>
        <v>44188</v>
      </c>
      <c r="L12" s="18">
        <f t="shared" ca="1" si="6"/>
        <v>15</v>
      </c>
      <c r="M12" s="18">
        <f t="shared" ca="1" si="7"/>
        <v>0</v>
      </c>
      <c r="N12" s="8">
        <f t="shared" si="8"/>
        <v>15</v>
      </c>
      <c r="O12" s="8"/>
      <c r="P12" s="8"/>
      <c r="Q12" s="8"/>
      <c r="R12" s="8" t="s">
        <v>219</v>
      </c>
      <c r="S12" s="15">
        <f t="shared" ca="1" si="2"/>
        <v>97.056000000000012</v>
      </c>
      <c r="T12" s="15">
        <f t="shared" ca="1" si="3"/>
        <v>81</v>
      </c>
      <c r="U12" s="15">
        <f t="shared" ca="1" si="12"/>
        <v>0</v>
      </c>
      <c r="V12" s="15">
        <v>90</v>
      </c>
    </row>
    <row r="13" spans="1:22" ht="15.75" x14ac:dyDescent="0.15">
      <c r="A13" s="8" t="s">
        <v>274</v>
      </c>
      <c r="B13" s="8" t="s">
        <v>724</v>
      </c>
      <c r="C13" s="8" t="s">
        <v>718</v>
      </c>
      <c r="D13" s="8">
        <v>0.3</v>
      </c>
      <c r="E13" s="16">
        <f t="shared" si="0"/>
        <v>13.5</v>
      </c>
      <c r="F13" s="9">
        <v>44176</v>
      </c>
      <c r="G13" s="9">
        <v>44184</v>
      </c>
      <c r="H13" s="15">
        <f t="shared" ca="1" si="4"/>
        <v>13.5</v>
      </c>
      <c r="I13" s="15">
        <f t="shared" ca="1" si="13"/>
        <v>0</v>
      </c>
      <c r="J13" s="17">
        <f t="shared" si="5"/>
        <v>44176</v>
      </c>
      <c r="K13" s="17">
        <f t="shared" ca="1" si="1"/>
        <v>44184</v>
      </c>
      <c r="L13" s="18">
        <f t="shared" ca="1" si="6"/>
        <v>9</v>
      </c>
      <c r="M13" s="18">
        <f t="shared" ca="1" si="7"/>
        <v>0</v>
      </c>
      <c r="N13" s="8">
        <f t="shared" si="8"/>
        <v>9</v>
      </c>
      <c r="O13" s="8"/>
      <c r="P13" s="8"/>
      <c r="Q13" s="8"/>
      <c r="R13" s="8" t="s">
        <v>304</v>
      </c>
      <c r="S13" s="15">
        <f t="shared" ca="1" si="2"/>
        <v>110.74636824324324</v>
      </c>
      <c r="T13" s="15">
        <f t="shared" ca="1" si="3"/>
        <v>1.5468750000000002</v>
      </c>
      <c r="U13" s="15">
        <f t="shared" ca="1" si="12"/>
        <v>0</v>
      </c>
      <c r="V13" s="15">
        <v>90</v>
      </c>
    </row>
    <row r="14" spans="1:22" ht="15.75" x14ac:dyDescent="0.15">
      <c r="A14" s="8" t="s">
        <v>219</v>
      </c>
      <c r="B14" s="8" t="s">
        <v>725</v>
      </c>
      <c r="C14" s="8" t="s">
        <v>718</v>
      </c>
      <c r="D14" s="8">
        <v>1</v>
      </c>
      <c r="E14" s="16">
        <f t="shared" si="0"/>
        <v>45</v>
      </c>
      <c r="F14" s="9">
        <v>44175</v>
      </c>
      <c r="G14" s="9">
        <v>44193</v>
      </c>
      <c r="H14" s="15">
        <f t="shared" ca="1" si="4"/>
        <v>45</v>
      </c>
      <c r="I14" s="15">
        <f t="shared" ca="1" si="13"/>
        <v>0</v>
      </c>
      <c r="J14" s="17">
        <f t="shared" si="5"/>
        <v>44175</v>
      </c>
      <c r="K14" s="17">
        <f t="shared" ca="1" si="1"/>
        <v>44193</v>
      </c>
      <c r="L14" s="18">
        <f t="shared" ca="1" si="6"/>
        <v>19</v>
      </c>
      <c r="M14" s="18">
        <f t="shared" ca="1" si="7"/>
        <v>0</v>
      </c>
      <c r="N14" s="8">
        <f t="shared" si="8"/>
        <v>19</v>
      </c>
      <c r="O14" s="8"/>
      <c r="P14" s="8"/>
      <c r="Q14" s="8"/>
      <c r="R14" s="8" t="s">
        <v>426</v>
      </c>
      <c r="S14" s="15">
        <f t="shared" ca="1" si="2"/>
        <v>27.3</v>
      </c>
      <c r="T14" s="15">
        <f t="shared" ca="1" si="3"/>
        <v>13.5</v>
      </c>
      <c r="U14" s="15">
        <f t="shared" ca="1" si="12"/>
        <v>49.2</v>
      </c>
      <c r="V14" s="15">
        <v>90</v>
      </c>
    </row>
    <row r="15" spans="1:22" ht="15.75" x14ac:dyDescent="0.15">
      <c r="A15" s="8" t="s">
        <v>447</v>
      </c>
      <c r="B15" s="8" t="s">
        <v>726</v>
      </c>
      <c r="C15" s="77" t="s">
        <v>777</v>
      </c>
      <c r="D15" s="8">
        <v>1</v>
      </c>
      <c r="E15" s="16">
        <f t="shared" si="0"/>
        <v>45</v>
      </c>
      <c r="F15" s="9">
        <v>44175</v>
      </c>
      <c r="G15" s="9">
        <v>44195</v>
      </c>
      <c r="H15" s="15">
        <f t="shared" ca="1" si="4"/>
        <v>45</v>
      </c>
      <c r="I15" s="15">
        <f t="shared" ca="1" si="13"/>
        <v>0</v>
      </c>
      <c r="J15" s="17">
        <f t="shared" si="5"/>
        <v>44175</v>
      </c>
      <c r="K15" s="17">
        <f t="shared" ca="1" si="1"/>
        <v>44195</v>
      </c>
      <c r="L15" s="18">
        <f t="shared" ca="1" si="6"/>
        <v>21</v>
      </c>
      <c r="M15" s="18">
        <f t="shared" ca="1" si="7"/>
        <v>0</v>
      </c>
      <c r="N15" s="8">
        <f t="shared" si="8"/>
        <v>21</v>
      </c>
      <c r="O15" s="8"/>
      <c r="P15" s="8"/>
      <c r="Q15" s="8"/>
      <c r="R15" s="8" t="s">
        <v>375</v>
      </c>
      <c r="S15" s="15">
        <f t="shared" ca="1" si="2"/>
        <v>51.543243243243239</v>
      </c>
      <c r="T15" s="15">
        <f t="shared" ca="1" si="3"/>
        <v>45</v>
      </c>
      <c r="U15" s="15">
        <f t="shared" ca="1" si="12"/>
        <v>0</v>
      </c>
      <c r="V15" s="15">
        <v>90</v>
      </c>
    </row>
    <row r="16" spans="1:22" ht="15.75" x14ac:dyDescent="0.15">
      <c r="A16" s="8" t="s">
        <v>443</v>
      </c>
      <c r="B16" s="8" t="s">
        <v>727</v>
      </c>
      <c r="C16" s="8" t="s">
        <v>718</v>
      </c>
      <c r="D16" s="8">
        <v>0.8</v>
      </c>
      <c r="E16" s="16">
        <f t="shared" si="0"/>
        <v>36</v>
      </c>
      <c r="F16" s="9">
        <v>44176</v>
      </c>
      <c r="G16" s="9">
        <v>44196</v>
      </c>
      <c r="H16" s="15">
        <f t="shared" ca="1" si="4"/>
        <v>36</v>
      </c>
      <c r="I16" s="15">
        <f t="shared" ca="1" si="13"/>
        <v>0</v>
      </c>
      <c r="J16" s="17">
        <f t="shared" si="5"/>
        <v>44176</v>
      </c>
      <c r="K16" s="17">
        <f t="shared" ca="1" si="1"/>
        <v>44196</v>
      </c>
      <c r="L16" s="18">
        <f t="shared" ca="1" si="6"/>
        <v>21</v>
      </c>
      <c r="M16" s="18">
        <f t="shared" ca="1" si="7"/>
        <v>0</v>
      </c>
      <c r="N16" s="8">
        <f t="shared" si="8"/>
        <v>21</v>
      </c>
      <c r="O16" s="8"/>
      <c r="P16" s="8"/>
      <c r="Q16" s="8"/>
      <c r="R16" s="8" t="s">
        <v>654</v>
      </c>
      <c r="S16" s="15">
        <f t="shared" ca="1" si="2"/>
        <v>34.633333333333333</v>
      </c>
      <c r="T16" s="15">
        <f t="shared" ca="1" si="3"/>
        <v>1.8666666666666667</v>
      </c>
      <c r="U16" s="15">
        <f t="shared" ca="1" si="12"/>
        <v>53.5</v>
      </c>
      <c r="V16" s="15">
        <v>90</v>
      </c>
    </row>
    <row r="17" spans="1:22" ht="15.75" x14ac:dyDescent="0.15">
      <c r="A17" s="8" t="s">
        <v>405</v>
      </c>
      <c r="B17" s="8" t="s">
        <v>728</v>
      </c>
      <c r="C17" s="8" t="s">
        <v>718</v>
      </c>
      <c r="D17" s="8">
        <v>7.0000000000000007E-2</v>
      </c>
      <c r="E17" s="16">
        <f t="shared" si="0"/>
        <v>3.1500000000000004</v>
      </c>
      <c r="F17" s="9">
        <v>44166</v>
      </c>
      <c r="G17" s="9">
        <v>44172</v>
      </c>
      <c r="H17" s="15">
        <f t="shared" ca="1" si="4"/>
        <v>3.1500000000000004</v>
      </c>
      <c r="I17" s="15">
        <f t="shared" ca="1" si="13"/>
        <v>0</v>
      </c>
      <c r="J17" s="17">
        <f t="shared" si="5"/>
        <v>44166</v>
      </c>
      <c r="K17" s="17">
        <f t="shared" ca="1" si="1"/>
        <v>44172</v>
      </c>
      <c r="L17" s="18">
        <f t="shared" ca="1" si="6"/>
        <v>7</v>
      </c>
      <c r="M17" s="18">
        <f t="shared" ca="1" si="7"/>
        <v>0</v>
      </c>
      <c r="N17" s="8">
        <f t="shared" si="8"/>
        <v>7</v>
      </c>
      <c r="O17" s="8"/>
      <c r="P17" s="8"/>
      <c r="Q17" s="8"/>
      <c r="R17" s="8" t="s">
        <v>138</v>
      </c>
      <c r="S17" s="15">
        <f t="shared" ca="1" si="2"/>
        <v>27.7</v>
      </c>
      <c r="T17" s="15">
        <f t="shared" ca="1" si="3"/>
        <v>13</v>
      </c>
      <c r="U17" s="15">
        <f t="shared" ca="1" si="12"/>
        <v>49.3</v>
      </c>
      <c r="V17" s="15">
        <v>90</v>
      </c>
    </row>
    <row r="18" spans="1:22" ht="15.75" x14ac:dyDescent="0.15">
      <c r="A18" s="8" t="s">
        <v>405</v>
      </c>
      <c r="B18" s="8" t="s">
        <v>729</v>
      </c>
      <c r="C18" s="8" t="s">
        <v>777</v>
      </c>
      <c r="D18" s="8">
        <v>0.43</v>
      </c>
      <c r="E18" s="16">
        <f t="shared" si="0"/>
        <v>19.350000000000001</v>
      </c>
      <c r="F18" s="9">
        <v>44166</v>
      </c>
      <c r="G18" s="9">
        <v>44191</v>
      </c>
      <c r="H18" s="15">
        <f t="shared" ca="1" si="4"/>
        <v>19.350000000000001</v>
      </c>
      <c r="I18" s="15">
        <f t="shared" ca="1" si="13"/>
        <v>0</v>
      </c>
      <c r="J18" s="17">
        <f t="shared" si="5"/>
        <v>44166</v>
      </c>
      <c r="K18" s="17">
        <f t="shared" ca="1" si="1"/>
        <v>44191</v>
      </c>
      <c r="L18" s="18">
        <f t="shared" ca="1" si="6"/>
        <v>26</v>
      </c>
      <c r="M18" s="18">
        <f t="shared" ca="1" si="7"/>
        <v>0</v>
      </c>
      <c r="N18" s="8">
        <f t="shared" si="8"/>
        <v>26</v>
      </c>
      <c r="O18" s="8"/>
      <c r="P18" s="8"/>
      <c r="Q18" s="8"/>
      <c r="R18" s="8" t="s">
        <v>125</v>
      </c>
      <c r="S18" s="15">
        <f t="shared" ca="1" si="2"/>
        <v>30.150000000000002</v>
      </c>
      <c r="T18" s="15">
        <f t="shared" ca="1" si="3"/>
        <v>0</v>
      </c>
      <c r="U18" s="15">
        <f t="shared" ca="1" si="12"/>
        <v>59.849999999999994</v>
      </c>
      <c r="V18" s="15">
        <v>90</v>
      </c>
    </row>
    <row r="19" spans="1:22" ht="15.75" x14ac:dyDescent="0.15">
      <c r="A19" s="8" t="s">
        <v>134</v>
      </c>
      <c r="B19" s="8" t="s">
        <v>87</v>
      </c>
      <c r="C19" s="8" t="s">
        <v>777</v>
      </c>
      <c r="D19" s="8">
        <v>1.63</v>
      </c>
      <c r="E19" s="16">
        <f t="shared" si="0"/>
        <v>73.349999999999994</v>
      </c>
      <c r="F19" s="9">
        <v>44155</v>
      </c>
      <c r="G19" s="9">
        <v>44191</v>
      </c>
      <c r="H19" s="15">
        <f t="shared" ca="1" si="4"/>
        <v>35.683783783783781</v>
      </c>
      <c r="I19" s="15">
        <f t="shared" ca="1" si="13"/>
        <v>0</v>
      </c>
      <c r="J19" s="17">
        <v>44174</v>
      </c>
      <c r="K19" s="17">
        <f t="shared" ca="1" si="1"/>
        <v>44191</v>
      </c>
      <c r="L19" s="18">
        <f t="shared" ca="1" si="6"/>
        <v>18</v>
      </c>
      <c r="M19" s="18">
        <f t="shared" ca="1" si="7"/>
        <v>0</v>
      </c>
      <c r="N19" s="8">
        <f t="shared" si="8"/>
        <v>37</v>
      </c>
      <c r="O19" s="8"/>
      <c r="P19" s="8"/>
      <c r="Q19" s="8"/>
      <c r="R19" s="8" t="s">
        <v>134</v>
      </c>
      <c r="S19" s="15">
        <f t="shared" ca="1" si="2"/>
        <v>35.683783783783781</v>
      </c>
      <c r="T19" s="15">
        <f t="shared" ca="1" si="3"/>
        <v>45</v>
      </c>
      <c r="U19" s="15">
        <f t="shared" ca="1" si="12"/>
        <v>9.316216216216219</v>
      </c>
      <c r="V19" s="15">
        <v>90</v>
      </c>
    </row>
    <row r="20" spans="1:22" ht="15.75" x14ac:dyDescent="0.15">
      <c r="A20" s="8" t="s">
        <v>654</v>
      </c>
      <c r="B20" s="8" t="s">
        <v>730</v>
      </c>
      <c r="C20" s="8" t="s">
        <v>718</v>
      </c>
      <c r="D20" s="8">
        <v>0.5</v>
      </c>
      <c r="E20" s="16">
        <f t="shared" si="0"/>
        <v>22.5</v>
      </c>
      <c r="F20" s="9">
        <v>44186</v>
      </c>
      <c r="G20" s="9">
        <v>44193</v>
      </c>
      <c r="H20" s="15">
        <f t="shared" ca="1" si="4"/>
        <v>22.5</v>
      </c>
      <c r="I20" s="15">
        <f t="shared" ca="1" si="13"/>
        <v>0</v>
      </c>
      <c r="J20" s="17">
        <f t="shared" si="5"/>
        <v>44186</v>
      </c>
      <c r="K20" s="17">
        <f t="shared" ca="1" si="1"/>
        <v>44193</v>
      </c>
      <c r="L20" s="18">
        <f t="shared" ca="1" si="6"/>
        <v>8</v>
      </c>
      <c r="M20" s="18">
        <f t="shared" ca="1" si="7"/>
        <v>0</v>
      </c>
      <c r="N20" s="8">
        <f t="shared" si="8"/>
        <v>8</v>
      </c>
      <c r="O20" s="8"/>
      <c r="P20" s="8"/>
      <c r="Q20" s="8"/>
      <c r="R20" s="8" t="s">
        <v>405</v>
      </c>
      <c r="S20" s="15">
        <f t="shared" ca="1" si="2"/>
        <v>23.03</v>
      </c>
      <c r="T20" s="15">
        <f t="shared" ca="1" si="3"/>
        <v>24</v>
      </c>
      <c r="U20" s="15">
        <f t="shared" ca="1" si="12"/>
        <v>0</v>
      </c>
      <c r="V20" s="15">
        <v>45</v>
      </c>
    </row>
    <row r="21" spans="1:22" ht="15.75" x14ac:dyDescent="0.15">
      <c r="A21" s="8" t="s">
        <v>348</v>
      </c>
      <c r="B21" s="8" t="s">
        <v>731</v>
      </c>
      <c r="C21" s="8" t="s">
        <v>777</v>
      </c>
      <c r="D21" s="8">
        <v>0.5</v>
      </c>
      <c r="E21" s="16">
        <f t="shared" si="0"/>
        <v>22.5</v>
      </c>
      <c r="F21" s="9">
        <v>44189</v>
      </c>
      <c r="G21" s="9">
        <v>44207</v>
      </c>
      <c r="H21" s="15">
        <f t="shared" ca="1" si="4"/>
        <v>22.5</v>
      </c>
      <c r="I21" s="15">
        <f t="shared" ca="1" si="13"/>
        <v>0</v>
      </c>
      <c r="J21" s="17">
        <f t="shared" si="5"/>
        <v>44189</v>
      </c>
      <c r="K21" s="17">
        <f t="shared" ca="1" si="1"/>
        <v>44207</v>
      </c>
      <c r="L21" s="18">
        <f t="shared" ca="1" si="6"/>
        <v>19</v>
      </c>
      <c r="M21" s="18">
        <f t="shared" ca="1" si="7"/>
        <v>0</v>
      </c>
      <c r="N21" s="8">
        <f t="shared" si="8"/>
        <v>19</v>
      </c>
      <c r="O21" s="8"/>
      <c r="P21" s="8"/>
      <c r="Q21" s="8"/>
      <c r="S21" s="15"/>
      <c r="T21" s="15"/>
    </row>
    <row r="22" spans="1:22" ht="15.75" x14ac:dyDescent="0.15">
      <c r="A22" s="8" t="s">
        <v>306</v>
      </c>
      <c r="B22" s="8" t="s">
        <v>731</v>
      </c>
      <c r="C22" s="8" t="s">
        <v>777</v>
      </c>
      <c r="D22" s="8">
        <v>0.5</v>
      </c>
      <c r="E22" s="16">
        <f t="shared" si="0"/>
        <v>22.5</v>
      </c>
      <c r="F22" s="9">
        <v>44189</v>
      </c>
      <c r="G22" s="9">
        <v>44207</v>
      </c>
      <c r="H22" s="15">
        <f t="shared" ca="1" si="4"/>
        <v>22.5</v>
      </c>
      <c r="I22" s="15">
        <f t="shared" ca="1" si="13"/>
        <v>0</v>
      </c>
      <c r="J22" s="17">
        <f t="shared" ref="J22:J29" si="14">IF(F22&lt;$Q$1,$Q$1,F22)</f>
        <v>44189</v>
      </c>
      <c r="K22" s="17">
        <f t="shared" ca="1" si="1"/>
        <v>44207</v>
      </c>
      <c r="L22" s="18">
        <f t="shared" ca="1" si="6"/>
        <v>19</v>
      </c>
      <c r="M22" s="18">
        <f t="shared" ca="1" si="7"/>
        <v>0</v>
      </c>
      <c r="N22" s="8">
        <f t="shared" ref="N22:N29" si="15">G22-F22+1</f>
        <v>19</v>
      </c>
      <c r="O22" s="8"/>
      <c r="P22" s="8"/>
      <c r="T22" s="15"/>
    </row>
    <row r="23" spans="1:22" ht="15.75" x14ac:dyDescent="0.15">
      <c r="A23" s="8" t="s">
        <v>332</v>
      </c>
      <c r="B23" s="8" t="s">
        <v>802</v>
      </c>
      <c r="C23" s="8" t="s">
        <v>777</v>
      </c>
      <c r="D23" s="8">
        <v>0.6</v>
      </c>
      <c r="E23" s="16">
        <f t="shared" si="0"/>
        <v>27</v>
      </c>
      <c r="F23" s="9">
        <v>44190</v>
      </c>
      <c r="G23" s="9">
        <v>44205</v>
      </c>
      <c r="H23" s="15">
        <f t="shared" ca="1" si="4"/>
        <v>27</v>
      </c>
      <c r="I23" s="15">
        <f t="shared" ca="1" si="13"/>
        <v>0</v>
      </c>
      <c r="J23" s="17">
        <f t="shared" si="14"/>
        <v>44190</v>
      </c>
      <c r="K23" s="17">
        <f t="shared" ref="K23:K29" ca="1" si="16">IF(G23&lt;J23,J23-1,IF(TODAY()&gt;G23,G23,TODAY()))</f>
        <v>44205</v>
      </c>
      <c r="L23" s="18">
        <f t="shared" ca="1" si="6"/>
        <v>16</v>
      </c>
      <c r="M23" s="18">
        <f t="shared" ref="M23:M29" ca="1" si="17">IF(K23&gt;G23,0,G23-K23)</f>
        <v>0</v>
      </c>
      <c r="N23" s="8">
        <f t="shared" si="15"/>
        <v>16</v>
      </c>
      <c r="O23" s="8"/>
      <c r="P23" s="8"/>
      <c r="T23" s="15"/>
    </row>
    <row r="24" spans="1:22" ht="15.75" x14ac:dyDescent="0.15">
      <c r="A24" s="8" t="s">
        <v>165</v>
      </c>
      <c r="B24" s="8" t="s">
        <v>732</v>
      </c>
      <c r="C24" s="8" t="s">
        <v>777</v>
      </c>
      <c r="D24" s="8">
        <v>0.3</v>
      </c>
      <c r="E24" s="16">
        <f t="shared" si="0"/>
        <v>13.5</v>
      </c>
      <c r="F24" s="9">
        <v>44193</v>
      </c>
      <c r="G24" s="9">
        <v>44207</v>
      </c>
      <c r="H24" s="15">
        <f t="shared" ca="1" si="4"/>
        <v>13.5</v>
      </c>
      <c r="I24" s="15">
        <f t="shared" ca="1" si="13"/>
        <v>0</v>
      </c>
      <c r="J24" s="17">
        <f t="shared" si="14"/>
        <v>44193</v>
      </c>
      <c r="K24" s="17">
        <f t="shared" ca="1" si="16"/>
        <v>44207</v>
      </c>
      <c r="L24" s="18">
        <f t="shared" ca="1" si="6"/>
        <v>15</v>
      </c>
      <c r="M24" s="18">
        <f t="shared" ca="1" si="17"/>
        <v>0</v>
      </c>
      <c r="N24" s="8">
        <f t="shared" si="15"/>
        <v>15</v>
      </c>
      <c r="O24" s="8"/>
      <c r="P24" s="8"/>
      <c r="T24" s="15"/>
    </row>
    <row r="25" spans="1:22" ht="15.75" x14ac:dyDescent="0.15">
      <c r="A25" s="8" t="s">
        <v>733</v>
      </c>
      <c r="B25" s="8" t="s">
        <v>734</v>
      </c>
      <c r="C25" s="8" t="s">
        <v>777</v>
      </c>
      <c r="D25" s="8">
        <v>0.5</v>
      </c>
      <c r="E25" s="16">
        <f t="shared" si="0"/>
        <v>22.5</v>
      </c>
      <c r="F25" s="9">
        <v>44193</v>
      </c>
      <c r="G25" s="9">
        <v>44207</v>
      </c>
      <c r="H25" s="15">
        <f t="shared" ca="1" si="4"/>
        <v>22.5</v>
      </c>
      <c r="I25" s="15">
        <f t="shared" ca="1" si="13"/>
        <v>0</v>
      </c>
      <c r="J25" s="17">
        <f t="shared" si="14"/>
        <v>44193</v>
      </c>
      <c r="K25" s="17">
        <f t="shared" ca="1" si="16"/>
        <v>44207</v>
      </c>
      <c r="L25" s="18">
        <f t="shared" ca="1" si="6"/>
        <v>15</v>
      </c>
      <c r="M25" s="18">
        <f t="shared" ca="1" si="17"/>
        <v>0</v>
      </c>
      <c r="N25" s="8">
        <f t="shared" si="15"/>
        <v>15</v>
      </c>
      <c r="O25" s="8"/>
      <c r="P25" s="8"/>
      <c r="Q25" s="8"/>
      <c r="R25" s="8"/>
      <c r="S25" s="15"/>
      <c r="T25" s="8"/>
      <c r="U25"/>
      <c r="V25" s="15"/>
    </row>
    <row r="26" spans="1:22" ht="15.75" x14ac:dyDescent="0.15">
      <c r="A26" s="8" t="s">
        <v>304</v>
      </c>
      <c r="B26" s="8" t="s">
        <v>840</v>
      </c>
      <c r="C26" s="8" t="s">
        <v>777</v>
      </c>
      <c r="D26" s="8">
        <v>0.8</v>
      </c>
      <c r="E26" s="16">
        <f t="shared" si="0"/>
        <v>36</v>
      </c>
      <c r="F26" s="9">
        <v>44195</v>
      </c>
      <c r="G26" s="9">
        <v>44208</v>
      </c>
      <c r="H26" s="15">
        <f t="shared" ca="1" si="4"/>
        <v>36</v>
      </c>
      <c r="I26" s="15">
        <f t="shared" ca="1" si="13"/>
        <v>0</v>
      </c>
      <c r="J26" s="17">
        <f t="shared" si="14"/>
        <v>44195</v>
      </c>
      <c r="K26" s="17">
        <f t="shared" ca="1" si="16"/>
        <v>44208</v>
      </c>
      <c r="L26" s="18">
        <f t="shared" ca="1" si="6"/>
        <v>14</v>
      </c>
      <c r="M26" s="18">
        <f t="shared" ca="1" si="17"/>
        <v>0</v>
      </c>
      <c r="N26" s="8">
        <f t="shared" si="15"/>
        <v>14</v>
      </c>
      <c r="T26" s="8"/>
      <c r="U26"/>
      <c r="V26" s="15"/>
    </row>
    <row r="27" spans="1:22" ht="15.75" x14ac:dyDescent="0.15">
      <c r="A27" s="8" t="s">
        <v>254</v>
      </c>
      <c r="B27" s="8" t="s">
        <v>840</v>
      </c>
      <c r="C27" s="8" t="s">
        <v>777</v>
      </c>
      <c r="D27" s="8">
        <v>0.8</v>
      </c>
      <c r="E27" s="16">
        <f t="shared" si="0"/>
        <v>36</v>
      </c>
      <c r="F27" s="9">
        <v>44195</v>
      </c>
      <c r="G27" s="9">
        <v>44208</v>
      </c>
      <c r="H27" s="15">
        <f t="shared" ca="1" si="4"/>
        <v>36</v>
      </c>
      <c r="I27" s="15">
        <f t="shared" ca="1" si="13"/>
        <v>0</v>
      </c>
      <c r="J27" s="17">
        <f t="shared" si="14"/>
        <v>44195</v>
      </c>
      <c r="K27" s="17">
        <f t="shared" ca="1" si="16"/>
        <v>44208</v>
      </c>
      <c r="L27" s="18">
        <f t="shared" ca="1" si="6"/>
        <v>14</v>
      </c>
      <c r="M27" s="18">
        <f t="shared" ca="1" si="17"/>
        <v>0</v>
      </c>
      <c r="N27" s="8">
        <f t="shared" si="15"/>
        <v>14</v>
      </c>
      <c r="T27" s="8"/>
      <c r="U27" s="8"/>
      <c r="V27" s="15"/>
    </row>
    <row r="28" spans="1:22" ht="15.75" x14ac:dyDescent="0.15">
      <c r="A28" s="8" t="s">
        <v>274</v>
      </c>
      <c r="B28" s="8" t="s">
        <v>849</v>
      </c>
      <c r="C28" s="8" t="s">
        <v>777</v>
      </c>
      <c r="D28" s="8">
        <v>0.4</v>
      </c>
      <c r="E28" s="16">
        <f t="shared" si="0"/>
        <v>18</v>
      </c>
      <c r="F28" s="9">
        <v>44196</v>
      </c>
      <c r="G28" s="9">
        <v>44216</v>
      </c>
      <c r="H28" s="15">
        <f t="shared" ca="1" si="4"/>
        <v>18</v>
      </c>
      <c r="I28" s="15">
        <f t="shared" ca="1" si="13"/>
        <v>0</v>
      </c>
      <c r="J28" s="12">
        <f t="shared" si="14"/>
        <v>44196</v>
      </c>
      <c r="K28" s="17">
        <f t="shared" ca="1" si="16"/>
        <v>44216</v>
      </c>
      <c r="L28" s="18">
        <f t="shared" ca="1" si="6"/>
        <v>21</v>
      </c>
      <c r="M28" s="18">
        <f t="shared" ca="1" si="17"/>
        <v>0</v>
      </c>
      <c r="N28" s="8">
        <f t="shared" si="15"/>
        <v>21</v>
      </c>
    </row>
    <row r="29" spans="1:22" ht="15.75" x14ac:dyDescent="0.15">
      <c r="A29" s="8" t="s">
        <v>426</v>
      </c>
      <c r="B29" s="8" t="s">
        <v>811</v>
      </c>
      <c r="C29" s="8" t="s">
        <v>777</v>
      </c>
      <c r="D29" s="8">
        <v>0.6</v>
      </c>
      <c r="E29" s="16">
        <f t="shared" si="0"/>
        <v>27</v>
      </c>
      <c r="F29" s="9">
        <v>44195</v>
      </c>
      <c r="G29" s="9">
        <v>44214</v>
      </c>
      <c r="H29" s="15">
        <f t="shared" ca="1" si="4"/>
        <v>27</v>
      </c>
      <c r="I29" s="15">
        <f t="shared" ca="1" si="13"/>
        <v>0</v>
      </c>
      <c r="J29" s="12">
        <f t="shared" si="14"/>
        <v>44195</v>
      </c>
      <c r="K29" s="17">
        <f t="shared" ca="1" si="16"/>
        <v>44214</v>
      </c>
      <c r="L29" s="18">
        <f t="shared" ca="1" si="6"/>
        <v>20</v>
      </c>
      <c r="M29" s="18">
        <f t="shared" ca="1" si="17"/>
        <v>0</v>
      </c>
      <c r="N29" s="8">
        <f t="shared" si="15"/>
        <v>20</v>
      </c>
    </row>
    <row r="30" spans="1:22" ht="15.75" x14ac:dyDescent="0.15">
      <c r="A30" s="8" t="s">
        <v>138</v>
      </c>
      <c r="B30" s="8" t="s">
        <v>735</v>
      </c>
      <c r="C30" s="77" t="s">
        <v>773</v>
      </c>
      <c r="D30" s="8">
        <v>0.3</v>
      </c>
      <c r="E30" s="16">
        <f t="shared" si="0"/>
        <v>13.5</v>
      </c>
      <c r="F30" s="9">
        <v>44200</v>
      </c>
      <c r="G30" s="9">
        <v>44207</v>
      </c>
      <c r="H30" s="15">
        <f t="shared" ref="H30" ca="1" si="18">IF(L30&lt;0,0,L30/N30*E30)</f>
        <v>13.5</v>
      </c>
      <c r="I30" s="15">
        <f t="shared" ref="I30" ca="1" si="19">(G30-K30)/N30*E30</f>
        <v>0</v>
      </c>
      <c r="J30" s="17">
        <f t="shared" ref="J30:J31" si="20">IF(F30&lt;$Q$1,$Q$1,F30)</f>
        <v>44200</v>
      </c>
      <c r="K30" s="17">
        <f t="shared" ref="K30:K31" ca="1" si="21">IF(G30&lt;J30,J30-1,IF(TODAY()&gt;G30,G30,TODAY()))</f>
        <v>44207</v>
      </c>
      <c r="L30" s="18">
        <f t="shared" ref="L30:L31" ca="1" si="22">IF(K30-J30+1&lt;0,0,K30-J30+1)</f>
        <v>8</v>
      </c>
      <c r="M30" s="18">
        <f t="shared" ref="M30:M31" ca="1" si="23">IF(K30&gt;G30,0,G30-K30)</f>
        <v>0</v>
      </c>
      <c r="N30" s="8">
        <f t="shared" ref="N30:N31" si="24">G30-F30+1</f>
        <v>8</v>
      </c>
    </row>
    <row r="31" spans="1:22" ht="15.75" x14ac:dyDescent="0.15">
      <c r="A31" s="8" t="s">
        <v>138</v>
      </c>
      <c r="B31" s="8" t="s">
        <v>736</v>
      </c>
      <c r="C31" s="8" t="s">
        <v>773</v>
      </c>
      <c r="D31" s="8">
        <v>0.4</v>
      </c>
      <c r="E31" s="16">
        <f t="shared" si="0"/>
        <v>18</v>
      </c>
      <c r="F31" s="9">
        <v>44208</v>
      </c>
      <c r="G31" s="9">
        <v>44225</v>
      </c>
      <c r="H31" s="15">
        <f t="shared" ref="H31" ca="1" si="25">IF(L31&lt;0,0,L31/N31*E31)</f>
        <v>14</v>
      </c>
      <c r="I31" s="15">
        <f t="shared" ref="I31" ca="1" si="26">(G31-K31)/N31*E31</f>
        <v>4</v>
      </c>
      <c r="J31" s="12">
        <f t="shared" si="20"/>
        <v>44208</v>
      </c>
      <c r="K31" s="17">
        <f t="shared" ca="1" si="21"/>
        <v>44221</v>
      </c>
      <c r="L31" s="18">
        <f t="shared" ca="1" si="22"/>
        <v>14</v>
      </c>
      <c r="M31" s="18">
        <f t="shared" ca="1" si="23"/>
        <v>4</v>
      </c>
      <c r="N31" s="8">
        <f t="shared" si="24"/>
        <v>18</v>
      </c>
    </row>
    <row r="32" spans="1:22" ht="15.75" x14ac:dyDescent="0.15">
      <c r="A32" s="8" t="s">
        <v>443</v>
      </c>
      <c r="B32" s="8" t="s">
        <v>737</v>
      </c>
      <c r="C32" s="8" t="s">
        <v>773</v>
      </c>
      <c r="D32" s="8">
        <v>1</v>
      </c>
      <c r="E32" s="16">
        <f t="shared" si="0"/>
        <v>45</v>
      </c>
      <c r="F32" s="9">
        <v>44202</v>
      </c>
      <c r="G32" s="9">
        <v>44223</v>
      </c>
      <c r="H32" s="15">
        <f t="shared" ref="H32" ca="1" si="27">IF(L32&lt;0,0,L32/N32*E32)</f>
        <v>40.909090909090907</v>
      </c>
      <c r="I32" s="15">
        <f t="shared" ref="I32" ca="1" si="28">(G32-K32)/N32*E32</f>
        <v>4.0909090909090908</v>
      </c>
      <c r="J32" s="12">
        <f t="shared" ref="J32" si="29">IF(F32&lt;$Q$1,$Q$1,F32)</f>
        <v>44202</v>
      </c>
      <c r="K32" s="17">
        <f t="shared" ref="K32" ca="1" si="30">IF(G32&lt;J32,J32-1,IF(TODAY()&gt;G32,G32,TODAY()))</f>
        <v>44221</v>
      </c>
      <c r="L32" s="18">
        <f t="shared" ref="L32" ca="1" si="31">IF(K32-J32+1&lt;0,0,K32-J32+1)</f>
        <v>20</v>
      </c>
      <c r="M32" s="18">
        <f t="shared" ref="M32" ca="1" si="32">IF(K32&gt;G32,0,G32-K32)</f>
        <v>2</v>
      </c>
      <c r="N32" s="8">
        <f t="shared" ref="N32" si="33">G32-F32+1</f>
        <v>22</v>
      </c>
    </row>
    <row r="33" spans="1:14" ht="15.75" x14ac:dyDescent="0.15">
      <c r="A33" s="8" t="s">
        <v>219</v>
      </c>
      <c r="B33" s="8" t="s">
        <v>797</v>
      </c>
      <c r="C33" s="8" t="s">
        <v>777</v>
      </c>
      <c r="D33" s="8">
        <v>1</v>
      </c>
      <c r="E33" s="16">
        <f t="shared" si="0"/>
        <v>45</v>
      </c>
      <c r="F33" s="9">
        <v>44201</v>
      </c>
      <c r="G33" s="9">
        <v>44217</v>
      </c>
      <c r="H33" s="15">
        <f t="shared" ref="H33" ca="1" si="34">IF(L33&lt;0,0,L33/N33*E33)</f>
        <v>45</v>
      </c>
      <c r="I33" s="15">
        <f t="shared" ref="I33" ca="1" si="35">(G33-K33)/N33*E33</f>
        <v>0</v>
      </c>
      <c r="J33" s="12">
        <f t="shared" ref="J33" si="36">IF(F33&lt;$Q$1,$Q$1,F33)</f>
        <v>44201</v>
      </c>
      <c r="K33" s="17">
        <f t="shared" ref="K33" ca="1" si="37">IF(G33&lt;J33,J33-1,IF(TODAY()&gt;G33,G33,TODAY()))</f>
        <v>44217</v>
      </c>
      <c r="L33" s="18">
        <f t="shared" ref="L33" ca="1" si="38">IF(K33-J33+1&lt;0,0,K33-J33+1)</f>
        <v>17</v>
      </c>
      <c r="M33" s="18">
        <f t="shared" ref="M33" ca="1" si="39">IF(K33&gt;G33,0,G33-K33)</f>
        <v>0</v>
      </c>
      <c r="N33" s="8">
        <f t="shared" ref="N33" si="40">G33-F33+1</f>
        <v>17</v>
      </c>
    </row>
    <row r="34" spans="1:14" ht="15.75" x14ac:dyDescent="0.15">
      <c r="A34" s="77" t="s">
        <v>771</v>
      </c>
      <c r="B34" s="77" t="s">
        <v>772</v>
      </c>
      <c r="C34" s="8" t="s">
        <v>777</v>
      </c>
      <c r="D34" s="77">
        <v>1</v>
      </c>
      <c r="E34" s="16">
        <f t="shared" si="0"/>
        <v>45</v>
      </c>
      <c r="F34" s="9">
        <v>44201</v>
      </c>
      <c r="G34" s="9">
        <v>44217</v>
      </c>
      <c r="H34" s="15">
        <f t="shared" ref="H34" ca="1" si="41">IF(L34&lt;0,0,L34/N34*E34)</f>
        <v>45</v>
      </c>
      <c r="I34" s="15">
        <f t="shared" ref="I34" ca="1" si="42">(G34-K34)/N34*E34</f>
        <v>0</v>
      </c>
      <c r="J34" s="12">
        <f t="shared" ref="J34" si="43">IF(F34&lt;$Q$1,$Q$1,F34)</f>
        <v>44201</v>
      </c>
      <c r="K34" s="17">
        <f t="shared" ref="K34" ca="1" si="44">IF(G34&lt;J34,J34-1,IF(TODAY()&gt;G34,G34,TODAY()))</f>
        <v>44217</v>
      </c>
      <c r="L34" s="18">
        <f t="shared" ref="L34" ca="1" si="45">IF(K34-J34+1&lt;0,0,K34-J34+1)</f>
        <v>17</v>
      </c>
      <c r="M34" s="18">
        <f t="shared" ref="M34" ca="1" si="46">IF(K34&gt;G34,0,G34-K34)</f>
        <v>0</v>
      </c>
      <c r="N34" s="8">
        <f t="shared" ref="N34" si="47">G34-F34+1</f>
        <v>17</v>
      </c>
    </row>
    <row r="35" spans="1:14" ht="15.75" x14ac:dyDescent="0.15">
      <c r="A35" s="8" t="s">
        <v>779</v>
      </c>
      <c r="B35" s="8" t="s">
        <v>809</v>
      </c>
      <c r="C35" s="8" t="s">
        <v>777</v>
      </c>
      <c r="D35" s="8">
        <v>0.1</v>
      </c>
      <c r="E35" s="16">
        <f t="shared" si="0"/>
        <v>4.5</v>
      </c>
      <c r="F35" s="9">
        <v>44201</v>
      </c>
      <c r="G35" s="9">
        <v>44207</v>
      </c>
      <c r="H35" s="15">
        <f t="shared" ref="H35" ca="1" si="48">IF(L35&lt;0,0,L35/N35*E35)</f>
        <v>4.5</v>
      </c>
      <c r="I35" s="15">
        <f t="shared" ref="I35" ca="1" si="49">(G35-K35)/N35*E35</f>
        <v>0</v>
      </c>
      <c r="J35" s="12">
        <f t="shared" ref="J35:J36" si="50">IF(F35&lt;$Q$1,$Q$1,F35)</f>
        <v>44201</v>
      </c>
      <c r="K35" s="17">
        <f t="shared" ref="K35:K36" ca="1" si="51">IF(G35&lt;J35,J35-1,IF(TODAY()&gt;G35,G35,TODAY()))</f>
        <v>44207</v>
      </c>
      <c r="L35" s="18">
        <f t="shared" ref="L35:L36" ca="1" si="52">IF(K35-J35+1&lt;0,0,K35-J35+1)</f>
        <v>7</v>
      </c>
      <c r="M35" s="18">
        <f t="shared" ref="M35:M36" ca="1" si="53">IF(K35&gt;G35,0,G35-K35)</f>
        <v>0</v>
      </c>
      <c r="N35" s="8">
        <f t="shared" ref="N35:N36" si="54">G35-F35+1</f>
        <v>7</v>
      </c>
    </row>
    <row r="36" spans="1:14" ht="15.75" x14ac:dyDescent="0.15">
      <c r="A36" s="8" t="s">
        <v>332</v>
      </c>
      <c r="B36" s="8" t="s">
        <v>803</v>
      </c>
      <c r="C36" s="8" t="s">
        <v>773</v>
      </c>
      <c r="D36" s="8">
        <v>0.4</v>
      </c>
      <c r="E36" s="16">
        <v>18.5</v>
      </c>
      <c r="F36" s="9">
        <v>44207</v>
      </c>
      <c r="G36" s="9">
        <v>44221</v>
      </c>
      <c r="H36" s="15">
        <f t="shared" ref="H36" ca="1" si="55">IF(L36&lt;0,0,L36/N36*E36)</f>
        <v>18.5</v>
      </c>
      <c r="I36" s="15">
        <f t="shared" ref="I36" ca="1" si="56">(G36-K36)/N36*E36</f>
        <v>0</v>
      </c>
      <c r="J36" s="12">
        <f t="shared" si="50"/>
        <v>44207</v>
      </c>
      <c r="K36" s="17">
        <f t="shared" ca="1" si="51"/>
        <v>44221</v>
      </c>
      <c r="L36" s="18">
        <f t="shared" ca="1" si="52"/>
        <v>15</v>
      </c>
      <c r="M36" s="18">
        <f t="shared" ca="1" si="53"/>
        <v>0</v>
      </c>
      <c r="N36" s="8">
        <f t="shared" si="54"/>
        <v>15</v>
      </c>
    </row>
    <row r="37" spans="1:14" ht="15.75" x14ac:dyDescent="0.15">
      <c r="A37" s="8" t="s">
        <v>779</v>
      </c>
      <c r="B37" s="8" t="s">
        <v>810</v>
      </c>
      <c r="C37" s="8" t="s">
        <v>773</v>
      </c>
      <c r="D37" s="8">
        <v>0.2</v>
      </c>
      <c r="E37" s="16">
        <f t="shared" si="0"/>
        <v>9</v>
      </c>
      <c r="F37" s="9">
        <v>44204</v>
      </c>
      <c r="G37" s="9">
        <v>44225</v>
      </c>
      <c r="H37" s="15">
        <f t="shared" ref="H37" ca="1" si="57">IF(L37&lt;0,0,L37/N37*E37)</f>
        <v>7.3636363636363642</v>
      </c>
      <c r="I37" s="15">
        <f t="shared" ref="I37" ca="1" si="58">(G37-K37)/N37*E37</f>
        <v>1.6363636363636365</v>
      </c>
      <c r="J37" s="12">
        <f t="shared" ref="J37" si="59">IF(F37&lt;$Q$1,$Q$1,F37)</f>
        <v>44204</v>
      </c>
      <c r="K37" s="17">
        <f t="shared" ref="K37" ca="1" si="60">IF(G37&lt;J37,J37-1,IF(TODAY()&gt;G37,G37,TODAY()))</f>
        <v>44221</v>
      </c>
      <c r="L37" s="18">
        <f t="shared" ref="L37" ca="1" si="61">IF(K37-J37+1&lt;0,0,K37-J37+1)</f>
        <v>18</v>
      </c>
      <c r="M37" s="18">
        <f t="shared" ref="M37" ca="1" si="62">IF(K37&gt;G37,0,G37-K37)</f>
        <v>4</v>
      </c>
      <c r="N37" s="8">
        <f t="shared" ref="N37" si="63">G37-F37+1</f>
        <v>22</v>
      </c>
    </row>
    <row r="38" spans="1:14" ht="15.75" x14ac:dyDescent="0.15">
      <c r="A38" s="8" t="s">
        <v>304</v>
      </c>
      <c r="B38" s="8" t="s">
        <v>841</v>
      </c>
      <c r="C38" s="8" t="s">
        <v>722</v>
      </c>
      <c r="D38" s="8">
        <v>0.55000000000000004</v>
      </c>
      <c r="E38" s="16">
        <f t="shared" si="0"/>
        <v>24.750000000000004</v>
      </c>
      <c r="F38" s="9">
        <v>44207</v>
      </c>
      <c r="G38" s="9">
        <v>44222</v>
      </c>
      <c r="H38" s="15">
        <f t="shared" ref="H38:H39" ca="1" si="64">IF(L38&lt;0,0,L38/N38*E38)</f>
        <v>23.203125000000004</v>
      </c>
      <c r="I38" s="15">
        <f t="shared" ref="I38:I39" ca="1" si="65">(G38-K38)/N38*E38</f>
        <v>1.5468750000000002</v>
      </c>
      <c r="J38" s="12">
        <f t="shared" ref="J38:J39" si="66">IF(F38&lt;$Q$1,$Q$1,F38)</f>
        <v>44207</v>
      </c>
      <c r="K38" s="17">
        <f t="shared" ref="K38:K39" ca="1" si="67">IF(G38&lt;J38,J38-1,IF(TODAY()&gt;G38,G38,TODAY()))</f>
        <v>44221</v>
      </c>
      <c r="L38" s="18">
        <f t="shared" ref="L38:L39" ca="1" si="68">IF(K38-J38+1&lt;0,0,K38-J38+1)</f>
        <v>15</v>
      </c>
      <c r="M38" s="18">
        <f t="shared" ref="M38:M39" ca="1" si="69">IF(K38&gt;G38,0,G38-K38)</f>
        <v>1</v>
      </c>
      <c r="N38" s="8">
        <f t="shared" ref="N38:N39" si="70">G38-F38+1</f>
        <v>16</v>
      </c>
    </row>
    <row r="39" spans="1:14" ht="15.75" x14ac:dyDescent="0.15">
      <c r="A39" s="8" t="s">
        <v>254</v>
      </c>
      <c r="B39" s="8" t="s">
        <v>841</v>
      </c>
      <c r="C39" s="8" t="s">
        <v>722</v>
      </c>
      <c r="D39" s="8">
        <v>0.55000000000000004</v>
      </c>
      <c r="E39" s="16">
        <f t="shared" si="0"/>
        <v>24.750000000000004</v>
      </c>
      <c r="F39" s="9">
        <v>44207</v>
      </c>
      <c r="G39" s="9">
        <v>44222</v>
      </c>
      <c r="H39" s="15">
        <f t="shared" ca="1" si="64"/>
        <v>23.203125000000004</v>
      </c>
      <c r="I39" s="15">
        <f t="shared" ca="1" si="65"/>
        <v>1.5468750000000002</v>
      </c>
      <c r="J39" s="12">
        <f t="shared" si="66"/>
        <v>44207</v>
      </c>
      <c r="K39" s="17">
        <f t="shared" ca="1" si="67"/>
        <v>44221</v>
      </c>
      <c r="L39" s="18">
        <f t="shared" ca="1" si="68"/>
        <v>15</v>
      </c>
      <c r="M39" s="18">
        <f t="shared" ca="1" si="69"/>
        <v>1</v>
      </c>
      <c r="N39" s="8">
        <f t="shared" si="70"/>
        <v>16</v>
      </c>
    </row>
    <row r="40" spans="1:14" ht="15.75" x14ac:dyDescent="0.15">
      <c r="A40" s="8" t="s">
        <v>856</v>
      </c>
      <c r="B40" s="8" t="s">
        <v>864</v>
      </c>
      <c r="C40" s="8" t="s">
        <v>773</v>
      </c>
      <c r="D40" s="8">
        <v>0.15</v>
      </c>
      <c r="E40" s="16">
        <f t="shared" si="0"/>
        <v>6.75</v>
      </c>
      <c r="F40" s="9">
        <v>44207</v>
      </c>
      <c r="G40" s="9">
        <v>44223</v>
      </c>
      <c r="H40" s="15">
        <f t="shared" ref="H40" ca="1" si="71">IF(L40&lt;0,0,L40/N40*E40)</f>
        <v>5.9558823529411766</v>
      </c>
      <c r="I40" s="15">
        <f t="shared" ref="I40" ca="1" si="72">(G40-K40)/N40*E40</f>
        <v>0.79411764705882348</v>
      </c>
      <c r="J40" s="12">
        <f t="shared" ref="J40" si="73">IF(F40&lt;$Q$1,$Q$1,F40)</f>
        <v>44207</v>
      </c>
      <c r="K40" s="17">
        <f t="shared" ref="K40" ca="1" si="74">IF(G40&lt;J40,J40-1,IF(TODAY()&gt;G40,G40,TODAY()))</f>
        <v>44221</v>
      </c>
      <c r="L40" s="18">
        <f t="shared" ref="L40" ca="1" si="75">IF(K40-J40+1&lt;0,0,K40-J40+1)</f>
        <v>15</v>
      </c>
      <c r="M40" s="18">
        <f t="shared" ref="M40" ca="1" si="76">IF(K40&gt;G40,0,G40-K40)</f>
        <v>2</v>
      </c>
      <c r="N40" s="8">
        <f t="shared" ref="N40" si="77">G40-F40+1</f>
        <v>17</v>
      </c>
    </row>
    <row r="41" spans="1:14" ht="15.75" x14ac:dyDescent="0.15">
      <c r="A41" s="8" t="s">
        <v>779</v>
      </c>
      <c r="B41" s="8" t="s">
        <v>858</v>
      </c>
      <c r="C41" s="8" t="s">
        <v>773</v>
      </c>
      <c r="D41" s="8">
        <v>0.6</v>
      </c>
      <c r="E41" s="16">
        <f t="shared" si="0"/>
        <v>27</v>
      </c>
      <c r="F41" s="9">
        <v>44209</v>
      </c>
      <c r="G41" s="9">
        <v>44229</v>
      </c>
      <c r="H41" s="15">
        <f t="shared" ref="H41" ca="1" si="78">IF(L41&lt;0,0,L41/N41*E41)</f>
        <v>16.714285714285715</v>
      </c>
      <c r="I41" s="15">
        <f t="shared" ref="I41" ca="1" si="79">(G41-K41)/N41*E41</f>
        <v>10.285714285714285</v>
      </c>
      <c r="J41" s="12">
        <f t="shared" ref="J41" si="80">IF(F41&lt;$Q$1,$Q$1,F41)</f>
        <v>44209</v>
      </c>
      <c r="K41" s="17">
        <f t="shared" ref="K41" ca="1" si="81">IF(G41&lt;J41,J41-1,IF(TODAY()&gt;G41,G41,TODAY()))</f>
        <v>44221</v>
      </c>
      <c r="L41" s="18">
        <f t="shared" ref="L41" ca="1" si="82">IF(K41-J41+1&lt;0,0,K41-J41+1)</f>
        <v>13</v>
      </c>
      <c r="M41" s="18">
        <f t="shared" ref="M41" ca="1" si="83">IF(K41&gt;G41,0,G41-K41)</f>
        <v>8</v>
      </c>
      <c r="N41" s="8">
        <f t="shared" ref="N41" si="84">G41-F41+1</f>
        <v>21</v>
      </c>
    </row>
    <row r="42" spans="1:14" ht="15.75" x14ac:dyDescent="0.15">
      <c r="A42" s="8" t="s">
        <v>859</v>
      </c>
      <c r="B42" s="8" t="s">
        <v>860</v>
      </c>
      <c r="C42" s="8" t="s">
        <v>773</v>
      </c>
      <c r="D42" s="8">
        <v>0.8</v>
      </c>
      <c r="E42" s="16">
        <f t="shared" si="0"/>
        <v>36</v>
      </c>
      <c r="F42" s="9">
        <v>44210</v>
      </c>
      <c r="G42" s="9">
        <v>44232</v>
      </c>
      <c r="H42" s="15">
        <f t="shared" ref="H42" ca="1" si="85">IF(L42&lt;0,0,L42/N42*E42)</f>
        <v>18.782608695652172</v>
      </c>
      <c r="I42" s="15">
        <f t="shared" ref="I42" ca="1" si="86">(G42-K42)/N42*E42</f>
        <v>17.217391304347828</v>
      </c>
      <c r="J42" s="12">
        <f t="shared" ref="J42" si="87">IF(F42&lt;$Q$1,$Q$1,F42)</f>
        <v>44210</v>
      </c>
      <c r="K42" s="17">
        <f t="shared" ref="K42" ca="1" si="88">IF(G42&lt;J42,J42-1,IF(TODAY()&gt;G42,G42,TODAY()))</f>
        <v>44221</v>
      </c>
      <c r="L42" s="18">
        <f t="shared" ref="L42" ca="1" si="89">IF(K42-J42+1&lt;0,0,K42-J42+1)</f>
        <v>12</v>
      </c>
      <c r="M42" s="18">
        <f t="shared" ref="M42" ca="1" si="90">IF(K42&gt;G42,0,G42-K42)</f>
        <v>11</v>
      </c>
      <c r="N42" s="8">
        <f t="shared" ref="N42" si="91">G42-F42+1</f>
        <v>23</v>
      </c>
    </row>
    <row r="43" spans="1:14" ht="15.75" x14ac:dyDescent="0.15">
      <c r="A43" s="8" t="s">
        <v>861</v>
      </c>
      <c r="B43" s="8" t="s">
        <v>860</v>
      </c>
      <c r="C43" s="8" t="s">
        <v>773</v>
      </c>
      <c r="D43" s="8">
        <v>0.8</v>
      </c>
      <c r="E43" s="16">
        <f t="shared" ref="E43" si="92">D43*CWHC</f>
        <v>36</v>
      </c>
      <c r="F43" s="9">
        <v>44210</v>
      </c>
      <c r="G43" s="9">
        <v>44232</v>
      </c>
      <c r="H43" s="15">
        <f t="shared" ref="H43" ca="1" si="93">IF(L43&lt;0,0,L43/N43*E43)</f>
        <v>18.782608695652172</v>
      </c>
      <c r="I43" s="15">
        <f t="shared" ref="I43" ca="1" si="94">(G43-K43)/N43*E43</f>
        <v>17.217391304347828</v>
      </c>
      <c r="J43" s="12">
        <f t="shared" ref="J43:J44" si="95">IF(F43&lt;$Q$1,$Q$1,F43)</f>
        <v>44210</v>
      </c>
      <c r="K43" s="17">
        <f t="shared" ref="K43" ca="1" si="96">IF(G43&lt;J43,J43-1,IF(TODAY()&gt;G43,G43,TODAY()))</f>
        <v>44221</v>
      </c>
      <c r="L43" s="18">
        <f t="shared" ref="L43:L44" ca="1" si="97">IF(K43-J43+1&lt;0,0,K43-J43+1)</f>
        <v>12</v>
      </c>
      <c r="M43" s="18">
        <f t="shared" ref="M43:M44" ca="1" si="98">IF(K43&gt;G43,0,G43-K43)</f>
        <v>11</v>
      </c>
      <c r="N43" s="8">
        <f t="shared" ref="N43:N44" si="99">G43-F43+1</f>
        <v>23</v>
      </c>
    </row>
    <row r="44" spans="1:14" ht="15.75" x14ac:dyDescent="0.15">
      <c r="A44" s="8" t="s">
        <v>862</v>
      </c>
      <c r="B44" s="8" t="s">
        <v>949</v>
      </c>
      <c r="C44" s="8" t="s">
        <v>773</v>
      </c>
      <c r="D44" s="8">
        <v>2</v>
      </c>
      <c r="E44" s="16">
        <f t="shared" ref="E44:E50" si="100">D44*CWHC</f>
        <v>90</v>
      </c>
      <c r="F44" s="9">
        <v>44214</v>
      </c>
      <c r="G44" s="9">
        <v>44267</v>
      </c>
      <c r="H44" s="15">
        <f t="shared" ref="H44" ca="1" si="101">IF(L44&lt;0,0,L44/N44*E44)</f>
        <v>13.333333333333332</v>
      </c>
      <c r="I44" s="15">
        <f t="shared" ref="I44" ca="1" si="102">(G44-K44)/N44*E44</f>
        <v>76.666666666666671</v>
      </c>
      <c r="J44" s="12">
        <f t="shared" si="95"/>
        <v>44214</v>
      </c>
      <c r="K44" s="17">
        <f ca="1">IF(G44&lt;J44,J44-1,IF(TODAY()&gt;G44,G44,TODAY()))</f>
        <v>44221</v>
      </c>
      <c r="L44" s="18">
        <f t="shared" ca="1" si="97"/>
        <v>8</v>
      </c>
      <c r="M44" s="18">
        <f t="shared" ca="1" si="98"/>
        <v>46</v>
      </c>
      <c r="N44" s="8">
        <f t="shared" si="99"/>
        <v>54</v>
      </c>
    </row>
    <row r="45" spans="1:14" ht="15.75" x14ac:dyDescent="0.15">
      <c r="A45" s="8" t="s">
        <v>771</v>
      </c>
      <c r="B45" s="8" t="s">
        <v>949</v>
      </c>
      <c r="C45" s="8" t="s">
        <v>773</v>
      </c>
      <c r="D45" s="8">
        <v>1.8</v>
      </c>
      <c r="E45" s="16">
        <f t="shared" si="100"/>
        <v>81</v>
      </c>
      <c r="F45" s="9">
        <v>44214</v>
      </c>
      <c r="G45" s="9">
        <v>44267</v>
      </c>
      <c r="H45" s="15">
        <f t="shared" ref="H45" ca="1" si="103">IF(L45&lt;0,0,L45/N45*E45)</f>
        <v>12</v>
      </c>
      <c r="I45" s="15">
        <f t="shared" ref="I45" ca="1" si="104">(G45-K45)/N45*E45</f>
        <v>69</v>
      </c>
      <c r="J45" s="12">
        <f t="shared" ref="J45" si="105">IF(F45&lt;$Q$1,$Q$1,F45)</f>
        <v>44214</v>
      </c>
      <c r="K45" s="17">
        <f ca="1">IF(G45&lt;J45,J45-1,IF(TODAY()&gt;G45,G45,TODAY()))</f>
        <v>44221</v>
      </c>
      <c r="L45" s="18">
        <f t="shared" ref="L45" ca="1" si="106">IF(K45-J45+1&lt;0,0,K45-J45+1)</f>
        <v>8</v>
      </c>
      <c r="M45" s="18">
        <f t="shared" ref="M45" ca="1" si="107">IF(K45&gt;G45,0,G45-K45)</f>
        <v>46</v>
      </c>
      <c r="N45" s="8">
        <f t="shared" ref="N45" si="108">G45-F45+1</f>
        <v>54</v>
      </c>
    </row>
    <row r="46" spans="1:14" ht="15.75" x14ac:dyDescent="0.15">
      <c r="A46" s="8" t="s">
        <v>897</v>
      </c>
      <c r="B46" s="8" t="s">
        <v>898</v>
      </c>
      <c r="C46" s="8" t="s">
        <v>857</v>
      </c>
      <c r="D46" s="8">
        <v>0.53</v>
      </c>
      <c r="E46" s="16">
        <v>24</v>
      </c>
      <c r="F46" s="9">
        <v>44221</v>
      </c>
      <c r="G46" s="9">
        <v>44255</v>
      </c>
      <c r="H46" s="107">
        <v>0.53</v>
      </c>
      <c r="I46" s="107">
        <v>24</v>
      </c>
    </row>
    <row r="47" spans="1:14" ht="15.75" x14ac:dyDescent="0.15">
      <c r="A47" s="8" t="s">
        <v>919</v>
      </c>
      <c r="B47" s="8" t="s">
        <v>920</v>
      </c>
      <c r="C47" s="8" t="s">
        <v>773</v>
      </c>
      <c r="D47" s="8">
        <v>0.3</v>
      </c>
      <c r="E47">
        <v>14</v>
      </c>
      <c r="F47" s="9">
        <v>44209</v>
      </c>
      <c r="G47" s="9">
        <v>44223</v>
      </c>
      <c r="H47" s="15">
        <f t="shared" ref="H47" ca="1" si="109">IF(L47&lt;0,0,L47/N47*E47)</f>
        <v>12.133333333333333</v>
      </c>
      <c r="I47" s="15">
        <f t="shared" ref="I47" ca="1" si="110">(G47-K47)/N47*E47</f>
        <v>1.8666666666666667</v>
      </c>
      <c r="J47" s="12">
        <f t="shared" ref="J47" si="111">IF(F47&lt;$Q$1,$Q$1,F47)</f>
        <v>44209</v>
      </c>
      <c r="K47" s="17">
        <f t="shared" ref="K47" ca="1" si="112">IF(G47&lt;J47,J47-1,IF(TODAY()&gt;G47,G47,TODAY()))</f>
        <v>44221</v>
      </c>
      <c r="L47" s="18">
        <f t="shared" ref="L47" ca="1" si="113">IF(K47-J47+1&lt;0,0,K47-J47+1)</f>
        <v>13</v>
      </c>
      <c r="M47" s="18">
        <f t="shared" ref="M47" ca="1" si="114">IF(K47&gt;G47,0,G47-K47)</f>
        <v>2</v>
      </c>
      <c r="N47" s="8">
        <f t="shared" ref="N47" si="115">G47-F47+1</f>
        <v>15</v>
      </c>
    </row>
    <row r="48" spans="1:14" ht="15.75" x14ac:dyDescent="0.15">
      <c r="A48" s="8" t="s">
        <v>426</v>
      </c>
      <c r="B48" s="8" t="s">
        <v>944</v>
      </c>
      <c r="C48" s="8" t="s">
        <v>857</v>
      </c>
      <c r="D48" s="89">
        <v>0.3</v>
      </c>
      <c r="E48" s="89">
        <f t="shared" si="100"/>
        <v>13.5</v>
      </c>
      <c r="F48" s="9">
        <v>44218</v>
      </c>
      <c r="G48" s="9">
        <v>44229</v>
      </c>
      <c r="H48" s="89">
        <v>0.3</v>
      </c>
      <c r="I48" s="89">
        <v>13.5</v>
      </c>
    </row>
    <row r="49" spans="1:9" ht="15.75" x14ac:dyDescent="0.15">
      <c r="A49" s="8" t="s">
        <v>945</v>
      </c>
      <c r="B49" s="8" t="s">
        <v>946</v>
      </c>
      <c r="C49" s="8" t="s">
        <v>857</v>
      </c>
      <c r="D49" s="89">
        <v>0.2</v>
      </c>
      <c r="E49" s="89">
        <f t="shared" si="100"/>
        <v>9</v>
      </c>
      <c r="F49" s="9">
        <v>44218</v>
      </c>
      <c r="G49" s="9">
        <v>44229</v>
      </c>
      <c r="H49" s="89">
        <v>0.2</v>
      </c>
      <c r="I49" s="89">
        <v>9</v>
      </c>
    </row>
    <row r="50" spans="1:9" ht="15.75" x14ac:dyDescent="0.15">
      <c r="A50" s="8" t="s">
        <v>961</v>
      </c>
      <c r="B50" s="8" t="s">
        <v>947</v>
      </c>
      <c r="C50" s="8" t="s">
        <v>857</v>
      </c>
      <c r="D50" s="89">
        <v>1</v>
      </c>
      <c r="E50" s="89">
        <f t="shared" si="100"/>
        <v>45</v>
      </c>
      <c r="F50" s="9"/>
      <c r="G50" s="9"/>
      <c r="H50" s="107">
        <v>0</v>
      </c>
      <c r="I50" s="107">
        <v>45</v>
      </c>
    </row>
    <row r="51" spans="1:9" ht="15.75" x14ac:dyDescent="0.15">
      <c r="A51" s="8" t="s">
        <v>964</v>
      </c>
      <c r="B51" s="8" t="s">
        <v>947</v>
      </c>
      <c r="C51" s="8" t="s">
        <v>857</v>
      </c>
      <c r="D51" s="89">
        <v>1</v>
      </c>
      <c r="E51" s="89">
        <f t="shared" ref="E51" si="116">D51*CWHC</f>
        <v>45</v>
      </c>
      <c r="F51" s="9"/>
      <c r="G51" s="9"/>
      <c r="H51" s="107">
        <v>0</v>
      </c>
      <c r="I51" s="107">
        <v>45</v>
      </c>
    </row>
    <row r="52" spans="1:9" ht="15.75" x14ac:dyDescent="0.15">
      <c r="A52" s="8" t="s">
        <v>959</v>
      </c>
      <c r="B52" s="8" t="s">
        <v>948</v>
      </c>
      <c r="C52" s="8" t="s">
        <v>857</v>
      </c>
      <c r="D52" s="8">
        <v>1.8</v>
      </c>
      <c r="E52" s="16">
        <f t="shared" ref="E52:E54" si="117">D52*CWHC</f>
        <v>81</v>
      </c>
      <c r="F52" s="9">
        <v>44221</v>
      </c>
      <c r="G52" s="9">
        <v>44267</v>
      </c>
      <c r="H52" s="107">
        <v>0</v>
      </c>
      <c r="I52" s="89">
        <v>81</v>
      </c>
    </row>
    <row r="53" spans="1:9" ht="15.75" x14ac:dyDescent="0.15">
      <c r="A53" s="8" t="s">
        <v>960</v>
      </c>
      <c r="B53" s="8" t="s">
        <v>948</v>
      </c>
      <c r="C53" s="8" t="s">
        <v>857</v>
      </c>
      <c r="D53" s="8">
        <v>1.8</v>
      </c>
      <c r="E53" s="16">
        <f t="shared" si="117"/>
        <v>81</v>
      </c>
      <c r="F53" s="9">
        <v>44221</v>
      </c>
      <c r="G53" s="9">
        <v>44267</v>
      </c>
      <c r="H53" s="107">
        <v>0</v>
      </c>
      <c r="I53" s="89">
        <v>81</v>
      </c>
    </row>
    <row r="54" spans="1:9" ht="15.75" x14ac:dyDescent="0.15">
      <c r="A54" s="8" t="s">
        <v>958</v>
      </c>
      <c r="B54" s="8" t="s">
        <v>933</v>
      </c>
      <c r="C54" s="8" t="s">
        <v>857</v>
      </c>
      <c r="D54" s="89">
        <v>0.5</v>
      </c>
      <c r="E54" s="89">
        <f t="shared" si="117"/>
        <v>22.5</v>
      </c>
      <c r="H54" s="89">
        <v>0.5</v>
      </c>
      <c r="I54" s="89">
        <f t="shared" ref="I54" si="118">H54*CWHC</f>
        <v>22.5</v>
      </c>
    </row>
    <row r="67" spans="10:20" x14ac:dyDescent="0.15">
      <c r="Q67" s="20" t="s">
        <v>738</v>
      </c>
      <c r="R67" s="22"/>
    </row>
    <row r="68" spans="10:20" x14ac:dyDescent="0.15">
      <c r="Q68" s="20" t="s">
        <v>739</v>
      </c>
      <c r="R68" s="22"/>
    </row>
    <row r="69" spans="10:20" x14ac:dyDescent="0.15">
      <c r="Q69" s="20" t="s">
        <v>740</v>
      </c>
      <c r="R69" s="22"/>
    </row>
    <row r="70" spans="10:20" x14ac:dyDescent="0.15">
      <c r="Q70" s="20" t="s">
        <v>741</v>
      </c>
      <c r="R70" s="22"/>
    </row>
    <row r="71" spans="10:20" x14ac:dyDescent="0.15">
      <c r="Q71" s="20" t="s">
        <v>808</v>
      </c>
      <c r="R71" s="22"/>
      <c r="S71" s="23"/>
      <c r="T71" s="23"/>
    </row>
    <row r="76" spans="10:20" x14ac:dyDescent="0.15">
      <c r="J76" s="21"/>
    </row>
  </sheetData>
  <autoFilter ref="A1:V54" xr:uid="{4F9ECE11-2043-4E7C-9CBB-315E4BE7CBE4}"/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topLeftCell="C6" workbookViewId="0">
      <selection activeCell="K2" sqref="K2:N23"/>
    </sheetView>
  </sheetViews>
  <sheetFormatPr defaultColWidth="9" defaultRowHeight="14.25" x14ac:dyDescent="0.15"/>
  <cols>
    <col min="1" max="1" width="25" customWidth="1"/>
    <col min="2" max="2" width="14" customWidth="1"/>
    <col min="3" max="3" width="9.625" customWidth="1"/>
    <col min="4" max="4" width="9.5" customWidth="1"/>
    <col min="5" max="5" width="9.25" customWidth="1"/>
    <col min="6" max="6" width="13" customWidth="1"/>
    <col min="7" max="8" width="9.625" customWidth="1"/>
    <col min="12" max="12" width="16.125" customWidth="1"/>
    <col min="13" max="13" width="20.5" customWidth="1"/>
    <col min="14" max="14" width="30.5" customWidth="1"/>
    <col min="16" max="16" width="12.75" customWidth="1"/>
    <col min="17" max="17" width="13.875" customWidth="1"/>
  </cols>
  <sheetData>
    <row r="1" spans="1:15" ht="15.75" x14ac:dyDescent="0.15">
      <c r="A1" s="8" t="s">
        <v>742</v>
      </c>
      <c r="B1" s="9">
        <v>44148</v>
      </c>
      <c r="C1" s="9">
        <v>44172</v>
      </c>
      <c r="D1" s="8"/>
      <c r="E1" s="8">
        <v>15</v>
      </c>
      <c r="F1" s="8">
        <v>21</v>
      </c>
      <c r="G1" s="8">
        <f>F1*E1</f>
        <v>315</v>
      </c>
      <c r="H1" s="8" t="s">
        <v>743</v>
      </c>
    </row>
    <row r="2" spans="1:15" ht="16.5" x14ac:dyDescent="0.15">
      <c r="A2" s="8"/>
      <c r="B2" s="8"/>
      <c r="C2" s="8"/>
      <c r="D2" s="8"/>
      <c r="E2" s="8"/>
      <c r="F2" s="8"/>
      <c r="G2" s="8"/>
      <c r="H2" s="8"/>
      <c r="K2" s="10" t="s">
        <v>105</v>
      </c>
      <c r="L2" s="10" t="s">
        <v>106</v>
      </c>
      <c r="M2" s="10" t="s">
        <v>109</v>
      </c>
      <c r="N2" s="10" t="s">
        <v>110</v>
      </c>
      <c r="O2" s="10"/>
    </row>
    <row r="3" spans="1:15" ht="16.5" x14ac:dyDescent="0.15">
      <c r="A3" s="8" t="s">
        <v>744</v>
      </c>
      <c r="B3" s="8">
        <v>7</v>
      </c>
      <c r="C3" s="8"/>
      <c r="D3" s="8"/>
      <c r="E3" s="8"/>
      <c r="F3" s="8"/>
      <c r="G3" s="8"/>
      <c r="H3" s="8"/>
      <c r="K3" s="10" t="s">
        <v>144</v>
      </c>
      <c r="L3" s="10" t="s">
        <v>145</v>
      </c>
      <c r="M3" s="10" t="s">
        <v>27</v>
      </c>
      <c r="N3" s="10" t="s">
        <v>47</v>
      </c>
      <c r="O3" s="10"/>
    </row>
    <row r="4" spans="1:15" ht="16.5" x14ac:dyDescent="0.15">
      <c r="A4" s="8" t="s">
        <v>745</v>
      </c>
      <c r="B4" s="8">
        <f>C1-B1+1</f>
        <v>25</v>
      </c>
      <c r="C4" s="8"/>
      <c r="D4" s="8"/>
      <c r="E4" s="8"/>
      <c r="F4" s="8"/>
      <c r="G4" s="8"/>
      <c r="H4" s="8"/>
      <c r="K4" s="10" t="s">
        <v>165</v>
      </c>
      <c r="L4" s="10" t="s">
        <v>166</v>
      </c>
      <c r="M4" s="10" t="s">
        <v>27</v>
      </c>
      <c r="N4" s="10" t="s">
        <v>49</v>
      </c>
      <c r="O4" s="10"/>
    </row>
    <row r="5" spans="1:15" ht="16.5" x14ac:dyDescent="0.15">
      <c r="A5" s="8" t="s">
        <v>746</v>
      </c>
      <c r="B5" s="8">
        <f>B4*B3/G1</f>
        <v>0.55555555555555558</v>
      </c>
      <c r="C5" s="8"/>
      <c r="D5" s="8"/>
      <c r="E5" s="8"/>
      <c r="F5" s="8"/>
      <c r="G5" s="8"/>
      <c r="H5" s="8"/>
      <c r="K5" s="10" t="s">
        <v>213</v>
      </c>
      <c r="L5" s="10" t="s">
        <v>148</v>
      </c>
      <c r="M5" s="10" t="s">
        <v>27</v>
      </c>
      <c r="N5" s="10" t="s">
        <v>47</v>
      </c>
      <c r="O5" s="10"/>
    </row>
    <row r="6" spans="1:15" ht="16.5" x14ac:dyDescent="0.15">
      <c r="A6" s="8" t="s">
        <v>747</v>
      </c>
      <c r="B6" s="8">
        <f>(C1-C6+1)/B4*B5</f>
        <v>0.15555555555555559</v>
      </c>
      <c r="C6" s="9">
        <v>44166</v>
      </c>
      <c r="D6" s="8"/>
      <c r="E6" s="8"/>
      <c r="F6" s="8"/>
      <c r="G6" s="8"/>
      <c r="H6" s="8"/>
      <c r="K6" s="10" t="s">
        <v>219</v>
      </c>
      <c r="L6" s="10" t="s">
        <v>166</v>
      </c>
      <c r="M6" s="10" t="s">
        <v>28</v>
      </c>
      <c r="N6" s="10" t="s">
        <v>51</v>
      </c>
      <c r="O6" s="10"/>
    </row>
    <row r="7" spans="1:15" ht="16.5" x14ac:dyDescent="0.15">
      <c r="A7" s="8"/>
      <c r="B7" s="8"/>
      <c r="C7" s="8"/>
      <c r="D7" s="8"/>
      <c r="E7" s="8"/>
      <c r="F7" s="8"/>
      <c r="G7" s="8"/>
      <c r="H7" s="8"/>
      <c r="K7" s="10" t="s">
        <v>254</v>
      </c>
      <c r="L7" s="10" t="s">
        <v>255</v>
      </c>
      <c r="M7" s="10" t="s">
        <v>11</v>
      </c>
      <c r="N7" s="10" t="s">
        <v>46</v>
      </c>
      <c r="O7" s="10"/>
    </row>
    <row r="8" spans="1:15" ht="16.5" x14ac:dyDescent="0.15">
      <c r="A8" s="8" t="s">
        <v>720</v>
      </c>
      <c r="B8" s="9">
        <v>44155</v>
      </c>
      <c r="C8" s="9">
        <v>44162</v>
      </c>
      <c r="D8" s="8"/>
      <c r="E8" s="8"/>
      <c r="F8" s="8"/>
      <c r="G8" s="8"/>
      <c r="H8" s="8"/>
      <c r="K8" s="10" t="s">
        <v>274</v>
      </c>
      <c r="L8" s="10" t="s">
        <v>255</v>
      </c>
      <c r="M8" s="10" t="s">
        <v>28</v>
      </c>
      <c r="N8" s="10" t="s">
        <v>51</v>
      </c>
      <c r="O8" s="10"/>
    </row>
    <row r="9" spans="1:15" ht="16.5" x14ac:dyDescent="0.15">
      <c r="A9" s="8" t="s">
        <v>744</v>
      </c>
      <c r="B9" s="8">
        <v>7</v>
      </c>
      <c r="C9" s="8"/>
      <c r="D9" s="8"/>
      <c r="E9" s="8"/>
      <c r="F9" s="8"/>
      <c r="G9" s="8"/>
      <c r="H9" s="8"/>
      <c r="K9" s="10" t="s">
        <v>283</v>
      </c>
      <c r="L9" s="10" t="s">
        <v>255</v>
      </c>
      <c r="M9" s="10" t="s">
        <v>26</v>
      </c>
      <c r="N9" s="10" t="s">
        <v>52</v>
      </c>
      <c r="O9" s="10"/>
    </row>
    <row r="10" spans="1:15" ht="16.5" x14ac:dyDescent="0.15">
      <c r="A10" s="8" t="s">
        <v>745</v>
      </c>
      <c r="B10" s="8">
        <f>C8-B8+1</f>
        <v>8</v>
      </c>
      <c r="C10" s="8"/>
      <c r="D10" s="8"/>
      <c r="E10" s="8"/>
      <c r="F10" s="8"/>
      <c r="G10" s="8"/>
      <c r="H10" s="8"/>
      <c r="K10" s="10" t="s">
        <v>304</v>
      </c>
      <c r="L10" s="10" t="s">
        <v>166</v>
      </c>
      <c r="M10" s="10" t="s">
        <v>27</v>
      </c>
      <c r="N10" s="10" t="s">
        <v>49</v>
      </c>
      <c r="O10" s="10"/>
    </row>
    <row r="11" spans="1:15" ht="16.5" x14ac:dyDescent="0.15">
      <c r="A11" s="8" t="s">
        <v>746</v>
      </c>
      <c r="B11" s="8">
        <f>B9*B10/G1</f>
        <v>0.17777777777777778</v>
      </c>
      <c r="C11" s="8"/>
      <c r="D11" s="8"/>
      <c r="E11" s="8"/>
      <c r="F11" s="8"/>
      <c r="G11" s="8"/>
      <c r="H11" s="8"/>
      <c r="K11" s="10" t="s">
        <v>316</v>
      </c>
      <c r="L11" s="10" t="s">
        <v>255</v>
      </c>
      <c r="M11" s="10" t="s">
        <v>28</v>
      </c>
      <c r="N11" s="10" t="s">
        <v>51</v>
      </c>
      <c r="O11" s="10"/>
    </row>
    <row r="12" spans="1:15" ht="16.5" x14ac:dyDescent="0.15">
      <c r="A12" s="8"/>
      <c r="B12" s="8"/>
      <c r="C12" s="8"/>
      <c r="D12" s="8"/>
      <c r="E12" s="8"/>
      <c r="F12" s="8"/>
      <c r="G12" s="8"/>
      <c r="H12" s="8"/>
      <c r="K12" s="10" t="s">
        <v>332</v>
      </c>
      <c r="L12" s="10" t="s">
        <v>255</v>
      </c>
      <c r="M12" s="10" t="s">
        <v>25</v>
      </c>
      <c r="N12" s="10" t="s">
        <v>55</v>
      </c>
      <c r="O12" s="10"/>
    </row>
    <row r="13" spans="1:15" ht="16.5" x14ac:dyDescent="0.15">
      <c r="A13" s="8"/>
      <c r="B13" s="8"/>
      <c r="C13" s="8"/>
      <c r="D13" s="8"/>
      <c r="E13" s="8"/>
      <c r="F13" s="8" t="s">
        <v>134</v>
      </c>
      <c r="G13" s="8"/>
      <c r="H13" s="8"/>
      <c r="K13" s="10" t="s">
        <v>348</v>
      </c>
      <c r="L13" s="10" t="s">
        <v>255</v>
      </c>
      <c r="M13" s="10" t="s">
        <v>26</v>
      </c>
      <c r="N13" s="10" t="s">
        <v>52</v>
      </c>
      <c r="O13" s="10"/>
    </row>
    <row r="14" spans="1:15" ht="16.5" x14ac:dyDescent="0.15">
      <c r="A14" s="8" t="s">
        <v>748</v>
      </c>
      <c r="B14" s="9">
        <v>44155</v>
      </c>
      <c r="C14" s="9">
        <v>44186</v>
      </c>
      <c r="D14" s="9">
        <v>44191</v>
      </c>
      <c r="E14" s="8"/>
      <c r="F14" s="9">
        <v>44174</v>
      </c>
      <c r="G14" s="9">
        <v>44186</v>
      </c>
      <c r="H14" s="9">
        <v>44191</v>
      </c>
      <c r="K14" s="10" t="s">
        <v>363</v>
      </c>
      <c r="L14" s="10" t="s">
        <v>145</v>
      </c>
      <c r="M14" s="10" t="s">
        <v>16</v>
      </c>
      <c r="N14" s="10" t="s">
        <v>45</v>
      </c>
      <c r="O14" s="10"/>
    </row>
    <row r="15" spans="1:15" ht="16.5" x14ac:dyDescent="0.15">
      <c r="A15" s="8" t="s">
        <v>744</v>
      </c>
      <c r="B15" s="8">
        <v>15</v>
      </c>
      <c r="C15" s="8">
        <v>7</v>
      </c>
      <c r="D15" s="8"/>
      <c r="E15" s="8"/>
      <c r="F15" s="8">
        <v>15</v>
      </c>
      <c r="G15" s="8">
        <v>7</v>
      </c>
      <c r="H15" s="8"/>
      <c r="K15" s="10" t="s">
        <v>375</v>
      </c>
      <c r="L15" s="10" t="s">
        <v>135</v>
      </c>
      <c r="M15" s="10" t="s">
        <v>29</v>
      </c>
      <c r="N15" s="10" t="s">
        <v>53</v>
      </c>
      <c r="O15" s="10"/>
    </row>
    <row r="16" spans="1:15" ht="16.5" x14ac:dyDescent="0.15">
      <c r="A16" s="8" t="s">
        <v>745</v>
      </c>
      <c r="B16" s="8">
        <f>C14-B14+1</f>
        <v>32</v>
      </c>
      <c r="C16" s="8">
        <f>D14-C14</f>
        <v>5</v>
      </c>
      <c r="D16" s="8"/>
      <c r="E16" s="8"/>
      <c r="F16" s="8">
        <f>G14-F14+1</f>
        <v>13</v>
      </c>
      <c r="G16" s="8">
        <f>H14-G14</f>
        <v>5</v>
      </c>
      <c r="H16" s="8"/>
      <c r="K16" s="10" t="s">
        <v>416</v>
      </c>
      <c r="L16" s="10" t="s">
        <v>145</v>
      </c>
      <c r="M16" s="10" t="s">
        <v>12</v>
      </c>
      <c r="N16" s="10" t="s">
        <v>43</v>
      </c>
      <c r="O16" s="10"/>
    </row>
    <row r="17" spans="1:15" ht="16.5" x14ac:dyDescent="0.15">
      <c r="A17" s="8" t="s">
        <v>746</v>
      </c>
      <c r="B17" s="8">
        <f>(B15*B16+C15*C16)/G1</f>
        <v>1.6349206349206349</v>
      </c>
      <c r="C17" s="8"/>
      <c r="D17" s="8"/>
      <c r="E17" s="8"/>
      <c r="F17" s="8">
        <f>(F15*F16+G15*G16)/G1</f>
        <v>0.73015873015873012</v>
      </c>
      <c r="G17" s="8"/>
      <c r="H17" s="8"/>
      <c r="K17" s="10" t="s">
        <v>419</v>
      </c>
      <c r="L17" s="10" t="s">
        <v>145</v>
      </c>
      <c r="M17" s="10" t="s">
        <v>11</v>
      </c>
      <c r="N17" s="10" t="s">
        <v>46</v>
      </c>
      <c r="O17" s="10"/>
    </row>
    <row r="18" spans="1:15" ht="16.5" x14ac:dyDescent="0.15">
      <c r="A18" s="8"/>
      <c r="B18" s="8"/>
      <c r="C18" s="8"/>
      <c r="D18" s="8"/>
      <c r="E18" s="8"/>
      <c r="F18" s="8"/>
      <c r="G18" s="8"/>
      <c r="H18" s="8"/>
      <c r="K18" s="10" t="s">
        <v>426</v>
      </c>
      <c r="L18" s="10" t="s">
        <v>135</v>
      </c>
      <c r="M18" s="10" t="s">
        <v>27</v>
      </c>
      <c r="N18" s="10" t="s">
        <v>49</v>
      </c>
      <c r="O18" s="10"/>
    </row>
    <row r="19" spans="1:15" ht="16.5" x14ac:dyDescent="0.15">
      <c r="A19" s="8" t="s">
        <v>728</v>
      </c>
      <c r="B19" s="9">
        <v>44166</v>
      </c>
      <c r="C19" s="9">
        <v>44172</v>
      </c>
      <c r="D19" s="8"/>
      <c r="E19" s="8"/>
      <c r="F19" s="8"/>
      <c r="G19" s="8"/>
      <c r="H19" s="8"/>
      <c r="K19" s="10" t="s">
        <v>443</v>
      </c>
      <c r="L19" s="10" t="s">
        <v>255</v>
      </c>
      <c r="M19" s="10" t="s">
        <v>16</v>
      </c>
      <c r="N19" s="10" t="s">
        <v>45</v>
      </c>
      <c r="O19" s="10"/>
    </row>
    <row r="20" spans="1:15" ht="16.5" x14ac:dyDescent="0.15">
      <c r="A20" s="8" t="s">
        <v>744</v>
      </c>
      <c r="B20" s="8">
        <v>3</v>
      </c>
      <c r="C20" s="8"/>
      <c r="D20" s="8"/>
      <c r="E20" s="8"/>
      <c r="F20" s="8"/>
      <c r="G20" s="8"/>
      <c r="H20" s="8"/>
      <c r="K20" s="10" t="s">
        <v>447</v>
      </c>
      <c r="L20" s="10" t="s">
        <v>351</v>
      </c>
      <c r="M20" s="10" t="s">
        <v>12</v>
      </c>
      <c r="N20" s="10" t="s">
        <v>43</v>
      </c>
      <c r="O20" s="10"/>
    </row>
    <row r="21" spans="1:15" ht="16.5" x14ac:dyDescent="0.15">
      <c r="A21" s="8" t="s">
        <v>745</v>
      </c>
      <c r="B21" s="8">
        <f>C19-B19+1</f>
        <v>7</v>
      </c>
      <c r="C21" s="8"/>
      <c r="D21" s="8"/>
      <c r="E21" s="8"/>
      <c r="F21" s="8"/>
      <c r="G21" s="8"/>
      <c r="H21" s="8"/>
      <c r="K21" s="10" t="s">
        <v>474</v>
      </c>
      <c r="L21" s="10" t="s">
        <v>148</v>
      </c>
      <c r="M21" s="10" t="s">
        <v>28</v>
      </c>
      <c r="N21" s="10" t="s">
        <v>48</v>
      </c>
      <c r="O21" s="10"/>
    </row>
    <row r="22" spans="1:15" ht="16.5" x14ac:dyDescent="0.15">
      <c r="A22" s="8" t="s">
        <v>746</v>
      </c>
      <c r="B22" s="8">
        <f>B20*B21/G1</f>
        <v>6.6666666666666666E-2</v>
      </c>
      <c r="C22" s="8"/>
      <c r="D22" s="8"/>
      <c r="E22" s="8"/>
      <c r="F22" s="8"/>
      <c r="G22" s="8"/>
      <c r="H22" s="8"/>
      <c r="K22" s="10" t="s">
        <v>666</v>
      </c>
      <c r="L22" s="10" t="s">
        <v>148</v>
      </c>
      <c r="M22" s="10" t="s">
        <v>27</v>
      </c>
      <c r="N22" s="10" t="s">
        <v>47</v>
      </c>
      <c r="O22" s="10"/>
    </row>
    <row r="23" spans="1:15" ht="16.5" x14ac:dyDescent="0.15">
      <c r="A23" s="8"/>
      <c r="B23" s="8"/>
      <c r="C23" s="8"/>
      <c r="D23" s="8"/>
      <c r="E23" s="8"/>
      <c r="F23" s="8"/>
      <c r="G23" s="8"/>
      <c r="H23" s="8"/>
      <c r="K23" s="10" t="s">
        <v>669</v>
      </c>
      <c r="L23" s="10" t="s">
        <v>148</v>
      </c>
      <c r="M23" s="10" t="s">
        <v>27</v>
      </c>
      <c r="N23" s="10" t="s">
        <v>47</v>
      </c>
      <c r="O23" s="10"/>
    </row>
    <row r="24" spans="1:15" ht="15.75" x14ac:dyDescent="0.15">
      <c r="A24" s="8" t="s">
        <v>729</v>
      </c>
      <c r="B24" s="9">
        <v>44166</v>
      </c>
      <c r="C24" s="9">
        <v>44172</v>
      </c>
      <c r="D24" s="9">
        <v>44191</v>
      </c>
      <c r="E24" s="8"/>
      <c r="F24" s="8"/>
      <c r="G24" s="8"/>
      <c r="H24" s="8"/>
    </row>
    <row r="25" spans="1:15" ht="15.75" x14ac:dyDescent="0.15">
      <c r="A25" s="8" t="s">
        <v>744</v>
      </c>
      <c r="B25" s="8">
        <v>3</v>
      </c>
      <c r="C25" s="8">
        <v>6</v>
      </c>
      <c r="D25" s="8"/>
      <c r="E25" s="8"/>
      <c r="F25" s="8"/>
      <c r="G25" s="8"/>
      <c r="H25" s="8"/>
    </row>
    <row r="26" spans="1:15" ht="15.75" x14ac:dyDescent="0.15">
      <c r="A26" s="8" t="s">
        <v>745</v>
      </c>
      <c r="B26" s="8">
        <f>C24-B24+1</f>
        <v>7</v>
      </c>
      <c r="C26" s="8">
        <f>D24-C24</f>
        <v>19</v>
      </c>
      <c r="D26" s="8"/>
      <c r="E26" s="8"/>
      <c r="F26" s="8"/>
      <c r="G26" s="8"/>
      <c r="H26" s="8"/>
    </row>
    <row r="27" spans="1:15" ht="15.75" x14ac:dyDescent="0.15">
      <c r="A27" s="8" t="s">
        <v>746</v>
      </c>
      <c r="B27" s="8">
        <f>(B25*B26+C25*C26)/G1</f>
        <v>0.42857142857142855</v>
      </c>
      <c r="C27" s="8"/>
      <c r="D27" s="8"/>
      <c r="E27" s="8"/>
      <c r="F27" s="8"/>
      <c r="G27" s="8"/>
      <c r="H27" s="8"/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C18" sqref="C18"/>
    </sheetView>
  </sheetViews>
  <sheetFormatPr defaultColWidth="9" defaultRowHeight="14.25" x14ac:dyDescent="0.15"/>
  <cols>
    <col min="1" max="1" width="17.5" customWidth="1"/>
    <col min="2" max="2" width="21.875" customWidth="1"/>
    <col min="3" max="3" width="23" customWidth="1"/>
    <col min="4" max="4" width="25" customWidth="1"/>
  </cols>
  <sheetData>
    <row r="1" spans="1:4" ht="16.5" x14ac:dyDescent="0.15">
      <c r="A1" s="1" t="s">
        <v>106</v>
      </c>
      <c r="B1" s="2" t="s">
        <v>749</v>
      </c>
      <c r="C1" s="2" t="s">
        <v>750</v>
      </c>
      <c r="D1" s="3" t="s">
        <v>751</v>
      </c>
    </row>
    <row r="2" spans="1:4" ht="16.5" x14ac:dyDescent="0.15">
      <c r="A2" s="4" t="s">
        <v>145</v>
      </c>
      <c r="B2" s="2" t="s">
        <v>752</v>
      </c>
      <c r="C2" s="3">
        <v>15026550733</v>
      </c>
      <c r="D2" s="3"/>
    </row>
    <row r="3" spans="1:4" ht="16.5" x14ac:dyDescent="0.15">
      <c r="A3" s="5" t="s">
        <v>148</v>
      </c>
      <c r="B3" s="2" t="s">
        <v>753</v>
      </c>
      <c r="C3" s="3">
        <v>18602153129</v>
      </c>
      <c r="D3" s="3"/>
    </row>
    <row r="4" spans="1:4" ht="16.5" x14ac:dyDescent="0.15">
      <c r="A4" s="5" t="s">
        <v>152</v>
      </c>
      <c r="B4" s="2" t="s">
        <v>754</v>
      </c>
      <c r="C4" s="3">
        <v>13918252029</v>
      </c>
      <c r="D4" s="3"/>
    </row>
    <row r="5" spans="1:4" ht="16.5" x14ac:dyDescent="0.15">
      <c r="A5" s="5" t="s">
        <v>156</v>
      </c>
      <c r="B5" s="2" t="s">
        <v>755</v>
      </c>
      <c r="C5" s="3">
        <v>13162366375</v>
      </c>
      <c r="D5" s="3" t="s">
        <v>756</v>
      </c>
    </row>
    <row r="6" spans="1:4" ht="16.5" x14ac:dyDescent="0.15">
      <c r="A6" s="6" t="s">
        <v>162</v>
      </c>
      <c r="B6" s="2" t="s">
        <v>757</v>
      </c>
      <c r="C6" s="3">
        <v>18616559561</v>
      </c>
      <c r="D6" s="3"/>
    </row>
    <row r="7" spans="1:4" ht="16.5" x14ac:dyDescent="0.15">
      <c r="A7" s="6" t="s">
        <v>178</v>
      </c>
      <c r="B7" s="2" t="s">
        <v>758</v>
      </c>
      <c r="C7" s="3" t="s">
        <v>759</v>
      </c>
      <c r="D7" s="3" t="s">
        <v>760</v>
      </c>
    </row>
    <row r="8" spans="1:4" ht="16.5" x14ac:dyDescent="0.15">
      <c r="A8" s="6" t="s">
        <v>182</v>
      </c>
      <c r="B8" s="2" t="s">
        <v>761</v>
      </c>
      <c r="C8" s="3" t="s">
        <v>762</v>
      </c>
      <c r="D8" s="3"/>
    </row>
    <row r="9" spans="1:4" ht="16.5" x14ac:dyDescent="0.15">
      <c r="A9" s="7" t="s">
        <v>188</v>
      </c>
      <c r="B9" s="2" t="s">
        <v>244</v>
      </c>
      <c r="C9" s="3">
        <v>18621278768</v>
      </c>
      <c r="D9" s="3"/>
    </row>
    <row r="10" spans="1:4" ht="16.5" x14ac:dyDescent="0.15">
      <c r="A10" s="6" t="s">
        <v>210</v>
      </c>
      <c r="B10" s="2" t="s">
        <v>763</v>
      </c>
      <c r="C10" s="3">
        <v>13951946170</v>
      </c>
      <c r="D10" s="3"/>
    </row>
    <row r="11" spans="1:4" ht="16.5" x14ac:dyDescent="0.15">
      <c r="A11" s="6" t="s">
        <v>238</v>
      </c>
      <c r="B11" s="2" t="s">
        <v>764</v>
      </c>
      <c r="C11" s="3">
        <v>13917552119</v>
      </c>
      <c r="D11" s="3"/>
    </row>
    <row r="12" spans="1:4" ht="16.5" x14ac:dyDescent="0.15">
      <c r="A12" s="6" t="s">
        <v>251</v>
      </c>
      <c r="B12" s="2" t="s">
        <v>765</v>
      </c>
      <c r="C12" s="3">
        <v>18717855835</v>
      </c>
      <c r="D12" s="3"/>
    </row>
    <row r="13" spans="1:4" ht="16.5" x14ac:dyDescent="0.15">
      <c r="A13" s="6" t="s">
        <v>226</v>
      </c>
      <c r="B13" s="2" t="s">
        <v>766</v>
      </c>
      <c r="C13" s="3">
        <v>13764563188</v>
      </c>
      <c r="D13" s="3"/>
    </row>
    <row r="14" spans="1:4" ht="16.5" x14ac:dyDescent="0.15">
      <c r="A14" s="6" t="s">
        <v>314</v>
      </c>
      <c r="B14" s="2" t="s">
        <v>767</v>
      </c>
      <c r="C14" s="3">
        <v>18016037554</v>
      </c>
      <c r="D14" s="3"/>
    </row>
    <row r="15" spans="1:4" ht="16.5" x14ac:dyDescent="0.15">
      <c r="A15" s="6" t="s">
        <v>326</v>
      </c>
      <c r="B15" s="2" t="s">
        <v>768</v>
      </c>
      <c r="C15" s="3">
        <v>13345530630</v>
      </c>
      <c r="D15" s="3"/>
    </row>
    <row r="16" spans="1:4" ht="16.5" x14ac:dyDescent="0.15">
      <c r="A16" s="6" t="s">
        <v>367</v>
      </c>
      <c r="B16" s="2" t="s">
        <v>769</v>
      </c>
      <c r="C16" s="3">
        <v>18217216965</v>
      </c>
      <c r="D16" s="3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统计1231</vt:lpstr>
      <vt:lpstr>按版本统计</vt:lpstr>
      <vt:lpstr>人员最新分组</vt:lpstr>
      <vt:lpstr>小项目情况汇总</vt:lpstr>
      <vt:lpstr>计算底稿</vt:lpstr>
      <vt:lpstr>开发公司现场负责人</vt:lpstr>
      <vt:lpstr>CWHC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唐军敏</cp:lastModifiedBy>
  <dcterms:created xsi:type="dcterms:W3CDTF">2006-09-13T19:21:00Z</dcterms:created>
  <dcterms:modified xsi:type="dcterms:W3CDTF">2021-01-25T00:59:19Z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