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Tangjunmin\Desktop\预算及人力安排\99-人员安排最新-2021\"/>
    </mc:Choice>
  </mc:AlternateContent>
  <xr:revisionPtr revIDLastSave="0" documentId="13_ncr:1_{A9688DEC-BF07-4DCD-AFB2-1EB7EC55E0C4}" xr6:coauthVersionLast="45" xr6:coauthVersionMax="45" xr10:uidLastSave="{00000000-0000-0000-0000-000000000000}"/>
  <bookViews>
    <workbookView xWindow="-120" yWindow="-120" windowWidth="20730" windowHeight="11160" tabRatio="618" firstSheet="1" activeTab="3" xr2:uid="{00000000-000D-0000-FFFF-FFFF00000000}"/>
  </bookViews>
  <sheets>
    <sheet name="统计1231" sheetId="22" state="hidden" r:id="rId1"/>
    <sheet name="统计0515" sheetId="30" r:id="rId2"/>
    <sheet name="按版本统计" sheetId="23" r:id="rId3"/>
    <sheet name="人员最新分组" sheetId="1" r:id="rId4"/>
    <sheet name="小项目情况汇总" sheetId="26" r:id="rId5"/>
    <sheet name="开发公司现场负责人" sheetId="12" r:id="rId6"/>
  </sheets>
  <definedNames>
    <definedName name="_xlnm._FilterDatabase" localSheetId="3" hidden="1">人员最新分组!$A$1:$O$246</definedName>
    <definedName name="_xlnm._FilterDatabase" localSheetId="0" hidden="1">统计1231!$A$1:$J$28</definedName>
    <definedName name="_xlnm._FilterDatabase" localSheetId="4" hidden="1">小项目情况汇总!$A$1:$V$136</definedName>
    <definedName name="CWHC">小项目情况汇总!$X$2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26" l="1"/>
  <c r="AB4" i="26"/>
  <c r="AB5" i="26"/>
  <c r="AB6" i="26"/>
  <c r="AB7" i="26"/>
  <c r="AB8" i="26"/>
  <c r="AB9" i="26"/>
  <c r="AB10" i="26"/>
  <c r="AB11" i="26"/>
  <c r="AB12" i="26"/>
  <c r="AB13" i="26"/>
  <c r="AB14" i="26"/>
  <c r="AB15" i="26"/>
  <c r="AB16" i="26"/>
  <c r="AB17" i="26"/>
  <c r="AB18" i="26"/>
  <c r="AB19" i="26"/>
  <c r="AB2" i="26"/>
  <c r="U3" i="26" l="1"/>
  <c r="Q3" i="26"/>
  <c r="R3" i="26" s="1"/>
  <c r="S3" i="26" s="1"/>
  <c r="O3" i="26" s="1"/>
  <c r="U2" i="26"/>
  <c r="Q2" i="26"/>
  <c r="R2" i="26" s="1"/>
  <c r="K3" i="26"/>
  <c r="K2" i="26"/>
  <c r="K8" i="26"/>
  <c r="K7" i="26"/>
  <c r="K6" i="26"/>
  <c r="K5" i="26"/>
  <c r="K4" i="26"/>
  <c r="U7" i="26"/>
  <c r="Q7" i="26"/>
  <c r="R7" i="26" s="1"/>
  <c r="U6" i="26"/>
  <c r="Q6" i="26"/>
  <c r="R6" i="26" s="1"/>
  <c r="U5" i="26"/>
  <c r="Q5" i="26"/>
  <c r="R5" i="26" s="1"/>
  <c r="U4" i="26"/>
  <c r="Q4" i="26"/>
  <c r="R4" i="26" s="1"/>
  <c r="Q8" i="26"/>
  <c r="R8" i="26" s="1"/>
  <c r="U8" i="26"/>
  <c r="P3" i="26" l="1"/>
  <c r="T3" i="26"/>
  <c r="P2" i="26"/>
  <c r="S2" i="26"/>
  <c r="O2" i="26" s="1"/>
  <c r="T2" i="26"/>
  <c r="P7" i="26"/>
  <c r="T7" i="26"/>
  <c r="S7" i="26"/>
  <c r="O7" i="26" s="1"/>
  <c r="T6" i="26"/>
  <c r="S6" i="26"/>
  <c r="O6" i="26" s="1"/>
  <c r="P6" i="26"/>
  <c r="S5" i="26"/>
  <c r="O5" i="26" s="1"/>
  <c r="P5" i="26"/>
  <c r="T5" i="26"/>
  <c r="S4" i="26"/>
  <c r="O4" i="26" s="1"/>
  <c r="P4" i="26"/>
  <c r="T4" i="26"/>
  <c r="P8" i="26"/>
  <c r="S8" i="26"/>
  <c r="O8" i="26" s="1"/>
  <c r="T8" i="26"/>
  <c r="K9" i="26" l="1"/>
  <c r="Q9" i="26"/>
  <c r="R9" i="26" s="1"/>
  <c r="U9" i="26"/>
  <c r="U10" i="26"/>
  <c r="Q10" i="26"/>
  <c r="R10" i="26" s="1"/>
  <c r="K10" i="26"/>
  <c r="K11" i="26"/>
  <c r="K12" i="26"/>
  <c r="K13" i="26"/>
  <c r="K14" i="26"/>
  <c r="K15" i="26"/>
  <c r="S9" i="26" l="1"/>
  <c r="O9" i="26" s="1"/>
  <c r="P9" i="26"/>
  <c r="T9" i="26"/>
  <c r="T10" i="26"/>
  <c r="P10" i="26"/>
  <c r="S10" i="26"/>
  <c r="O10" i="26" s="1"/>
  <c r="U16" i="26"/>
  <c r="Q16" i="26"/>
  <c r="R16" i="26" s="1"/>
  <c r="P16" i="26" s="1"/>
  <c r="K16" i="26"/>
  <c r="T16" i="26" l="1"/>
  <c r="S16" i="26"/>
  <c r="O16" i="26" s="1"/>
  <c r="E23" i="30"/>
  <c r="D16" i="30" l="1"/>
  <c r="D14" i="30"/>
  <c r="F21" i="30"/>
  <c r="C21" i="30"/>
  <c r="F20" i="30"/>
  <c r="C20" i="30"/>
  <c r="G19" i="30"/>
  <c r="D19" i="30"/>
  <c r="F19" i="30"/>
  <c r="C19" i="30"/>
  <c r="G8" i="30"/>
  <c r="G9" i="30"/>
  <c r="G10" i="30"/>
  <c r="G11" i="30"/>
  <c r="G12" i="30"/>
  <c r="G13" i="30"/>
  <c r="G14" i="30"/>
  <c r="G15" i="30"/>
  <c r="G16" i="30"/>
  <c r="G17" i="30"/>
  <c r="F8" i="30"/>
  <c r="F9" i="30"/>
  <c r="F10" i="30"/>
  <c r="F11" i="30"/>
  <c r="F12" i="30"/>
  <c r="F13" i="30"/>
  <c r="F14" i="30"/>
  <c r="F15" i="30"/>
  <c r="F16" i="30"/>
  <c r="F17" i="30"/>
  <c r="G7" i="30"/>
  <c r="F7" i="30"/>
  <c r="G6" i="30"/>
  <c r="F6" i="30"/>
  <c r="G5" i="30"/>
  <c r="F5" i="30"/>
  <c r="G4" i="30"/>
  <c r="F4" i="30"/>
  <c r="G3" i="30"/>
  <c r="F3" i="30"/>
  <c r="G2" i="30"/>
  <c r="D2" i="30"/>
  <c r="F2" i="30"/>
  <c r="C2" i="30"/>
  <c r="D6" i="30"/>
  <c r="D7" i="30"/>
  <c r="D8" i="30"/>
  <c r="D9" i="30"/>
  <c r="D10" i="30"/>
  <c r="D11" i="30"/>
  <c r="D12" i="30"/>
  <c r="D13" i="30"/>
  <c r="D15" i="30"/>
  <c r="D17" i="30"/>
  <c r="C6" i="30"/>
  <c r="C7" i="30"/>
  <c r="C8" i="30"/>
  <c r="C9" i="30"/>
  <c r="C10" i="30"/>
  <c r="C11" i="30"/>
  <c r="C12" i="30"/>
  <c r="C13" i="30"/>
  <c r="C14" i="30"/>
  <c r="C15" i="30"/>
  <c r="C16" i="30"/>
  <c r="C17" i="30"/>
  <c r="D5" i="30"/>
  <c r="C5" i="30"/>
  <c r="D4" i="30"/>
  <c r="C4" i="30"/>
  <c r="D3" i="30"/>
  <c r="C3" i="30"/>
  <c r="U17" i="26" l="1"/>
  <c r="Q17" i="26"/>
  <c r="R17" i="26" s="1"/>
  <c r="P17" i="26" s="1"/>
  <c r="K17" i="26"/>
  <c r="F7" i="23"/>
  <c r="T17" i="26" l="1"/>
  <c r="S17" i="26"/>
  <c r="O17" i="26" s="1"/>
  <c r="AA100" i="26" l="1"/>
  <c r="AA101" i="26"/>
  <c r="AA102" i="26"/>
  <c r="AA103" i="26"/>
  <c r="AA104" i="26"/>
  <c r="AA105" i="26"/>
  <c r="AA106" i="26"/>
  <c r="AA107" i="26"/>
  <c r="AA108" i="26"/>
  <c r="AA99" i="26"/>
  <c r="Z100" i="26"/>
  <c r="Z101" i="26"/>
  <c r="Z102" i="26"/>
  <c r="Z103" i="26"/>
  <c r="Z104" i="26"/>
  <c r="Z105" i="26"/>
  <c r="Z106" i="26"/>
  <c r="Z107" i="26"/>
  <c r="Z108" i="26"/>
  <c r="Z99" i="26"/>
  <c r="Y100" i="26"/>
  <c r="Y101" i="26"/>
  <c r="Y102" i="26"/>
  <c r="Y103" i="26"/>
  <c r="Y104" i="26"/>
  <c r="Y105" i="26"/>
  <c r="Y106" i="26"/>
  <c r="Y107" i="26"/>
  <c r="Y108" i="26"/>
  <c r="Y99" i="26"/>
  <c r="Q18" i="26" l="1"/>
  <c r="R18" i="26" s="1"/>
  <c r="U18" i="26"/>
  <c r="Q19" i="26"/>
  <c r="R19" i="26" s="1"/>
  <c r="U19" i="26"/>
  <c r="K18" i="26"/>
  <c r="K19" i="26"/>
  <c r="Q20" i="26"/>
  <c r="R20" i="26" s="1"/>
  <c r="U20" i="26"/>
  <c r="K20" i="26"/>
  <c r="P18" i="26" l="1"/>
  <c r="T18" i="26"/>
  <c r="S18" i="26"/>
  <c r="O18" i="26" s="1"/>
  <c r="S19" i="26"/>
  <c r="O19" i="26" s="1"/>
  <c r="P19" i="26"/>
  <c r="T19" i="26"/>
  <c r="S20" i="26"/>
  <c r="O20" i="26" s="1"/>
  <c r="T20" i="26"/>
  <c r="P20" i="26"/>
  <c r="Q21" i="26" l="1"/>
  <c r="R21" i="26" s="1"/>
  <c r="U21" i="26"/>
  <c r="Q22" i="26"/>
  <c r="R22" i="26" s="1"/>
  <c r="S22" i="26" s="1"/>
  <c r="U22" i="26"/>
  <c r="K21" i="26"/>
  <c r="K22" i="26"/>
  <c r="O22" i="26" l="1"/>
  <c r="P21" i="26"/>
  <c r="T21" i="26"/>
  <c r="S21" i="26"/>
  <c r="O21" i="26" s="1"/>
  <c r="T22" i="26"/>
  <c r="P22" i="26"/>
  <c r="Q23" i="26"/>
  <c r="R23" i="26" s="1"/>
  <c r="U23" i="26"/>
  <c r="K23" i="26"/>
  <c r="S23" i="26" l="1"/>
  <c r="O23" i="26" s="1"/>
  <c r="P23" i="26"/>
  <c r="T23" i="26"/>
  <c r="K24" i="26"/>
  <c r="Q24" i="26"/>
  <c r="R24" i="26" s="1"/>
  <c r="S24" i="26" s="1"/>
  <c r="U24" i="26"/>
  <c r="K29" i="26"/>
  <c r="O24" i="26" l="1"/>
  <c r="T24" i="26"/>
  <c r="P24" i="26"/>
  <c r="AA117" i="26" l="1"/>
  <c r="Z117" i="26"/>
  <c r="Y117" i="26"/>
  <c r="AA116" i="26"/>
  <c r="Z116" i="26"/>
  <c r="Y116" i="26"/>
  <c r="AA115" i="26"/>
  <c r="Z115" i="26"/>
  <c r="Y115" i="26"/>
  <c r="AA114" i="26"/>
  <c r="Z114" i="26"/>
  <c r="Y114" i="26"/>
  <c r="U124" i="26"/>
  <c r="Q124" i="26"/>
  <c r="R124" i="26" s="1"/>
  <c r="T124" i="26" s="1"/>
  <c r="L124" i="26"/>
  <c r="U123" i="26"/>
  <c r="Q123" i="26"/>
  <c r="R123" i="26" s="1"/>
  <c r="S123" i="26" s="1"/>
  <c r="L123" i="26"/>
  <c r="U122" i="26"/>
  <c r="Q122" i="26"/>
  <c r="R122" i="26" s="1"/>
  <c r="T122" i="26" s="1"/>
  <c r="L122" i="26"/>
  <c r="U121" i="26"/>
  <c r="Q121" i="26"/>
  <c r="R121" i="26" s="1"/>
  <c r="L121" i="26"/>
  <c r="U120" i="26"/>
  <c r="Q120" i="26"/>
  <c r="R120" i="26" s="1"/>
  <c r="T120" i="26" s="1"/>
  <c r="L120" i="26"/>
  <c r="AA96" i="26"/>
  <c r="Z96" i="26"/>
  <c r="Y96" i="26"/>
  <c r="U119" i="26"/>
  <c r="Q119" i="26"/>
  <c r="R119" i="26" s="1"/>
  <c r="L119" i="26"/>
  <c r="AA95" i="26"/>
  <c r="Z95" i="26"/>
  <c r="Y95" i="26"/>
  <c r="U118" i="26"/>
  <c r="R118" i="26"/>
  <c r="S118" i="26" s="1"/>
  <c r="Q118" i="26"/>
  <c r="L118" i="26"/>
  <c r="AA94" i="26"/>
  <c r="Z94" i="26"/>
  <c r="Y94" i="26"/>
  <c r="U117" i="26"/>
  <c r="Q117" i="26"/>
  <c r="R117" i="26" s="1"/>
  <c r="L117" i="26"/>
  <c r="AA93" i="26"/>
  <c r="Z93" i="26"/>
  <c r="Y93" i="26"/>
  <c r="U116" i="26"/>
  <c r="Q116" i="26"/>
  <c r="R116" i="26" s="1"/>
  <c r="S116" i="26" s="1"/>
  <c r="L116" i="26"/>
  <c r="AA92" i="26"/>
  <c r="Z92" i="26"/>
  <c r="Y92" i="26"/>
  <c r="U115" i="26"/>
  <c r="R115" i="26"/>
  <c r="T115" i="26" s="1"/>
  <c r="L115" i="26"/>
  <c r="AA91" i="26"/>
  <c r="Z91" i="26"/>
  <c r="Y91" i="26"/>
  <c r="U114" i="26"/>
  <c r="Q114" i="26"/>
  <c r="R114" i="26" s="1"/>
  <c r="L114" i="26"/>
  <c r="AA90" i="26"/>
  <c r="Z90" i="26"/>
  <c r="Y90" i="26"/>
  <c r="U113" i="26"/>
  <c r="Q113" i="26"/>
  <c r="R113" i="26" s="1"/>
  <c r="L113" i="26"/>
  <c r="AA89" i="26"/>
  <c r="Z89" i="26"/>
  <c r="Y89" i="26"/>
  <c r="U112" i="26"/>
  <c r="R112" i="26"/>
  <c r="Q112" i="26"/>
  <c r="L112" i="26"/>
  <c r="AA88" i="26"/>
  <c r="Z88" i="26"/>
  <c r="Y88" i="26"/>
  <c r="U111" i="26"/>
  <c r="Q111" i="26"/>
  <c r="R111" i="26" s="1"/>
  <c r="S111" i="26" s="1"/>
  <c r="L111" i="26"/>
  <c r="AA87" i="26"/>
  <c r="Z87" i="26"/>
  <c r="Y87" i="26"/>
  <c r="U110" i="26"/>
  <c r="Q110" i="26"/>
  <c r="R110" i="26" s="1"/>
  <c r="L110" i="26"/>
  <c r="AA86" i="26"/>
  <c r="Z86" i="26"/>
  <c r="Y86" i="26"/>
  <c r="U109" i="26"/>
  <c r="Q109" i="26"/>
  <c r="R109" i="26" s="1"/>
  <c r="S109" i="26" s="1"/>
  <c r="L109" i="26"/>
  <c r="AA85" i="26"/>
  <c r="Z85" i="26"/>
  <c r="Y85" i="26"/>
  <c r="U108" i="26"/>
  <c r="Q108" i="26"/>
  <c r="R108" i="26" s="1"/>
  <c r="L108" i="26"/>
  <c r="AA84" i="26"/>
  <c r="Z84" i="26"/>
  <c r="Y84" i="26"/>
  <c r="U107" i="26"/>
  <c r="Q107" i="26"/>
  <c r="R107" i="26" s="1"/>
  <c r="S107" i="26" s="1"/>
  <c r="L107" i="26"/>
  <c r="AA83" i="26"/>
  <c r="Z83" i="26"/>
  <c r="Y83" i="26"/>
  <c r="U106" i="26"/>
  <c r="Q106" i="26"/>
  <c r="R106" i="26" s="1"/>
  <c r="L106" i="26"/>
  <c r="AA82" i="26"/>
  <c r="Z82" i="26"/>
  <c r="Y82" i="26"/>
  <c r="U105" i="26"/>
  <c r="Q105" i="26"/>
  <c r="R105" i="26" s="1"/>
  <c r="L105" i="26"/>
  <c r="AA81" i="26"/>
  <c r="Z81" i="26"/>
  <c r="Y81" i="26"/>
  <c r="U104" i="26"/>
  <c r="Q104" i="26"/>
  <c r="R104" i="26" s="1"/>
  <c r="L104" i="26"/>
  <c r="AA80" i="26"/>
  <c r="Z80" i="26"/>
  <c r="Y80" i="26"/>
  <c r="U103" i="26"/>
  <c r="Q103" i="26"/>
  <c r="R103" i="26" s="1"/>
  <c r="S103" i="26" s="1"/>
  <c r="L103" i="26"/>
  <c r="AA79" i="26"/>
  <c r="Z79" i="26"/>
  <c r="Y79" i="26"/>
  <c r="U102" i="26"/>
  <c r="Q102" i="26"/>
  <c r="R102" i="26" s="1"/>
  <c r="L102" i="26"/>
  <c r="AA78" i="26"/>
  <c r="Z78" i="26"/>
  <c r="Y78" i="26"/>
  <c r="U101" i="26"/>
  <c r="Q101" i="26"/>
  <c r="R101" i="26" s="1"/>
  <c r="L101" i="26"/>
  <c r="AA77" i="26"/>
  <c r="Z77" i="26"/>
  <c r="Y77" i="26"/>
  <c r="U100" i="26"/>
  <c r="Q100" i="26"/>
  <c r="R100" i="26" s="1"/>
  <c r="L100" i="26"/>
  <c r="U99" i="26"/>
  <c r="Q99" i="26"/>
  <c r="R99" i="26" s="1"/>
  <c r="L99" i="26"/>
  <c r="U98" i="26"/>
  <c r="Q98" i="26"/>
  <c r="R98" i="26" s="1"/>
  <c r="L98" i="26"/>
  <c r="U97" i="26"/>
  <c r="Q97" i="26"/>
  <c r="R97" i="26" s="1"/>
  <c r="L97" i="26"/>
  <c r="U96" i="26"/>
  <c r="Q96" i="26"/>
  <c r="R96" i="26" s="1"/>
  <c r="L96" i="26"/>
  <c r="U95" i="26"/>
  <c r="Q95" i="26"/>
  <c r="R95" i="26" s="1"/>
  <c r="L95" i="26"/>
  <c r="U94" i="26"/>
  <c r="Q94" i="26"/>
  <c r="R94" i="26" s="1"/>
  <c r="L94" i="26"/>
  <c r="U93" i="26"/>
  <c r="Q93" i="26"/>
  <c r="R93" i="26" s="1"/>
  <c r="L93" i="26"/>
  <c r="U92" i="26"/>
  <c r="Q92" i="26"/>
  <c r="R92" i="26" s="1"/>
  <c r="U91" i="26"/>
  <c r="Q91" i="26"/>
  <c r="R91" i="26" s="1"/>
  <c r="L91" i="26"/>
  <c r="U90" i="26"/>
  <c r="Q90" i="26"/>
  <c r="R90" i="26" s="1"/>
  <c r="L90" i="26"/>
  <c r="U89" i="26"/>
  <c r="Q89" i="26"/>
  <c r="R89" i="26" s="1"/>
  <c r="S89" i="26" s="1"/>
  <c r="L89" i="26"/>
  <c r="U88" i="26"/>
  <c r="Q88" i="26"/>
  <c r="R88" i="26" s="1"/>
  <c r="L88" i="26"/>
  <c r="U87" i="26"/>
  <c r="Q87" i="26"/>
  <c r="R87" i="26" s="1"/>
  <c r="S87" i="26" s="1"/>
  <c r="U86" i="26"/>
  <c r="Q86" i="26"/>
  <c r="R86" i="26" s="1"/>
  <c r="S86" i="26" s="1"/>
  <c r="L86" i="26"/>
  <c r="U85" i="26"/>
  <c r="Q85" i="26"/>
  <c r="R85" i="26" s="1"/>
  <c r="T85" i="26" s="1"/>
  <c r="L85" i="26"/>
  <c r="U84" i="26"/>
  <c r="Q84" i="26"/>
  <c r="R84" i="26" s="1"/>
  <c r="L84" i="26"/>
  <c r="U83" i="26"/>
  <c r="Q83" i="26"/>
  <c r="R83" i="26" s="1"/>
  <c r="T83" i="26" s="1"/>
  <c r="L83" i="26"/>
  <c r="U82" i="26"/>
  <c r="Q82" i="26"/>
  <c r="R82" i="26" s="1"/>
  <c r="L82" i="26"/>
  <c r="U81" i="26"/>
  <c r="Q81" i="26"/>
  <c r="R81" i="26" s="1"/>
  <c r="L81" i="26"/>
  <c r="U80" i="26"/>
  <c r="Q80" i="26"/>
  <c r="R80" i="26" s="1"/>
  <c r="L80" i="26"/>
  <c r="U79" i="26"/>
  <c r="Q79" i="26"/>
  <c r="R79" i="26" s="1"/>
  <c r="T79" i="26" s="1"/>
  <c r="L79" i="26"/>
  <c r="U78" i="26"/>
  <c r="Q78" i="26"/>
  <c r="R78" i="26" s="1"/>
  <c r="L78" i="26"/>
  <c r="U77" i="26"/>
  <c r="Q77" i="26"/>
  <c r="R77" i="26" s="1"/>
  <c r="T77" i="26" s="1"/>
  <c r="L77" i="26"/>
  <c r="U76" i="26"/>
  <c r="Q76" i="26"/>
  <c r="R76" i="26" s="1"/>
  <c r="L76" i="26"/>
  <c r="U75" i="26"/>
  <c r="Q75" i="26"/>
  <c r="R75" i="26" s="1"/>
  <c r="L75" i="26"/>
  <c r="U74" i="26"/>
  <c r="Q74" i="26"/>
  <c r="R74" i="26" s="1"/>
  <c r="L74" i="26"/>
  <c r="U73" i="26"/>
  <c r="Q73" i="26"/>
  <c r="R73" i="26" s="1"/>
  <c r="L73" i="26"/>
  <c r="U72" i="26"/>
  <c r="Q72" i="26"/>
  <c r="R72" i="26" s="1"/>
  <c r="U71" i="26"/>
  <c r="Q71" i="26"/>
  <c r="R71" i="26" s="1"/>
  <c r="L71" i="26"/>
  <c r="U70" i="26"/>
  <c r="Q70" i="26"/>
  <c r="R70" i="26" s="1"/>
  <c r="L70" i="26"/>
  <c r="U69" i="26"/>
  <c r="Q69" i="26"/>
  <c r="R69" i="26" s="1"/>
  <c r="S69" i="26" s="1"/>
  <c r="L69" i="26"/>
  <c r="U68" i="26"/>
  <c r="Q68" i="26"/>
  <c r="R68" i="26" s="1"/>
  <c r="U67" i="26"/>
  <c r="Q67" i="26"/>
  <c r="R67" i="26" s="1"/>
  <c r="L67" i="26"/>
  <c r="U66" i="26"/>
  <c r="Q66" i="26"/>
  <c r="R66" i="26" s="1"/>
  <c r="L66" i="26"/>
  <c r="U65" i="26"/>
  <c r="Q65" i="26"/>
  <c r="R65" i="26" s="1"/>
  <c r="L65" i="26"/>
  <c r="U64" i="26"/>
  <c r="Q64" i="26"/>
  <c r="R64" i="26" s="1"/>
  <c r="L64" i="26"/>
  <c r="U63" i="26"/>
  <c r="Q63" i="26"/>
  <c r="R63" i="26" s="1"/>
  <c r="L63" i="26"/>
  <c r="U62" i="26"/>
  <c r="Q62" i="26"/>
  <c r="R62" i="26" s="1"/>
  <c r="L62" i="26"/>
  <c r="U61" i="26"/>
  <c r="Q61" i="26"/>
  <c r="R61" i="26" s="1"/>
  <c r="S61" i="26" s="1"/>
  <c r="L61" i="26"/>
  <c r="U60" i="26"/>
  <c r="Q60" i="26"/>
  <c r="R60" i="26" s="1"/>
  <c r="L60" i="26"/>
  <c r="U59" i="26"/>
  <c r="Q59" i="26"/>
  <c r="R59" i="26" s="1"/>
  <c r="S59" i="26" s="1"/>
  <c r="K59" i="26"/>
  <c r="U58" i="26"/>
  <c r="Q58" i="26"/>
  <c r="R58" i="26" s="1"/>
  <c r="L58" i="26"/>
  <c r="U57" i="26"/>
  <c r="Q57" i="26"/>
  <c r="R57" i="26" s="1"/>
  <c r="S57" i="26" s="1"/>
  <c r="L57" i="26"/>
  <c r="U56" i="26"/>
  <c r="Q56" i="26"/>
  <c r="R56" i="26" s="1"/>
  <c r="L56" i="26"/>
  <c r="U55" i="26"/>
  <c r="Q55" i="26"/>
  <c r="R55" i="26" s="1"/>
  <c r="S55" i="26" s="1"/>
  <c r="U54" i="26"/>
  <c r="Q54" i="26"/>
  <c r="R54" i="26" s="1"/>
  <c r="K54" i="26"/>
  <c r="U53" i="26"/>
  <c r="Q53" i="26"/>
  <c r="R53" i="26" s="1"/>
  <c r="K53" i="26"/>
  <c r="U52" i="26"/>
  <c r="Q52" i="26"/>
  <c r="R52" i="26" s="1"/>
  <c r="S52" i="26" s="1"/>
  <c r="K52" i="26"/>
  <c r="U51" i="26"/>
  <c r="Q51" i="26"/>
  <c r="R51" i="26" s="1"/>
  <c r="K51" i="26"/>
  <c r="U50" i="26"/>
  <c r="Q50" i="26"/>
  <c r="R50" i="26" s="1"/>
  <c r="K50" i="26"/>
  <c r="U49" i="26"/>
  <c r="Q49" i="26"/>
  <c r="R49" i="26" s="1"/>
  <c r="K49" i="26"/>
  <c r="U48" i="26"/>
  <c r="Q48" i="26"/>
  <c r="R48" i="26" s="1"/>
  <c r="S48" i="26" s="1"/>
  <c r="K48" i="26"/>
  <c r="U47" i="26"/>
  <c r="Q47" i="26"/>
  <c r="R47" i="26" s="1"/>
  <c r="K47" i="26"/>
  <c r="U46" i="26"/>
  <c r="Q46" i="26"/>
  <c r="R46" i="26" s="1"/>
  <c r="K46" i="26"/>
  <c r="U45" i="26"/>
  <c r="Q45" i="26"/>
  <c r="R45" i="26" s="1"/>
  <c r="K45" i="26"/>
  <c r="U44" i="26"/>
  <c r="Q44" i="26"/>
  <c r="R44" i="26" s="1"/>
  <c r="K44" i="26"/>
  <c r="U43" i="26"/>
  <c r="Q43" i="26"/>
  <c r="R43" i="26" s="1"/>
  <c r="L43" i="26"/>
  <c r="U42" i="26"/>
  <c r="Q42" i="26"/>
  <c r="R42" i="26" s="1"/>
  <c r="T42" i="26" s="1"/>
  <c r="L42" i="26"/>
  <c r="AF18" i="26"/>
  <c r="U41" i="26"/>
  <c r="Q41" i="26"/>
  <c r="R41" i="26" s="1"/>
  <c r="K41" i="26"/>
  <c r="AF17" i="26"/>
  <c r="U40" i="26"/>
  <c r="Q40" i="26"/>
  <c r="R40" i="26" s="1"/>
  <c r="S40" i="26" s="1"/>
  <c r="K40" i="26"/>
  <c r="AF16" i="26"/>
  <c r="U39" i="26"/>
  <c r="Q39" i="26"/>
  <c r="R39" i="26" s="1"/>
  <c r="S39" i="26" s="1"/>
  <c r="L39" i="26"/>
  <c r="AF15" i="26"/>
  <c r="U38" i="26"/>
  <c r="Q38" i="26"/>
  <c r="R38" i="26" s="1"/>
  <c r="L38" i="26"/>
  <c r="AF14" i="26"/>
  <c r="U37" i="26"/>
  <c r="Q37" i="26"/>
  <c r="R37" i="26" s="1"/>
  <c r="L37" i="26"/>
  <c r="AF13" i="26"/>
  <c r="U36" i="26"/>
  <c r="Q36" i="26"/>
  <c r="R36" i="26" s="1"/>
  <c r="T36" i="26" s="1"/>
  <c r="L36" i="26"/>
  <c r="AF12" i="26"/>
  <c r="U35" i="26"/>
  <c r="Q35" i="26"/>
  <c r="R35" i="26" s="1"/>
  <c r="K35" i="26"/>
  <c r="AF11" i="26"/>
  <c r="U34" i="26"/>
  <c r="Q34" i="26"/>
  <c r="R34" i="26" s="1"/>
  <c r="K34" i="26"/>
  <c r="AF10" i="26"/>
  <c r="U33" i="26"/>
  <c r="Q33" i="26"/>
  <c r="R33" i="26" s="1"/>
  <c r="S33" i="26" s="1"/>
  <c r="AF9" i="26"/>
  <c r="U32" i="26"/>
  <c r="Q32" i="26"/>
  <c r="R32" i="26" s="1"/>
  <c r="AF8" i="26"/>
  <c r="U31" i="26"/>
  <c r="Q31" i="26"/>
  <c r="R31" i="26" s="1"/>
  <c r="K31" i="26"/>
  <c r="AG7" i="26"/>
  <c r="AF7" i="26"/>
  <c r="U30" i="26"/>
  <c r="Q30" i="26"/>
  <c r="R30" i="26" s="1"/>
  <c r="T30" i="26" s="1"/>
  <c r="K30" i="26"/>
  <c r="AF6" i="26"/>
  <c r="U29" i="26"/>
  <c r="Q29" i="26"/>
  <c r="R29" i="26" s="1"/>
  <c r="AF5" i="26"/>
  <c r="U28" i="26"/>
  <c r="Q28" i="26"/>
  <c r="R28" i="26" s="1"/>
  <c r="K28" i="26"/>
  <c r="AF4" i="26"/>
  <c r="U27" i="26"/>
  <c r="Q27" i="26"/>
  <c r="R27" i="26" s="1"/>
  <c r="K27" i="26"/>
  <c r="AF3" i="26"/>
  <c r="U26" i="26"/>
  <c r="Q26" i="26"/>
  <c r="R26" i="26" s="1"/>
  <c r="T26" i="26" s="1"/>
  <c r="K26" i="26"/>
  <c r="AF2" i="26"/>
  <c r="U25" i="26"/>
  <c r="Q25" i="26"/>
  <c r="R25" i="26" s="1"/>
  <c r="T25" i="26" s="1"/>
  <c r="K25" i="26"/>
  <c r="B18" i="30"/>
  <c r="E18" i="22"/>
  <c r="D18" i="22"/>
  <c r="K7" i="22"/>
  <c r="K6" i="22"/>
  <c r="K5" i="22"/>
  <c r="K4" i="22"/>
  <c r="K3" i="22"/>
  <c r="C13" i="22"/>
  <c r="F8" i="23"/>
  <c r="C15" i="22"/>
  <c r="C9" i="22"/>
  <c r="C5" i="22"/>
  <c r="C6" i="22"/>
  <c r="F12" i="23"/>
  <c r="C8" i="22"/>
  <c r="C12" i="22"/>
  <c r="C3" i="22"/>
  <c r="F14" i="23"/>
  <c r="C10" i="22"/>
  <c r="C4" i="22"/>
  <c r="C2" i="22"/>
  <c r="F9" i="23"/>
  <c r="C17" i="22"/>
  <c r="C11" i="22"/>
  <c r="C7" i="22"/>
  <c r="C19" i="22"/>
  <c r="F15" i="23"/>
  <c r="C16" i="22"/>
  <c r="F10" i="23"/>
  <c r="C14" i="22"/>
  <c r="F11" i="23"/>
  <c r="O40" i="26" l="1"/>
  <c r="P68" i="26"/>
  <c r="P114" i="26"/>
  <c r="O39" i="26"/>
  <c r="O109" i="26"/>
  <c r="O123" i="26"/>
  <c r="O57" i="26"/>
  <c r="O61" i="26"/>
  <c r="O52" i="26"/>
  <c r="P110" i="26"/>
  <c r="P119" i="26"/>
  <c r="O33" i="26"/>
  <c r="P35" i="26"/>
  <c r="O55" i="26"/>
  <c r="O59" i="26"/>
  <c r="O116" i="26"/>
  <c r="P106" i="26"/>
  <c r="O111" i="26"/>
  <c r="W115" i="26"/>
  <c r="P70" i="26"/>
  <c r="P74" i="26"/>
  <c r="P82" i="26"/>
  <c r="O86" i="26"/>
  <c r="O48" i="26"/>
  <c r="O69" i="26"/>
  <c r="P72" i="26"/>
  <c r="P80" i="26"/>
  <c r="P102" i="26"/>
  <c r="O118" i="26"/>
  <c r="O107" i="26"/>
  <c r="AB81" i="26"/>
  <c r="AB86" i="26"/>
  <c r="AB89" i="26"/>
  <c r="W106" i="26"/>
  <c r="AB77" i="26"/>
  <c r="AB94" i="26"/>
  <c r="AA109" i="26"/>
  <c r="W107" i="26"/>
  <c r="W81" i="26"/>
  <c r="Y109" i="26"/>
  <c r="W102" i="26"/>
  <c r="W101" i="26"/>
  <c r="W105" i="26"/>
  <c r="W114" i="26"/>
  <c r="AB80" i="26"/>
  <c r="AB82" i="26"/>
  <c r="AB84" i="26"/>
  <c r="AB85" i="26"/>
  <c r="AB88" i="26"/>
  <c r="AB93" i="26"/>
  <c r="W104" i="26"/>
  <c r="W108" i="26"/>
  <c r="W117" i="26"/>
  <c r="W77" i="26"/>
  <c r="W86" i="26"/>
  <c r="AB95" i="26"/>
  <c r="W100" i="26"/>
  <c r="W103" i="26"/>
  <c r="W116" i="26"/>
  <c r="AB90" i="26"/>
  <c r="W94" i="26"/>
  <c r="P111" i="26"/>
  <c r="T123" i="26"/>
  <c r="P85" i="26"/>
  <c r="T111" i="26"/>
  <c r="P115" i="26"/>
  <c r="P69" i="26"/>
  <c r="T107" i="26"/>
  <c r="T116" i="26"/>
  <c r="P107" i="26"/>
  <c r="P116" i="26"/>
  <c r="S115" i="26"/>
  <c r="O115" i="26" s="1"/>
  <c r="S102" i="26"/>
  <c r="O102" i="26" s="1"/>
  <c r="S25" i="26"/>
  <c r="O25" i="26" s="1"/>
  <c r="S85" i="26"/>
  <c r="O85" i="26" s="1"/>
  <c r="P87" i="26"/>
  <c r="S68" i="26"/>
  <c r="O68" i="26" s="1"/>
  <c r="P76" i="26"/>
  <c r="P86" i="26"/>
  <c r="S106" i="26"/>
  <c r="O106" i="26" s="1"/>
  <c r="S35" i="26"/>
  <c r="O35" i="26" s="1"/>
  <c r="S36" i="26"/>
  <c r="O36" i="26" s="1"/>
  <c r="T68" i="26"/>
  <c r="T102" i="26"/>
  <c r="T103" i="26"/>
  <c r="S119" i="26"/>
  <c r="O119" i="26" s="1"/>
  <c r="P36" i="26"/>
  <c r="S110" i="26"/>
  <c r="O110" i="26" s="1"/>
  <c r="S26" i="26"/>
  <c r="O26" i="26" s="1"/>
  <c r="T69" i="26"/>
  <c r="S83" i="26"/>
  <c r="O83" i="26" s="1"/>
  <c r="T87" i="26"/>
  <c r="P89" i="26"/>
  <c r="E7" i="22"/>
  <c r="D7" i="22"/>
  <c r="E9" i="22"/>
  <c r="D9" i="22"/>
  <c r="D11" i="22"/>
  <c r="E11" i="22"/>
  <c r="E16" i="22"/>
  <c r="D16" i="22"/>
  <c r="E7" i="30"/>
  <c r="E21" i="30"/>
  <c r="C26" i="22"/>
  <c r="D2" i="22"/>
  <c r="E2" i="22"/>
  <c r="C20" i="22"/>
  <c r="E4" i="30"/>
  <c r="E16" i="30"/>
  <c r="E6" i="22"/>
  <c r="D6" i="22"/>
  <c r="E12" i="22"/>
  <c r="D12" i="22"/>
  <c r="E3" i="22"/>
  <c r="D3" i="22"/>
  <c r="E19" i="22"/>
  <c r="D19" i="22"/>
  <c r="C18" i="30"/>
  <c r="E2" i="30"/>
  <c r="E9" i="30"/>
  <c r="E5" i="22"/>
  <c r="D5" i="22"/>
  <c r="D13" i="22"/>
  <c r="E13" i="22"/>
  <c r="D18" i="30"/>
  <c r="E20" i="30"/>
  <c r="E8" i="30"/>
  <c r="E10" i="30"/>
  <c r="E4" i="22"/>
  <c r="D4" i="22"/>
  <c r="E8" i="22"/>
  <c r="D8" i="22"/>
  <c r="D15" i="22"/>
  <c r="E15" i="22"/>
  <c r="E17" i="22"/>
  <c r="D17" i="22"/>
  <c r="C25" i="22"/>
  <c r="E5" i="30"/>
  <c r="E11" i="30"/>
  <c r="E13" i="30"/>
  <c r="E15" i="30"/>
  <c r="E17" i="30"/>
  <c r="F16" i="23"/>
  <c r="E10" i="22"/>
  <c r="D10" i="22"/>
  <c r="E14" i="22"/>
  <c r="D14" i="22"/>
  <c r="E3" i="30"/>
  <c r="E6" i="30"/>
  <c r="E12" i="30"/>
  <c r="E14" i="30"/>
  <c r="E19" i="30"/>
  <c r="T32" i="26"/>
  <c r="P32" i="26"/>
  <c r="S32" i="26"/>
  <c r="O32" i="26" s="1"/>
  <c r="S38" i="26"/>
  <c r="O38" i="26" s="1"/>
  <c r="P38" i="26"/>
  <c r="T38" i="26"/>
  <c r="T45" i="26"/>
  <c r="P45" i="26"/>
  <c r="S45" i="26"/>
  <c r="O45" i="26" s="1"/>
  <c r="S88" i="26"/>
  <c r="O88" i="26" s="1"/>
  <c r="T88" i="26"/>
  <c r="P88" i="26"/>
  <c r="T43" i="26"/>
  <c r="P43" i="26"/>
  <c r="S43" i="26"/>
  <c r="O43" i="26" s="1"/>
  <c r="T51" i="26"/>
  <c r="P51" i="26"/>
  <c r="S51" i="26"/>
  <c r="O51" i="26" s="1"/>
  <c r="T27" i="26"/>
  <c r="P27" i="26"/>
  <c r="S27" i="26"/>
  <c r="O27" i="26" s="1"/>
  <c r="S28" i="26"/>
  <c r="O28" i="26" s="1"/>
  <c r="T28" i="26"/>
  <c r="P28" i="26"/>
  <c r="S29" i="26"/>
  <c r="O29" i="26" s="1"/>
  <c r="P29" i="26"/>
  <c r="T29" i="26"/>
  <c r="S34" i="26"/>
  <c r="O34" i="26" s="1"/>
  <c r="P34" i="26"/>
  <c r="T34" i="26"/>
  <c r="T47" i="26"/>
  <c r="P47" i="26"/>
  <c r="S47" i="26"/>
  <c r="O47" i="26" s="1"/>
  <c r="T92" i="26"/>
  <c r="P92" i="26"/>
  <c r="S92" i="26"/>
  <c r="O92" i="26" s="1"/>
  <c r="T96" i="26"/>
  <c r="P96" i="26"/>
  <c r="S96" i="26"/>
  <c r="O96" i="26" s="1"/>
  <c r="T100" i="26"/>
  <c r="P100" i="26"/>
  <c r="S100" i="26"/>
  <c r="O100" i="26" s="1"/>
  <c r="P25" i="26"/>
  <c r="P30" i="26"/>
  <c r="T39" i="26"/>
  <c r="P40" i="26"/>
  <c r="T40" i="26"/>
  <c r="T48" i="26"/>
  <c r="P48" i="26"/>
  <c r="T52" i="26"/>
  <c r="P52" i="26"/>
  <c r="S78" i="26"/>
  <c r="O78" i="26" s="1"/>
  <c r="T78" i="26"/>
  <c r="S79" i="26"/>
  <c r="O79" i="26" s="1"/>
  <c r="P79" i="26"/>
  <c r="S90" i="26"/>
  <c r="O90" i="26" s="1"/>
  <c r="T90" i="26"/>
  <c r="P90" i="26"/>
  <c r="S91" i="26"/>
  <c r="O91" i="26" s="1"/>
  <c r="P91" i="26"/>
  <c r="T91" i="26"/>
  <c r="S101" i="26"/>
  <c r="O101" i="26" s="1"/>
  <c r="T101" i="26"/>
  <c r="P101" i="26"/>
  <c r="T31" i="26"/>
  <c r="P31" i="26"/>
  <c r="T35" i="26"/>
  <c r="P39" i="26"/>
  <c r="T41" i="26"/>
  <c r="P41" i="26"/>
  <c r="T44" i="26"/>
  <c r="P44" i="26"/>
  <c r="T46" i="26"/>
  <c r="P46" i="26"/>
  <c r="T49" i="26"/>
  <c r="P49" i="26"/>
  <c r="T53" i="26"/>
  <c r="P53" i="26"/>
  <c r="T56" i="26"/>
  <c r="P56" i="26"/>
  <c r="T58" i="26"/>
  <c r="P58" i="26"/>
  <c r="T60" i="26"/>
  <c r="P60" i="26"/>
  <c r="T62" i="26"/>
  <c r="P62" i="26"/>
  <c r="P71" i="26"/>
  <c r="T71" i="26"/>
  <c r="S72" i="26"/>
  <c r="O72" i="26" s="1"/>
  <c r="T72" i="26"/>
  <c r="S73" i="26"/>
  <c r="O73" i="26" s="1"/>
  <c r="P73" i="26"/>
  <c r="S80" i="26"/>
  <c r="O80" i="26" s="1"/>
  <c r="T80" i="26"/>
  <c r="S81" i="26"/>
  <c r="O81" i="26" s="1"/>
  <c r="P81" i="26"/>
  <c r="P84" i="26"/>
  <c r="T84" i="26"/>
  <c r="S30" i="26"/>
  <c r="O30" i="26" s="1"/>
  <c r="S31" i="26"/>
  <c r="O31" i="26" s="1"/>
  <c r="T37" i="26"/>
  <c r="P37" i="26"/>
  <c r="S41" i="26"/>
  <c r="O41" i="26" s="1"/>
  <c r="S44" i="26"/>
  <c r="O44" i="26" s="1"/>
  <c r="S46" i="26"/>
  <c r="O46" i="26" s="1"/>
  <c r="S49" i="26"/>
  <c r="O49" i="26" s="1"/>
  <c r="T50" i="26"/>
  <c r="P50" i="26"/>
  <c r="S53" i="26"/>
  <c r="O53" i="26" s="1"/>
  <c r="T54" i="26"/>
  <c r="P54" i="26"/>
  <c r="S56" i="26"/>
  <c r="O56" i="26" s="1"/>
  <c r="AC13" i="26" s="1"/>
  <c r="S58" i="26"/>
  <c r="O58" i="26" s="1"/>
  <c r="S60" i="26"/>
  <c r="O60" i="26" s="1"/>
  <c r="S62" i="26"/>
  <c r="O62" i="26" s="1"/>
  <c r="T63" i="26"/>
  <c r="P63" i="26"/>
  <c r="S63" i="26"/>
  <c r="O63" i="26" s="1"/>
  <c r="T64" i="26"/>
  <c r="P64" i="26"/>
  <c r="S64" i="26"/>
  <c r="O64" i="26" s="1"/>
  <c r="T65" i="26"/>
  <c r="P65" i="26"/>
  <c r="S65" i="26"/>
  <c r="O65" i="26" s="1"/>
  <c r="T66" i="26"/>
  <c r="P66" i="26"/>
  <c r="S66" i="26"/>
  <c r="O66" i="26" s="1"/>
  <c r="T67" i="26"/>
  <c r="P67" i="26"/>
  <c r="S67" i="26"/>
  <c r="O67" i="26" s="1"/>
  <c r="T70" i="26"/>
  <c r="S70" i="26"/>
  <c r="O70" i="26" s="1"/>
  <c r="S71" i="26"/>
  <c r="O71" i="26" s="1"/>
  <c r="T73" i="26"/>
  <c r="S74" i="26"/>
  <c r="O74" i="26" s="1"/>
  <c r="T74" i="26"/>
  <c r="S75" i="26"/>
  <c r="O75" i="26" s="1"/>
  <c r="P75" i="26"/>
  <c r="T81" i="26"/>
  <c r="S82" i="26"/>
  <c r="O82" i="26" s="1"/>
  <c r="T82" i="26"/>
  <c r="S84" i="26"/>
  <c r="O84" i="26" s="1"/>
  <c r="T94" i="26"/>
  <c r="P94" i="26"/>
  <c r="T95" i="26"/>
  <c r="P95" i="26"/>
  <c r="T98" i="26"/>
  <c r="P98" i="26"/>
  <c r="T99" i="26"/>
  <c r="P99" i="26"/>
  <c r="P26" i="26"/>
  <c r="T33" i="26"/>
  <c r="P33" i="26"/>
  <c r="S37" i="26"/>
  <c r="O37" i="26" s="1"/>
  <c r="S42" i="26"/>
  <c r="O42" i="26" s="1"/>
  <c r="S50" i="26"/>
  <c r="O50" i="26" s="1"/>
  <c r="AC6" i="26" s="1"/>
  <c r="S54" i="26"/>
  <c r="O54" i="26" s="1"/>
  <c r="T55" i="26"/>
  <c r="P55" i="26"/>
  <c r="T57" i="26"/>
  <c r="P57" i="26"/>
  <c r="T59" i="26"/>
  <c r="P59" i="26"/>
  <c r="T61" i="26"/>
  <c r="P61" i="26"/>
  <c r="T75" i="26"/>
  <c r="S76" i="26"/>
  <c r="O76" i="26" s="1"/>
  <c r="T76" i="26"/>
  <c r="S77" i="26"/>
  <c r="O77" i="26" s="1"/>
  <c r="P77" i="26"/>
  <c r="P78" i="26"/>
  <c r="P83" i="26"/>
  <c r="S94" i="26"/>
  <c r="O94" i="26" s="1"/>
  <c r="S95" i="26"/>
  <c r="O95" i="26" s="1"/>
  <c r="S98" i="26"/>
  <c r="O98" i="26" s="1"/>
  <c r="S99" i="26"/>
  <c r="O99" i="26" s="1"/>
  <c r="W80" i="26"/>
  <c r="T104" i="26"/>
  <c r="P104" i="26"/>
  <c r="S104" i="26"/>
  <c r="O104" i="26" s="1"/>
  <c r="O89" i="26"/>
  <c r="T93" i="26"/>
  <c r="P93" i="26"/>
  <c r="T97" i="26"/>
  <c r="P97" i="26"/>
  <c r="T86" i="26"/>
  <c r="O87" i="26"/>
  <c r="T89" i="26"/>
  <c r="S93" i="26"/>
  <c r="O93" i="26" s="1"/>
  <c r="S97" i="26"/>
  <c r="O97" i="26" s="1"/>
  <c r="O103" i="26"/>
  <c r="S105" i="26"/>
  <c r="O105" i="26" s="1"/>
  <c r="P105" i="26"/>
  <c r="T105" i="26"/>
  <c r="T108" i="26"/>
  <c r="P108" i="26"/>
  <c r="S108" i="26"/>
  <c r="O108" i="26" s="1"/>
  <c r="S113" i="26"/>
  <c r="O113" i="26" s="1"/>
  <c r="P113" i="26"/>
  <c r="T113" i="26"/>
  <c r="T117" i="26"/>
  <c r="P117" i="26"/>
  <c r="S117" i="26"/>
  <c r="O117" i="26" s="1"/>
  <c r="AB78" i="26"/>
  <c r="W78" i="26"/>
  <c r="S121" i="26"/>
  <c r="O121" i="26" s="1"/>
  <c r="T121" i="26"/>
  <c r="P103" i="26"/>
  <c r="T106" i="26"/>
  <c r="W85" i="26"/>
  <c r="W90" i="26"/>
  <c r="AB91" i="26"/>
  <c r="W91" i="26"/>
  <c r="AB79" i="26"/>
  <c r="W79" i="26"/>
  <c r="W84" i="26"/>
  <c r="T109" i="26"/>
  <c r="T110" i="26"/>
  <c r="W89" i="26"/>
  <c r="S114" i="26"/>
  <c r="O114" i="26" s="1"/>
  <c r="W93" i="26"/>
  <c r="T118" i="26"/>
  <c r="T119" i="26"/>
  <c r="S120" i="26"/>
  <c r="O120" i="26" s="1"/>
  <c r="S122" i="26"/>
  <c r="O122" i="26" s="1"/>
  <c r="Z109" i="26"/>
  <c r="S124" i="26"/>
  <c r="O124" i="26" s="1"/>
  <c r="W82" i="26"/>
  <c r="AB83" i="26"/>
  <c r="W83" i="26"/>
  <c r="P109" i="26"/>
  <c r="W88" i="26"/>
  <c r="T112" i="26"/>
  <c r="P112" i="26"/>
  <c r="T114" i="26"/>
  <c r="AB92" i="26"/>
  <c r="W92" i="26"/>
  <c r="P118" i="26"/>
  <c r="AB87" i="26"/>
  <c r="W87" i="26"/>
  <c r="S112" i="26"/>
  <c r="O112" i="26" s="1"/>
  <c r="W95" i="26"/>
  <c r="AB96" i="26"/>
  <c r="W96" i="26"/>
  <c r="W99" i="26"/>
  <c r="Y16" i="26" l="1"/>
  <c r="AA16" i="26"/>
  <c r="Y15" i="26"/>
  <c r="AA15" i="26"/>
  <c r="Y3" i="26"/>
  <c r="AA3" i="26"/>
  <c r="Y19" i="26"/>
  <c r="AA19" i="26"/>
  <c r="Y7" i="26"/>
  <c r="AA7" i="26"/>
  <c r="Y9" i="26"/>
  <c r="AA9" i="26"/>
  <c r="AA2" i="26"/>
  <c r="Y2" i="26"/>
  <c r="Y6" i="26"/>
  <c r="AA6" i="26"/>
  <c r="Y14" i="26"/>
  <c r="AA14" i="26"/>
  <c r="Y11" i="26"/>
  <c r="AA11" i="26"/>
  <c r="Y12" i="26"/>
  <c r="AA12" i="26"/>
  <c r="Y4" i="26"/>
  <c r="AA4" i="26"/>
  <c r="Y17" i="26"/>
  <c r="AA17" i="26"/>
  <c r="Y10" i="26"/>
  <c r="AA10" i="26"/>
  <c r="Y18" i="26"/>
  <c r="AA18" i="26"/>
  <c r="Y8" i="26"/>
  <c r="AA8" i="26"/>
  <c r="Y5" i="26"/>
  <c r="AA5" i="26"/>
  <c r="Y13" i="26"/>
  <c r="AA13" i="26"/>
  <c r="AC17" i="26"/>
  <c r="AC15" i="26"/>
  <c r="AC2" i="26"/>
  <c r="AC16" i="26"/>
  <c r="AC11" i="26"/>
  <c r="AC19" i="26"/>
  <c r="AC12" i="26"/>
  <c r="AC5" i="26"/>
  <c r="AC8" i="26"/>
  <c r="AC10" i="26"/>
  <c r="AC9" i="26"/>
  <c r="AC7" i="26"/>
  <c r="AC4" i="26"/>
  <c r="AC18" i="26"/>
  <c r="AC14" i="26"/>
  <c r="AC3" i="26"/>
  <c r="E18" i="30"/>
  <c r="E22" i="30" s="1"/>
  <c r="AD6" i="26"/>
  <c r="AE6" i="26" s="1"/>
  <c r="W109" i="26"/>
  <c r="AD10" i="26"/>
  <c r="AD19" i="26"/>
  <c r="AD9" i="26"/>
  <c r="AD18" i="26"/>
  <c r="AD8" i="26"/>
  <c r="AD11" i="26"/>
  <c r="AD3" i="26"/>
  <c r="AD14" i="26"/>
  <c r="AD5" i="26"/>
  <c r="AD4" i="26"/>
  <c r="AD17" i="26"/>
  <c r="AE17" i="26" s="1"/>
  <c r="AD12" i="26"/>
  <c r="C24" i="22"/>
  <c r="AD2" i="26"/>
  <c r="AD13" i="26"/>
  <c r="AE13" i="26" s="1"/>
  <c r="AD16" i="26"/>
  <c r="AD7" i="26"/>
  <c r="AD15" i="26"/>
  <c r="AE18" i="26" l="1"/>
  <c r="AE10" i="26"/>
  <c r="AE19" i="26"/>
  <c r="AE15" i="26"/>
  <c r="AE4" i="26"/>
  <c r="AE8" i="26"/>
  <c r="AE11" i="26"/>
  <c r="AE3" i="26"/>
  <c r="AE5" i="26"/>
  <c r="AE16" i="26"/>
  <c r="AE7" i="26"/>
  <c r="AE14" i="26"/>
  <c r="AE9" i="26"/>
  <c r="AE12" i="26"/>
  <c r="AE2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zhulina</author>
  </authors>
  <commentList>
    <comment ref="L35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zhulina:</t>
        </r>
        <r>
          <rPr>
            <sz val="9"/>
            <rFont val="宋体"/>
            <family val="3"/>
            <charset val="134"/>
          </rPr>
          <t xml:space="preserve">
和需求表没有对上</t>
        </r>
      </text>
    </comment>
    <comment ref="L48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zhulina:</t>
        </r>
        <r>
          <rPr>
            <sz val="9"/>
            <rFont val="宋体"/>
            <family val="3"/>
            <charset val="134"/>
          </rPr>
          <t xml:space="preserve">
和需求表没有对上</t>
        </r>
      </text>
    </comment>
  </commentList>
</comments>
</file>

<file path=xl/sharedStrings.xml><?xml version="1.0" encoding="utf-8"?>
<sst xmlns="http://schemas.openxmlformats.org/spreadsheetml/2006/main" count="4335" uniqueCount="1190">
  <si>
    <t>分类</t>
  </si>
  <si>
    <t>原总数</t>
  </si>
  <si>
    <t>目前在场</t>
  </si>
  <si>
    <t>与第一批差异</t>
  </si>
  <si>
    <t>C列与G列差异</t>
  </si>
  <si>
    <t>第一批预期（180）</t>
  </si>
  <si>
    <t>公共人员调整</t>
  </si>
  <si>
    <t>第一批调整后预期（160）</t>
  </si>
  <si>
    <t>第二批调整后预期</t>
  </si>
  <si>
    <t>郑安如-验收</t>
  </si>
  <si>
    <t>新预期（需求分析）</t>
  </si>
  <si>
    <t>原</t>
  </si>
  <si>
    <t>原第一批次剩余需求分析情况</t>
  </si>
  <si>
    <t>郑安如</t>
  </si>
  <si>
    <t>顾静洁</t>
  </si>
  <si>
    <t>需求分析，不含顾静洁</t>
  </si>
  <si>
    <t>刘倩-验收</t>
  </si>
  <si>
    <t>李晶雯</t>
  </si>
  <si>
    <t>需求分析，含晶雯；晶雯条线的2个开发需要留意</t>
  </si>
  <si>
    <t>刘倩</t>
  </si>
  <si>
    <t>需求分析，含刘倩，含UX1名计为需求分析</t>
  </si>
  <si>
    <t>徐慧鹏-验收</t>
  </si>
  <si>
    <t>徐慧鹏</t>
  </si>
  <si>
    <t>需求分析，含徐慧鹏</t>
  </si>
  <si>
    <t>需求分析，不含郑安如，含启明转组BA1名，UX1名计为需求分析</t>
  </si>
  <si>
    <t>顾静洁-验收</t>
  </si>
  <si>
    <t>待明确第一批次后的需求分析人数</t>
  </si>
  <si>
    <t>李晶雯-验收</t>
  </si>
  <si>
    <t>需求分析</t>
  </si>
  <si>
    <t>设计开发</t>
  </si>
  <si>
    <t>李戬</t>
  </si>
  <si>
    <t>管理支持</t>
  </si>
  <si>
    <t>申冬东</t>
  </si>
  <si>
    <t>功能测试</t>
  </si>
  <si>
    <t>张洋弘-&gt;刁望庆</t>
  </si>
  <si>
    <t>赵攀-&gt;周德乐</t>
  </si>
  <si>
    <t>周德乐-&gt;张洋弘</t>
  </si>
  <si>
    <t>陈启明</t>
  </si>
  <si>
    <t>赵丹</t>
  </si>
  <si>
    <t>QA</t>
  </si>
  <si>
    <t>总计（扣减版本项目公共）</t>
  </si>
  <si>
    <t>版本公共</t>
  </si>
  <si>
    <t>项目公共</t>
  </si>
  <si>
    <t>前置</t>
  </si>
  <si>
    <t>配套</t>
  </si>
  <si>
    <t>验收</t>
  </si>
  <si>
    <t>历史数据</t>
  </si>
  <si>
    <t>技能组（仅统计筛选)</t>
  </si>
  <si>
    <t>(多项)</t>
  </si>
  <si>
    <t>版本及项目公共</t>
  </si>
  <si>
    <t>计数项:姓名</t>
  </si>
  <si>
    <t>顾静洁-版本</t>
  </si>
  <si>
    <t>刘倩-版本</t>
  </si>
  <si>
    <t>郑安如-版本</t>
  </si>
  <si>
    <t>JAVA/CWAP</t>
  </si>
  <si>
    <t>张洋弘-版本/刁望庆</t>
  </si>
  <si>
    <t>集成配置管理</t>
  </si>
  <si>
    <t>赵攀-版本/周德乐</t>
  </si>
  <si>
    <t>集成配置管理DBA</t>
  </si>
  <si>
    <t>张洋弘-项目/刁望庆</t>
  </si>
  <si>
    <t>赵攀-项目/周德乐</t>
  </si>
  <si>
    <t>通用功能</t>
  </si>
  <si>
    <t>申冬东-项目</t>
  </si>
  <si>
    <t>通用功能-验收</t>
  </si>
  <si>
    <t>周德乐-项目/张洋弘</t>
  </si>
  <si>
    <t>支持-QA</t>
  </si>
  <si>
    <t>李戬-项目</t>
  </si>
  <si>
    <t>总计</t>
  </si>
  <si>
    <t>JAVA/AKKA</t>
  </si>
  <si>
    <t>数据分析</t>
  </si>
  <si>
    <t>(空白)</t>
  </si>
  <si>
    <t>ODM业务</t>
  </si>
  <si>
    <t>ODM业务-验收</t>
  </si>
  <si>
    <t>C++/HPPE</t>
  </si>
  <si>
    <t>C++/撮合</t>
  </si>
  <si>
    <t>共享服务</t>
  </si>
  <si>
    <t>共享服务-验收</t>
  </si>
  <si>
    <t>张洋弘</t>
  </si>
  <si>
    <t>H5</t>
  </si>
  <si>
    <t>NDM业务</t>
  </si>
  <si>
    <t>NDM业务-验收</t>
  </si>
  <si>
    <t>周德乐</t>
  </si>
  <si>
    <t>版本线</t>
  </si>
  <si>
    <t>刁望庆</t>
  </si>
  <si>
    <t>吕欣冉</t>
  </si>
  <si>
    <t>数据分析-验收</t>
  </si>
  <si>
    <t>第一批预期（182）</t>
  </si>
  <si>
    <t>目前在场浮动</t>
  </si>
  <si>
    <t>在场总计</t>
  </si>
  <si>
    <t>行标签</t>
  </si>
  <si>
    <t>郑安如-验收-固定</t>
  </si>
  <si>
    <t>郑安如-固定</t>
  </si>
  <si>
    <t>版本公共-UIUX-浮动</t>
  </si>
  <si>
    <t>刘倩-验收-固定</t>
  </si>
  <si>
    <t>版本公共-浮动</t>
  </si>
  <si>
    <t>刘倩-固定</t>
  </si>
  <si>
    <t>徐慧鹏-验收-固定</t>
  </si>
  <si>
    <t>陈启明-浮动</t>
  </si>
  <si>
    <t>徐慧鹏-固定</t>
  </si>
  <si>
    <t>陈启明-固定</t>
  </si>
  <si>
    <t>顾静洁-验收-固定</t>
  </si>
  <si>
    <t>刁望庆-浮动</t>
  </si>
  <si>
    <t>顾静洁-固定</t>
  </si>
  <si>
    <t>刁望庆-固定</t>
  </si>
  <si>
    <t>吕欣冉-验收-固定</t>
  </si>
  <si>
    <t>吕欣冉-固定</t>
  </si>
  <si>
    <t>顾静洁-验收-浮动</t>
  </si>
  <si>
    <t>李戬-固定</t>
  </si>
  <si>
    <t>申冬东-固定</t>
  </si>
  <si>
    <t>周德乐-固定</t>
  </si>
  <si>
    <t>张洋弘-固定</t>
  </si>
  <si>
    <t>刘倩-验收-浮动</t>
  </si>
  <si>
    <t>守门员</t>
  </si>
  <si>
    <t>徐慧鹏-浮动</t>
  </si>
  <si>
    <t>徐慧鹏-验收-浮动</t>
  </si>
  <si>
    <t>张洋弘-浮动</t>
  </si>
  <si>
    <t>郑安如-验收-浮动</t>
  </si>
  <si>
    <t>周德乐-浮动</t>
  </si>
  <si>
    <t>吕欣冉-浮动</t>
  </si>
  <si>
    <t>备注</t>
  </si>
  <si>
    <t>按版本统计</t>
  </si>
  <si>
    <t>过滤系统组(不含无需过滤)和会员支持</t>
  </si>
  <si>
    <t>版本</t>
  </si>
  <si>
    <t>统计</t>
  </si>
  <si>
    <t>V151</t>
  </si>
  <si>
    <t>V146</t>
  </si>
  <si>
    <t>V15115版本集成</t>
  </si>
  <si>
    <t>V149</t>
  </si>
  <si>
    <t>V15115验收测试</t>
  </si>
  <si>
    <t>V150</t>
  </si>
  <si>
    <t>空闲信号</t>
  </si>
  <si>
    <t>V151版本集成</t>
  </si>
  <si>
    <t>绿</t>
  </si>
  <si>
    <t>黄</t>
  </si>
  <si>
    <t>红</t>
  </si>
  <si>
    <t>V153</t>
  </si>
  <si>
    <t>V160</t>
  </si>
  <si>
    <t>超限信号</t>
  </si>
  <si>
    <t>V151南向通</t>
  </si>
  <si>
    <t>待分配</t>
  </si>
  <si>
    <t>V151南向通集中测试</t>
  </si>
  <si>
    <t>工具+配置+排错+数据分析</t>
  </si>
  <si>
    <t>V151南向通验收测试</t>
  </si>
  <si>
    <t>UX+QA</t>
  </si>
  <si>
    <t>南向通一期</t>
  </si>
  <si>
    <t>借调</t>
  </si>
  <si>
    <t>新人</t>
  </si>
  <si>
    <t>守门员-&gt;南向通一期</t>
  </si>
  <si>
    <t>产假</t>
  </si>
  <si>
    <t>V153版本集成</t>
  </si>
  <si>
    <t>V153集中测试</t>
  </si>
  <si>
    <t>V153生产数据比对</t>
  </si>
  <si>
    <t>V153验收测试</t>
  </si>
  <si>
    <t>V153验收用例</t>
  </si>
  <si>
    <t>计费二期</t>
  </si>
  <si>
    <t>计费改造及监测-45</t>
  </si>
  <si>
    <t>计费改造及监测-45-&gt;V153版本集成</t>
  </si>
  <si>
    <t>计费改造及监测-45-&gt;V153验收测试</t>
  </si>
  <si>
    <t>CDS一期</t>
  </si>
  <si>
    <t>CRMW+FRA</t>
  </si>
  <si>
    <t>利率期权二期</t>
  </si>
  <si>
    <t>央行报表及衍生品成交优化</t>
  </si>
  <si>
    <t>版本共享</t>
  </si>
  <si>
    <t>UX设计</t>
  </si>
  <si>
    <t>排错组</t>
  </si>
  <si>
    <t>排错组V151</t>
  </si>
  <si>
    <t>配置管理</t>
  </si>
  <si>
    <t>集成配置-Devops平台开发</t>
  </si>
  <si>
    <t>集成配置-运维</t>
  </si>
  <si>
    <t>方润东</t>
  </si>
  <si>
    <t>马燕飞</t>
  </si>
  <si>
    <t>聂瑞</t>
  </si>
  <si>
    <t>离场</t>
  </si>
  <si>
    <t>婚假-&gt;央行报表</t>
  </si>
  <si>
    <t>姓名</t>
  </si>
  <si>
    <t>公司</t>
  </si>
  <si>
    <t>上上一个项目组</t>
  </si>
  <si>
    <t>所属版本NEW</t>
  </si>
  <si>
    <t>业务技术线组长</t>
  </si>
  <si>
    <t>业务技术条组长（仅统计)</t>
  </si>
  <si>
    <t>业务技术分组NEW</t>
  </si>
  <si>
    <t>技能组</t>
  </si>
  <si>
    <t>电话</t>
  </si>
  <si>
    <t>邮箱</t>
  </si>
  <si>
    <t>工位</t>
  </si>
  <si>
    <t>冉杨鋆</t>
  </si>
  <si>
    <t>中心市场二部</t>
  </si>
  <si>
    <t>V153负责人</t>
  </si>
  <si>
    <t>孙小林</t>
  </si>
  <si>
    <t>不计</t>
  </si>
  <si>
    <t>ranyangjun@chinamoney.com.cn</t>
  </si>
  <si>
    <t>7#201A25</t>
  </si>
  <si>
    <t>需求线</t>
  </si>
  <si>
    <t>zhenganru_zh@chinamoney.com.cn</t>
  </si>
  <si>
    <t>38#205</t>
  </si>
  <si>
    <t>赵攀</t>
  </si>
  <si>
    <t>V151负责人</t>
  </si>
  <si>
    <t>zhaopan_zh@chinamoney.com.cn</t>
  </si>
  <si>
    <t>38#205A3</t>
  </si>
  <si>
    <t>技术线</t>
  </si>
  <si>
    <t>zhangyanghong_zh@chinamoney.com.cn</t>
  </si>
  <si>
    <t>24#203C1</t>
  </si>
  <si>
    <t>杨子玉</t>
  </si>
  <si>
    <t>yangziyu_zh@chinamoney.com.cn</t>
  </si>
  <si>
    <t>7#301A38</t>
  </si>
  <si>
    <t>唐军敏</t>
  </si>
  <si>
    <t>V160负责人</t>
  </si>
  <si>
    <t>tangjunmin@chinamoney.com.cn</t>
  </si>
  <si>
    <t>38#204B5</t>
  </si>
  <si>
    <t>版本整体负责</t>
  </si>
  <si>
    <t>38#204B3</t>
  </si>
  <si>
    <t>孙道伟</t>
  </si>
  <si>
    <t>中汇综合管理部</t>
  </si>
  <si>
    <t>sundaowei_zh@chinamoney.com.cn</t>
  </si>
  <si>
    <t>7#201A20</t>
  </si>
  <si>
    <t>李靖民</t>
  </si>
  <si>
    <t>lijingmin@chinamoney.com.cn</t>
  </si>
  <si>
    <t>7#301A12</t>
  </si>
  <si>
    <t>gujingjie@chinamoney.com.cn</t>
  </si>
  <si>
    <t>38#204B6</t>
  </si>
  <si>
    <t>王伟</t>
  </si>
  <si>
    <t>埃森哲</t>
  </si>
  <si>
    <t>w.o.wang@accenture.com</t>
  </si>
  <si>
    <t>24#203C37</t>
  </si>
  <si>
    <t>付天恩</t>
  </si>
  <si>
    <t>汉朔</t>
  </si>
  <si>
    <t>futn@hanorth.com</t>
  </si>
  <si>
    <t>7#301A14</t>
  </si>
  <si>
    <t>吴波</t>
  </si>
  <si>
    <t>塔塔</t>
  </si>
  <si>
    <t>wuboccv@163.com</t>
  </si>
  <si>
    <t>唐熙棱</t>
  </si>
  <si>
    <t>华腾</t>
  </si>
  <si>
    <t>tangxileng@chinasofti.com</t>
  </si>
  <si>
    <t>24#203A32</t>
  </si>
  <si>
    <t>魏如梦</t>
  </si>
  <si>
    <t>weirm@hanorth.cn</t>
  </si>
  <si>
    <t>7#201A27</t>
  </si>
  <si>
    <t>王智鹏</t>
  </si>
  <si>
    <t>凯道</t>
  </si>
  <si>
    <t>wangzhipeng@star-china.vip</t>
  </si>
  <si>
    <t>38#204A7</t>
  </si>
  <si>
    <t>陈杰樱</t>
  </si>
  <si>
    <t>中汇开发三部</t>
  </si>
  <si>
    <t>刁望庆-项目</t>
  </si>
  <si>
    <t>chenjieying_zh@chinamoney.com.cn</t>
  </si>
  <si>
    <t>24#202A41</t>
  </si>
  <si>
    <t>王瑞</t>
  </si>
  <si>
    <t>rui.h.wang@accenture.com</t>
  </si>
  <si>
    <t>24#203C41</t>
  </si>
  <si>
    <t>翟瑞平</t>
  </si>
  <si>
    <t>zhairuiping890626@126.com</t>
  </si>
  <si>
    <t>24#203C26</t>
  </si>
  <si>
    <t>丁强</t>
  </si>
  <si>
    <t>qiang.ding@tcs.com</t>
  </si>
  <si>
    <t>24#203C3</t>
  </si>
  <si>
    <t>翁复来</t>
  </si>
  <si>
    <t>向普</t>
  </si>
  <si>
    <t>fly_17@126.com</t>
  </si>
  <si>
    <t>24#203B5</t>
  </si>
  <si>
    <t>陆光晨</t>
  </si>
  <si>
    <t>恒天</t>
  </si>
  <si>
    <t>guangchenlu@hengtiansoft.com</t>
  </si>
  <si>
    <t>24#203C18</t>
  </si>
  <si>
    <t>姜财</t>
  </si>
  <si>
    <t>a657890525@163.com</t>
  </si>
  <si>
    <t>24#202A40</t>
  </si>
  <si>
    <t>彭福康</t>
  </si>
  <si>
    <t>微软</t>
  </si>
  <si>
    <t>1615391348@qq.com</t>
  </si>
  <si>
    <t>24#203B9</t>
  </si>
  <si>
    <t>梁木1</t>
  </si>
  <si>
    <t>muliang1@hengtiansoft.com</t>
  </si>
  <si>
    <t>张东升</t>
  </si>
  <si>
    <t>1083994394@qq.com</t>
  </si>
  <si>
    <t>24#203A11</t>
  </si>
  <si>
    <t>陈诚02</t>
  </si>
  <si>
    <t>chelychen@hengtiansoft.com</t>
  </si>
  <si>
    <t>24#203C14</t>
  </si>
  <si>
    <t>王春辉</t>
  </si>
  <si>
    <t>909322487@qq.com</t>
  </si>
  <si>
    <t>38#204A3</t>
  </si>
  <si>
    <t>祖滔</t>
  </si>
  <si>
    <t>zu__tao@163.com</t>
  </si>
  <si>
    <t>24#203B13</t>
  </si>
  <si>
    <t>张路</t>
  </si>
  <si>
    <t>lu.z@tcs.com</t>
  </si>
  <si>
    <t>孙雨锦02</t>
  </si>
  <si>
    <t>sunyujin@start-china.vip</t>
  </si>
  <si>
    <t>7#301A6</t>
  </si>
  <si>
    <t>潘泳光</t>
  </si>
  <si>
    <t>金楷泽</t>
  </si>
  <si>
    <t>pyg13052113375@126.com</t>
  </si>
  <si>
    <t>24#104A13</t>
  </si>
  <si>
    <t>吴臻杰</t>
  </si>
  <si>
    <t>wuzhj@hanorth.net</t>
  </si>
  <si>
    <t>陈晓瑶</t>
  </si>
  <si>
    <t>chenxy@hanorth.net</t>
  </si>
  <si>
    <t>24#203B10-1</t>
  </si>
  <si>
    <t>章群燕</t>
  </si>
  <si>
    <t>周德乐-项目</t>
  </si>
  <si>
    <t>zhangqunyan_zh@chinamoney.com.cn</t>
  </si>
  <si>
    <t>24#203A24</t>
  </si>
  <si>
    <t>杨姗</t>
  </si>
  <si>
    <t>shan.b.yang@accenture.com</t>
  </si>
  <si>
    <t>7#301A18</t>
  </si>
  <si>
    <t>许伊涵</t>
  </si>
  <si>
    <t>骄洋</t>
  </si>
  <si>
    <t>7#301A24</t>
  </si>
  <si>
    <t>翟丽丽</t>
  </si>
  <si>
    <t>zhaill@start-china.vip</t>
  </si>
  <si>
    <t>24#203B15</t>
  </si>
  <si>
    <t>张东升01</t>
  </si>
  <si>
    <t>zhangds@start-china.vip</t>
  </si>
  <si>
    <t>24#203A20</t>
  </si>
  <si>
    <t>于肖肖</t>
  </si>
  <si>
    <t>yuxx@hanorth.net</t>
  </si>
  <si>
    <t>24#203B11-1</t>
  </si>
  <si>
    <t>魏亚男</t>
  </si>
  <si>
    <t>鼎纪</t>
  </si>
  <si>
    <t>V151验收测试</t>
  </si>
  <si>
    <t>weiyanan_dj@ectesting.cn</t>
  </si>
  <si>
    <t>7#301A22</t>
  </si>
  <si>
    <t>石秀</t>
  </si>
  <si>
    <t>xiu.shi@sharpg.com</t>
  </si>
  <si>
    <t>24#203A6</t>
  </si>
  <si>
    <t>胡遂明</t>
  </si>
  <si>
    <t>suiming.hu@microsoft.com</t>
  </si>
  <si>
    <t>白晓乐</t>
  </si>
  <si>
    <t>15038600851@163.com</t>
  </si>
  <si>
    <t>7#201A9</t>
  </si>
  <si>
    <t>田彩冰</t>
  </si>
  <si>
    <t>京北方</t>
  </si>
  <si>
    <t>anderyt@163.com</t>
  </si>
  <si>
    <t>24#203B6-1</t>
  </si>
  <si>
    <t>中汇开发一部</t>
  </si>
  <si>
    <t>lvxinran_zh@chinamoney.com.cn</t>
  </si>
  <si>
    <t>王阳</t>
  </si>
  <si>
    <t>wangyang02@chinasofti.com</t>
  </si>
  <si>
    <t>24#202A36</t>
  </si>
  <si>
    <t>石爱芳</t>
  </si>
  <si>
    <t>shiaifang@hanorth.cn</t>
  </si>
  <si>
    <t>休产假</t>
  </si>
  <si>
    <t>李慧洁01</t>
  </si>
  <si>
    <t>lihuijie@ectesting.cn</t>
  </si>
  <si>
    <t>24#203C21</t>
  </si>
  <si>
    <t>王勇浩01</t>
  </si>
  <si>
    <t>914917609@qq.com</t>
  </si>
  <si>
    <t>38#204A14</t>
  </si>
  <si>
    <t>李月月</t>
  </si>
  <si>
    <t>liyue_tcs@126.com</t>
  </si>
  <si>
    <t>38#204A21</t>
  </si>
  <si>
    <t>李彩红</t>
  </si>
  <si>
    <t>767209764@qq.com</t>
  </si>
  <si>
    <t>24#203B1-1</t>
  </si>
  <si>
    <t>甄向锋</t>
  </si>
  <si>
    <t>xiangfengzhen@zitainfo.com</t>
  </si>
  <si>
    <t>7#201A32</t>
  </si>
  <si>
    <t>李庆铎</t>
  </si>
  <si>
    <t>liqingduo@hanorth.com</t>
  </si>
  <si>
    <t>24#202A34</t>
  </si>
  <si>
    <t>赵晓韵</t>
  </si>
  <si>
    <t>zhaoxiaoyun_zh@chinamoney.com.cn</t>
  </si>
  <si>
    <t>38#204A1</t>
  </si>
  <si>
    <t>孙晓安</t>
  </si>
  <si>
    <t>Xiaoan.sun@accenture.com</t>
  </si>
  <si>
    <t>24#203B7</t>
  </si>
  <si>
    <t>1065557875@qq.com</t>
  </si>
  <si>
    <t>24#203B18</t>
  </si>
  <si>
    <t>陈斌</t>
  </si>
  <si>
    <t>chenbin@jykjsys.com</t>
  </si>
  <si>
    <t>24#202A29</t>
  </si>
  <si>
    <t>曹越</t>
  </si>
  <si>
    <t>cy100527@163.com</t>
  </si>
  <si>
    <t>38#204A6</t>
  </si>
  <si>
    <t>邝亚光</t>
  </si>
  <si>
    <t>moocsk@163.com</t>
  </si>
  <si>
    <t>24#202A35</t>
  </si>
  <si>
    <t>丁乐01</t>
  </si>
  <si>
    <t>dingle@start-china.vip</t>
  </si>
  <si>
    <t>7#301A45</t>
  </si>
  <si>
    <t>24#203A25</t>
  </si>
  <si>
    <t>苏雷皓</t>
  </si>
  <si>
    <t>中汇总工办</t>
  </si>
  <si>
    <t>suleihao_zh@chinamoney.com.cn</t>
  </si>
  <si>
    <t>24#203A28</t>
  </si>
  <si>
    <t>杨梦珂</t>
  </si>
  <si>
    <t>yangmk@hanorth.net</t>
  </si>
  <si>
    <t>24#202A43</t>
  </si>
  <si>
    <t>夏守伟</t>
  </si>
  <si>
    <t>法本</t>
  </si>
  <si>
    <t>1306752515@qq.com</t>
  </si>
  <si>
    <t>24#203A31</t>
  </si>
  <si>
    <t>魏渐俊</t>
  </si>
  <si>
    <t>weijianjun_zh@chinamoney.com.cn</t>
  </si>
  <si>
    <t>7#301A32</t>
  </si>
  <si>
    <t>王新</t>
  </si>
  <si>
    <t>wxstring001@163.com</t>
  </si>
  <si>
    <t>王春明</t>
  </si>
  <si>
    <t>5526929@qq.com</t>
  </si>
  <si>
    <t>黎德国</t>
  </si>
  <si>
    <t>时溪</t>
  </si>
  <si>
    <t>lidg@timesvc.net</t>
  </si>
  <si>
    <t>24#203B1</t>
  </si>
  <si>
    <t>李冬冬01</t>
  </si>
  <si>
    <t>lidongdong@ectesting.cn</t>
  </si>
  <si>
    <t>陈嘉伟</t>
  </si>
  <si>
    <t>chenjiawei_zh@chinamoney.com.cn</t>
  </si>
  <si>
    <t>24#203B11</t>
  </si>
  <si>
    <t>孙泽龄</t>
  </si>
  <si>
    <t>zeling.sun@accenture.com</t>
  </si>
  <si>
    <t>24#203C30</t>
  </si>
  <si>
    <t>徐振忠</t>
  </si>
  <si>
    <t>zhenzhong.xu@tcs.com</t>
  </si>
  <si>
    <t>7#301A11</t>
  </si>
  <si>
    <t>王涛</t>
  </si>
  <si>
    <t>tao.wang@sharpg.com</t>
  </si>
  <si>
    <t>7#201A10</t>
  </si>
  <si>
    <t>陈浩宇</t>
  </si>
  <si>
    <t>haoyuchen@hengtiansoft.com</t>
  </si>
  <si>
    <t>王艳慧</t>
  </si>
  <si>
    <t>wangyanhui@start-china.vip</t>
  </si>
  <si>
    <t>24#203A19</t>
  </si>
  <si>
    <t>邱媛媛</t>
  </si>
  <si>
    <t>qiuyuanyuan_zh@chinamoney.com.cn</t>
  </si>
  <si>
    <t>7#201A12</t>
  </si>
  <si>
    <t>中汇测试部</t>
  </si>
  <si>
    <t>xuhuipeng_zh@chinamoney.com.cn</t>
  </si>
  <si>
    <t>38#204B2</t>
  </si>
  <si>
    <t>冉金澎01</t>
  </si>
  <si>
    <t>ranjp@hanorth.net</t>
  </si>
  <si>
    <t>24#203C13</t>
  </si>
  <si>
    <t>黄晓露</t>
  </si>
  <si>
    <t>huangxiaolu@ectesting.cn</t>
  </si>
  <si>
    <t>24#202A33</t>
  </si>
  <si>
    <t>夏远欣</t>
  </si>
  <si>
    <t>xiayuanxin@hanorth.cn</t>
  </si>
  <si>
    <t>24#203C8</t>
  </si>
  <si>
    <t>马士会</t>
  </si>
  <si>
    <t>vivid.shihui.ma@accenture.com</t>
  </si>
  <si>
    <t>24#202A18</t>
  </si>
  <si>
    <t>鲍晓飞</t>
  </si>
  <si>
    <t>威擎</t>
  </si>
  <si>
    <t>baoxiaofei@vincce.com</t>
  </si>
  <si>
    <t>24#203A18</t>
  </si>
  <si>
    <t>杨柳02</t>
  </si>
  <si>
    <t>v-liuyng@microsoft.com</t>
  </si>
  <si>
    <t>孙雅雯</t>
  </si>
  <si>
    <t>yawen.a.sun@accenture.com</t>
  </si>
  <si>
    <t>7#201A19</t>
  </si>
  <si>
    <t>商月</t>
  </si>
  <si>
    <t>张洋弘-项目</t>
  </si>
  <si>
    <t>shangyue_zh@chinamoney.com.cn</t>
  </si>
  <si>
    <t>7#201A28</t>
  </si>
  <si>
    <t>梅济正</t>
  </si>
  <si>
    <t>mjzdream@163.com</t>
  </si>
  <si>
    <t>24#202A48</t>
  </si>
  <si>
    <t>宋依麟</t>
  </si>
  <si>
    <t>435432218@qq.com</t>
  </si>
  <si>
    <t>24#202A53</t>
  </si>
  <si>
    <t>王诗凡</t>
  </si>
  <si>
    <t>156370977@qq.com</t>
  </si>
  <si>
    <t>24#203A5</t>
  </si>
  <si>
    <t>zhoudele@chinamoney.com.cn</t>
  </si>
  <si>
    <t>24#203C29</t>
  </si>
  <si>
    <t>王磊</t>
  </si>
  <si>
    <t>l.wang2@tcs.com</t>
  </si>
  <si>
    <t>38#204A5</t>
  </si>
  <si>
    <t>shendongdong@chinamoney.com.cn</t>
  </si>
  <si>
    <t>24#203C6</t>
  </si>
  <si>
    <t>617509770@qq.com</t>
  </si>
  <si>
    <t>7#201A2</t>
  </si>
  <si>
    <t>lijian_zh@chinamoney.com.cn</t>
  </si>
  <si>
    <t>24#203C11</t>
  </si>
  <si>
    <t>李广</t>
  </si>
  <si>
    <t>314452213@qq.com</t>
  </si>
  <si>
    <t>7#201A8</t>
  </si>
  <si>
    <t>fangrd@hanorth.cn</t>
  </si>
  <si>
    <t>38#204A27</t>
  </si>
  <si>
    <t>徐庆来</t>
  </si>
  <si>
    <t>ydgotwt@126.com</t>
  </si>
  <si>
    <t>38#204A22</t>
  </si>
  <si>
    <t>周功平</t>
  </si>
  <si>
    <t>zhougongping_zh@chinamoney.com.cn</t>
  </si>
  <si>
    <t>38#204B1</t>
  </si>
  <si>
    <t>闫培杰</t>
  </si>
  <si>
    <t>yanpeijie@ectesting.cn</t>
  </si>
  <si>
    <t>38#204A15</t>
  </si>
  <si>
    <t>中汇支持服务部</t>
  </si>
  <si>
    <t>lijingwen_zh@chinamoney.com.cn</t>
  </si>
  <si>
    <t>孙相龙</t>
  </si>
  <si>
    <t>eddiesunxl@163.com</t>
  </si>
  <si>
    <t>文婷苇</t>
  </si>
  <si>
    <t>tingwei.wen@accenture.com</t>
  </si>
  <si>
    <t>郝好</t>
  </si>
  <si>
    <t>slyvia.hao.hao@accenture.com</t>
  </si>
  <si>
    <t>24#203C32</t>
  </si>
  <si>
    <t>胡彪</t>
  </si>
  <si>
    <t>hubiao@start-china.vip</t>
  </si>
  <si>
    <t>24#203C34</t>
  </si>
  <si>
    <t>吴敏华</t>
  </si>
  <si>
    <t>wuminhua_hs@hanorth.cn</t>
  </si>
  <si>
    <t>沈一筹</t>
  </si>
  <si>
    <t>shenyichou_zh@chinamoney.com.cn</t>
  </si>
  <si>
    <t>左麟</t>
  </si>
  <si>
    <t>zuolin@hanorth.net</t>
  </si>
  <si>
    <t>7#201A18</t>
  </si>
  <si>
    <t>李杨</t>
  </si>
  <si>
    <t>jsliyang2@126.com</t>
  </si>
  <si>
    <t>38#204A18</t>
  </si>
  <si>
    <t>雷阳</t>
  </si>
  <si>
    <t>1270600800@qq.com</t>
  </si>
  <si>
    <t>24#203C35</t>
  </si>
  <si>
    <t>徐启峰</t>
  </si>
  <si>
    <t>xuqifeng@vincce.com</t>
  </si>
  <si>
    <t>24#203B5-1</t>
  </si>
  <si>
    <t>李超01</t>
  </si>
  <si>
    <t>chaoli1@hengtiansoft.com</t>
  </si>
  <si>
    <t>24#202A54</t>
  </si>
  <si>
    <t>李云毅</t>
  </si>
  <si>
    <t>liyunyi_zh@chinamoney.com.cn</t>
  </si>
  <si>
    <t>龚伟峰</t>
  </si>
  <si>
    <t>gongwf@hanorth.com</t>
  </si>
  <si>
    <t>7#301A10</t>
  </si>
  <si>
    <t>姚文心</t>
  </si>
  <si>
    <t>yaowenxin_zh@chinamoney.cpm.cn</t>
  </si>
  <si>
    <t>24#203C33</t>
  </si>
  <si>
    <t>江云南</t>
  </si>
  <si>
    <t>yunnanjiang@hengtiansoft.com</t>
  </si>
  <si>
    <t>24#203C10</t>
  </si>
  <si>
    <t>赵洋洋</t>
  </si>
  <si>
    <t>153129037@qq.com</t>
  </si>
  <si>
    <t>38#204A17</t>
  </si>
  <si>
    <t>吴金成</t>
  </si>
  <si>
    <t>wujincheng@ectesting.cn</t>
  </si>
  <si>
    <t>7#301A23</t>
  </si>
  <si>
    <t>朱雪元</t>
  </si>
  <si>
    <t>grantzhu5729@163.com</t>
  </si>
  <si>
    <t>24#203C17</t>
  </si>
  <si>
    <t>胡庆</t>
  </si>
  <si>
    <t>huqing001@chinasofti.com</t>
  </si>
  <si>
    <t>24#104A2</t>
  </si>
  <si>
    <t>陈敏</t>
  </si>
  <si>
    <t>minchen@hengtiansoft.com</t>
  </si>
  <si>
    <t>24#203A9</t>
  </si>
  <si>
    <t>李佳慧</t>
  </si>
  <si>
    <t>1652087914@qq.com</t>
  </si>
  <si>
    <t>24#203B20</t>
  </si>
  <si>
    <t>胡昊</t>
  </si>
  <si>
    <t>haohu@hengtiansoft.com</t>
  </si>
  <si>
    <t>7#201A17</t>
  </si>
  <si>
    <t>陈创</t>
  </si>
  <si>
    <t>chuangchen@xiaolianinf.com</t>
  </si>
  <si>
    <t>7#201A4</t>
  </si>
  <si>
    <t>程刚</t>
  </si>
  <si>
    <t>76246250@qq.com</t>
  </si>
  <si>
    <t>7#201A13</t>
  </si>
  <si>
    <t>范东坤</t>
  </si>
  <si>
    <t>fandongkun@start-china.vip</t>
  </si>
  <si>
    <t>7#301A13</t>
  </si>
  <si>
    <t>邬全友</t>
  </si>
  <si>
    <t>wqy1239819084@163.com</t>
  </si>
  <si>
    <t>庞苏瑶</t>
  </si>
  <si>
    <t>suyao.pang@farben.com.cn</t>
  </si>
  <si>
    <t>24#104A3</t>
  </si>
  <si>
    <t>吴燕玉</t>
  </si>
  <si>
    <t>sweetcookiewu@163.com</t>
  </si>
  <si>
    <t>24#203C39</t>
  </si>
  <si>
    <t>吴凯</t>
  </si>
  <si>
    <t>kai.a.wu@accenture.com</t>
  </si>
  <si>
    <t>24#203B16</t>
  </si>
  <si>
    <t>liuqian@chinamoney.com.cn</t>
  </si>
  <si>
    <t>24#203A12</t>
  </si>
  <si>
    <t>汪立</t>
  </si>
  <si>
    <t>支持-会员组支持</t>
  </si>
  <si>
    <t>会员组支持</t>
  </si>
  <si>
    <t>wangli@timesvc.net</t>
  </si>
  <si>
    <t>外滩</t>
  </si>
  <si>
    <t>何强</t>
  </si>
  <si>
    <t>13818695034@163.com</t>
  </si>
  <si>
    <t>38#302</t>
  </si>
  <si>
    <t>陈婷玉</t>
  </si>
  <si>
    <t>chenty@start-china.vip</t>
  </si>
  <si>
    <t>7#201A21</t>
  </si>
  <si>
    <t>陈玉莲</t>
  </si>
  <si>
    <t>chenyulian@hanorth.com</t>
  </si>
  <si>
    <t>白苗苗</t>
  </si>
  <si>
    <t>miaomiaobai@hengtiansoft.com</t>
  </si>
  <si>
    <t>朱丽娜</t>
  </si>
  <si>
    <t>zhuln@hanorth.com</t>
  </si>
  <si>
    <t>38#204A19</t>
  </si>
  <si>
    <t>林艳</t>
  </si>
  <si>
    <t>linyan@jykjsys.com</t>
  </si>
  <si>
    <t>38#204A20</t>
  </si>
  <si>
    <t>陈是杏</t>
  </si>
  <si>
    <t>支持-QA不计</t>
  </si>
  <si>
    <t>chenshixing@kingkz.com</t>
  </si>
  <si>
    <t>38#204A23</t>
  </si>
  <si>
    <t>杨棚</t>
  </si>
  <si>
    <t>douflamingo6@icloud.com</t>
  </si>
  <si>
    <t>7#201A14</t>
  </si>
  <si>
    <t>马海洋</t>
  </si>
  <si>
    <t>17502186239@163.com</t>
  </si>
  <si>
    <t>张猛</t>
  </si>
  <si>
    <t>zhangmeng@ectesting.cn</t>
  </si>
  <si>
    <t>7#301A4</t>
  </si>
  <si>
    <t>潘成中</t>
  </si>
  <si>
    <t>panchzh@hanorth.cn</t>
  </si>
  <si>
    <t>38#204A13</t>
  </si>
  <si>
    <t>孙士惠</t>
  </si>
  <si>
    <t>24#202A38</t>
  </si>
  <si>
    <t>张政尧</t>
  </si>
  <si>
    <t>zhangzhy@hanorth.cn</t>
  </si>
  <si>
    <t>24#203C22</t>
  </si>
  <si>
    <t>杨光</t>
  </si>
  <si>
    <t>yangguang@ectesting.cn</t>
  </si>
  <si>
    <t>王帅帅</t>
  </si>
  <si>
    <t>wangshuaishuai@ectesting.cn</t>
  </si>
  <si>
    <t>24#203B3</t>
  </si>
  <si>
    <t>涂瑞强</t>
  </si>
  <si>
    <t>turuiqiang@ectesting.cn</t>
  </si>
  <si>
    <t>翟青华01</t>
  </si>
  <si>
    <t>zhaiqinghua@ectesting.cn</t>
  </si>
  <si>
    <t>7#301A5</t>
  </si>
  <si>
    <t>陈海若</t>
  </si>
  <si>
    <t>hairuochen@hengtiansoft.com</t>
  </si>
  <si>
    <t>王德成</t>
  </si>
  <si>
    <t>wangdecheng@start-china.vip</t>
  </si>
  <si>
    <t>38#204A10</t>
  </si>
  <si>
    <t>段杰</t>
  </si>
  <si>
    <t>921279158@qq.com</t>
  </si>
  <si>
    <t>7#301A40</t>
  </si>
  <si>
    <t>马岩01</t>
  </si>
  <si>
    <t>mayan@start-china.vip</t>
  </si>
  <si>
    <t>7#301A35</t>
  </si>
  <si>
    <t>麻昆仑</t>
  </si>
  <si>
    <t>makunlun@start-china.vip</t>
  </si>
  <si>
    <t>7#301A7</t>
  </si>
  <si>
    <t>张园园01</t>
  </si>
  <si>
    <t>zhangyy@start-china.vip</t>
  </si>
  <si>
    <t>谈思琼</t>
  </si>
  <si>
    <t>tan si qiong@start-china.vip</t>
  </si>
  <si>
    <t>胡子龙</t>
  </si>
  <si>
    <t>huzilong@start-china.vip</t>
  </si>
  <si>
    <t>伍丽萍</t>
  </si>
  <si>
    <t>wulp@start-china.vip</t>
  </si>
  <si>
    <t>苏鹏飞02</t>
  </si>
  <si>
    <t>supengfei@start-china.vip</t>
  </si>
  <si>
    <t>7#301A28</t>
  </si>
  <si>
    <t>沈辉</t>
  </si>
  <si>
    <t>shenhui@start-china.vip</t>
  </si>
  <si>
    <t>于自尚</t>
  </si>
  <si>
    <t>yuzishang@start-china.vip</t>
  </si>
  <si>
    <t>7#301A36</t>
  </si>
  <si>
    <t>张政生</t>
  </si>
  <si>
    <t>zhangzs@start-china.vip</t>
  </si>
  <si>
    <t>石豪</t>
  </si>
  <si>
    <t>shihao@start-china.vip.com</t>
  </si>
  <si>
    <t>7#301A34</t>
  </si>
  <si>
    <t>张文科</t>
  </si>
  <si>
    <t>zhangwk@start-china.vip</t>
  </si>
  <si>
    <t>周玮</t>
  </si>
  <si>
    <t>zhouwei@start-china.vip</t>
  </si>
  <si>
    <t>24#203C38</t>
  </si>
  <si>
    <t>田明明</t>
  </si>
  <si>
    <t>tianmingming@start-china.vip.com</t>
  </si>
  <si>
    <t>7#301A3</t>
  </si>
  <si>
    <t>戚澎建</t>
  </si>
  <si>
    <t>qipengjian@start-china.vip.com</t>
  </si>
  <si>
    <t>38#204A2</t>
  </si>
  <si>
    <t>朱坤坤</t>
  </si>
  <si>
    <t>zhukk@start-china.vip</t>
  </si>
  <si>
    <t>7#301A21</t>
  </si>
  <si>
    <t>敖恒</t>
  </si>
  <si>
    <t>aoheng@start-china.vip</t>
  </si>
  <si>
    <t>7#301A33</t>
  </si>
  <si>
    <t>张丽</t>
  </si>
  <si>
    <t>zhangli@start-china.vip.com</t>
  </si>
  <si>
    <t>7#301A31</t>
  </si>
  <si>
    <t>姜宇亮</t>
  </si>
  <si>
    <t>24#202A19</t>
  </si>
  <si>
    <t>石少帅</t>
  </si>
  <si>
    <t>shishaoshuai@start-china.vip.com</t>
  </si>
  <si>
    <t>7#301A9</t>
  </si>
  <si>
    <t>谭明贵</t>
  </si>
  <si>
    <t>tanminggui@start-china.vip.com</t>
  </si>
  <si>
    <t>7#301A19</t>
  </si>
  <si>
    <t>夏磊</t>
  </si>
  <si>
    <t>7#301A27</t>
  </si>
  <si>
    <t>郭龙梅</t>
  </si>
  <si>
    <t>7#301A29</t>
  </si>
  <si>
    <t>王莉</t>
  </si>
  <si>
    <t>24#203A23</t>
  </si>
  <si>
    <t>黄鹏</t>
  </si>
  <si>
    <t>祁万</t>
  </si>
  <si>
    <t>qiwan@chinasofti.com</t>
  </si>
  <si>
    <t>周隽</t>
  </si>
  <si>
    <t>zhoujun5582@163.com</t>
  </si>
  <si>
    <t>24#104A16</t>
  </si>
  <si>
    <t>郑朝云</t>
  </si>
  <si>
    <t>he</t>
  </si>
  <si>
    <t>24#104A9</t>
  </si>
  <si>
    <t>郑成强</t>
  </si>
  <si>
    <t>chengqiangzheng@hengtiansoft.com</t>
  </si>
  <si>
    <t>张晓</t>
  </si>
  <si>
    <t>iezhangxiao@qq.com</t>
  </si>
  <si>
    <t>24#104A19</t>
  </si>
  <si>
    <t>王骥</t>
  </si>
  <si>
    <t>jiwang@hengtiansoft.com</t>
  </si>
  <si>
    <t>田佳乐</t>
  </si>
  <si>
    <t>jialetian@hengtiansoft.com</t>
  </si>
  <si>
    <t>24#104A4</t>
  </si>
  <si>
    <t>施迁</t>
  </si>
  <si>
    <t>red.comet@live.com</t>
  </si>
  <si>
    <t>刘敏</t>
  </si>
  <si>
    <t>liumin@hengtian.com</t>
  </si>
  <si>
    <t>刘春平</t>
  </si>
  <si>
    <t>liuchunping_zh@chinamoney.com.cn</t>
  </si>
  <si>
    <t>24#104</t>
  </si>
  <si>
    <t>梁艺淞</t>
  </si>
  <si>
    <t>liangyisong@jykjsys.com</t>
  </si>
  <si>
    <t>李艺楠</t>
  </si>
  <si>
    <t>leoli@hengtiansoft.com</t>
  </si>
  <si>
    <t>24#104A7</t>
  </si>
  <si>
    <t>郭文浩</t>
  </si>
  <si>
    <t>648368843@qq.com</t>
  </si>
  <si>
    <t>24#203A14</t>
  </si>
  <si>
    <t>董炎彦</t>
  </si>
  <si>
    <t>dongyanyan_zh@chinamoney.com.cn</t>
  </si>
  <si>
    <t>24#104A24</t>
  </si>
  <si>
    <t>陈昊</t>
  </si>
  <si>
    <t>chenhao@chinasofti.com</t>
  </si>
  <si>
    <t>李科</t>
  </si>
  <si>
    <t>like@jykjsys.com</t>
  </si>
  <si>
    <t>24#104A23</t>
  </si>
  <si>
    <t>chenqiming_zh@chinamoney.com.cn</t>
  </si>
  <si>
    <t>陈九辉</t>
  </si>
  <si>
    <t>chenjiuhui@jykjsys.com</t>
  </si>
  <si>
    <t>38#204A16</t>
  </si>
  <si>
    <t>陈鹤</t>
  </si>
  <si>
    <t>chenhe_zh@chinamoney.com.cn</t>
  </si>
  <si>
    <t>24#202A51</t>
  </si>
  <si>
    <t>王寅森</t>
  </si>
  <si>
    <t>wangyinsen@start-china.vip</t>
  </si>
  <si>
    <t>38#204A8</t>
  </si>
  <si>
    <t>曹泽恒</t>
  </si>
  <si>
    <t>zeheng.cao@farben.com.cn</t>
  </si>
  <si>
    <t>付家然</t>
  </si>
  <si>
    <t>jiaranfu@hengtiansoft.com</t>
  </si>
  <si>
    <t>许贻豪</t>
  </si>
  <si>
    <t>xuyihao@jykjsys.com</t>
  </si>
  <si>
    <t>7#201A11</t>
  </si>
  <si>
    <t>谢桂锋</t>
  </si>
  <si>
    <t>xieguifeng@faben.com.cn</t>
  </si>
  <si>
    <t>24#104A22</t>
  </si>
  <si>
    <t>金武顺</t>
  </si>
  <si>
    <t>陈启明-版本</t>
  </si>
  <si>
    <t>jinwsh@hanorth.cn</t>
  </si>
  <si>
    <t>24#104A12</t>
  </si>
  <si>
    <t>陈若来</t>
  </si>
  <si>
    <t>chenrl@hanorth.cn</t>
  </si>
  <si>
    <t>7#201A6</t>
  </si>
  <si>
    <t>谢经兵</t>
  </si>
  <si>
    <t>xiejb@hanorth.cn</t>
  </si>
  <si>
    <t>38#204A11</t>
  </si>
  <si>
    <t>胡祖思</t>
  </si>
  <si>
    <t>huzs@hanorth.cn</t>
  </si>
  <si>
    <t>7#301A26</t>
  </si>
  <si>
    <t>于俊涛</t>
  </si>
  <si>
    <t>1045269538@qq.com</t>
  </si>
  <si>
    <t>38#204A24</t>
  </si>
  <si>
    <t>董莹莹</t>
  </si>
  <si>
    <t>dongyingying@ectesting.cn</t>
  </si>
  <si>
    <t>38#204A4</t>
  </si>
  <si>
    <t>夏淑文</t>
  </si>
  <si>
    <t>xiashuwen@ectesting.cn</t>
  </si>
  <si>
    <t>24#203B19</t>
  </si>
  <si>
    <t>陆云帆</t>
  </si>
  <si>
    <t>luyunfan@kingkz.com</t>
  </si>
  <si>
    <t>24#203C16</t>
  </si>
  <si>
    <t>卢朝立</t>
  </si>
  <si>
    <t>luchaoli@kingkz.com</t>
  </si>
  <si>
    <t>24#203A13</t>
  </si>
  <si>
    <t>沈迪</t>
  </si>
  <si>
    <t>shendi@ectesting.cn</t>
  </si>
  <si>
    <t>7#301A15</t>
  </si>
  <si>
    <t>冒文影</t>
  </si>
  <si>
    <t>maowenying@ectesting.cn</t>
  </si>
  <si>
    <t>24#203A30</t>
  </si>
  <si>
    <t>王睿杰</t>
  </si>
  <si>
    <t>tjvegita@aliyun.com</t>
  </si>
  <si>
    <t>24#203C20</t>
  </si>
  <si>
    <t>孙栩</t>
  </si>
  <si>
    <t>sunxu@jykjsys.com</t>
  </si>
  <si>
    <t>7#301A2</t>
  </si>
  <si>
    <t>钟建强</t>
  </si>
  <si>
    <t>jianqiang. zhong@farben.com.cn</t>
  </si>
  <si>
    <t>郭方丽</t>
  </si>
  <si>
    <t>guofangli@hanorth.com</t>
  </si>
  <si>
    <t>24#202A39</t>
  </si>
  <si>
    <t>陈小芬</t>
  </si>
  <si>
    <t>xiaofen.chen@sharpg.com</t>
  </si>
  <si>
    <t>7#301A25</t>
  </si>
  <si>
    <t>邴文静</t>
  </si>
  <si>
    <t>bingwenjing@hanorth.com</t>
  </si>
  <si>
    <t>7#301A44</t>
  </si>
  <si>
    <t>杨得源</t>
  </si>
  <si>
    <t>yangdeyuan@hanorth.com</t>
  </si>
  <si>
    <t>曾祥龙</t>
  </si>
  <si>
    <t>zengxianglong@farben.com.cn</t>
  </si>
  <si>
    <t>24#104A11</t>
  </si>
  <si>
    <t>费厚壮</t>
  </si>
  <si>
    <t>feihouzhuang@hanorth.com</t>
  </si>
  <si>
    <t>24#203A15</t>
  </si>
  <si>
    <t>金星航</t>
  </si>
  <si>
    <t>492642279@qq.com</t>
  </si>
  <si>
    <t>24#104A6</t>
  </si>
  <si>
    <t>尤伟</t>
  </si>
  <si>
    <t>youwei20080524@163.com</t>
  </si>
  <si>
    <t>24#202A44</t>
  </si>
  <si>
    <t>张建山</t>
  </si>
  <si>
    <t>zhangjianshan@ectesting.cn</t>
  </si>
  <si>
    <t>24#203A1</t>
  </si>
  <si>
    <t>丁金灵</t>
  </si>
  <si>
    <t>dingjinling@hanorth.com</t>
  </si>
  <si>
    <t>38#204A9</t>
  </si>
  <si>
    <t>胡健</t>
  </si>
  <si>
    <t>jian.a.hu@accenture.com</t>
  </si>
  <si>
    <t>24#202A21</t>
  </si>
  <si>
    <t>姜涛</t>
  </si>
  <si>
    <t>24#104A5</t>
  </si>
  <si>
    <t>蔡聪</t>
  </si>
  <si>
    <t>caicong@hanorth.com</t>
  </si>
  <si>
    <t>7#301A30</t>
  </si>
  <si>
    <t>胡佳莹</t>
  </si>
  <si>
    <t>hujiaying@ectesting.cn</t>
  </si>
  <si>
    <t>7#301A8</t>
  </si>
  <si>
    <t>张帅</t>
  </si>
  <si>
    <t>zhangshuai@ectesting.cn</t>
  </si>
  <si>
    <t>24#203B4-1</t>
  </si>
  <si>
    <t>李昂</t>
  </si>
  <si>
    <t>li.ang1@tcs.con</t>
  </si>
  <si>
    <t>38#204A25</t>
  </si>
  <si>
    <t>李双</t>
  </si>
  <si>
    <t>lishuang@ectesting.cn</t>
  </si>
  <si>
    <t>7#301A37</t>
  </si>
  <si>
    <t>李亚军</t>
  </si>
  <si>
    <t>liyajun@hanorth.com</t>
  </si>
  <si>
    <t>7#301A20</t>
  </si>
  <si>
    <t>蔡天珩</t>
  </si>
  <si>
    <t>caitianheng@hanorth.com</t>
  </si>
  <si>
    <t>24#203C42</t>
  </si>
  <si>
    <t>刘志顺</t>
  </si>
  <si>
    <t>量投</t>
  </si>
  <si>
    <t>597763370@qq.com</t>
  </si>
  <si>
    <t>24#202A17</t>
  </si>
  <si>
    <t>勇泽康</t>
  </si>
  <si>
    <t>yzk19950618@163.com</t>
  </si>
  <si>
    <t>38#204A26</t>
  </si>
  <si>
    <t>zijia9635@163.com</t>
  </si>
  <si>
    <t>24#203A27</t>
  </si>
  <si>
    <t>焦震</t>
  </si>
  <si>
    <t>中科金财</t>
  </si>
  <si>
    <t>694857002@qq.com</t>
  </si>
  <si>
    <t>38#204A28</t>
  </si>
  <si>
    <t>张珍珍</t>
  </si>
  <si>
    <t>zhangzhenzhen@hanorth.com</t>
  </si>
  <si>
    <t>24#203C43</t>
  </si>
  <si>
    <t>马冰洁</t>
  </si>
  <si>
    <t>mabingjie@ectesting.cn</t>
  </si>
  <si>
    <t>吴南</t>
  </si>
  <si>
    <t>wunan@hanorth.com</t>
  </si>
  <si>
    <t>苗应春</t>
  </si>
  <si>
    <t>miaoyingchun1996@163.com</t>
  </si>
  <si>
    <t>负责人</t>
  </si>
  <si>
    <t>小项目名称</t>
  </si>
  <si>
    <t>项目状态</t>
  </si>
  <si>
    <t>接口人1</t>
  </si>
  <si>
    <t>接口人2</t>
  </si>
  <si>
    <t>按时结项</t>
  </si>
  <si>
    <t>结项时间</t>
  </si>
  <si>
    <t>延期天数</t>
  </si>
  <si>
    <t>标准项目量</t>
  </si>
  <si>
    <t>标准项目量（人周）</t>
  </si>
  <si>
    <t>开始时间</t>
  </si>
  <si>
    <t>结束时间</t>
  </si>
  <si>
    <t>项目当前累计项目量</t>
  </si>
  <si>
    <t>当前所在项目剩余计划工作量</t>
  </si>
  <si>
    <t>当前季度基准日</t>
  </si>
  <si>
    <t>当前计算参照日</t>
  </si>
  <si>
    <t>辅助列-已获挣值周期量</t>
  </si>
  <si>
    <t>辅助列-剩余周期量</t>
  </si>
  <si>
    <t>项目周期</t>
  </si>
  <si>
    <t>辅助统计项</t>
  </si>
  <si>
    <t>当前季度基准</t>
  </si>
  <si>
    <t>2021Q2已获得小项目挣值</t>
  </si>
  <si>
    <t>距离目标</t>
  </si>
  <si>
    <t>期望值</t>
  </si>
  <si>
    <t>截止2月28日已获项目量</t>
  </si>
  <si>
    <t>CDS二期</t>
  </si>
  <si>
    <t>进行中</t>
  </si>
  <si>
    <t>人周折算</t>
  </si>
  <si>
    <t>V153集中技术（一期）</t>
  </si>
  <si>
    <t>期望</t>
  </si>
  <si>
    <t>V153版本集成（一期）</t>
  </si>
  <si>
    <t>153版本数据比对（一期）</t>
  </si>
  <si>
    <t>南向通（一期）</t>
  </si>
  <si>
    <r>
      <rPr>
        <sz val="12"/>
        <color theme="1"/>
        <rFont val="等线"/>
        <family val="3"/>
        <charset val="134"/>
      </rPr>
      <t>V</t>
    </r>
    <r>
      <rPr>
        <sz val="12"/>
        <color theme="1"/>
        <rFont val="等线"/>
        <family val="3"/>
        <charset val="134"/>
      </rPr>
      <t>1.5.1.29</t>
    </r>
  </si>
  <si>
    <t>信用风险缓释凭证&amp;远期利率协议</t>
  </si>
  <si>
    <t>153版本用例编写（一期）</t>
  </si>
  <si>
    <t>已完成</t>
  </si>
  <si>
    <t>按时</t>
  </si>
  <si>
    <t>行为分析性能优化</t>
  </si>
  <si>
    <t>延期</t>
  </si>
  <si>
    <t>计费及监测改造</t>
  </si>
  <si>
    <t>151生产数据比对</t>
  </si>
  <si>
    <t>Xbond搭桥和私有行情优化（二期）</t>
  </si>
  <si>
    <t>V151验收测试用例三期</t>
  </si>
  <si>
    <t>利率期权一期&amp;交易框架</t>
  </si>
  <si>
    <t>RDI切源改造&amp;标债远期实物交割</t>
  </si>
  <si>
    <t>同业存款二期</t>
  </si>
  <si>
    <t>用户行为埋点</t>
  </si>
  <si>
    <t>V151版本集中测试</t>
  </si>
  <si>
    <t>预发行对话二期</t>
  </si>
  <si>
    <t>X-Bond搭桥</t>
  </si>
  <si>
    <t>SLF和货债改造</t>
  </si>
  <si>
    <t>同业存款一期</t>
  </si>
  <si>
    <t>支持重复跑和跨日跑</t>
  </si>
  <si>
    <t>V151验收测试用例二期</t>
  </si>
  <si>
    <t>梁木</t>
  </si>
  <si>
    <t>买断多券上线期</t>
  </si>
  <si>
    <t>自动化测试工具-质押式回购一期</t>
  </si>
  <si>
    <t>150集中测试</t>
  </si>
  <si>
    <t>150版本集成</t>
  </si>
  <si>
    <t>预发行对话一期</t>
  </si>
  <si>
    <t>预发行对话-一期</t>
  </si>
  <si>
    <t>151测试用例</t>
  </si>
  <si>
    <t>X-Bond明日T+0储备二期</t>
  </si>
  <si>
    <t>V150验收测试</t>
  </si>
  <si>
    <t>交易偏离报备</t>
  </si>
  <si>
    <t>150生产数据比对</t>
  </si>
  <si>
    <t>交易处理框架一期</t>
  </si>
  <si>
    <t>回购成交相关功能优化等</t>
  </si>
  <si>
    <t>买断多券二期</t>
  </si>
  <si>
    <t>央行操作室和买方机构优化</t>
  </si>
  <si>
    <t>用户机构体系改造一期二阶段</t>
  </si>
  <si>
    <t>用户机构体系改造一期三阶段</t>
  </si>
  <si>
    <t>TR及白名单扩容</t>
  </si>
  <si>
    <t>信息披露</t>
  </si>
  <si>
    <t>三方回购上线版</t>
  </si>
  <si>
    <t>提前</t>
  </si>
  <si>
    <t>150用例设计二期</t>
  </si>
  <si>
    <t>X-Bond明日T+0储备</t>
  </si>
  <si>
    <t>回购市场成交模块性能优化</t>
  </si>
  <si>
    <t>质押式回购工行桥接服务</t>
  </si>
  <si>
    <t>买断多券一期</t>
  </si>
  <si>
    <t>做市合规二期</t>
  </si>
  <si>
    <t>备注：</t>
  </si>
  <si>
    <t>平安银行旗舰店二期</t>
  </si>
  <si>
    <t>1、已完成小项目挣值按原始计划计算</t>
  </si>
  <si>
    <t>拆借夜盘</t>
  </si>
  <si>
    <t>2、每个项目的标准量</t>
  </si>
  <si>
    <t>拆借对话二期</t>
  </si>
  <si>
    <t xml:space="preserve">   V150新启动项目按已评估的标准量</t>
  </si>
  <si>
    <t>张薇</t>
  </si>
  <si>
    <t>投资经理行情模板技术储备</t>
  </si>
  <si>
    <t xml:space="preserve">   V150之前项目按投入人数及原始计划周期与标准项目(15人*21天)=45人周折算</t>
  </si>
  <si>
    <t>用户机构体系改造一期一阶段</t>
  </si>
  <si>
    <t>3、更新:姓名-提前/按时/延期,姓名后的数字为提前、按时、延期项目数，从150项目开始统计</t>
  </si>
  <si>
    <t>做市合规一期</t>
  </si>
  <si>
    <t>现券请求报价优化</t>
  </si>
  <si>
    <t>150用例设计一期</t>
  </si>
  <si>
    <t>货币市场小红点</t>
  </si>
  <si>
    <t>CDC流通要素</t>
  </si>
  <si>
    <t>多级托管&amp;外币债备案一期</t>
  </si>
  <si>
    <t>平安银行旗舰店一期</t>
  </si>
  <si>
    <t>债券借贷附加协议</t>
  </si>
  <si>
    <t>拆借对话一期</t>
  </si>
  <si>
    <t>PIMS接口改造</t>
  </si>
  <si>
    <t>拆借意向报价一期</t>
  </si>
  <si>
    <t>V149生产数据比对</t>
  </si>
  <si>
    <t>V149版本集成</t>
  </si>
  <si>
    <t>V149集中测试</t>
  </si>
  <si>
    <t>国开回购优化</t>
  </si>
  <si>
    <t>2020年度账单</t>
  </si>
  <si>
    <t>V149验收测试</t>
  </si>
  <si>
    <t>V146生产数据比对</t>
  </si>
  <si>
    <t>V146版本集成</t>
  </si>
  <si>
    <t>研究自动填充</t>
  </si>
  <si>
    <t>V146集中测试</t>
  </si>
  <si>
    <t>V146验收测试</t>
  </si>
  <si>
    <t>合计</t>
  </si>
  <si>
    <t>V150-唐军敏</t>
  </si>
  <si>
    <t>V151-赵攀</t>
  </si>
  <si>
    <t>V153-冉杨鋆</t>
  </si>
  <si>
    <t>V160-唐军敏</t>
  </si>
  <si>
    <t>在场负责人</t>
  </si>
  <si>
    <t>手机</t>
  </si>
  <si>
    <t>其他联系人</t>
  </si>
  <si>
    <t>沟通日期</t>
  </si>
  <si>
    <t>春节事宜沟通邮件日期</t>
  </si>
  <si>
    <t>王一超</t>
  </si>
  <si>
    <t>yichao.a.wang@accenture.com</t>
  </si>
  <si>
    <t>曲世凯</t>
  </si>
  <si>
    <t>qushk@hanorth.com</t>
  </si>
  <si>
    <t>杨伟</t>
  </si>
  <si>
    <t>wei.yang@tcs.com</t>
  </si>
  <si>
    <t>张德平</t>
  </si>
  <si>
    <t>zhangdeping@chinasofti.com</t>
  </si>
  <si>
    <t>赵建俊18101806855</t>
  </si>
  <si>
    <t>黄静雪</t>
  </si>
  <si>
    <t>杨伟华/王志冰</t>
  </si>
  <si>
    <t>杨伟华18501659847</t>
  </si>
  <si>
    <t>weihua.yang@sharpg.com</t>
  </si>
  <si>
    <t>向普王志冰 15800315637</t>
  </si>
  <si>
    <t>魏海霞/田佳乐</t>
  </si>
  <si>
    <t>田佳乐18217411321</t>
  </si>
  <si>
    <t>elianewei@hengtiansoft.com</t>
  </si>
  <si>
    <t>魏海霞18616567015</t>
  </si>
  <si>
    <t>王征</t>
  </si>
  <si>
    <t>wangzheng@kingkz.com</t>
  </si>
  <si>
    <t>林海静</t>
  </si>
  <si>
    <t>linhaijing@ectesting.cn</t>
  </si>
  <si>
    <t>王焕男</t>
  </si>
  <si>
    <t>huannan.wang@northking.net</t>
  </si>
  <si>
    <t>已确认</t>
  </si>
  <si>
    <t>萧云峰</t>
  </si>
  <si>
    <t>xiaoyunfeng@jykjsys.com</t>
  </si>
  <si>
    <t>李艾檬</t>
  </si>
  <si>
    <t>elsa.li@farben.com.cn</t>
  </si>
  <si>
    <t>崔素</t>
  </si>
  <si>
    <t>cuisu@timesvc.net</t>
  </si>
  <si>
    <t>李丹清</t>
  </si>
  <si>
    <t>lidanqing@vincce.com</t>
  </si>
  <si>
    <t>7#301A41</t>
  </si>
  <si>
    <t>24#203A8</t>
  </si>
  <si>
    <t>24#202A5</t>
  </si>
  <si>
    <t>24#203C15</t>
  </si>
  <si>
    <t>160周边整合（财政部一期+货债二期)-24</t>
  </si>
  <si>
    <t>CDS二期-42</t>
  </si>
  <si>
    <t>清算所联测</t>
  </si>
  <si>
    <t>V153集中业务一期</t>
    <phoneticPr fontId="27" type="noConversion"/>
  </si>
  <si>
    <t>冉杨鋆</t>
    <phoneticPr fontId="27" type="noConversion"/>
  </si>
  <si>
    <t>V153数据比对及迁移二期</t>
    <phoneticPr fontId="27" type="noConversion"/>
  </si>
  <si>
    <t>财政部做市支持（一期）和货债(二期）整合</t>
    <phoneticPr fontId="27" type="noConversion"/>
  </si>
  <si>
    <t>刘倩</t>
    <phoneticPr fontId="27" type="noConversion"/>
  </si>
  <si>
    <t>V153版本集成-&gt;守门员</t>
  </si>
  <si>
    <t>胡彪</t>
    <phoneticPr fontId="27" type="noConversion"/>
  </si>
  <si>
    <t>周玮</t>
    <phoneticPr fontId="27" type="noConversion"/>
  </si>
  <si>
    <t>段杰+魏亚男</t>
  </si>
  <si>
    <t>段杰+魏亚男</t>
    <phoneticPr fontId="27" type="noConversion"/>
  </si>
  <si>
    <t>陆云帆</t>
    <phoneticPr fontId="27" type="noConversion"/>
  </si>
  <si>
    <t>离场</t>
    <phoneticPr fontId="27" type="noConversion"/>
  </si>
  <si>
    <t>计费二期</t>
    <phoneticPr fontId="27" type="noConversion"/>
  </si>
  <si>
    <t>利率期权三期</t>
    <phoneticPr fontId="27" type="noConversion"/>
  </si>
  <si>
    <t>V153版本集成</t>
    <phoneticPr fontId="27" type="noConversion"/>
  </si>
  <si>
    <t>V153验收测试</t>
    <phoneticPr fontId="27" type="noConversion"/>
  </si>
  <si>
    <t>V160</t>
    <phoneticPr fontId="27" type="noConversion"/>
  </si>
  <si>
    <t>守门员</t>
    <phoneticPr fontId="27" type="noConversion"/>
  </si>
  <si>
    <t>央行报表及衍生品成交优化</t>
    <phoneticPr fontId="27" type="noConversion"/>
  </si>
  <si>
    <t>CDS二期-42</t>
    <phoneticPr fontId="27" type="noConversion"/>
  </si>
  <si>
    <t>V162</t>
  </si>
  <si>
    <t>V162</t>
    <phoneticPr fontId="27" type="noConversion"/>
  </si>
  <si>
    <t>V153全量包准备</t>
    <phoneticPr fontId="27" type="noConversion"/>
  </si>
  <si>
    <t>V153集中测试（业务及技术）二期</t>
    <phoneticPr fontId="27" type="noConversion"/>
  </si>
  <si>
    <t>杨子玉</t>
    <phoneticPr fontId="27" type="noConversion"/>
  </si>
  <si>
    <t>商月</t>
    <phoneticPr fontId="27" type="noConversion"/>
  </si>
  <si>
    <t>利率期权三期</t>
    <phoneticPr fontId="27" type="noConversion"/>
  </si>
  <si>
    <t>计费及监测改造</t>
    <phoneticPr fontId="27" type="noConversion"/>
  </si>
  <si>
    <t>周边系统改造计费二期</t>
    <phoneticPr fontId="27" type="noConversion"/>
  </si>
  <si>
    <t>陈杰樱</t>
    <phoneticPr fontId="27" type="noConversion"/>
  </si>
  <si>
    <t>李戬</t>
    <phoneticPr fontId="27" type="noConversion"/>
  </si>
  <si>
    <t>陈嘉伟</t>
    <phoneticPr fontId="27" type="noConversion"/>
  </si>
  <si>
    <t>总行报表及衍生品成交优化等</t>
    <phoneticPr fontId="27" type="noConversion"/>
  </si>
  <si>
    <t>李云毅</t>
    <phoneticPr fontId="27" type="noConversion"/>
  </si>
  <si>
    <t>吕欣冉</t>
    <phoneticPr fontId="27" type="noConversion"/>
  </si>
  <si>
    <t>郑安如</t>
    <phoneticPr fontId="27" type="noConversion"/>
  </si>
  <si>
    <t>接口人3</t>
    <phoneticPr fontId="27" type="noConversion"/>
  </si>
  <si>
    <t>张洋弘</t>
    <phoneticPr fontId="27" type="noConversion"/>
  </si>
  <si>
    <t>赵攀</t>
    <phoneticPr fontId="27" type="noConversion"/>
  </si>
  <si>
    <t>V153全量包（清理冗余连接等)</t>
    <phoneticPr fontId="27" type="noConversion"/>
  </si>
  <si>
    <t>进行中</t>
    <phoneticPr fontId="27" type="noConversion"/>
  </si>
  <si>
    <t>延期</t>
    <phoneticPr fontId="27" type="noConversion"/>
  </si>
  <si>
    <t>V153</t>
    <phoneticPr fontId="27" type="noConversion"/>
  </si>
  <si>
    <t>V153集中测试-清算所联测</t>
    <phoneticPr fontId="27" type="noConversion"/>
  </si>
  <si>
    <t>5月15日后续安排</t>
    <phoneticPr fontId="27" type="noConversion"/>
  </si>
  <si>
    <t>V151南向通</t>
    <phoneticPr fontId="27" type="noConversion"/>
  </si>
  <si>
    <t>南向通一期</t>
    <phoneticPr fontId="27" type="noConversion"/>
  </si>
  <si>
    <t>南向通验收测试</t>
  </si>
  <si>
    <t>南向通验收测试</t>
    <phoneticPr fontId="27" type="noConversion"/>
  </si>
  <si>
    <t>南向通集中测试</t>
  </si>
  <si>
    <t>南向通集中测试</t>
    <phoneticPr fontId="27" type="noConversion"/>
  </si>
  <si>
    <t>160周边整合（财政部一期+货债二期)-24</t>
    <phoneticPr fontId="27" type="noConversion"/>
  </si>
  <si>
    <t>V153集中测试</t>
    <phoneticPr fontId="27" type="noConversion"/>
  </si>
  <si>
    <t>目前在场固定</t>
    <phoneticPr fontId="27" type="noConversion"/>
  </si>
  <si>
    <t>郑安如-验收-固定</t>
    <phoneticPr fontId="27" type="noConversion"/>
  </si>
  <si>
    <t>离场固定</t>
    <phoneticPr fontId="27" type="noConversion"/>
  </si>
  <si>
    <t>离场浮动</t>
    <phoneticPr fontId="27" type="noConversion"/>
  </si>
  <si>
    <t>刘倩-固定</t>
    <phoneticPr fontId="27" type="noConversion"/>
  </si>
  <si>
    <t>备注</t>
    <phoneticPr fontId="27" type="noConversion"/>
  </si>
  <si>
    <t>项目公共=版本线</t>
    <phoneticPr fontId="27" type="noConversion"/>
  </si>
  <si>
    <t>待分组</t>
    <phoneticPr fontId="27" type="noConversion"/>
  </si>
  <si>
    <t>合计</t>
    <phoneticPr fontId="27" type="noConversion"/>
  </si>
  <si>
    <t>注：与按版本统计的差异为李靖民、杨子玉、孙道伟</t>
    <phoneticPr fontId="27" type="noConversion"/>
  </si>
  <si>
    <t>24#203C25</t>
  </si>
  <si>
    <t>38#204B4</t>
  </si>
  <si>
    <t>24#202A46</t>
  </si>
  <si>
    <t>24#203C2</t>
  </si>
  <si>
    <t>7#201A7</t>
  </si>
  <si>
    <t>24#203C5</t>
  </si>
  <si>
    <t>7#201A29</t>
  </si>
  <si>
    <t>38#204A2-1</t>
  </si>
  <si>
    <t>7#201A15</t>
  </si>
  <si>
    <t>7#301A46</t>
  </si>
  <si>
    <t>24#202A30</t>
  </si>
  <si>
    <t>王丹琦</t>
  </si>
  <si>
    <t>danqi.wang@accenture.com</t>
  </si>
  <si>
    <t>24#203B8</t>
  </si>
  <si>
    <t>雷若男</t>
  </si>
  <si>
    <t>leiruonan@ectesting.cn</t>
  </si>
  <si>
    <t>管佳园</t>
  </si>
  <si>
    <t>guanjiayuan@hanorth.com</t>
  </si>
  <si>
    <t>朱艺华</t>
  </si>
  <si>
    <t>IBM</t>
  </si>
  <si>
    <t>zhuyihua@cn.ibm.com</t>
  </si>
  <si>
    <t>24#202A20</t>
  </si>
  <si>
    <t>V153生产数据比对</t>
    <phoneticPr fontId="27" type="noConversion"/>
  </si>
  <si>
    <t>计费二期-36</t>
  </si>
  <si>
    <t>计费二期-36</t>
    <phoneticPr fontId="27" type="noConversion"/>
  </si>
  <si>
    <t>利率期权三期-36</t>
  </si>
  <si>
    <t>利率期权三期-36</t>
    <phoneticPr fontId="27" type="noConversion"/>
  </si>
  <si>
    <t>央行报表及衍生品成交优化-42</t>
  </si>
  <si>
    <t>央行报表及衍生品成交优化-42</t>
    <phoneticPr fontId="27" type="noConversion"/>
  </si>
  <si>
    <t>郑安如-验收-浮动</t>
    <phoneticPr fontId="27" type="noConversion"/>
  </si>
  <si>
    <t>顾静洁-浮动</t>
    <phoneticPr fontId="27" type="noConversion"/>
  </si>
  <si>
    <t>通用功能</t>
    <phoneticPr fontId="27" type="noConversion"/>
  </si>
  <si>
    <t>V153全量包准备-9</t>
  </si>
  <si>
    <t>V153全量包准备-9</t>
    <phoneticPr fontId="27" type="noConversion"/>
  </si>
  <si>
    <t>已完成</t>
    <phoneticPr fontId="27" type="noConversion"/>
  </si>
  <si>
    <t>陈启明-浮动</t>
    <phoneticPr fontId="27" type="noConversion"/>
  </si>
  <si>
    <t>吕欣冉-浮动</t>
    <phoneticPr fontId="27" type="noConversion"/>
  </si>
  <si>
    <t>数据分析</t>
    <phoneticPr fontId="27" type="noConversion"/>
  </si>
  <si>
    <t>刘倩-验收-浮动</t>
    <phoneticPr fontId="27" type="noConversion"/>
  </si>
  <si>
    <t>ODM业务-验收</t>
    <phoneticPr fontId="27" type="noConversion"/>
  </si>
  <si>
    <t>周德乐</t>
    <phoneticPr fontId="27" type="noConversion"/>
  </si>
  <si>
    <t>徐慧鹏-验收-浮动</t>
    <phoneticPr fontId="27" type="noConversion"/>
  </si>
  <si>
    <t>刁望庆-浮动</t>
    <phoneticPr fontId="27" type="noConversion"/>
  </si>
  <si>
    <t>周德乐-浮动</t>
    <phoneticPr fontId="27" type="noConversion"/>
  </si>
  <si>
    <t>桑强</t>
    <phoneticPr fontId="27" type="noConversion"/>
  </si>
  <si>
    <t>南向通额度-7</t>
  </si>
  <si>
    <t>南向通额度-7</t>
    <phoneticPr fontId="27" type="noConversion"/>
  </si>
  <si>
    <t>守门员-&gt;南向通一期</t>
    <phoneticPr fontId="27" type="noConversion"/>
  </si>
  <si>
    <t>守门员-&gt;南向通额度-7</t>
  </si>
  <si>
    <t>守门员-&gt;南向通额度-7</t>
    <phoneticPr fontId="27" type="noConversion"/>
  </si>
  <si>
    <t>南向通额度</t>
    <phoneticPr fontId="27" type="noConversion"/>
  </si>
  <si>
    <t>V1.5.1.29</t>
    <phoneticPr fontId="27" type="noConversion"/>
  </si>
  <si>
    <t>顾静洁</t>
    <phoneticPr fontId="27" type="noConversion"/>
  </si>
  <si>
    <t>V160验收用例</t>
    <phoneticPr fontId="27" type="noConversion"/>
  </si>
  <si>
    <t>V160验收用例准备</t>
  </si>
  <si>
    <t>V160验收用例准备</t>
    <phoneticPr fontId="27" type="noConversion"/>
  </si>
  <si>
    <t>姓名</t>
    <phoneticPr fontId="27" type="noConversion"/>
  </si>
  <si>
    <t>V151项目奖励人周</t>
    <phoneticPr fontId="27" type="noConversion"/>
  </si>
  <si>
    <t>李云毅</t>
    <phoneticPr fontId="27" type="noConversion"/>
  </si>
  <si>
    <t>董炎彦</t>
    <phoneticPr fontId="27" type="noConversion"/>
  </si>
  <si>
    <t>赵晓韵</t>
    <phoneticPr fontId="27" type="noConversion"/>
  </si>
  <si>
    <t>商月</t>
    <phoneticPr fontId="27" type="noConversion"/>
  </si>
  <si>
    <t>沈一筹</t>
    <phoneticPr fontId="27" type="noConversion"/>
  </si>
  <si>
    <t>V151.15验收用例及测试</t>
    <phoneticPr fontId="27" type="noConversion"/>
  </si>
  <si>
    <t>V151.15</t>
    <phoneticPr fontId="27" type="noConversion"/>
  </si>
  <si>
    <t>V151.15版本集成</t>
    <phoneticPr fontId="27" type="noConversion"/>
  </si>
  <si>
    <t>杨子玉</t>
    <phoneticPr fontId="27" type="noConversion"/>
  </si>
  <si>
    <t>V151.29版本验收测试</t>
    <phoneticPr fontId="27" type="noConversion"/>
  </si>
  <si>
    <t>V151.29版本测试用例</t>
    <phoneticPr fontId="27" type="noConversion"/>
  </si>
  <si>
    <t>V151.29版本集成</t>
    <phoneticPr fontId="27" type="noConversion"/>
  </si>
  <si>
    <t>V151.29</t>
    <phoneticPr fontId="27" type="noConversion"/>
  </si>
  <si>
    <t>按时</t>
    <phoneticPr fontId="27" type="noConversion"/>
  </si>
  <si>
    <t>V160版本集成</t>
    <phoneticPr fontId="27" type="noConversion"/>
  </si>
  <si>
    <t>V160集中测试</t>
  </si>
  <si>
    <t>V160集中测试</t>
    <phoneticPr fontId="27" type="noConversion"/>
  </si>
  <si>
    <t>V160版本集成-2</t>
    <phoneticPr fontId="27" type="noConversion"/>
  </si>
  <si>
    <t>V160验收用例/集中测试</t>
    <phoneticPr fontId="27" type="noConversion"/>
  </si>
  <si>
    <t>V160验收用例/验收测试</t>
    <phoneticPr fontId="27" type="noConversion"/>
  </si>
  <si>
    <t>5月21日后续安排</t>
    <phoneticPr fontId="27" type="noConversion"/>
  </si>
  <si>
    <t>V153版本集成（二期）</t>
    <phoneticPr fontId="27" type="noConversion"/>
  </si>
  <si>
    <t>V153验收用例二期</t>
    <phoneticPr fontId="27" type="noConversion"/>
  </si>
  <si>
    <t>V153验收测试三期</t>
    <phoneticPr fontId="27" type="noConversion"/>
  </si>
  <si>
    <t>2021Q2奖励</t>
    <phoneticPr fontId="27" type="noConversion"/>
  </si>
  <si>
    <t>奖励</t>
    <phoneticPr fontId="27" type="noConversion"/>
  </si>
  <si>
    <t>4、左侧紫色为新增V151.X项目奖励人周</t>
    <phoneticPr fontId="27" type="noConversion"/>
  </si>
  <si>
    <t>V160集成集中验收预排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</si>
</sst>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 "/>
    <numFmt numFmtId="178" formatCode="0.00_);[Red]\(0.00\)"/>
  </numFmts>
  <fonts count="32" x14ac:knownFonts="1">
    <font>
      <sz val="12"/>
      <color theme="1"/>
      <name val="宋体"/>
      <charset val="134"/>
      <scheme val="minor"/>
    </font>
    <font>
      <b/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2"/>
      <color theme="1"/>
      <name val="等线"/>
      <family val="3"/>
      <charset val="134"/>
    </font>
    <font>
      <sz val="10.5"/>
      <color theme="1"/>
      <name val="Microsoft YaHei UI Light"/>
      <family val="2"/>
      <charset val="134"/>
    </font>
    <font>
      <sz val="10.5"/>
      <color rgb="FFFF0000"/>
      <name val="Microsoft YaHei UI Light"/>
      <family val="2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Microsoft YaHei UI Light"/>
      <family val="2"/>
      <charset val="134"/>
    </font>
    <font>
      <sz val="12"/>
      <color theme="1"/>
      <name val="Microsoft YaHei UI Light"/>
      <family val="2"/>
      <charset val="134"/>
    </font>
    <font>
      <sz val="12"/>
      <color rgb="FFFF00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u/>
      <sz val="11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0.5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Microsoft YaHei Light"/>
      <family val="2"/>
      <charset val="134"/>
    </font>
    <font>
      <sz val="10"/>
      <color theme="1"/>
      <name val="Microsoft YaHei Light"/>
      <family val="2"/>
      <charset val="134"/>
    </font>
    <font>
      <i/>
      <sz val="12"/>
      <color theme="1"/>
      <name val="Microsoft YaHei Light"/>
      <family val="2"/>
      <charset val="134"/>
    </font>
    <font>
      <sz val="10.5"/>
      <name val="Microsoft YaHei UI Light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6704000976592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67650379955446"/>
        <bgColor theme="4" tint="0.79967650379955446"/>
      </patternFill>
    </fill>
    <fill>
      <patternFill patternType="solid">
        <fgColor rgb="FFFFFF00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5" tint="0.3997619556260872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63988158818325"/>
        <bgColor indexed="64"/>
      </patternFill>
    </fill>
    <fill>
      <patternFill patternType="solid">
        <fgColor theme="3" tint="0.3996704000976592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7985778374584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67040009765925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theme="2" tint="-0.499984740745262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198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1" applyFill="1" applyBorder="1" applyAlignment="1">
      <alignment horizontal="left" vertical="center"/>
    </xf>
    <xf numFmtId="14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Fill="1" applyBorder="1">
      <alignment vertical="center"/>
    </xf>
    <xf numFmtId="177" fontId="2" fillId="2" borderId="1" xfId="0" applyNumberFormat="1" applyFont="1" applyFill="1" applyBorder="1" applyAlignment="1">
      <alignment horizontal="left" vertical="center" wrapText="1"/>
    </xf>
    <xf numFmtId="177" fontId="4" fillId="2" borderId="1" xfId="0" applyNumberFormat="1" applyFont="1" applyFill="1" applyBorder="1" applyAlignment="1">
      <alignment horizontal="left" vertical="center" wrapText="1"/>
    </xf>
    <xf numFmtId="177" fontId="4" fillId="2" borderId="1" xfId="0" applyNumberFormat="1" applyFont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58" fontId="5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5" fillId="0" borderId="0" xfId="0" applyFont="1" applyFill="1">
      <alignment vertical="center"/>
    </xf>
    <xf numFmtId="14" fontId="5" fillId="0" borderId="0" xfId="0" applyNumberFormat="1" applyFont="1" applyFill="1">
      <alignment vertical="center"/>
    </xf>
    <xf numFmtId="176" fontId="5" fillId="0" borderId="0" xfId="0" applyNumberFormat="1" applyFont="1">
      <alignment vertical="center"/>
    </xf>
    <xf numFmtId="2" fontId="5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0" fontId="5" fillId="4" borderId="0" xfId="0" applyFont="1" applyFill="1">
      <alignment vertical="center"/>
    </xf>
    <xf numFmtId="176" fontId="5" fillId="4" borderId="0" xfId="0" applyNumberFormat="1" applyFont="1" applyFill="1">
      <alignment vertical="center"/>
    </xf>
    <xf numFmtId="14" fontId="6" fillId="0" borderId="0" xfId="0" applyNumberFormat="1" applyFont="1">
      <alignment vertical="center"/>
    </xf>
    <xf numFmtId="0" fontId="6" fillId="0" borderId="0" xfId="0" applyFont="1">
      <alignment vertical="center"/>
    </xf>
    <xf numFmtId="14" fontId="7" fillId="0" borderId="0" xfId="0" applyNumberFormat="1" applyFont="1">
      <alignment vertical="center"/>
    </xf>
    <xf numFmtId="0" fontId="8" fillId="5" borderId="2" xfId="0" applyFont="1" applyFill="1" applyBorder="1" applyAlignment="1">
      <alignment horizontal="center" vertical="center"/>
    </xf>
    <xf numFmtId="0" fontId="0" fillId="6" borderId="0" xfId="0" applyFont="1" applyFill="1">
      <alignment vertical="center"/>
    </xf>
    <xf numFmtId="0" fontId="8" fillId="5" borderId="2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5" borderId="2" xfId="0" applyFont="1" applyFill="1" applyBorder="1">
      <alignment vertical="center"/>
    </xf>
    <xf numFmtId="0" fontId="0" fillId="0" borderId="0" xfId="0" applyFont="1">
      <alignment vertical="center"/>
    </xf>
    <xf numFmtId="0" fontId="9" fillId="0" borderId="0" xfId="0" applyFont="1">
      <alignment vertical="center"/>
    </xf>
    <xf numFmtId="176" fontId="10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horizontal="right" vertical="center"/>
    </xf>
    <xf numFmtId="0" fontId="0" fillId="6" borderId="0" xfId="0" applyFill="1">
      <alignment vertical="center"/>
    </xf>
    <xf numFmtId="0" fontId="11" fillId="6" borderId="0" xfId="0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13" fillId="2" borderId="1" xfId="0" applyNumberFormat="1" applyFont="1" applyFill="1" applyBorder="1" applyAlignment="1">
      <alignment vertical="center" wrapText="1"/>
    </xf>
    <xf numFmtId="0" fontId="13" fillId="0" borderId="1" xfId="0" applyNumberFormat="1" applyFont="1" applyFill="1" applyBorder="1" applyAlignment="1">
      <alignment vertical="center" wrapText="1"/>
    </xf>
    <xf numFmtId="0" fontId="14" fillId="0" borderId="1" xfId="0" applyNumberFormat="1" applyFont="1" applyFill="1" applyBorder="1" applyAlignment="1">
      <alignment vertical="center" wrapText="1"/>
    </xf>
    <xf numFmtId="0" fontId="14" fillId="6" borderId="1" xfId="0" applyNumberFormat="1" applyFont="1" applyFill="1" applyBorder="1" applyAlignment="1">
      <alignment vertical="center" wrapText="1"/>
    </xf>
    <xf numFmtId="0" fontId="13" fillId="2" borderId="3" xfId="0" applyNumberFormat="1" applyFont="1" applyFill="1" applyBorder="1" applyAlignment="1">
      <alignment vertical="center" wrapText="1"/>
    </xf>
    <xf numFmtId="0" fontId="15" fillId="0" borderId="1" xfId="0" applyNumberFormat="1" applyFont="1" applyFill="1" applyBorder="1" applyAlignment="1">
      <alignment vertical="center"/>
    </xf>
    <xf numFmtId="177" fontId="15" fillId="0" borderId="1" xfId="0" applyNumberFormat="1" applyFont="1" applyFill="1" applyBorder="1" applyAlignment="1">
      <alignment horizontal="left" vertical="center" wrapText="1"/>
    </xf>
    <xf numFmtId="0" fontId="15" fillId="0" borderId="1" xfId="0" applyFont="1" applyBorder="1">
      <alignment vertical="center"/>
    </xf>
    <xf numFmtId="0" fontId="15" fillId="0" borderId="3" xfId="0" applyNumberFormat="1" applyFont="1" applyFill="1" applyBorder="1" applyAlignment="1">
      <alignment vertical="center"/>
    </xf>
    <xf numFmtId="0" fontId="15" fillId="0" borderId="1" xfId="0" applyNumberFormat="1" applyFont="1" applyFill="1" applyBorder="1" applyAlignment="1">
      <alignment vertical="center" wrapText="1"/>
    </xf>
    <xf numFmtId="0" fontId="16" fillId="0" borderId="4" xfId="0" applyFont="1" applyBorder="1">
      <alignment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177" fontId="15" fillId="0" borderId="1" xfId="0" applyNumberFormat="1" applyFont="1" applyFill="1" applyBorder="1" applyAlignment="1">
      <alignment horizontal="left" vertical="center"/>
    </xf>
    <xf numFmtId="177" fontId="15" fillId="6" borderId="1" xfId="0" applyNumberFormat="1" applyFont="1" applyFill="1" applyBorder="1" applyAlignment="1">
      <alignment horizontal="left" vertical="center" wrapText="1"/>
    </xf>
    <xf numFmtId="0" fontId="16" fillId="6" borderId="1" xfId="0" applyFont="1" applyFill="1" applyBorder="1">
      <alignment vertical="center"/>
    </xf>
    <xf numFmtId="0" fontId="15" fillId="6" borderId="1" xfId="0" applyFont="1" applyFill="1" applyBorder="1">
      <alignment vertical="center"/>
    </xf>
    <xf numFmtId="0" fontId="15" fillId="6" borderId="3" xfId="0" applyNumberFormat="1" applyFont="1" applyFill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8" fillId="2" borderId="4" xfId="0" applyNumberFormat="1" applyFont="1" applyFill="1" applyBorder="1" applyAlignment="1">
      <alignment vertical="center" wrapText="1"/>
    </xf>
    <xf numFmtId="0" fontId="18" fillId="2" borderId="1" xfId="0" applyNumberFormat="1" applyFont="1" applyFill="1" applyBorder="1" applyAlignment="1">
      <alignment vertical="center" wrapText="1"/>
    </xf>
    <xf numFmtId="0" fontId="15" fillId="0" borderId="1" xfId="0" applyNumberFormat="1" applyFont="1" applyFill="1" applyBorder="1" applyAlignment="1">
      <alignment horizontal="left" vertical="center" wrapText="1"/>
    </xf>
    <xf numFmtId="0" fontId="15" fillId="0" borderId="4" xfId="0" applyNumberFormat="1" applyFont="1" applyFill="1" applyBorder="1" applyAlignment="1">
      <alignment vertical="center"/>
    </xf>
    <xf numFmtId="0" fontId="19" fillId="0" borderId="4" xfId="0" applyNumberFormat="1" applyFont="1" applyFill="1" applyBorder="1" applyAlignment="1">
      <alignment vertical="center"/>
    </xf>
    <xf numFmtId="0" fontId="15" fillId="0" borderId="1" xfId="0" applyNumberFormat="1" applyFont="1" applyFill="1" applyBorder="1" applyAlignment="1">
      <alignment horizontal="left" vertical="center"/>
    </xf>
    <xf numFmtId="0" fontId="15" fillId="6" borderId="1" xfId="0" applyNumberFormat="1" applyFont="1" applyFill="1" applyBorder="1" applyAlignment="1">
      <alignment vertical="center"/>
    </xf>
    <xf numFmtId="0" fontId="15" fillId="6" borderId="1" xfId="0" applyNumberFormat="1" applyFont="1" applyFill="1" applyBorder="1" applyAlignment="1">
      <alignment horizontal="left" vertical="center" wrapText="1"/>
    </xf>
    <xf numFmtId="0" fontId="15" fillId="6" borderId="4" xfId="0" applyNumberFormat="1" applyFont="1" applyFill="1" applyBorder="1" applyAlignment="1">
      <alignment vertical="center"/>
    </xf>
    <xf numFmtId="0" fontId="15" fillId="6" borderId="1" xfId="0" applyNumberFormat="1" applyFont="1" applyFill="1" applyBorder="1" applyAlignment="1">
      <alignment vertical="center" wrapText="1"/>
    </xf>
    <xf numFmtId="0" fontId="15" fillId="0" borderId="1" xfId="0" applyFont="1" applyFill="1" applyBorder="1">
      <alignment vertical="center"/>
    </xf>
    <xf numFmtId="0" fontId="15" fillId="0" borderId="4" xfId="0" applyNumberFormat="1" applyFont="1" applyFill="1" applyBorder="1" applyAlignment="1">
      <alignment vertical="center" wrapText="1"/>
    </xf>
    <xf numFmtId="177" fontId="15" fillId="0" borderId="1" xfId="0" applyNumberFormat="1" applyFont="1" applyBorder="1" applyAlignment="1">
      <alignment horizontal="left" vertical="center" wrapText="1"/>
    </xf>
    <xf numFmtId="0" fontId="15" fillId="0" borderId="3" xfId="0" applyFont="1" applyBorder="1">
      <alignment vertical="center"/>
    </xf>
    <xf numFmtId="0" fontId="15" fillId="6" borderId="1" xfId="0" applyFont="1" applyFill="1" applyBorder="1" applyAlignment="1">
      <alignment vertical="center" wrapText="1"/>
    </xf>
    <xf numFmtId="0" fontId="16" fillId="6" borderId="4" xfId="0" applyFont="1" applyFill="1" applyBorder="1">
      <alignment vertical="center"/>
    </xf>
    <xf numFmtId="0" fontId="15" fillId="0" borderId="1" xfId="0" applyFont="1" applyFill="1" applyBorder="1" applyAlignment="1">
      <alignment vertical="center" wrapText="1"/>
    </xf>
    <xf numFmtId="177" fontId="17" fillId="6" borderId="1" xfId="0" applyNumberFormat="1" applyFont="1" applyFill="1" applyBorder="1" applyAlignment="1">
      <alignment horizontal="left" vertical="center" wrapText="1"/>
    </xf>
    <xf numFmtId="0" fontId="17" fillId="6" borderId="1" xfId="0" applyFont="1" applyFill="1" applyBorder="1">
      <alignment vertical="center"/>
    </xf>
    <xf numFmtId="0" fontId="17" fillId="6" borderId="3" xfId="0" applyNumberFormat="1" applyFont="1" applyFill="1" applyBorder="1" applyAlignment="1">
      <alignment vertical="center"/>
    </xf>
    <xf numFmtId="177" fontId="15" fillId="0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>
      <alignment vertical="center"/>
    </xf>
    <xf numFmtId="0" fontId="15" fillId="0" borderId="3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 wrapText="1"/>
    </xf>
    <xf numFmtId="0" fontId="15" fillId="0" borderId="4" xfId="0" applyFont="1" applyBorder="1">
      <alignment vertical="center"/>
    </xf>
    <xf numFmtId="0" fontId="15" fillId="6" borderId="1" xfId="0" applyFont="1" applyFill="1" applyBorder="1" applyAlignment="1">
      <alignment horizontal="left" vertical="center" wrapText="1"/>
    </xf>
    <xf numFmtId="0" fontId="19" fillId="6" borderId="4" xfId="0" applyFont="1" applyFill="1" applyBorder="1">
      <alignment vertical="center"/>
    </xf>
    <xf numFmtId="0" fontId="15" fillId="0" borderId="1" xfId="0" applyFont="1" applyFill="1" applyBorder="1" applyAlignment="1">
      <alignment horizontal="left" vertical="center" wrapText="1"/>
    </xf>
    <xf numFmtId="0" fontId="19" fillId="0" borderId="4" xfId="0" applyFont="1" applyFill="1" applyBorder="1">
      <alignment vertical="center"/>
    </xf>
    <xf numFmtId="0" fontId="15" fillId="0" borderId="4" xfId="0" applyFont="1" applyFill="1" applyBorder="1">
      <alignment vertical="center"/>
    </xf>
    <xf numFmtId="0" fontId="15" fillId="6" borderId="4" xfId="0" applyFont="1" applyFill="1" applyBorder="1">
      <alignment vertical="center"/>
    </xf>
    <xf numFmtId="0" fontId="15" fillId="0" borderId="1" xfId="0" applyNumberFormat="1" applyFont="1" applyBorder="1" applyAlignment="1">
      <alignment vertical="center"/>
    </xf>
    <xf numFmtId="0" fontId="15" fillId="0" borderId="4" xfId="0" applyNumberFormat="1" applyFont="1" applyBorder="1" applyAlignment="1">
      <alignment horizontal="left" vertical="center" wrapText="1"/>
    </xf>
    <xf numFmtId="0" fontId="15" fillId="0" borderId="1" xfId="0" applyNumberFormat="1" applyFont="1" applyBorder="1" applyAlignment="1">
      <alignment horizontal="left" vertical="center" wrapText="1"/>
    </xf>
    <xf numFmtId="0" fontId="17" fillId="6" borderId="1" xfId="0" applyNumberFormat="1" applyFont="1" applyFill="1" applyBorder="1" applyAlignment="1">
      <alignment vertical="center"/>
    </xf>
    <xf numFmtId="0" fontId="17" fillId="6" borderId="1" xfId="0" applyNumberFormat="1" applyFont="1" applyFill="1" applyBorder="1" applyAlignment="1">
      <alignment horizontal="left" vertical="center" wrapText="1"/>
    </xf>
    <xf numFmtId="0" fontId="17" fillId="6" borderId="4" xfId="0" applyNumberFormat="1" applyFont="1" applyFill="1" applyBorder="1" applyAlignment="1">
      <alignment vertical="center"/>
    </xf>
    <xf numFmtId="0" fontId="15" fillId="0" borderId="1" xfId="0" applyNumberFormat="1" applyFont="1" applyFill="1" applyBorder="1" applyAlignment="1">
      <alignment vertical="center"/>
    </xf>
    <xf numFmtId="0" fontId="15" fillId="0" borderId="1" xfId="0" applyNumberFormat="1" applyFont="1" applyFill="1" applyBorder="1" applyAlignment="1">
      <alignment horizontal="left" vertical="center" wrapText="1"/>
    </xf>
    <xf numFmtId="0" fontId="15" fillId="0" borderId="4" xfId="0" applyNumberFormat="1" applyFont="1" applyFill="1" applyBorder="1" applyAlignment="1">
      <alignment vertical="center"/>
    </xf>
    <xf numFmtId="177" fontId="15" fillId="0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>
      <alignment vertical="center"/>
    </xf>
    <xf numFmtId="0" fontId="15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5" fillId="7" borderId="1" xfId="0" applyNumberFormat="1" applyFont="1" applyFill="1" applyBorder="1" applyAlignment="1">
      <alignment horizontal="left" vertical="center" wrapText="1"/>
    </xf>
    <xf numFmtId="0" fontId="16" fillId="7" borderId="1" xfId="0" applyFont="1" applyFill="1" applyBorder="1">
      <alignment vertical="center"/>
    </xf>
    <xf numFmtId="0" fontId="16" fillId="7" borderId="1" xfId="0" applyFont="1" applyFill="1" applyBorder="1" applyAlignment="1">
      <alignment horizontal="left" vertical="center"/>
    </xf>
    <xf numFmtId="0" fontId="16" fillId="8" borderId="1" xfId="0" applyFont="1" applyFill="1" applyBorder="1">
      <alignment vertical="center"/>
    </xf>
    <xf numFmtId="0" fontId="16" fillId="8" borderId="1" xfId="0" applyFont="1" applyFill="1" applyBorder="1" applyAlignment="1">
      <alignment horizontal="left" vertical="center"/>
    </xf>
    <xf numFmtId="0" fontId="17" fillId="8" borderId="1" xfId="0" applyFont="1" applyFill="1" applyBorder="1">
      <alignment vertical="center"/>
    </xf>
    <xf numFmtId="0" fontId="17" fillId="8" borderId="1" xfId="0" applyFont="1" applyFill="1" applyBorder="1" applyAlignment="1">
      <alignment horizontal="left" vertical="center"/>
    </xf>
    <xf numFmtId="0" fontId="19" fillId="6" borderId="4" xfId="0" applyNumberFormat="1" applyFont="1" applyFill="1" applyBorder="1" applyAlignment="1">
      <alignment vertical="center"/>
    </xf>
    <xf numFmtId="0" fontId="15" fillId="0" borderId="5" xfId="0" applyNumberFormat="1" applyFont="1" applyFill="1" applyBorder="1" applyAlignment="1">
      <alignment vertical="center"/>
    </xf>
    <xf numFmtId="0" fontId="15" fillId="0" borderId="5" xfId="0" applyNumberFormat="1" applyFont="1" applyFill="1" applyBorder="1" applyAlignment="1">
      <alignment horizontal="left" vertical="center" wrapText="1"/>
    </xf>
    <xf numFmtId="0" fontId="15" fillId="0" borderId="6" xfId="0" applyFont="1" applyFill="1" applyBorder="1">
      <alignment vertical="center"/>
    </xf>
    <xf numFmtId="0" fontId="15" fillId="0" borderId="0" xfId="0" applyFont="1">
      <alignment vertical="center"/>
    </xf>
    <xf numFmtId="0" fontId="15" fillId="0" borderId="4" xfId="0" applyFont="1" applyFill="1" applyBorder="1" applyAlignment="1">
      <alignment horizontal="left" vertical="center"/>
    </xf>
    <xf numFmtId="0" fontId="19" fillId="0" borderId="4" xfId="1" applyFont="1" applyFill="1" applyBorder="1" applyAlignment="1">
      <alignment horizontal="left" vertical="center"/>
    </xf>
    <xf numFmtId="0" fontId="15" fillId="0" borderId="1" xfId="1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0" fontId="19" fillId="7" borderId="4" xfId="1" applyFont="1" applyFill="1" applyBorder="1">
      <alignment vertical="center"/>
    </xf>
    <xf numFmtId="0" fontId="15" fillId="7" borderId="1" xfId="1" applyFont="1" applyFill="1" applyBorder="1">
      <alignment vertical="center"/>
    </xf>
    <xf numFmtId="0" fontId="15" fillId="7" borderId="4" xfId="0" applyFont="1" applyFill="1" applyBorder="1">
      <alignment vertical="center"/>
    </xf>
    <xf numFmtId="0" fontId="15" fillId="7" borderId="1" xfId="0" applyFont="1" applyFill="1" applyBorder="1">
      <alignment vertical="center"/>
    </xf>
    <xf numFmtId="0" fontId="16" fillId="8" borderId="1" xfId="0" applyFont="1" applyFill="1" applyBorder="1" applyAlignment="1">
      <alignment horizontal="right" vertical="center"/>
    </xf>
    <xf numFmtId="0" fontId="19" fillId="8" borderId="4" xfId="1" applyFont="1" applyFill="1" applyBorder="1">
      <alignment vertical="center"/>
    </xf>
    <xf numFmtId="0" fontId="15" fillId="8" borderId="1" xfId="1" applyFont="1" applyFill="1" applyBorder="1">
      <alignment vertical="center"/>
    </xf>
    <xf numFmtId="0" fontId="15" fillId="8" borderId="1" xfId="0" applyFont="1" applyFill="1" applyBorder="1" applyAlignment="1">
      <alignment horizontal="left" vertical="center"/>
    </xf>
    <xf numFmtId="0" fontId="15" fillId="8" borderId="4" xfId="0" applyFont="1" applyFill="1" applyBorder="1">
      <alignment vertical="center"/>
    </xf>
    <xf numFmtId="0" fontId="15" fillId="8" borderId="1" xfId="0" applyFont="1" applyFill="1" applyBorder="1">
      <alignment vertical="center"/>
    </xf>
    <xf numFmtId="0" fontId="17" fillId="7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right" vertical="center"/>
    </xf>
    <xf numFmtId="0" fontId="20" fillId="8" borderId="4" xfId="1" applyFont="1" applyFill="1" applyBorder="1">
      <alignment vertical="center"/>
    </xf>
    <xf numFmtId="0" fontId="17" fillId="8" borderId="1" xfId="1" applyFont="1" applyFill="1" applyBorder="1">
      <alignment vertical="center"/>
    </xf>
    <xf numFmtId="0" fontId="0" fillId="0" borderId="7" xfId="0" applyFont="1" applyBorder="1">
      <alignment vertical="center"/>
    </xf>
    <xf numFmtId="0" fontId="0" fillId="0" borderId="0" xfId="0" applyAlignment="1">
      <alignment horizontal="left" vertical="center" indent="1"/>
    </xf>
    <xf numFmtId="0" fontId="0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1" xfId="2" applyFont="1" applyBorder="1">
      <alignment vertical="center"/>
    </xf>
    <xf numFmtId="0" fontId="21" fillId="9" borderId="1" xfId="2" applyFont="1" applyFill="1" applyBorder="1">
      <alignment vertical="center"/>
    </xf>
    <xf numFmtId="0" fontId="21" fillId="10" borderId="1" xfId="2" applyFont="1" applyFill="1" applyBorder="1">
      <alignment vertical="center"/>
    </xf>
    <xf numFmtId="0" fontId="21" fillId="12" borderId="1" xfId="2" applyFont="1" applyFill="1" applyBorder="1">
      <alignment vertical="center"/>
    </xf>
    <xf numFmtId="0" fontId="22" fillId="0" borderId="0" xfId="2">
      <alignment vertical="center"/>
    </xf>
    <xf numFmtId="0" fontId="22" fillId="0" borderId="0" xfId="2" applyAlignment="1">
      <alignment vertical="center" wrapText="1"/>
    </xf>
    <xf numFmtId="0" fontId="21" fillId="6" borderId="1" xfId="2" applyFont="1" applyFill="1" applyBorder="1">
      <alignment vertical="center"/>
    </xf>
    <xf numFmtId="0" fontId="21" fillId="13" borderId="1" xfId="2" applyFont="1" applyFill="1" applyBorder="1">
      <alignment vertical="center"/>
    </xf>
    <xf numFmtId="0" fontId="21" fillId="14" borderId="1" xfId="2" applyFont="1" applyFill="1" applyBorder="1">
      <alignment vertical="center"/>
    </xf>
    <xf numFmtId="0" fontId="22" fillId="0" borderId="1" xfId="2" applyBorder="1">
      <alignment vertical="center"/>
    </xf>
    <xf numFmtId="0" fontId="2" fillId="0" borderId="1" xfId="2" applyFont="1" applyBorder="1">
      <alignment vertical="center"/>
    </xf>
    <xf numFmtId="0" fontId="21" fillId="0" borderId="10" xfId="2" applyFont="1" applyBorder="1" applyAlignment="1">
      <alignment vertical="center" wrapText="1"/>
    </xf>
    <xf numFmtId="0" fontId="21" fillId="0" borderId="0" xfId="2" applyFont="1" applyAlignment="1">
      <alignment horizontal="right" vertical="center"/>
    </xf>
    <xf numFmtId="0" fontId="21" fillId="0" borderId="0" xfId="0" applyFont="1">
      <alignment vertical="center"/>
    </xf>
    <xf numFmtId="0" fontId="23" fillId="0" borderId="0" xfId="2" applyFont="1" applyAlignment="1">
      <alignment vertical="center" wrapText="1"/>
    </xf>
    <xf numFmtId="0" fontId="21" fillId="0" borderId="0" xfId="2" applyFont="1">
      <alignment vertical="center"/>
    </xf>
    <xf numFmtId="0" fontId="23" fillId="0" borderId="0" xfId="2" applyFont="1" applyFill="1" applyAlignment="1">
      <alignment vertical="center" wrapText="1"/>
    </xf>
    <xf numFmtId="0" fontId="21" fillId="0" borderId="0" xfId="2" applyFont="1" applyFill="1">
      <alignment vertical="center"/>
    </xf>
    <xf numFmtId="0" fontId="21" fillId="0" borderId="0" xfId="0" applyFont="1" applyFill="1">
      <alignment vertical="center"/>
    </xf>
    <xf numFmtId="0" fontId="21" fillId="0" borderId="0" xfId="2" applyFont="1" applyAlignment="1">
      <alignment vertical="center" wrapText="1"/>
    </xf>
    <xf numFmtId="0" fontId="24" fillId="0" borderId="0" xfId="2" applyFont="1">
      <alignment vertical="center"/>
    </xf>
    <xf numFmtId="0" fontId="0" fillId="0" borderId="0" xfId="0" pivotButton="1">
      <alignment vertical="center"/>
    </xf>
    <xf numFmtId="0" fontId="14" fillId="0" borderId="1" xfId="0" applyFont="1" applyBorder="1" applyAlignment="1">
      <alignment vertical="center" wrapText="1"/>
    </xf>
    <xf numFmtId="0" fontId="28" fillId="0" borderId="0" xfId="0" applyFont="1">
      <alignment vertical="center"/>
    </xf>
    <xf numFmtId="0" fontId="29" fillId="0" borderId="1" xfId="2" applyFont="1" applyBorder="1">
      <alignment vertical="center"/>
    </xf>
    <xf numFmtId="0" fontId="29" fillId="0" borderId="9" xfId="2" applyFont="1" applyFill="1" applyBorder="1">
      <alignment vertical="center"/>
    </xf>
    <xf numFmtId="0" fontId="29" fillId="0" borderId="1" xfId="2" applyFont="1" applyFill="1" applyBorder="1">
      <alignment vertical="center"/>
    </xf>
    <xf numFmtId="0" fontId="28" fillId="0" borderId="0" xfId="0" pivotButton="1" applyFont="1">
      <alignment vertical="center"/>
    </xf>
    <xf numFmtId="0" fontId="29" fillId="15" borderId="1" xfId="2" applyFont="1" applyFill="1" applyBorder="1">
      <alignment vertical="center"/>
    </xf>
    <xf numFmtId="0" fontId="29" fillId="15" borderId="1" xfId="0" applyFont="1" applyFill="1" applyBorder="1">
      <alignment vertical="center"/>
    </xf>
    <xf numFmtId="0" fontId="29" fillId="0" borderId="1" xfId="0" applyFont="1" applyFill="1" applyBorder="1">
      <alignment vertical="center"/>
    </xf>
    <xf numFmtId="0" fontId="28" fillId="0" borderId="0" xfId="0" applyFont="1" applyAlignment="1">
      <alignment horizontal="left" vertical="center"/>
    </xf>
    <xf numFmtId="0" fontId="28" fillId="0" borderId="0" xfId="0" applyNumberFormat="1" applyFont="1">
      <alignment vertical="center"/>
    </xf>
    <xf numFmtId="0" fontId="29" fillId="0" borderId="1" xfId="0" applyFont="1" applyBorder="1">
      <alignment vertical="center"/>
    </xf>
    <xf numFmtId="0" fontId="29" fillId="16" borderId="1" xfId="2" applyFont="1" applyFill="1" applyBorder="1">
      <alignment vertical="center"/>
    </xf>
    <xf numFmtId="0" fontId="29" fillId="16" borderId="1" xfId="0" applyFont="1" applyFill="1" applyBorder="1">
      <alignment vertical="center"/>
    </xf>
    <xf numFmtId="0" fontId="29" fillId="12" borderId="1" xfId="2" applyFont="1" applyFill="1" applyBorder="1">
      <alignment vertical="center"/>
    </xf>
    <xf numFmtId="0" fontId="29" fillId="11" borderId="1" xfId="2" applyFont="1" applyFill="1" applyBorder="1">
      <alignment vertical="center"/>
    </xf>
    <xf numFmtId="0" fontId="29" fillId="12" borderId="1" xfId="0" applyFont="1" applyFill="1" applyBorder="1">
      <alignment vertical="center"/>
    </xf>
    <xf numFmtId="0" fontId="29" fillId="12" borderId="1" xfId="2" applyFont="1" applyFill="1" applyBorder="1" applyAlignment="1">
      <alignment horizontal="right" vertical="center"/>
    </xf>
    <xf numFmtId="0" fontId="30" fillId="12" borderId="1" xfId="0" applyFont="1" applyFill="1" applyBorder="1" applyAlignment="1">
      <alignment horizontal="right" vertical="center"/>
    </xf>
    <xf numFmtId="0" fontId="29" fillId="12" borderId="1" xfId="2" applyFont="1" applyFill="1" applyBorder="1" applyAlignment="1">
      <alignment vertical="center"/>
    </xf>
    <xf numFmtId="0" fontId="30" fillId="12" borderId="0" xfId="0" applyFont="1" applyFill="1" applyBorder="1" applyAlignment="1">
      <alignment horizontal="right" vertical="center"/>
    </xf>
    <xf numFmtId="0" fontId="17" fillId="17" borderId="1" xfId="0" applyFont="1" applyFill="1" applyBorder="1">
      <alignment vertical="center"/>
    </xf>
    <xf numFmtId="0" fontId="17" fillId="17" borderId="1" xfId="0" applyFont="1" applyFill="1" applyBorder="1" applyAlignment="1">
      <alignment horizontal="left" vertical="center"/>
    </xf>
    <xf numFmtId="0" fontId="17" fillId="17" borderId="1" xfId="0" applyFont="1" applyFill="1" applyBorder="1" applyAlignment="1">
      <alignment horizontal="right" vertical="center"/>
    </xf>
    <xf numFmtId="0" fontId="20" fillId="17" borderId="4" xfId="1" applyFont="1" applyFill="1" applyBorder="1">
      <alignment vertical="center"/>
    </xf>
    <xf numFmtId="14" fontId="31" fillId="0" borderId="0" xfId="0" applyNumberFormat="1" applyFont="1">
      <alignment vertical="center"/>
    </xf>
  </cellXfs>
  <cellStyles count="4">
    <cellStyle name="常规" xfId="0" builtinId="0"/>
    <cellStyle name="常规 2" xfId="3" xr:uid="{00000000-0005-0000-0000-000001000000}"/>
    <cellStyle name="常规 2 2" xfId="2" xr:uid="{00000000-0005-0000-0000-000002000000}"/>
    <cellStyle name="超链接" xfId="1" builtinId="8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name val="Microsoft YaHei Light"/>
        <scheme val="none"/>
      </font>
    </dxf>
    <dxf>
      <font>
        <name val="Microsoft YaHei Light"/>
        <scheme val="none"/>
      </font>
    </dxf>
    <dxf>
      <font>
        <name val="Microsoft YaHei Light"/>
        <scheme val="none"/>
      </font>
    </dxf>
    <dxf>
      <font>
        <name val="Microsoft YaHei Light"/>
        <scheme val="none"/>
      </font>
    </dxf>
    <dxf>
      <font>
        <name val="Microsoft YaHei Light"/>
        <scheme val="none"/>
      </font>
    </dxf>
    <dxf>
      <font>
        <name val="Microsoft YaHei Light"/>
        <scheme val="none"/>
      </font>
    </dxf>
    <dxf>
      <font>
        <name val="Microsoft YaHei Light"/>
        <scheme val="none"/>
      </font>
    </dxf>
    <dxf>
      <font>
        <name val="Microsoft YaHei Light"/>
        <scheme val="none"/>
      </font>
    </dxf>
    <dxf>
      <font>
        <name val="Microsoft YaHei Light"/>
        <scheme val="none"/>
      </font>
    </dxf>
    <dxf>
      <font>
        <name val="Microsoft YaHei Light"/>
        <scheme val="none"/>
      </font>
    </dxf>
    <dxf>
      <font>
        <name val="Microsoft YaHei Light"/>
        <scheme val="none"/>
      </font>
    </dxf>
    <dxf>
      <font>
        <name val="Microsoft YaHei Light"/>
        <scheme val="none"/>
      </font>
    </dxf>
  </dxfs>
  <tableStyles count="0" defaultTableStyle="TableStyleMedium9" defaultPivotStyle="PivotStyleLight16"/>
  <colors>
    <mruColors>
      <color rgb="FF4F81BD"/>
      <color rgb="FFD39E90"/>
      <color rgb="FFFF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2021Q2</a:t>
            </a:r>
            <a:r>
              <a:rPr lang="zh-CN"/>
              <a:t>小项目挣值</a:t>
            </a:r>
            <a:r>
              <a:rPr lang="en-US"/>
              <a:t>(</a:t>
            </a:r>
            <a:r>
              <a:rPr lang="zh-CN"/>
              <a:t>人周</a:t>
            </a:r>
            <a:r>
              <a:rPr lang="en-US"/>
              <a:t>) 5</a:t>
            </a:r>
            <a:r>
              <a:rPr lang="zh-CN"/>
              <a:t>月</a:t>
            </a:r>
            <a:r>
              <a:rPr lang="en-US"/>
              <a:t>21</a:t>
            </a:r>
            <a:r>
              <a:rPr lang="zh-CN"/>
              <a:t>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小项目情况汇总!$AB$1</c:f>
              <c:strCache>
                <c:ptCount val="1"/>
                <c:pt idx="0">
                  <c:v>2021Q2奖励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小项目情况汇总!$Y$2:$Y$19</c:f>
              <c:strCache>
                <c:ptCount val="18"/>
                <c:pt idx="0">
                  <c:v>吕欣冉-0/2/0</c:v>
                </c:pt>
                <c:pt idx="1">
                  <c:v>李云毅-0/1/1</c:v>
                </c:pt>
                <c:pt idx="2">
                  <c:v>姚文心-0/1/1</c:v>
                </c:pt>
                <c:pt idx="3">
                  <c:v>赵晓韵-0/3/2</c:v>
                </c:pt>
                <c:pt idx="4">
                  <c:v>魏渐俊-0/0/1</c:v>
                </c:pt>
                <c:pt idx="5">
                  <c:v>董炎彦-0/1/1</c:v>
                </c:pt>
                <c:pt idx="6">
                  <c:v>陈嘉伟-0/1/2</c:v>
                </c:pt>
                <c:pt idx="7">
                  <c:v>邱媛媛-0/1/2</c:v>
                </c:pt>
                <c:pt idx="8">
                  <c:v>陈杰樱-0/1/1</c:v>
                </c:pt>
                <c:pt idx="9">
                  <c:v>苏雷皓-0/0/2</c:v>
                </c:pt>
                <c:pt idx="10">
                  <c:v>章群燕-0/2/1</c:v>
                </c:pt>
                <c:pt idx="11">
                  <c:v>沈一筹-0/1/2</c:v>
                </c:pt>
                <c:pt idx="12">
                  <c:v>商月-0/1/3</c:v>
                </c:pt>
                <c:pt idx="13">
                  <c:v>陈鹤-0/2/1</c:v>
                </c:pt>
                <c:pt idx="14">
                  <c:v>李靖民-0/2/2</c:v>
                </c:pt>
                <c:pt idx="15">
                  <c:v>杨子玉-0/6/1</c:v>
                </c:pt>
                <c:pt idx="16">
                  <c:v>孙道伟-0/1/2</c:v>
                </c:pt>
                <c:pt idx="17">
                  <c:v>周功平-0/2/0</c:v>
                </c:pt>
              </c:strCache>
            </c:strRef>
          </c:cat>
          <c:val>
            <c:numRef>
              <c:f>小项目情况汇总!$AB$2:$AB$19</c:f>
              <c:numCache>
                <c:formatCode>0.00_ 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5-4FF3-83B3-DF9C3EA862D5}"/>
            </c:ext>
          </c:extLst>
        </c:ser>
        <c:ser>
          <c:idx val="2"/>
          <c:order val="1"/>
          <c:tx>
            <c:strRef>
              <c:f>小项目情况汇总!$AC$1</c:f>
              <c:strCache>
                <c:ptCount val="1"/>
                <c:pt idx="0">
                  <c:v>2021Q2已获得小项目挣值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  <a:effectLst/>
          </c:spPr>
          <c:invertIfNegative val="0"/>
          <c:dLbls>
            <c:numFmt formatCode="0.0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小项目情况汇总!$Y$2:$Y$19</c:f>
              <c:strCache>
                <c:ptCount val="18"/>
                <c:pt idx="0">
                  <c:v>吕欣冉-0/2/0</c:v>
                </c:pt>
                <c:pt idx="1">
                  <c:v>李云毅-0/1/1</c:v>
                </c:pt>
                <c:pt idx="2">
                  <c:v>姚文心-0/1/1</c:v>
                </c:pt>
                <c:pt idx="3">
                  <c:v>赵晓韵-0/3/2</c:v>
                </c:pt>
                <c:pt idx="4">
                  <c:v>魏渐俊-0/0/1</c:v>
                </c:pt>
                <c:pt idx="5">
                  <c:v>董炎彦-0/1/1</c:v>
                </c:pt>
                <c:pt idx="6">
                  <c:v>陈嘉伟-0/1/2</c:v>
                </c:pt>
                <c:pt idx="7">
                  <c:v>邱媛媛-0/1/2</c:v>
                </c:pt>
                <c:pt idx="8">
                  <c:v>陈杰樱-0/1/1</c:v>
                </c:pt>
                <c:pt idx="9">
                  <c:v>苏雷皓-0/0/2</c:v>
                </c:pt>
                <c:pt idx="10">
                  <c:v>章群燕-0/2/1</c:v>
                </c:pt>
                <c:pt idx="11">
                  <c:v>沈一筹-0/1/2</c:v>
                </c:pt>
                <c:pt idx="12">
                  <c:v>商月-0/1/3</c:v>
                </c:pt>
                <c:pt idx="13">
                  <c:v>陈鹤-0/2/1</c:v>
                </c:pt>
                <c:pt idx="14">
                  <c:v>李靖民-0/2/2</c:v>
                </c:pt>
                <c:pt idx="15">
                  <c:v>杨子玉-0/6/1</c:v>
                </c:pt>
                <c:pt idx="16">
                  <c:v>孙道伟-0/1/2</c:v>
                </c:pt>
                <c:pt idx="17">
                  <c:v>周功平-0/2/0</c:v>
                </c:pt>
              </c:strCache>
            </c:strRef>
          </c:cat>
          <c:val>
            <c:numRef>
              <c:f>小项目情况汇总!$AC$2:$AC$19</c:f>
              <c:numCache>
                <c:formatCode>0.00_ </c:formatCode>
                <c:ptCount val="18"/>
                <c:pt idx="0">
                  <c:v>52.571428571428243</c:v>
                </c:pt>
                <c:pt idx="1">
                  <c:v>111</c:v>
                </c:pt>
                <c:pt idx="2">
                  <c:v>100</c:v>
                </c:pt>
                <c:pt idx="3">
                  <c:v>132.7327188940092</c:v>
                </c:pt>
                <c:pt idx="4">
                  <c:v>98.571428571428555</c:v>
                </c:pt>
                <c:pt idx="5">
                  <c:v>98.1</c:v>
                </c:pt>
                <c:pt idx="6">
                  <c:v>137.91769316909316</c:v>
                </c:pt>
                <c:pt idx="7">
                  <c:v>101.77272727272731</c:v>
                </c:pt>
                <c:pt idx="8">
                  <c:v>90.971428571428561</c:v>
                </c:pt>
                <c:pt idx="9">
                  <c:v>52.043478260869591</c:v>
                </c:pt>
                <c:pt idx="10">
                  <c:v>92.680851063830005</c:v>
                </c:pt>
                <c:pt idx="11">
                  <c:v>45</c:v>
                </c:pt>
                <c:pt idx="12">
                  <c:v>46.000000000000043</c:v>
                </c:pt>
                <c:pt idx="13">
                  <c:v>102.96724137931041</c:v>
                </c:pt>
                <c:pt idx="14">
                  <c:v>121.2258064516129</c:v>
                </c:pt>
                <c:pt idx="15">
                  <c:v>109.85000000000001</c:v>
                </c:pt>
                <c:pt idx="16">
                  <c:v>66.999999999999986</c:v>
                </c:pt>
                <c:pt idx="1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E5-4FF3-83B3-DF9C3EA862D5}"/>
            </c:ext>
          </c:extLst>
        </c:ser>
        <c:ser>
          <c:idx val="0"/>
          <c:order val="2"/>
          <c:tx>
            <c:strRef>
              <c:f>小项目情况汇总!$AD$1</c:f>
              <c:strCache>
                <c:ptCount val="1"/>
                <c:pt idx="0">
                  <c:v>当前所在项目剩余计划工作量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小项目情况汇总!$Y$2:$Y$19</c:f>
              <c:strCache>
                <c:ptCount val="18"/>
                <c:pt idx="0">
                  <c:v>吕欣冉-0/2/0</c:v>
                </c:pt>
                <c:pt idx="1">
                  <c:v>李云毅-0/1/1</c:v>
                </c:pt>
                <c:pt idx="2">
                  <c:v>姚文心-0/1/1</c:v>
                </c:pt>
                <c:pt idx="3">
                  <c:v>赵晓韵-0/3/2</c:v>
                </c:pt>
                <c:pt idx="4">
                  <c:v>魏渐俊-0/0/1</c:v>
                </c:pt>
                <c:pt idx="5">
                  <c:v>董炎彦-0/1/1</c:v>
                </c:pt>
                <c:pt idx="6">
                  <c:v>陈嘉伟-0/1/2</c:v>
                </c:pt>
                <c:pt idx="7">
                  <c:v>邱媛媛-0/1/2</c:v>
                </c:pt>
                <c:pt idx="8">
                  <c:v>陈杰樱-0/1/1</c:v>
                </c:pt>
                <c:pt idx="9">
                  <c:v>苏雷皓-0/0/2</c:v>
                </c:pt>
                <c:pt idx="10">
                  <c:v>章群燕-0/2/1</c:v>
                </c:pt>
                <c:pt idx="11">
                  <c:v>沈一筹-0/1/2</c:v>
                </c:pt>
                <c:pt idx="12">
                  <c:v>商月-0/1/3</c:v>
                </c:pt>
                <c:pt idx="13">
                  <c:v>陈鹤-0/2/1</c:v>
                </c:pt>
                <c:pt idx="14">
                  <c:v>李靖民-0/2/2</c:v>
                </c:pt>
                <c:pt idx="15">
                  <c:v>杨子玉-0/6/1</c:v>
                </c:pt>
                <c:pt idx="16">
                  <c:v>孙道伟-0/1/2</c:v>
                </c:pt>
                <c:pt idx="17">
                  <c:v>周功平-0/2/0</c:v>
                </c:pt>
              </c:strCache>
            </c:strRef>
          </c:cat>
          <c:val>
            <c:numRef>
              <c:f>小项目情况汇总!$AD$2:$AD$19</c:f>
              <c:numCache>
                <c:formatCode>0.00_ </c:formatCode>
                <c:ptCount val="18"/>
                <c:pt idx="0">
                  <c:v>0</c:v>
                </c:pt>
                <c:pt idx="1">
                  <c:v>21</c:v>
                </c:pt>
                <c:pt idx="2">
                  <c:v>4</c:v>
                </c:pt>
                <c:pt idx="3">
                  <c:v>3.4285714285714284</c:v>
                </c:pt>
                <c:pt idx="4">
                  <c:v>3.4285714285714284</c:v>
                </c:pt>
                <c:pt idx="5">
                  <c:v>5.3999999999999995</c:v>
                </c:pt>
                <c:pt idx="6">
                  <c:v>13.263157894736841</c:v>
                </c:pt>
                <c:pt idx="7">
                  <c:v>0</c:v>
                </c:pt>
                <c:pt idx="8">
                  <c:v>15.428571428571427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C-443D-BDF7-56171CD70919}"/>
            </c:ext>
          </c:extLst>
        </c:ser>
        <c:ser>
          <c:idx val="3"/>
          <c:order val="3"/>
          <c:tx>
            <c:strRef>
              <c:f>小项目情况汇总!$AE$1</c:f>
              <c:strCache>
                <c:ptCount val="1"/>
                <c:pt idx="0">
                  <c:v>距离目标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2.1653032111808926E-2"/>
                  <c:y val="-1.447701773434566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4C-443D-BDF7-56171CD709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小项目情况汇总!$Y$2:$Y$19</c:f>
              <c:strCache>
                <c:ptCount val="18"/>
                <c:pt idx="0">
                  <c:v>吕欣冉-0/2/0</c:v>
                </c:pt>
                <c:pt idx="1">
                  <c:v>李云毅-0/1/1</c:v>
                </c:pt>
                <c:pt idx="2">
                  <c:v>姚文心-0/1/1</c:v>
                </c:pt>
                <c:pt idx="3">
                  <c:v>赵晓韵-0/3/2</c:v>
                </c:pt>
                <c:pt idx="4">
                  <c:v>魏渐俊-0/0/1</c:v>
                </c:pt>
                <c:pt idx="5">
                  <c:v>董炎彦-0/1/1</c:v>
                </c:pt>
                <c:pt idx="6">
                  <c:v>陈嘉伟-0/1/2</c:v>
                </c:pt>
                <c:pt idx="7">
                  <c:v>邱媛媛-0/1/2</c:v>
                </c:pt>
                <c:pt idx="8">
                  <c:v>陈杰樱-0/1/1</c:v>
                </c:pt>
                <c:pt idx="9">
                  <c:v>苏雷皓-0/0/2</c:v>
                </c:pt>
                <c:pt idx="10">
                  <c:v>章群燕-0/2/1</c:v>
                </c:pt>
                <c:pt idx="11">
                  <c:v>沈一筹-0/1/2</c:v>
                </c:pt>
                <c:pt idx="12">
                  <c:v>商月-0/1/3</c:v>
                </c:pt>
                <c:pt idx="13">
                  <c:v>陈鹤-0/2/1</c:v>
                </c:pt>
                <c:pt idx="14">
                  <c:v>李靖民-0/2/2</c:v>
                </c:pt>
                <c:pt idx="15">
                  <c:v>杨子玉-0/6/1</c:v>
                </c:pt>
                <c:pt idx="16">
                  <c:v>孙道伟-0/1/2</c:v>
                </c:pt>
                <c:pt idx="17">
                  <c:v>周功平-0/2/0</c:v>
                </c:pt>
              </c:strCache>
            </c:strRef>
          </c:cat>
          <c:val>
            <c:numRef>
              <c:f>小项目情况汇总!$AE$2:$AE$19</c:f>
              <c:numCache>
                <c:formatCode>0.00_ </c:formatCode>
                <c:ptCount val="18"/>
                <c:pt idx="0">
                  <c:v>59.928571428571757</c:v>
                </c:pt>
                <c:pt idx="1">
                  <c:v>0</c:v>
                </c:pt>
                <c:pt idx="2">
                  <c:v>8.5</c:v>
                </c:pt>
                <c:pt idx="3">
                  <c:v>0</c:v>
                </c:pt>
                <c:pt idx="4">
                  <c:v>10.500000000000016</c:v>
                </c:pt>
                <c:pt idx="5">
                  <c:v>1.0000000000000071</c:v>
                </c:pt>
                <c:pt idx="6">
                  <c:v>0</c:v>
                </c:pt>
                <c:pt idx="7">
                  <c:v>10.727272727272691</c:v>
                </c:pt>
                <c:pt idx="8">
                  <c:v>6.1000000000000121</c:v>
                </c:pt>
                <c:pt idx="9">
                  <c:v>60.456521739130409</c:v>
                </c:pt>
                <c:pt idx="10">
                  <c:v>19.819148936169995</c:v>
                </c:pt>
                <c:pt idx="11">
                  <c:v>64.5</c:v>
                </c:pt>
                <c:pt idx="12">
                  <c:v>62.499999999999957</c:v>
                </c:pt>
                <c:pt idx="13">
                  <c:v>9.5327586206895916</c:v>
                </c:pt>
                <c:pt idx="14">
                  <c:v>0</c:v>
                </c:pt>
                <c:pt idx="15">
                  <c:v>0.64999999999999147</c:v>
                </c:pt>
                <c:pt idx="16">
                  <c:v>45.500000000000014</c:v>
                </c:pt>
                <c:pt idx="17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C-443D-BDF7-56171CD709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3442048"/>
        <c:axId val="223443584"/>
      </c:barChart>
      <c:catAx>
        <c:axId val="22344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443584"/>
        <c:crosses val="autoZero"/>
        <c:auto val="1"/>
        <c:lblAlgn val="ctr"/>
        <c:lblOffset val="100"/>
        <c:noMultiLvlLbl val="0"/>
      </c:catAx>
      <c:valAx>
        <c:axId val="2234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4420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22</xdr:row>
      <xdr:rowOff>19049</xdr:rowOff>
    </xdr:from>
    <xdr:to>
      <xdr:col>33</xdr:col>
      <xdr:colOff>78442</xdr:colOff>
      <xdr:row>65</xdr:row>
      <xdr:rowOff>190499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431987</xdr:colOff>
      <xdr:row>24</xdr:row>
      <xdr:rowOff>9525</xdr:rowOff>
    </xdr:from>
    <xdr:to>
      <xdr:col>29</xdr:col>
      <xdr:colOff>466725</xdr:colOff>
      <xdr:row>63</xdr:row>
      <xdr:rowOff>131214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30692912" y="4810125"/>
          <a:ext cx="34738" cy="7922664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79375</xdr:colOff>
      <xdr:row>22</xdr:row>
      <xdr:rowOff>158749</xdr:rowOff>
    </xdr:from>
    <xdr:to>
      <xdr:col>24</xdr:col>
      <xdr:colOff>87312</xdr:colOff>
      <xdr:row>23</xdr:row>
      <xdr:rowOff>198436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3329900" y="4558665"/>
          <a:ext cx="1055370" cy="24003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atin typeface="微软雅黑 Light" panose="020B0502040204020203" pitchFamily="34" charset="-122"/>
              <a:ea typeface="微软雅黑 Light" panose="020B0502040204020203" pitchFamily="34" charset="-122"/>
            </a:rPr>
            <a:t>提前</a:t>
          </a:r>
          <a:r>
            <a:rPr lang="en-US" altLang="zh-CN" sz="900">
              <a:latin typeface="微软雅黑 Light" panose="020B0502040204020203" pitchFamily="34" charset="-122"/>
              <a:ea typeface="微软雅黑 Light" panose="020B0502040204020203" pitchFamily="34" charset="-122"/>
            </a:rPr>
            <a:t>/</a:t>
          </a:r>
          <a:r>
            <a:rPr lang="zh-CN" altLang="en-US" sz="900">
              <a:latin typeface="微软雅黑 Light" panose="020B0502040204020203" pitchFamily="34" charset="-122"/>
              <a:ea typeface="微软雅黑 Light" panose="020B0502040204020203" pitchFamily="34" charset="-122"/>
            </a:rPr>
            <a:t>按时</a:t>
          </a:r>
          <a:r>
            <a:rPr lang="en-US" altLang="zh-CN" sz="900">
              <a:latin typeface="微软雅黑 Light" panose="020B0502040204020203" pitchFamily="34" charset="-122"/>
              <a:ea typeface="微软雅黑 Light" panose="020B0502040204020203" pitchFamily="34" charset="-122"/>
            </a:rPr>
            <a:t>/</a:t>
          </a:r>
          <a:r>
            <a:rPr lang="zh-CN" altLang="en-US" sz="900">
              <a:latin typeface="微软雅黑 Light" panose="020B0502040204020203" pitchFamily="34" charset="-122"/>
              <a:ea typeface="微软雅黑 Light" panose="020B0502040204020203" pitchFamily="34" charset="-122"/>
            </a:rPr>
            <a:t>延期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唐军敏" refreshedDate="44331.618451388887" createdVersion="6" refreshedVersion="6" minRefreshableVersion="3" recordCount="243" xr:uid="{00000000-000A-0000-FFFF-FFFF00000000}">
  <cacheSource type="worksheet">
    <worksheetSource ref="A1:J1048576" sheet="人员最新分组"/>
  </cacheSource>
  <cacheFields count="10">
    <cacheField name="姓名" numFmtId="0">
      <sharedItems containsBlank="1"/>
    </cacheField>
    <cacheField name="公司" numFmtId="0">
      <sharedItems containsBlank="1"/>
    </cacheField>
    <cacheField name="上上一个项目组" numFmtId="0">
      <sharedItems containsBlank="1"/>
    </cacheField>
    <cacheField name="5月8日后续安排" numFmtId="0">
      <sharedItems containsBlank="1"/>
    </cacheField>
    <cacheField name="5月15日后续安排" numFmtId="0">
      <sharedItems containsBlank="1"/>
    </cacheField>
    <cacheField name="人员预安排" numFmtId="0">
      <sharedItems containsBlank="1"/>
    </cacheField>
    <cacheField name="所属版本NEW" numFmtId="0">
      <sharedItems containsBlank="1" count="16">
        <s v="V153"/>
        <s v="守门员"/>
        <s v="V151"/>
        <s v="V160"/>
        <s v="版本整体负责"/>
        <s v="离场"/>
        <s v="V151南向通"/>
        <m/>
        <s v="产假"/>
        <s v="版本共享"/>
        <s v="数据分析"/>
        <s v="排错组"/>
        <s v="会员组支持"/>
        <s v="配置管理"/>
        <s v="V162"/>
        <s v="新人"/>
      </sharedItems>
    </cacheField>
    <cacheField name="业务技术线组长" numFmtId="0">
      <sharedItems containsBlank="1"/>
    </cacheField>
    <cacheField name="业务技术条组长（仅统计)" numFmtId="0">
      <sharedItems containsBlank="1"/>
    </cacheField>
    <cacheField name="业务技术分组NEW" numFmtId="0">
      <sharedItems containsBlank="1" count="34">
        <s v="不计"/>
        <s v="版本线"/>
        <s v="周德乐-固定"/>
        <s v="李戬-固定"/>
        <s v="张洋弘-固定"/>
        <s v="郑安如-固定"/>
        <s v="守门员"/>
        <s v="刁望庆-固定"/>
        <s v="申冬东-固定"/>
        <s v="徐慧鹏-固定"/>
        <s v="顾静洁-固定"/>
        <s v="刘倩-固定"/>
        <s v="吕欣冉-固定"/>
        <s v="周德乐-浮动"/>
        <s v="张洋弘-浮动"/>
        <s v="版本公共"/>
        <s v="徐慧鹏-浮动"/>
        <s v="吕欣冉-浮动"/>
        <s v="版本公共-UIUX-浮动"/>
        <s v="刁望庆-浮动"/>
        <s v="徐慧鹏-验收-浮动"/>
        <s v="刘倩-验收-固定"/>
        <s v="顾静洁-验收-固定"/>
        <s v="吕欣冉-验收-固定"/>
        <s v="徐慧鹏-验收-固定"/>
        <s v="郑安如-验收-浮动"/>
        <s v="郑安如-验收-固定"/>
        <s v="顾静洁-验收-浮动"/>
        <s v="刘倩-验收-浮动"/>
        <s v="版本公共-浮动"/>
        <s v="陈启明-固定"/>
        <s v="陈启明-浮动"/>
        <m/>
        <s v="刘倩-浮动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唐军敏" refreshedDate="44340.38688726852" createdVersion="6" refreshedVersion="6" minRefreshableVersion="3" recordCount="246" xr:uid="{00000000-000A-0000-FFFF-FFFF01000000}">
  <cacheSource type="worksheet">
    <worksheetSource ref="A1:L1048576" sheet="人员最新分组"/>
  </cacheSource>
  <cacheFields count="12">
    <cacheField name="姓名" numFmtId="0">
      <sharedItems containsBlank="1"/>
    </cacheField>
    <cacheField name="公司" numFmtId="0">
      <sharedItems containsBlank="1"/>
    </cacheField>
    <cacheField name="上上一个项目组" numFmtId="0">
      <sharedItems containsBlank="1"/>
    </cacheField>
    <cacheField name="5月15日后续安排" numFmtId="0">
      <sharedItems containsBlank="1"/>
    </cacheField>
    <cacheField name="5月21日后续安排" numFmtId="0">
      <sharedItems containsBlank="1" count="40">
        <s v="V153负责人"/>
        <s v="守门员"/>
        <s v="V151负责人"/>
        <s v="V153集中测试"/>
        <s v="V160负责人"/>
        <s v="版本整体负责"/>
        <s v="V153版本集成"/>
        <s v="V153验收测试"/>
        <s v="CDS二期-42"/>
        <s v="160周边整合（财政部一期+货债二期)-24"/>
        <s v="央行报表及衍生品成交优化-42"/>
        <s v="计费二期-36"/>
        <s v="V160集中测试"/>
        <s v="利率期权三期-36"/>
        <s v="南向通额度-7"/>
        <s v="离场"/>
        <s v="V160验收用例准备"/>
        <m/>
        <s v="产假"/>
        <s v="南向通一期"/>
        <s v="南向通验收测试"/>
        <s v="UX设计"/>
        <s v="守门员-&gt;南向通额度-7"/>
        <s v="V153全量包准备-9"/>
        <s v="数据分析"/>
        <s v="V15115版本集成"/>
        <s v="排错组V151"/>
        <s v="支持-会员组支持"/>
        <s v="支持-QA"/>
        <s v="V153生产数据比对"/>
        <s v="南向通集中测试"/>
        <s v="配置管理"/>
        <s v="集成配置-运维"/>
        <s v="集成配置-Devops平台开发"/>
        <s v="段杰+魏亚男"/>
        <s v="陆云帆"/>
        <s v="孙晓安"/>
        <s v="孙泽龄"/>
        <s v="张东升01"/>
        <s v="刁望庆"/>
      </sharedItems>
    </cacheField>
    <cacheField name="人员预安排" numFmtId="0">
      <sharedItems containsBlank="1"/>
    </cacheField>
    <cacheField name="所属版本NEW" numFmtId="0">
      <sharedItems containsBlank="1" count="31">
        <s v="V153"/>
        <s v="守门员"/>
        <s v="V151"/>
        <s v="V160"/>
        <s v="版本整体负责"/>
        <s v="V151南向通"/>
        <s v="离场"/>
        <m/>
        <s v="产假"/>
        <s v="版本共享"/>
        <s v="V162"/>
        <s v="数据分析"/>
        <s v="排错组"/>
        <s v="会员组支持"/>
        <s v="配置管理"/>
        <s v="新人"/>
        <s v="待离场" u="1"/>
        <s v="V150-&gt;V151" u="1"/>
        <s v="离职" u="1"/>
        <s v="借调在场" u="1"/>
        <s v="UX设计" u="1"/>
        <s v="V151-&gt;V153" u="1"/>
        <s v="守门员-&gt;V151南向通" u="1"/>
        <s v="待招" u="1"/>
        <s v="V150-&gt;V153" u="1"/>
        <s v="V153-&gt;V160" u="1"/>
        <s v="V150" u="1"/>
        <s v="借调面试通过" u="1"/>
        <s v="V151-&gt;V160" u="1"/>
        <s v="V150-&gt;V160" u="1"/>
        <s v="婚假" u="1"/>
      </sharedItems>
    </cacheField>
    <cacheField name="业务技术线组长" numFmtId="0">
      <sharedItems containsBlank="1" count="16">
        <s v="孙小林"/>
        <s v="郑安如"/>
        <s v="张洋弘"/>
        <s v="顾静洁"/>
        <s v="刘倩"/>
        <s v="版本线"/>
        <s v="周德乐"/>
        <s v="李戬"/>
        <s v="刁望庆"/>
        <s v="申冬东"/>
        <s v="徐慧鹏"/>
        <s v="吕欣冉"/>
        <s v="陈启明"/>
        <m/>
        <s v="赵攀" u="1"/>
        <s v="李晶雯" u="1"/>
      </sharedItems>
    </cacheField>
    <cacheField name="业务技术条组长（仅统计)" numFmtId="0">
      <sharedItems containsBlank="1"/>
    </cacheField>
    <cacheField name="业务技术分组NEW" numFmtId="0">
      <sharedItems containsBlank="1"/>
    </cacheField>
    <cacheField name="技能组" numFmtId="0">
      <sharedItems containsBlank="1" count="31">
        <s v="版本线"/>
        <s v="NDM业务"/>
        <s v="JAVA/CWAP"/>
        <s v="NDM业务-验收"/>
        <s v="通用功能"/>
        <s v="ODM业务-验收"/>
        <s v="JAVA/AKKA"/>
        <s v="H5"/>
        <s v="C++/撮合"/>
        <s v="C++/HPPE"/>
        <s v="共享服务"/>
        <s v="ODM业务"/>
        <s v="数据分析"/>
        <s v="支持-会员组支持"/>
        <s v="支持-QA"/>
        <s v="支持-QA不计"/>
        <s v="共享服务-验收"/>
        <s v="通用功能-验收"/>
        <s v="数据分析-验收"/>
        <s v="集成配置管理"/>
        <s v="集成配置管理DBA"/>
        <m/>
        <s v="java" u="1"/>
        <s v="集成配套组-DBA" u="1"/>
        <s v="集成配套组-测试" u="1"/>
        <s v="二部系统组" u="1"/>
        <s v="集成配套组-配管" u="1"/>
        <s v="顾静洁-验收-固定" u="1"/>
        <s v="集成配套组-JAVA" u="1"/>
        <s v="测试" u="1"/>
        <s v="集成配套组-业务" u="1"/>
      </sharedItems>
    </cacheField>
    <cacheField name="技能组（仅统计筛选)" numFmtId="0">
      <sharedItems containsBlank="1" count="30">
        <s v="版本线"/>
        <s v="需求线"/>
        <s v="技术线"/>
        <s v="NDM业务-验收"/>
        <s v="通用功能"/>
        <s v="ODM业务-验收"/>
        <s v="JAVA/CWAP"/>
        <s v="JAVA/AKKA"/>
        <s v="H5"/>
        <s v="NDM业务"/>
        <s v="C++/撮合"/>
        <s v="C++/HPPE"/>
        <s v="共享服务"/>
        <s v="ODM业务"/>
        <s v="数据分析"/>
        <s v="支持-会员组支持"/>
        <s v="支持-QA"/>
        <s v="支持-QA不计"/>
        <s v="共享服务-验收"/>
        <s v="通用功能-验收"/>
        <s v="数据分析-验收"/>
        <s v="集成配置管理DBA"/>
        <s v="集成配置管理"/>
        <m/>
        <s v="新人" u="1"/>
        <s v="集成配套" u="1"/>
        <s v="二部系统组" u="1"/>
        <s v="二部系统组(无需筛选)" u="1"/>
        <s v="顾静洁-验收-固定" u="1"/>
        <s v="二部系统组不筛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s v="冉杨鋆"/>
    <s v="中心市场二部"/>
    <s v="V153负责人"/>
    <s v="V153负责人"/>
    <s v="V153负责人"/>
    <m/>
    <x v="0"/>
    <s v="孙小林"/>
    <s v="孙小林"/>
    <x v="0"/>
  </r>
  <r>
    <s v="郑安如"/>
    <s v="中心市场二部"/>
    <s v="守门员"/>
    <s v="守门员"/>
    <s v="守门员"/>
    <m/>
    <x v="1"/>
    <s v="郑安如"/>
    <s v="郑安如"/>
    <x v="0"/>
  </r>
  <r>
    <s v="赵攀"/>
    <s v="中心市场二部"/>
    <s v="V151负责人"/>
    <s v="V151负责人"/>
    <s v="V151负责人"/>
    <m/>
    <x v="2"/>
    <s v="孙小林"/>
    <s v="孙小林"/>
    <x v="0"/>
  </r>
  <r>
    <s v="张洋弘"/>
    <s v="中心市场二部"/>
    <s v="守门员"/>
    <s v="守门员"/>
    <s v="守门员"/>
    <m/>
    <x v="1"/>
    <s v="张洋弘"/>
    <s v="张洋弘"/>
    <x v="0"/>
  </r>
  <r>
    <s v="杨子玉"/>
    <s v="中心市场二部"/>
    <s v="V153集中测试"/>
    <s v="V153集中测试"/>
    <s v="V153集中测试"/>
    <m/>
    <x v="0"/>
    <s v="郑安如"/>
    <s v="郑安如"/>
    <x v="0"/>
  </r>
  <r>
    <s v="唐军敏"/>
    <s v="中心市场二部"/>
    <s v="V160负责人"/>
    <s v="V160负责人"/>
    <s v="V160负责人"/>
    <m/>
    <x v="3"/>
    <s v="孙小林"/>
    <s v="孙小林"/>
    <x v="0"/>
  </r>
  <r>
    <s v="孙小林"/>
    <s v="中心市场二部"/>
    <s v="版本整体负责"/>
    <s v="版本整体负责"/>
    <s v="版本整体负责"/>
    <m/>
    <x v="4"/>
    <s v="孙小林"/>
    <s v="孙小林"/>
    <x v="0"/>
  </r>
  <r>
    <s v="孙道伟"/>
    <s v="中汇综合管理部"/>
    <s v="同业存款二期-45-&gt;V153版本集成"/>
    <s v="V153版本集成"/>
    <s v="V153版本集成"/>
    <m/>
    <x v="0"/>
    <s v="顾静洁"/>
    <s v="顾静洁"/>
    <x v="0"/>
  </r>
  <r>
    <s v="李靖民"/>
    <s v="中心市场二部"/>
    <s v="V153验收测试"/>
    <s v="V153验收测试"/>
    <s v="V153验收测试"/>
    <m/>
    <x v="0"/>
    <s v="刘倩"/>
    <s v="刘倩"/>
    <x v="0"/>
  </r>
  <r>
    <s v="顾静洁"/>
    <s v="中心市场二部"/>
    <s v="守门员"/>
    <s v="守门员"/>
    <s v="守门员"/>
    <m/>
    <x v="1"/>
    <s v="顾静洁"/>
    <s v="顾静洁"/>
    <x v="0"/>
  </r>
  <r>
    <s v="王伟"/>
    <s v="埃森哲"/>
    <s v="CDS二期"/>
    <s v="CDS二期-42"/>
    <s v="CDS二期-42"/>
    <m/>
    <x v="3"/>
    <s v="版本线"/>
    <s v="版本线"/>
    <x v="1"/>
  </r>
  <r>
    <s v="付天恩"/>
    <s v="汉朔"/>
    <s v="160周边整合"/>
    <s v="160周边整合（财政部一期+货债二期)-24"/>
    <s v="160周边整合（财政部一期+货债二期)-24"/>
    <m/>
    <x v="3"/>
    <s v="周德乐"/>
    <s v="周德乐"/>
    <x v="2"/>
  </r>
  <r>
    <s v="吴波"/>
    <s v="塔塔"/>
    <s v="V151生产数据比对"/>
    <s v="央行报表及衍生品成交优化"/>
    <s v="央行报表及衍生品成交优化"/>
    <s v="央行报表及衍生品成交优化"/>
    <x v="3"/>
    <s v="李戬"/>
    <s v="李戬"/>
    <x v="3"/>
  </r>
  <r>
    <s v="唐熙棱"/>
    <s v="华腾"/>
    <s v="CRMW+FRA"/>
    <s v="CRMW+FRA"/>
    <s v="央行报表及衍生品成交优化"/>
    <s v="央行报表及衍生品成交优化"/>
    <x v="3"/>
    <s v="张洋弘"/>
    <s v="张洋弘"/>
    <x v="4"/>
  </r>
  <r>
    <s v="魏如梦"/>
    <s v="汉朔"/>
    <s v="V153集中测试"/>
    <s v="V153集中测试"/>
    <s v="V153集中测试"/>
    <m/>
    <x v="0"/>
    <s v="周德乐"/>
    <s v="周德乐"/>
    <x v="2"/>
  </r>
  <r>
    <s v="王智鹏"/>
    <s v="凯道"/>
    <s v="南向通一期"/>
    <s v="南向通一期"/>
    <s v="守门员"/>
    <s v="南向通-1"/>
    <x v="1"/>
    <s v="郑安如"/>
    <s v="郑安如"/>
    <x v="5"/>
  </r>
  <r>
    <s v="陈杰樱"/>
    <s v="中汇开发三部"/>
    <s v="计费改造及监测-45"/>
    <s v="计费改造及监测-45"/>
    <s v="计费二期"/>
    <s v="计费二期"/>
    <x v="3"/>
    <s v="刁望庆"/>
    <s v="刁望庆-项目"/>
    <x v="1"/>
  </r>
  <r>
    <s v="王瑞"/>
    <s v="埃森哲"/>
    <s v="守门员"/>
    <s v="守门员"/>
    <s v="守门员"/>
    <m/>
    <x v="1"/>
    <s v="申冬东"/>
    <s v="申冬东"/>
    <x v="6"/>
  </r>
  <r>
    <s v="翟瑞平"/>
    <s v="塔塔"/>
    <s v="CDS二期"/>
    <s v="CDS二期-42"/>
    <s v="CDS二期-42"/>
    <m/>
    <x v="3"/>
    <s v="刁望庆"/>
    <s v="刁望庆"/>
    <x v="7"/>
  </r>
  <r>
    <s v="丁强"/>
    <s v="塔塔"/>
    <s v="CDS二期"/>
    <s v="CDS二期-42"/>
    <s v="CDS二期-42"/>
    <m/>
    <x v="3"/>
    <s v="张洋弘"/>
    <s v="张洋弘"/>
    <x v="4"/>
  </r>
  <r>
    <s v="翁复来"/>
    <s v="向普"/>
    <s v="CRMW+FRA"/>
    <s v="CRMW+FRA"/>
    <s v="CRMW+FRA"/>
    <m/>
    <x v="3"/>
    <s v="申冬东"/>
    <s v="申冬东"/>
    <x v="8"/>
  </r>
  <r>
    <s v="陆光晨"/>
    <s v="恒天"/>
    <s v="CDS二期"/>
    <s v="CDS二期-42"/>
    <s v="利率期权三期"/>
    <s v="利率期权三期"/>
    <x v="3"/>
    <s v="周德乐"/>
    <s v="周德乐"/>
    <x v="2"/>
  </r>
  <r>
    <s v="姜财"/>
    <s v="汉朔"/>
    <s v="计费改造及监测-45"/>
    <s v="计费改造及监测-45"/>
    <s v="160周边整合（财政部一期+货债二期)-24"/>
    <m/>
    <x v="3"/>
    <s v="张洋弘"/>
    <s v="张洋弘"/>
    <x v="4"/>
  </r>
  <r>
    <s v="彭福康"/>
    <s v="微软"/>
    <s v="CRMW+FRA"/>
    <s v="CRMW+FRA"/>
    <s v="央行报表及衍生品成交优化"/>
    <s v="央行报表及衍生品成交优化"/>
    <x v="3"/>
    <s v="张洋弘"/>
    <s v="张洋弘"/>
    <x v="4"/>
  </r>
  <r>
    <s v="梁木1"/>
    <s v="恒天"/>
    <s v="离场"/>
    <s v="离场"/>
    <s v="离场"/>
    <m/>
    <x v="5"/>
    <s v="周德乐"/>
    <s v="周德乐"/>
    <x v="2"/>
  </r>
  <r>
    <s v="张东升"/>
    <s v="汉朔"/>
    <s v="CRMW+FRA"/>
    <s v="CRMW+FRA"/>
    <s v="央行报表及衍生品成交优化"/>
    <s v="央行报表及衍生品成交优化"/>
    <x v="3"/>
    <s v="周德乐"/>
    <s v="周德乐"/>
    <x v="2"/>
  </r>
  <r>
    <s v="陈诚02"/>
    <s v="恒天"/>
    <s v="CDS二期"/>
    <s v="CDS二期-42"/>
    <s v="CDS二期-42"/>
    <m/>
    <x v="3"/>
    <s v="张洋弘"/>
    <s v="张洋弘"/>
    <x v="4"/>
  </r>
  <r>
    <s v="王春辉"/>
    <s v="埃森哲"/>
    <s v="南向通一期"/>
    <s v="南向通一期"/>
    <s v="南向通一期"/>
    <s v="南向通-1"/>
    <x v="6"/>
    <s v="郑安如"/>
    <s v="郑安如"/>
    <x v="6"/>
  </r>
  <r>
    <s v="祖滔"/>
    <s v="塔塔"/>
    <s v="利率期权二期"/>
    <s v="利率期权二期"/>
    <s v="利率期权三期"/>
    <s v="利率期权三期"/>
    <x v="3"/>
    <s v="周德乐"/>
    <s v="周德乐"/>
    <x v="2"/>
  </r>
  <r>
    <s v="张路"/>
    <s v="塔塔"/>
    <s v="离场"/>
    <s v="离场"/>
    <s v="离场"/>
    <m/>
    <x v="5"/>
    <s v="申冬东"/>
    <s v="申冬东"/>
    <x v="8"/>
  </r>
  <r>
    <s v="孙雨锦02"/>
    <s v="凯道"/>
    <s v="V153集中测试"/>
    <s v="V153集中测试"/>
    <s v="V153集中测试"/>
    <s v="五一支持南向通测试"/>
    <x v="0"/>
    <s v="郑安如"/>
    <s v="郑安如"/>
    <x v="5"/>
  </r>
  <r>
    <s v="潘泳光"/>
    <s v="金楷泽"/>
    <s v="排错组V149"/>
    <s v="央行报表及衍生品成交优化"/>
    <s v="央行报表及衍生品成交优化"/>
    <s v="央行报表及衍生品成交优化"/>
    <x v="3"/>
    <s v="刁望庆"/>
    <s v="刁望庆"/>
    <x v="7"/>
  </r>
  <r>
    <s v="吴臻杰"/>
    <s v="汉朔"/>
    <s v="V151版本集成"/>
    <s v="计费二期"/>
    <s v="计费二期"/>
    <s v="计费二期"/>
    <x v="3"/>
    <s v="版本线"/>
    <s v="版本线"/>
    <x v="1"/>
  </r>
  <r>
    <s v="陈晓瑶"/>
    <s v="汉朔"/>
    <s v="利率期权二期"/>
    <s v="利率期权二期"/>
    <s v="利率期权三期"/>
    <s v="利率期权三期"/>
    <x v="3"/>
    <s v="刁望庆"/>
    <s v="刁望庆"/>
    <x v="7"/>
  </r>
  <r>
    <s v="章群燕"/>
    <s v="中汇开发三部"/>
    <s v="CRMW+FRA"/>
    <s v="CRMW+FRA"/>
    <s v="CRMW+FRA"/>
    <m/>
    <x v="3"/>
    <s v="周德乐"/>
    <s v="周德乐-项目"/>
    <x v="1"/>
  </r>
  <r>
    <s v="杨姗"/>
    <s v="埃森哲"/>
    <s v="160周边整合"/>
    <s v="160周边整合（财政部一期+货债二期)-24"/>
    <s v="160周边整合（财政部一期+货债二期)-24"/>
    <m/>
    <x v="3"/>
    <s v="郑安如"/>
    <s v="郑安如"/>
    <x v="5"/>
  </r>
  <r>
    <s v="许伊涵"/>
    <s v="骄洋"/>
    <s v="V153集中测试"/>
    <s v="V153集中测试"/>
    <s v="V153集中测试"/>
    <m/>
    <x v="0"/>
    <s v="徐慧鹏"/>
    <s v="徐慧鹏"/>
    <x v="9"/>
  </r>
  <r>
    <s v="翟丽丽"/>
    <s v="凯道"/>
    <s v="利率期权二期"/>
    <s v="利率期权二期"/>
    <s v="利率期权三期"/>
    <s v="利率期权三期"/>
    <x v="3"/>
    <s v="徐慧鹏"/>
    <s v="徐慧鹏"/>
    <x v="9"/>
  </r>
  <r>
    <s v="张东升01"/>
    <s v="凯道"/>
    <s v="CRMW+FRA"/>
    <s v="CRMW+FRA"/>
    <s v="计费二期"/>
    <s v="计费二期"/>
    <x v="3"/>
    <s v="顾静洁"/>
    <s v="顾静洁"/>
    <x v="10"/>
  </r>
  <r>
    <s v="于肖肖"/>
    <s v="汉朔"/>
    <s v="利率期权二期"/>
    <s v="利率期权二期"/>
    <s v="利率期权三期"/>
    <s v="利率期权三期"/>
    <x v="3"/>
    <s v="周德乐"/>
    <s v="周德乐"/>
    <x v="2"/>
  </r>
  <r>
    <s v="魏亚男"/>
    <s v="鼎纪"/>
    <s v="V15115验收测试"/>
    <s v="V15115验收测试"/>
    <s v="V15115验收测试"/>
    <m/>
    <x v="2"/>
    <s v="刘倩"/>
    <s v="刘倩"/>
    <x v="11"/>
  </r>
  <r>
    <s v="石秀"/>
    <s v="向普"/>
    <s v="利率期权二期"/>
    <s v="利率期权二期"/>
    <s v="利率期权三期"/>
    <s v="利率期权三期"/>
    <x v="3"/>
    <s v="徐慧鹏"/>
    <s v="徐慧鹏"/>
    <x v="6"/>
  </r>
  <r>
    <s v="胡遂明"/>
    <s v="塔塔"/>
    <s v="南向通一期"/>
    <s v="南向通一期"/>
    <m/>
    <m/>
    <x v="7"/>
    <s v="张洋弘"/>
    <s v="张洋弘"/>
    <x v="4"/>
  </r>
  <r>
    <s v="白晓乐"/>
    <s v="塔塔"/>
    <s v="同业存款二期-45-&gt;V153版本集成"/>
    <s v="V153版本集成-&gt;守门员"/>
    <s v="守门员"/>
    <m/>
    <x v="1"/>
    <s v="张洋弘"/>
    <s v="张洋弘"/>
    <x v="4"/>
  </r>
  <r>
    <s v="田彩冰"/>
    <s v="京北方"/>
    <s v="利率期权二期"/>
    <s v="利率期权二期"/>
    <s v="利率期权三期"/>
    <s v="利率期权三期"/>
    <x v="3"/>
    <s v="张洋弘"/>
    <s v="张洋弘"/>
    <x v="4"/>
  </r>
  <r>
    <s v="吕欣冉"/>
    <s v="中汇开发一部"/>
    <s v="守门员"/>
    <s v="守门员"/>
    <s v="守门员"/>
    <m/>
    <x v="1"/>
    <s v="吕欣冉"/>
    <s v="郑安如-版本"/>
    <x v="1"/>
  </r>
  <r>
    <s v="王阳"/>
    <s v="华腾"/>
    <s v="计费改造及监测-45"/>
    <s v="计费改造及监测-45"/>
    <s v="央行报表及衍生品成交优化"/>
    <s v="央行报表及衍生品成交优化"/>
    <x v="3"/>
    <s v="吕欣冉"/>
    <s v="吕欣冉"/>
    <x v="12"/>
  </r>
  <r>
    <s v="石爱芳"/>
    <s v="汉朔"/>
    <s v="产假"/>
    <s v="产假"/>
    <s v="产假"/>
    <m/>
    <x v="8"/>
    <s v="周德乐"/>
    <s v="周德乐"/>
    <x v="13"/>
  </r>
  <r>
    <s v="李慧洁01"/>
    <s v="鼎纪"/>
    <s v="产假"/>
    <s v="产假"/>
    <s v="产假"/>
    <m/>
    <x v="8"/>
    <s v="郑安如"/>
    <s v="郑安如"/>
    <x v="5"/>
  </r>
  <r>
    <s v="王勇浩01"/>
    <s v="塔塔"/>
    <s v="守门员-&gt;南向通一期"/>
    <s v="南向通一期"/>
    <s v="南向通一期"/>
    <s v="南向通-1"/>
    <x v="6"/>
    <s v="张洋弘"/>
    <s v="张洋弘"/>
    <x v="6"/>
  </r>
  <r>
    <s v="李月月"/>
    <s v="塔塔"/>
    <s v="守门员"/>
    <s v="守门员"/>
    <s v="守门员"/>
    <m/>
    <x v="1"/>
    <s v="顾静洁"/>
    <s v="顾静洁"/>
    <x v="10"/>
  </r>
  <r>
    <s v="李彩红"/>
    <s v="埃森哲"/>
    <s v="婚假-&gt;利率期权二期"/>
    <s v="利率期权二期"/>
    <s v="利率期权三期"/>
    <s v="利率期权三期"/>
    <x v="3"/>
    <s v="张洋弘"/>
    <s v="张洋弘"/>
    <x v="4"/>
  </r>
  <r>
    <s v="甄向锋"/>
    <s v="塔塔"/>
    <s v="V153集中测试"/>
    <s v="V153集中测试"/>
    <s v="V153集中测试"/>
    <m/>
    <x v="0"/>
    <s v="张洋弘"/>
    <s v="张洋弘"/>
    <x v="4"/>
  </r>
  <r>
    <s v="李庆铎"/>
    <s v="汉朔"/>
    <s v="计费改造及监测-45"/>
    <s v="计费改造及监测-45-&gt;V153版本集成"/>
    <s v="V153版本集成"/>
    <m/>
    <x v="0"/>
    <s v="刁望庆"/>
    <s v="刁望庆"/>
    <x v="7"/>
  </r>
  <r>
    <s v="赵晓韵"/>
    <s v="中汇开发一部"/>
    <s v="南向通一期"/>
    <s v="南向通一期"/>
    <s v="南向通一期"/>
    <s v="南向通-1"/>
    <x v="6"/>
    <s v="申冬东"/>
    <s v="申冬东-项目"/>
    <x v="1"/>
  </r>
  <r>
    <s v="孙晓安"/>
    <s v="埃森哲"/>
    <s v="利率期权二期"/>
    <s v="利率期权二期"/>
    <s v="利率期权三期"/>
    <s v="利率期权三期"/>
    <x v="3"/>
    <s v="刘倩"/>
    <s v="刘倩"/>
    <x v="11"/>
  </r>
  <r>
    <s v="马燕飞"/>
    <s v="金楷泽"/>
    <s v="利率期权二期"/>
    <s v="利率期权二期"/>
    <s v="利率期权三期"/>
    <s v="利率期权三期"/>
    <x v="3"/>
    <s v="刁望庆"/>
    <s v="刁望庆"/>
    <x v="7"/>
  </r>
  <r>
    <s v="陈斌"/>
    <s v="骄洋"/>
    <s v="计费改造及监测-45"/>
    <s v="计费改造及监测-45-&gt;V153版本集成"/>
    <s v="V153版本集成"/>
    <m/>
    <x v="0"/>
    <s v="张洋弘"/>
    <s v="张洋弘"/>
    <x v="4"/>
  </r>
  <r>
    <s v="曹越"/>
    <s v="金楷泽"/>
    <s v="南向通一期"/>
    <s v="南向通一期"/>
    <s v="南向通一期"/>
    <s v="南向通-1"/>
    <x v="6"/>
    <s v="刁望庆"/>
    <s v="刁望庆"/>
    <x v="7"/>
  </r>
  <r>
    <s v="邝亚光"/>
    <s v="埃森哲"/>
    <s v="计费改造及监测-45"/>
    <s v="计费改造及监测-45"/>
    <s v="计费二期"/>
    <s v="计费二期"/>
    <x v="3"/>
    <s v="张洋弘"/>
    <s v="张洋弘"/>
    <x v="4"/>
  </r>
  <r>
    <s v="丁乐01"/>
    <s v="凯道"/>
    <s v="V15115验收测试"/>
    <s v="V15115验收测试"/>
    <s v="V15115验收测试"/>
    <m/>
    <x v="2"/>
    <s v="徐慧鹏"/>
    <s v="徐慧鹏"/>
    <x v="9"/>
  </r>
  <r>
    <s v="刁望庆"/>
    <s v="中汇开发三部"/>
    <s v="守门员"/>
    <s v="守门员"/>
    <s v="守门员"/>
    <m/>
    <x v="1"/>
    <s v="刁望庆"/>
    <s v="刁望庆-项目"/>
    <x v="6"/>
  </r>
  <r>
    <s v="苏雷皓"/>
    <s v="中汇总工办"/>
    <m/>
    <m/>
    <m/>
    <m/>
    <x v="7"/>
    <s v="刁望庆"/>
    <s v="刁望庆"/>
    <x v="7"/>
  </r>
  <r>
    <s v="杨梦珂"/>
    <s v="汉朔"/>
    <s v="计费改造及监测-45"/>
    <s v="计费改造及监测-45"/>
    <s v="计费二期"/>
    <s v="计费二期"/>
    <x v="3"/>
    <s v="周德乐"/>
    <s v="周德乐"/>
    <x v="2"/>
  </r>
  <r>
    <s v="夏守伟"/>
    <s v="法本"/>
    <s v="CRMW+FRA"/>
    <s v="CRMW+FRA"/>
    <s v="央行报表及衍生品成交优化"/>
    <s v="央行报表及衍生品成交优化"/>
    <x v="3"/>
    <s v="张洋弘"/>
    <s v="张洋弘"/>
    <x v="14"/>
  </r>
  <r>
    <s v="魏渐俊"/>
    <s v="中汇开发一部"/>
    <s v="160周边整合"/>
    <s v="160周边整合（财政部一期+货债二期)-24"/>
    <s v="160周边整合（财政部一期+货债二期)-24"/>
    <m/>
    <x v="3"/>
    <s v="周德乐"/>
    <s v="周德乐-项目"/>
    <x v="1"/>
  </r>
  <r>
    <s v="王新"/>
    <s v="汉朔"/>
    <s v="离场"/>
    <s v="离场"/>
    <s v="离场"/>
    <m/>
    <x v="5"/>
    <s v="版本线"/>
    <s v="版本线"/>
    <x v="13"/>
  </r>
  <r>
    <s v="王春明"/>
    <s v="塔塔"/>
    <s v="离场"/>
    <s v="离场"/>
    <s v="离场"/>
    <m/>
    <x v="5"/>
    <s v="申冬东"/>
    <s v="申冬东"/>
    <x v="8"/>
  </r>
  <r>
    <s v="黎德国"/>
    <s v="时溪"/>
    <s v="利率期权二期"/>
    <s v="利率期权二期"/>
    <s v="利率期权三期"/>
    <s v="利率期权三期"/>
    <x v="3"/>
    <s v="申冬东"/>
    <s v="申冬东"/>
    <x v="8"/>
  </r>
  <r>
    <s v="李冬冬01"/>
    <s v="鼎纪"/>
    <s v="离场"/>
    <s v="离场"/>
    <s v="离场"/>
    <m/>
    <x v="5"/>
    <s v="徐慧鹏"/>
    <s v="徐慧鹏"/>
    <x v="9"/>
  </r>
  <r>
    <s v="陈嘉伟"/>
    <s v="中汇开发一部"/>
    <s v="利率期权二期"/>
    <s v="利率期权二期"/>
    <s v="利率期权三期"/>
    <s v="利率期权三期"/>
    <x v="3"/>
    <s v="申冬东"/>
    <s v="申冬东-项目"/>
    <x v="1"/>
  </r>
  <r>
    <s v="孙泽龄"/>
    <s v="埃森哲"/>
    <s v="CDS二期"/>
    <s v="CDS二期-42"/>
    <s v="CDS二期-42"/>
    <s v="五一支持南向通测试"/>
    <x v="3"/>
    <s v="徐慧鹏"/>
    <s v="徐慧鹏"/>
    <x v="9"/>
  </r>
  <r>
    <s v="徐振忠"/>
    <s v="塔塔"/>
    <s v="160周边整合"/>
    <s v="160周边整合（财政部一期+货债二期)-24"/>
    <s v="160周边整合（财政部一期+货债二期)-24"/>
    <m/>
    <x v="3"/>
    <s v="周德乐"/>
    <s v="周德乐"/>
    <x v="2"/>
  </r>
  <r>
    <s v="王涛"/>
    <s v="向普"/>
    <s v="V153版本集成"/>
    <s v="V153版本集成"/>
    <s v="V153版本集成"/>
    <m/>
    <x v="0"/>
    <s v="申冬东"/>
    <s v="申冬东"/>
    <x v="8"/>
  </r>
  <r>
    <s v="陈浩宇"/>
    <s v="恒天"/>
    <s v="离场"/>
    <s v="离场"/>
    <s v="离场"/>
    <m/>
    <x v="5"/>
    <s v="陈启明"/>
    <s v="陈启明"/>
    <x v="2"/>
  </r>
  <r>
    <s v="王艳慧"/>
    <s v="凯道"/>
    <s v="利率期权二期"/>
    <s v="利率期权二期"/>
    <s v="计费二期"/>
    <s v="计费二期"/>
    <x v="3"/>
    <s v="徐慧鹏"/>
    <s v="徐慧鹏"/>
    <x v="9"/>
  </r>
  <r>
    <s v="邱媛媛"/>
    <s v="中汇开发一部"/>
    <s v="同业存款二期-45-&gt;V153版本集成"/>
    <s v="V153版本集成"/>
    <s v="V153版本集成"/>
    <m/>
    <x v="0"/>
    <s v="申冬东"/>
    <s v="申冬东-项目"/>
    <x v="1"/>
  </r>
  <r>
    <s v="徐慧鹏"/>
    <s v="中汇测试部"/>
    <s v="守门员"/>
    <s v="守门员"/>
    <s v="守门员"/>
    <m/>
    <x v="1"/>
    <s v="徐慧鹏"/>
    <s v="徐慧鹏"/>
    <x v="6"/>
  </r>
  <r>
    <s v="冉金澎01"/>
    <s v="汉朔"/>
    <s v="守门员"/>
    <s v="守门员"/>
    <s v="守门员"/>
    <m/>
    <x v="1"/>
    <s v="李戬"/>
    <s v="李戬"/>
    <x v="6"/>
  </r>
  <r>
    <s v="黄晓露"/>
    <s v="鼎纪"/>
    <s v="V151南向通验收测试"/>
    <s v="V151南向通验收测试"/>
    <s v="南向通验收测试"/>
    <s v="南向通-1"/>
    <x v="6"/>
    <s v="顾静洁"/>
    <s v="顾静洁"/>
    <x v="10"/>
  </r>
  <r>
    <s v="夏远欣"/>
    <s v="汉朔"/>
    <s v="守门员"/>
    <s v="守门员"/>
    <s v="守门员"/>
    <m/>
    <x v="1"/>
    <s v="刁望庆"/>
    <s v="刁望庆"/>
    <x v="6"/>
  </r>
  <r>
    <s v="马士会"/>
    <s v="埃森哲"/>
    <s v="UX设计"/>
    <s v="UX设计"/>
    <s v="UX设计"/>
    <m/>
    <x v="9"/>
    <s v="刘倩"/>
    <s v="刘倩-版本"/>
    <x v="15"/>
  </r>
  <r>
    <s v="鲍晓飞"/>
    <s v="威擎"/>
    <s v="CRMW+FRA"/>
    <s v="CRMW+FRA"/>
    <s v="计费二期"/>
    <s v="计费二期/CDS二期"/>
    <x v="3"/>
    <s v="张洋弘"/>
    <s v="张洋弘"/>
    <x v="4"/>
  </r>
  <r>
    <s v="杨柳02"/>
    <s v="塔塔"/>
    <m/>
    <m/>
    <m/>
    <m/>
    <x v="7"/>
    <s v="张洋弘"/>
    <s v="张洋弘"/>
    <x v="4"/>
  </r>
  <r>
    <s v="孙雅雯"/>
    <s v="埃森哲"/>
    <s v="V153版本集成"/>
    <s v="V153版本集成"/>
    <s v="V153版本集成"/>
    <m/>
    <x v="0"/>
    <s v="吕欣冉"/>
    <s v="吕欣冉"/>
    <x v="6"/>
  </r>
  <r>
    <s v="商月"/>
    <s v="中汇综合管理部"/>
    <s v="V153集中测试"/>
    <s v="V153集中测试"/>
    <s v="V153集中测试"/>
    <m/>
    <x v="0"/>
    <s v="张洋弘"/>
    <s v="张洋弘-项目"/>
    <x v="1"/>
  </r>
  <r>
    <s v="梅济正"/>
    <s v="塔塔"/>
    <s v="计费改造及监测-45"/>
    <s v="计费改造及监测-45"/>
    <s v="计费二期"/>
    <s v="计费二期"/>
    <x v="3"/>
    <s v="李戬"/>
    <s v="李戬"/>
    <x v="3"/>
  </r>
  <r>
    <s v="宋依麟"/>
    <s v="汉朔"/>
    <s v="计费改造及监测-45"/>
    <s v="计费改造及监测-45"/>
    <s v="计费二期"/>
    <s v="计费二期"/>
    <x v="3"/>
    <s v="刁望庆"/>
    <s v="刁望庆"/>
    <x v="7"/>
  </r>
  <r>
    <s v="王诗凡"/>
    <s v="埃森哲"/>
    <s v="CRMW+FRA"/>
    <s v="CRMW+FRA"/>
    <s v="CRMW+FRA"/>
    <m/>
    <x v="3"/>
    <s v="徐慧鹏"/>
    <s v="徐慧鹏"/>
    <x v="16"/>
  </r>
  <r>
    <s v="周德乐"/>
    <s v="中汇开发一部"/>
    <s v="守门员"/>
    <s v="守门员"/>
    <s v="守门员"/>
    <m/>
    <x v="1"/>
    <s v="周德乐"/>
    <s v="周德乐"/>
    <x v="6"/>
  </r>
  <r>
    <s v="王磊"/>
    <s v="塔塔"/>
    <s v="南向通一期"/>
    <s v="南向通一期"/>
    <s v="南向通一期"/>
    <s v="南向通-1"/>
    <x v="6"/>
    <s v="刁望庆"/>
    <s v="刁望庆"/>
    <x v="7"/>
  </r>
  <r>
    <s v="申冬东"/>
    <s v="中汇开发三部"/>
    <s v="守门员"/>
    <s v="守门员"/>
    <s v="守门员"/>
    <m/>
    <x v="1"/>
    <s v="申冬东"/>
    <s v="申冬东"/>
    <x v="6"/>
  </r>
  <r>
    <s v="聂瑞"/>
    <s v="金楷泽"/>
    <s v="同业存款二期-45-&gt;V153版本集成"/>
    <s v="V153版本集成"/>
    <s v="V153版本集成"/>
    <m/>
    <x v="0"/>
    <s v="刁望庆"/>
    <s v="刁望庆"/>
    <x v="7"/>
  </r>
  <r>
    <s v="李戬"/>
    <s v="中汇开发一部"/>
    <s v="守门员"/>
    <s v="守门员"/>
    <s v="守门员"/>
    <m/>
    <x v="1"/>
    <s v="李戬"/>
    <s v="李戬"/>
    <x v="6"/>
  </r>
  <r>
    <s v="李广"/>
    <s v="法本"/>
    <s v="同业存款二期-45-&gt;V153版本集成"/>
    <s v="V153版本集成"/>
    <s v="V153版本集成"/>
    <m/>
    <x v="0"/>
    <s v="张洋弘"/>
    <s v="张洋弘"/>
    <x v="4"/>
  </r>
  <r>
    <s v="方润东"/>
    <s v="汉朔"/>
    <s v="守门员-&gt;南向通一期"/>
    <s v="守门员-&gt;南向通一期"/>
    <s v="守门员"/>
    <s v="南向通-1"/>
    <x v="1"/>
    <s v="周德乐"/>
    <s v="周德乐"/>
    <x v="6"/>
  </r>
  <r>
    <s v="徐庆来"/>
    <s v="塔塔"/>
    <s v="南向通一期"/>
    <s v="南向通一期"/>
    <s v="南向通一期"/>
    <s v="南向通-1"/>
    <x v="6"/>
    <s v="申冬东"/>
    <s v="申冬东"/>
    <x v="8"/>
  </r>
  <r>
    <s v="周功平"/>
    <s v="中汇开发三部"/>
    <s v="数据分析"/>
    <s v="数据分析"/>
    <s v="数据分析"/>
    <m/>
    <x v="10"/>
    <s v="吕欣冉"/>
    <s v="吕欣冉"/>
    <x v="12"/>
  </r>
  <r>
    <s v="闫培杰"/>
    <s v="鼎纪"/>
    <s v="数据分析"/>
    <s v="数据分析"/>
    <s v="数据分析"/>
    <m/>
    <x v="10"/>
    <s v="吕欣冉"/>
    <s v="吕欣冉"/>
    <x v="12"/>
  </r>
  <r>
    <s v="李晶雯"/>
    <s v="中汇支持服务部"/>
    <s v="产假"/>
    <s v="产假"/>
    <s v="产假"/>
    <m/>
    <x v="8"/>
    <s v="吕欣冉"/>
    <s v="吕欣冉"/>
    <x v="6"/>
  </r>
  <r>
    <s v="孙相龙"/>
    <s v="塔塔"/>
    <s v="离场"/>
    <s v="离场"/>
    <s v="离场"/>
    <m/>
    <x v="5"/>
    <s v="吕欣冉"/>
    <s v="吕欣冉"/>
    <x v="17"/>
  </r>
  <r>
    <s v="文婷苇"/>
    <s v="埃森哲"/>
    <s v="离场"/>
    <s v="离场"/>
    <s v="离场"/>
    <m/>
    <x v="5"/>
    <s v="顾静洁"/>
    <s v="顾静洁-版本"/>
    <x v="18"/>
  </r>
  <r>
    <s v="郝好"/>
    <s v="埃森哲"/>
    <s v="UX设计"/>
    <s v="UX设计"/>
    <s v="UX设计"/>
    <m/>
    <x v="9"/>
    <s v="郑安如"/>
    <s v="郑安如-版本"/>
    <x v="15"/>
  </r>
  <r>
    <s v="胡彪"/>
    <s v="凯道"/>
    <s v="CDS二期"/>
    <s v="CDS二期-42"/>
    <s v="CDS二期-42"/>
    <s v="五一支持南向通测试"/>
    <x v="3"/>
    <s v="郑安如"/>
    <s v="郑安如"/>
    <x v="5"/>
  </r>
  <r>
    <s v="吴敏华"/>
    <s v="汉朔"/>
    <s v="V153集中测试"/>
    <s v="V153集中测试"/>
    <s v="V153集中测试"/>
    <m/>
    <x v="0"/>
    <s v="申冬东"/>
    <s v="申冬东"/>
    <x v="8"/>
  </r>
  <r>
    <s v="沈一筹"/>
    <s v="中汇综合管理部"/>
    <s v="V15115版本集成"/>
    <s v="V15115版本集成"/>
    <s v="V15115版本集成"/>
    <m/>
    <x v="2"/>
    <s v="刁望庆"/>
    <s v="刁望庆-项目"/>
    <x v="1"/>
  </r>
  <r>
    <s v="左麟"/>
    <s v="汉朔"/>
    <s v="V153版本集成"/>
    <s v="V153版本集成"/>
    <s v="V153版本集成"/>
    <m/>
    <x v="0"/>
    <s v="刁望庆"/>
    <s v="刁望庆"/>
    <x v="7"/>
  </r>
  <r>
    <s v="李杨"/>
    <s v="金楷泽"/>
    <s v="南向通一期"/>
    <s v="南向通一期"/>
    <s v="南向通一期"/>
    <s v="南向通-1"/>
    <x v="6"/>
    <s v="刁望庆"/>
    <s v="刁望庆"/>
    <x v="7"/>
  </r>
  <r>
    <s v="雷阳"/>
    <s v="华腾"/>
    <s v="CDS二期"/>
    <s v="CDS二期-42"/>
    <s v="CDS二期-42"/>
    <m/>
    <x v="3"/>
    <s v="周德乐"/>
    <s v="周德乐"/>
    <x v="2"/>
  </r>
  <r>
    <s v="徐启峰"/>
    <s v="威擎"/>
    <s v="利率期权二期"/>
    <s v="利率期权二期"/>
    <s v="CDS二期-42"/>
    <s v="CDS二期"/>
    <x v="3"/>
    <s v="张洋弘"/>
    <s v="张洋弘"/>
    <x v="4"/>
  </r>
  <r>
    <s v="李超01"/>
    <s v="恒天"/>
    <s v="计费二期"/>
    <s v="央行报表及衍生品成交优化"/>
    <s v="央行报表及衍生品成交优化"/>
    <s v="央行报表及衍生品成交优化"/>
    <x v="3"/>
    <s v="李戬"/>
    <s v="李戬"/>
    <x v="3"/>
  </r>
  <r>
    <s v="李云毅"/>
    <s v="中汇开发一部"/>
    <m/>
    <m/>
    <s v="央行报表及衍生品成交优化"/>
    <m/>
    <x v="3"/>
    <s v="刘倩"/>
    <s v="刘倩-版本"/>
    <x v="1"/>
  </r>
  <r>
    <s v="龚伟峰"/>
    <s v="汉朔"/>
    <s v="160周边整合"/>
    <s v="160周边整合（财政部一期+货债二期)-24"/>
    <s v="160周边整合（财政部一期+货债二期)-24"/>
    <m/>
    <x v="3"/>
    <s v="刘倩"/>
    <s v="刘倩"/>
    <x v="11"/>
  </r>
  <r>
    <s v="姚文心"/>
    <s v="中汇测试部"/>
    <s v="CDS二期"/>
    <s v="CDS二期-42"/>
    <s v="CDS二期-42"/>
    <m/>
    <x v="3"/>
    <s v="顾静洁"/>
    <s v="顾静洁-版本"/>
    <x v="1"/>
  </r>
  <r>
    <s v="江云南"/>
    <s v="恒天"/>
    <s v="产假"/>
    <s v="产假"/>
    <s v="产假"/>
    <m/>
    <x v="8"/>
    <s v="郑安如"/>
    <s v="郑安如"/>
    <x v="5"/>
  </r>
  <r>
    <s v="赵洋洋"/>
    <s v="法本"/>
    <s v="南向通一期"/>
    <s v="南向通一期"/>
    <s v="南向通一期"/>
    <s v="南向通-1"/>
    <x v="6"/>
    <s v="张洋弘"/>
    <s v="张洋弘"/>
    <x v="14"/>
  </r>
  <r>
    <s v="吴金成"/>
    <s v="鼎纪"/>
    <s v="V153集中测试"/>
    <s v="V153集中测试"/>
    <s v="V153集中测试"/>
    <m/>
    <x v="0"/>
    <s v="刘倩"/>
    <s v="刘倩"/>
    <x v="11"/>
  </r>
  <r>
    <s v="朱雪元"/>
    <s v="埃森哲"/>
    <s v="CDS二期"/>
    <s v="CDS二期-42"/>
    <s v="CDS二期-42"/>
    <m/>
    <x v="3"/>
    <s v="张洋弘"/>
    <s v="张洋弘"/>
    <x v="4"/>
  </r>
  <r>
    <s v="胡庆"/>
    <s v="华腾"/>
    <s v="排错组V151"/>
    <s v="排错组V151"/>
    <s v="V153集中测试"/>
    <m/>
    <x v="0"/>
    <s v="申冬东"/>
    <s v="申冬东"/>
    <x v="8"/>
  </r>
  <r>
    <s v="陈敏"/>
    <s v="恒天"/>
    <s v="守门员"/>
    <s v="守门员"/>
    <s v="守门员"/>
    <m/>
    <x v="1"/>
    <s v="刘倩"/>
    <s v="刘倩"/>
    <x v="6"/>
  </r>
  <r>
    <s v="李佳慧"/>
    <s v="法本"/>
    <s v="利率期权二期"/>
    <s v="160周边整合（财政部一期+货债二期)-24"/>
    <s v="160周边整合（财政部一期+货债二期)-24"/>
    <m/>
    <x v="3"/>
    <s v="张洋弘"/>
    <s v="张洋弘"/>
    <x v="4"/>
  </r>
  <r>
    <s v="胡昊"/>
    <s v="恒天"/>
    <s v="同业存款二期-45-&gt;V153版本集成"/>
    <s v="V153版本集成"/>
    <s v="V153版本集成"/>
    <m/>
    <x v="0"/>
    <s v="周德乐"/>
    <s v="周德乐"/>
    <x v="2"/>
  </r>
  <r>
    <s v="陈创"/>
    <s v="塔塔"/>
    <s v="V153版本集成"/>
    <s v="V153版本集成"/>
    <s v="V153版本集成"/>
    <m/>
    <x v="0"/>
    <s v="张洋弘"/>
    <s v="张洋弘"/>
    <x v="4"/>
  </r>
  <r>
    <s v="程刚"/>
    <s v="汉朔"/>
    <s v="V153版本集成"/>
    <s v="V153版本集成"/>
    <s v="V153版本集成"/>
    <m/>
    <x v="0"/>
    <s v="版本线"/>
    <s v="版本线"/>
    <x v="1"/>
  </r>
  <r>
    <s v="范东坤"/>
    <s v="凯道"/>
    <s v="V153验收测试"/>
    <s v="V153验收测试"/>
    <s v="V153验收测试"/>
    <m/>
    <x v="0"/>
    <s v="刘倩"/>
    <s v="刘倩"/>
    <x v="11"/>
  </r>
  <r>
    <s v="邬全友"/>
    <s v="金楷泽"/>
    <s v="用户行为分析优化-&gt;计费二期"/>
    <s v="计费二期"/>
    <s v="计费二期"/>
    <s v="计费二期"/>
    <x v="3"/>
    <s v="李戬"/>
    <s v="李戬"/>
    <x v="3"/>
  </r>
  <r>
    <s v="庞苏瑶"/>
    <s v="法本"/>
    <s v="排错组V151"/>
    <s v="排错组V151"/>
    <s v="排错组V151"/>
    <m/>
    <x v="11"/>
    <s v="张洋弘"/>
    <s v="张洋弘"/>
    <x v="14"/>
  </r>
  <r>
    <s v="吴燕玉"/>
    <s v="塔塔"/>
    <s v="CDS二期"/>
    <s v="CDS二期-42"/>
    <s v="CDS二期-42"/>
    <m/>
    <x v="3"/>
    <s v="刁望庆"/>
    <s v="刁望庆"/>
    <x v="19"/>
  </r>
  <r>
    <s v="吴凯"/>
    <s v="埃森哲"/>
    <m/>
    <m/>
    <m/>
    <m/>
    <x v="3"/>
    <s v="申冬东"/>
    <s v="申冬东"/>
    <x v="8"/>
  </r>
  <r>
    <s v="刘倩"/>
    <s v="中汇开发一部"/>
    <s v="守门员"/>
    <s v="守门员"/>
    <s v="守门员"/>
    <m/>
    <x v="1"/>
    <s v="刘倩"/>
    <s v="刘倩"/>
    <x v="6"/>
  </r>
  <r>
    <s v="汪立"/>
    <s v="时溪"/>
    <s v="支持-会员组支持"/>
    <s v="支持-会员组支持"/>
    <s v="支持-会员组支持"/>
    <m/>
    <x v="12"/>
    <s v="顾静洁"/>
    <s v="顾静洁"/>
    <x v="0"/>
  </r>
  <r>
    <s v="何强"/>
    <s v="凯道"/>
    <s v="支持-会员组支持"/>
    <s v="支持-会员组支持"/>
    <s v="支持-会员组支持"/>
    <m/>
    <x v="12"/>
    <s v="顾静洁"/>
    <s v="顾静洁"/>
    <x v="0"/>
  </r>
  <r>
    <s v="陈婷玉"/>
    <s v="凯道"/>
    <s v="支持-会员组支持"/>
    <s v="支持-会员组支持"/>
    <s v="支持-会员组支持"/>
    <m/>
    <x v="12"/>
    <s v="顾静洁"/>
    <s v="顾静洁"/>
    <x v="0"/>
  </r>
  <r>
    <s v="陈玉莲"/>
    <s v="汉朔"/>
    <s v="支持-会员组支持"/>
    <s v="支持-会员组支持"/>
    <s v="支持-会员组支持"/>
    <m/>
    <x v="12"/>
    <s v="顾静洁"/>
    <s v="顾静洁"/>
    <x v="0"/>
  </r>
  <r>
    <s v="白苗苗"/>
    <s v="恒天"/>
    <s v="支持-会员组支持"/>
    <s v="支持-会员组支持"/>
    <s v="支持-会员组支持"/>
    <m/>
    <x v="12"/>
    <s v="顾静洁"/>
    <s v="顾静洁"/>
    <x v="0"/>
  </r>
  <r>
    <s v="朱丽娜"/>
    <s v="汉朔"/>
    <s v="支持-QA"/>
    <s v="支持-QA"/>
    <s v="支持-QA"/>
    <m/>
    <x v="9"/>
    <s v="顾静洁"/>
    <s v="顾静洁"/>
    <x v="15"/>
  </r>
  <r>
    <s v="林艳"/>
    <s v="骄洋"/>
    <s v="支持-QA"/>
    <s v="支持-QA"/>
    <s v="支持-QA"/>
    <m/>
    <x v="9"/>
    <s v="顾静洁"/>
    <s v="顾静洁"/>
    <x v="15"/>
  </r>
  <r>
    <s v="陈是杏"/>
    <s v="金楷泽"/>
    <s v="支持-QA"/>
    <s v="支持-QA"/>
    <s v="支持-QA"/>
    <m/>
    <x v="9"/>
    <s v="顾静洁"/>
    <s v="顾静洁"/>
    <x v="0"/>
  </r>
  <r>
    <s v="杨棚"/>
    <s v="汉朔"/>
    <s v="V153版本集成"/>
    <s v="V153版本集成"/>
    <s v="V153版本集成"/>
    <m/>
    <x v="0"/>
    <s v="周德乐"/>
    <s v="周德乐"/>
    <x v="2"/>
  </r>
  <r>
    <s v="马海洋"/>
    <s v="金楷泽"/>
    <s v="排错组V151"/>
    <s v="排错组V151"/>
    <s v="排错组V151"/>
    <m/>
    <x v="11"/>
    <s v="刁望庆"/>
    <s v="刁望庆"/>
    <x v="7"/>
  </r>
  <r>
    <s v="张猛"/>
    <s v="鼎纪"/>
    <s v="V153验收测试"/>
    <s v="V153验收测试"/>
    <s v="V153验收测试"/>
    <m/>
    <x v="0"/>
    <s v="刘倩"/>
    <s v="刘倩"/>
    <x v="11"/>
  </r>
  <r>
    <s v="潘成中"/>
    <s v="汉朔"/>
    <s v="V153生产数据比对"/>
    <s v="V153生产数据比对"/>
    <s v="V153生产数据比对"/>
    <m/>
    <x v="0"/>
    <s v="李戬"/>
    <s v="李戬"/>
    <x v="3"/>
  </r>
  <r>
    <s v="孙士惠"/>
    <s v="埃森哲"/>
    <s v="计费改造及监测-45"/>
    <s v="计费改造及监测-45"/>
    <s v="计费二期"/>
    <s v="计费二期"/>
    <x v="3"/>
    <s v="顾静洁"/>
    <s v="顾静洁"/>
    <x v="6"/>
  </r>
  <r>
    <s v="张政尧"/>
    <s v="汉朔"/>
    <s v="CDS二期"/>
    <s v="CDS二期-42"/>
    <s v="CDS二期-42"/>
    <m/>
    <x v="3"/>
    <s v="刁望庆"/>
    <s v="刁望庆"/>
    <x v="7"/>
  </r>
  <r>
    <s v="杨光"/>
    <s v="鼎纪"/>
    <s v="离场"/>
    <s v="离场"/>
    <s v="离场"/>
    <m/>
    <x v="5"/>
    <s v="徐慧鹏"/>
    <s v="徐慧鹏"/>
    <x v="20"/>
  </r>
  <r>
    <s v="王帅帅"/>
    <s v="鼎纪"/>
    <s v="利率期权二期"/>
    <s v="利率期权二期"/>
    <s v="利率期权三期"/>
    <s v="利率期权三期"/>
    <x v="3"/>
    <s v="刘倩"/>
    <s v="刘倩"/>
    <x v="21"/>
  </r>
  <r>
    <s v="涂瑞强"/>
    <s v="鼎纪"/>
    <s v="离场"/>
    <s v="离场"/>
    <s v="离场"/>
    <m/>
    <x v="5"/>
    <s v="徐慧鹏"/>
    <s v="徐慧鹏"/>
    <x v="9"/>
  </r>
  <r>
    <s v="翟青华01"/>
    <s v="鼎纪"/>
    <s v="V153验收测试"/>
    <s v="V153验收测试"/>
    <s v="V153验收测试"/>
    <m/>
    <x v="0"/>
    <s v="顾静洁"/>
    <s v="顾静洁"/>
    <x v="22"/>
  </r>
  <r>
    <s v="陈海若"/>
    <s v="恒天"/>
    <s v="V153集中测试"/>
    <s v="V153集中测试"/>
    <s v="V153集中测试"/>
    <m/>
    <x v="0"/>
    <s v="刘倩"/>
    <s v="刘倩"/>
    <x v="21"/>
  </r>
  <r>
    <s v="王德成"/>
    <s v="凯道"/>
    <s v="数据分析"/>
    <s v="数据分析"/>
    <s v="数据分析"/>
    <m/>
    <x v="10"/>
    <s v="吕欣冉"/>
    <s v="吕欣冉"/>
    <x v="23"/>
  </r>
  <r>
    <s v="段杰"/>
    <s v="凯道"/>
    <s v="V15115验收测试"/>
    <s v="V15115验收测试"/>
    <s v="V15115验收测试"/>
    <m/>
    <x v="2"/>
    <s v="徐慧鹏"/>
    <s v="徐慧鹏"/>
    <x v="24"/>
  </r>
  <r>
    <s v="马岩01"/>
    <s v="凯道"/>
    <s v="160周边整合"/>
    <s v="160周边整合（财政部一期+货债二期)-24"/>
    <s v="160周边整合（财政部一期+货债二期)-24"/>
    <m/>
    <x v="3"/>
    <s v="顾静洁"/>
    <s v="顾静洁"/>
    <x v="22"/>
  </r>
  <r>
    <s v="麻昆仑"/>
    <s v="凯道"/>
    <s v="V153验收测试"/>
    <s v="V153验收测试"/>
    <s v="V153验收测试"/>
    <m/>
    <x v="0"/>
    <s v="刘倩"/>
    <s v="刘倩"/>
    <x v="21"/>
  </r>
  <r>
    <s v="张园园01"/>
    <s v="凯道"/>
    <s v="离场"/>
    <s v="离场"/>
    <s v="离场"/>
    <m/>
    <x v="5"/>
    <s v="顾静洁"/>
    <s v="顾静洁"/>
    <x v="22"/>
  </r>
  <r>
    <s v="谈思琼"/>
    <s v="凯道"/>
    <s v="离场"/>
    <s v="离场"/>
    <s v="离场"/>
    <m/>
    <x v="5"/>
    <s v="郑安如"/>
    <s v="郑安如"/>
    <x v="25"/>
  </r>
  <r>
    <s v="胡子龙"/>
    <s v="凯道"/>
    <s v="离场"/>
    <s v="离场"/>
    <s v="离场"/>
    <m/>
    <x v="5"/>
    <s v="徐慧鹏"/>
    <s v="徐慧鹏"/>
    <x v="24"/>
  </r>
  <r>
    <s v="伍丽萍"/>
    <s v="凯道"/>
    <s v="离场"/>
    <s v="离场"/>
    <s v="离场"/>
    <m/>
    <x v="5"/>
    <s v="郑安如"/>
    <s v="郑安如"/>
    <x v="25"/>
  </r>
  <r>
    <s v="苏鹏飞02"/>
    <s v="凯道"/>
    <s v="V153验收测试"/>
    <s v="V153验收测试"/>
    <s v="V153验收测试"/>
    <m/>
    <x v="0"/>
    <s v="吕欣冉"/>
    <s v="吕欣冉"/>
    <x v="23"/>
  </r>
  <r>
    <s v="沈辉"/>
    <s v="凯道"/>
    <s v="离场"/>
    <s v="离场"/>
    <s v="离场"/>
    <m/>
    <x v="5"/>
    <s v="徐慧鹏"/>
    <s v="徐慧鹏"/>
    <x v="20"/>
  </r>
  <r>
    <s v="于自尚"/>
    <s v="凯道"/>
    <s v="V151南向通验收测试"/>
    <s v="V151南向通验收测试"/>
    <s v="南向通验收测试"/>
    <s v="南向通-1"/>
    <x v="6"/>
    <s v="郑安如"/>
    <s v="郑安如"/>
    <x v="26"/>
  </r>
  <r>
    <s v="张政生"/>
    <s v="凯道"/>
    <s v="离场"/>
    <s v="离场"/>
    <s v="离场"/>
    <m/>
    <x v="5"/>
    <s v="顾静洁"/>
    <s v="顾静洁"/>
    <x v="27"/>
  </r>
  <r>
    <s v="石豪"/>
    <s v="凯道"/>
    <s v="V151验收测试-MKTACCESS"/>
    <m/>
    <s v="南向通验收测试"/>
    <m/>
    <x v="6"/>
    <s v="郑安如"/>
    <s v="郑安如"/>
    <x v="26"/>
  </r>
  <r>
    <s v="张文科"/>
    <s v="凯道"/>
    <s v="离场"/>
    <s v="离场"/>
    <s v="离场"/>
    <m/>
    <x v="5"/>
    <s v="刘倩"/>
    <s v="刘倩"/>
    <x v="28"/>
  </r>
  <r>
    <s v="周玮"/>
    <s v="凯道"/>
    <s v="CDS二期"/>
    <s v="CDS二期-42"/>
    <s v="CDS二期-42"/>
    <m/>
    <x v="3"/>
    <s v="郑安如"/>
    <s v="郑安如"/>
    <x v="26"/>
  </r>
  <r>
    <s v="田明明"/>
    <s v="凯道"/>
    <s v="V153验收测试"/>
    <s v="V153验收测试"/>
    <s v="V153验收测试"/>
    <m/>
    <x v="0"/>
    <s v="徐慧鹏"/>
    <s v="徐慧鹏"/>
    <x v="24"/>
  </r>
  <r>
    <s v="戚澎建"/>
    <s v="凯道"/>
    <s v="南向通一期"/>
    <s v="南向通一期"/>
    <s v="南向通验收测试"/>
    <s v="南向通-1"/>
    <x v="6"/>
    <s v="顾静洁"/>
    <s v="顾静洁"/>
    <x v="22"/>
  </r>
  <r>
    <s v="朱坤坤"/>
    <s v="凯道"/>
    <s v="婚假-&gt;央行报表"/>
    <s v="婚假-&gt;央行报表"/>
    <s v="央行报表及衍生品成交优化"/>
    <s v="央行报表及衍生品成交优化"/>
    <x v="3"/>
    <s v="吕欣冉"/>
    <s v="吕欣冉"/>
    <x v="23"/>
  </r>
  <r>
    <s v="敖恒"/>
    <s v="凯道"/>
    <s v="V151南向通验收测试"/>
    <s v="V151南向通验收测试"/>
    <s v="南向通验收测试"/>
    <s v="南向通-1"/>
    <x v="6"/>
    <s v="郑安如"/>
    <s v="郑安如"/>
    <x v="26"/>
  </r>
  <r>
    <s v="张丽"/>
    <s v="凯道"/>
    <s v="V15115验收测试"/>
    <s v="V15115验收测试"/>
    <s v="V15115验收测试"/>
    <m/>
    <x v="2"/>
    <s v="徐慧鹏"/>
    <s v="徐慧鹏"/>
    <x v="24"/>
  </r>
  <r>
    <s v="姜宇亮"/>
    <s v="鼎纪"/>
    <s v="计费二期"/>
    <s v="计费二期"/>
    <s v="计费二期"/>
    <s v="计费二期"/>
    <x v="3"/>
    <s v="吕欣冉"/>
    <s v="吕欣冉"/>
    <x v="23"/>
  </r>
  <r>
    <s v="石少帅"/>
    <s v="凯道"/>
    <s v="V153验收测试"/>
    <s v="V153验收测试"/>
    <s v="V153验收测试"/>
    <m/>
    <x v="0"/>
    <s v="顾静洁"/>
    <s v="顾静洁"/>
    <x v="22"/>
  </r>
  <r>
    <s v="谭明贵"/>
    <s v="凯道"/>
    <s v="V15115验收测试"/>
    <s v="V15115验收测试"/>
    <s v="V15115验收测试"/>
    <m/>
    <x v="2"/>
    <s v="刘倩"/>
    <s v="刘倩"/>
    <x v="21"/>
  </r>
  <r>
    <s v="夏磊"/>
    <s v="凯道"/>
    <s v="V153集中测试"/>
    <s v="V153集中测试"/>
    <s v="V153集中测试"/>
    <m/>
    <x v="0"/>
    <s v="顾静洁"/>
    <s v="顾静洁"/>
    <x v="10"/>
  </r>
  <r>
    <s v="郭龙梅"/>
    <s v="凯道"/>
    <s v="V153集中测试"/>
    <s v="V153集中测试"/>
    <s v="V153集中测试"/>
    <m/>
    <x v="0"/>
    <s v="郑安如"/>
    <s v="郑安如"/>
    <x v="26"/>
  </r>
  <r>
    <s v="王莉"/>
    <s v="凯道"/>
    <s v="V151南向通集中测试"/>
    <s v="V151南向通集中测试"/>
    <s v="南向通集中测试"/>
    <s v="南向通-1"/>
    <x v="6"/>
    <s v="郑安如"/>
    <s v="郑安如"/>
    <x v="26"/>
  </r>
  <r>
    <s v="黄鹏"/>
    <s v="埃森哲"/>
    <s v="离场"/>
    <s v="离场"/>
    <s v="离场"/>
    <m/>
    <x v="5"/>
    <s v="陈启明"/>
    <s v="陈启明"/>
    <x v="29"/>
  </r>
  <r>
    <s v="祁万"/>
    <s v="华腾"/>
    <s v="离场"/>
    <s v="离场"/>
    <s v="离场"/>
    <m/>
    <x v="5"/>
    <s v="陈启明"/>
    <s v="陈启明"/>
    <x v="15"/>
  </r>
  <r>
    <s v="周隽"/>
    <s v="塔塔"/>
    <s v="守门员"/>
    <s v="守门员"/>
    <s v="守门员"/>
    <m/>
    <x v="1"/>
    <s v="陈启明"/>
    <s v="陈启明"/>
    <x v="30"/>
  </r>
  <r>
    <s v="郑朝云"/>
    <s v="法本"/>
    <s v="配置管理"/>
    <s v="配置管理"/>
    <s v="配置管理"/>
    <m/>
    <x v="13"/>
    <s v="陈启明"/>
    <s v="陈启明"/>
    <x v="15"/>
  </r>
  <r>
    <s v="郑成强"/>
    <s v="恒天"/>
    <s v="CRMW+FRA"/>
    <s v="CRMW+FRA"/>
    <s v="央行报表及衍生品成交优化"/>
    <s v="央行报表及衍生品成交优化"/>
    <x v="3"/>
    <s v="刁望庆"/>
    <s v="刁望庆"/>
    <x v="7"/>
  </r>
  <r>
    <s v="张晓"/>
    <s v="法本"/>
    <s v="守门员"/>
    <s v="守门员"/>
    <s v="守门员"/>
    <m/>
    <x v="1"/>
    <s v="陈启明"/>
    <s v="陈启明"/>
    <x v="6"/>
  </r>
  <r>
    <s v="王骥"/>
    <s v="恒天"/>
    <s v="离场"/>
    <s v="离场"/>
    <s v="离场"/>
    <m/>
    <x v="5"/>
    <s v="陈启明"/>
    <s v="陈启明"/>
    <x v="31"/>
  </r>
  <r>
    <s v="田佳乐"/>
    <s v="恒天"/>
    <s v="南向通一期"/>
    <s v="南向通一期"/>
    <s v="南向通一期"/>
    <s v="南向通-1"/>
    <x v="6"/>
    <s v="陈启明"/>
    <s v="陈启明"/>
    <x v="30"/>
  </r>
  <r>
    <s v="施迁"/>
    <s v="塔塔"/>
    <s v="集成配置-Devops平台开发"/>
    <s v="离场"/>
    <s v="离场"/>
    <m/>
    <x v="5"/>
    <s v="陈启明"/>
    <s v="陈启明"/>
    <x v="15"/>
  </r>
  <r>
    <s v="刘敏"/>
    <s v="恒天"/>
    <s v="离场"/>
    <s v="离场"/>
    <s v="离场"/>
    <m/>
    <x v="5"/>
    <s v="刘倩"/>
    <s v="刘倩"/>
    <x v="11"/>
  </r>
  <r>
    <s v="刘春平"/>
    <s v="中汇测试部"/>
    <s v="集成配置-运维"/>
    <s v="集成配置-运维"/>
    <s v="集成配置-运维"/>
    <m/>
    <x v="13"/>
    <s v="陈启明"/>
    <s v="陈启明"/>
    <x v="29"/>
  </r>
  <r>
    <s v="梁艺淞"/>
    <s v="骄洋"/>
    <s v="集成配置-Devops平台开发"/>
    <s v="集成配置-Devops平台开发"/>
    <s v="集成配置-Devops平台开发"/>
    <m/>
    <x v="13"/>
    <s v="陈启明"/>
    <s v="陈启明"/>
    <x v="15"/>
  </r>
  <r>
    <s v="李艺楠"/>
    <s v="恒天"/>
    <s v="南向通一期"/>
    <s v="南向通一期"/>
    <s v="南向通一期"/>
    <s v="V153全量包准备"/>
    <x v="6"/>
    <s v="陈启明"/>
    <s v="陈启明"/>
    <x v="30"/>
  </r>
  <r>
    <s v="郭文浩"/>
    <s v="塔塔"/>
    <s v="CRMW+FRA"/>
    <s v="CRMW+FRA"/>
    <s v="央行报表及衍生品成交优化"/>
    <s v="央行报表及衍生品成交优化"/>
    <x v="3"/>
    <s v="陈启明"/>
    <s v="陈启明"/>
    <x v="30"/>
  </r>
  <r>
    <s v="董炎彦"/>
    <s v="中汇开发一部"/>
    <m/>
    <m/>
    <s v="V153全量包准备"/>
    <s v="V153全量包准备"/>
    <x v="14"/>
    <s v="陈启明"/>
    <s v="陈启明"/>
    <x v="1"/>
  </r>
  <r>
    <s v="陈昊"/>
    <s v="华腾"/>
    <s v="集成配置-Devops平台开发"/>
    <s v="集成配置-Devops平台开发"/>
    <s v="集成配置-Devops平台开发"/>
    <m/>
    <x v="13"/>
    <s v="陈启明"/>
    <s v="陈启明"/>
    <x v="15"/>
  </r>
  <r>
    <s v="李科"/>
    <s v="骄洋"/>
    <s v="配置管理"/>
    <s v="配置管理"/>
    <s v="配置管理"/>
    <m/>
    <x v="13"/>
    <s v="陈启明"/>
    <s v="陈启明"/>
    <x v="15"/>
  </r>
  <r>
    <s v="陈启明"/>
    <s v="中汇开发一部"/>
    <s v="守门员"/>
    <s v="守门员"/>
    <s v="守门员"/>
    <m/>
    <x v="1"/>
    <s v="陈启明"/>
    <s v="陈启明"/>
    <x v="6"/>
  </r>
  <r>
    <s v="陈九辉"/>
    <s v="骄洋"/>
    <s v="南向通一期"/>
    <s v="南向通一期"/>
    <s v="南向通一期"/>
    <s v="央行报表及衍生品成交优化(备选)"/>
    <x v="6"/>
    <s v="陈启明"/>
    <s v="陈启明"/>
    <x v="30"/>
  </r>
  <r>
    <s v="陈鹤"/>
    <s v="中汇开发一部"/>
    <s v="计费改造及监测-45-&gt;V153版本集成"/>
    <s v="计费改造及监测-45-&gt;V153版本集成"/>
    <s v="V153版本集成"/>
    <m/>
    <x v="0"/>
    <s v="李戬"/>
    <s v="李戬"/>
    <x v="1"/>
  </r>
  <r>
    <s v="王寅森"/>
    <s v="凯道"/>
    <s v="南向通一期"/>
    <s v="南向通一期"/>
    <s v="南向通验收测试"/>
    <s v="南向通-1"/>
    <x v="6"/>
    <s v="徐慧鹏"/>
    <s v="徐慧鹏"/>
    <x v="9"/>
  </r>
  <r>
    <s v="曹泽恒"/>
    <s v="法本"/>
    <s v="集成配置-运维"/>
    <s v="集成配置-运维"/>
    <s v="集成配置-运维"/>
    <m/>
    <x v="13"/>
    <s v="陈启明"/>
    <s v="陈启明"/>
    <x v="15"/>
  </r>
  <r>
    <s v="付家然"/>
    <s v="恒天"/>
    <s v="离场"/>
    <s v="离场"/>
    <s v="离场"/>
    <m/>
    <x v="5"/>
    <s v="郑安如"/>
    <s v="郑安如"/>
    <x v="5"/>
  </r>
  <r>
    <s v="许贻豪"/>
    <s v="骄洋"/>
    <s v="集成配置-运维"/>
    <s v="集成配置-运维"/>
    <s v="集成配置-运维"/>
    <m/>
    <x v="13"/>
    <s v="陈启明"/>
    <s v="陈启明"/>
    <x v="15"/>
  </r>
  <r>
    <s v="谢桂锋"/>
    <s v="法本"/>
    <s v="配置管理"/>
    <s v="配置管理"/>
    <s v="配置管理"/>
    <m/>
    <x v="13"/>
    <s v="陈启明"/>
    <s v="陈启明"/>
    <x v="15"/>
  </r>
  <r>
    <s v="金武顺"/>
    <s v="汉朔"/>
    <s v="排错组V151"/>
    <s v="排错组V151"/>
    <s v="排错组V151"/>
    <m/>
    <x v="11"/>
    <s v="陈启明"/>
    <s v="陈启明-版本"/>
    <x v="15"/>
  </r>
  <r>
    <s v="陈若来"/>
    <s v="汉朔"/>
    <s v="排错组V151"/>
    <s v="排错组V151"/>
    <s v="排错组V151"/>
    <m/>
    <x v="11"/>
    <s v="陈启明"/>
    <s v="陈启明-版本"/>
    <x v="29"/>
  </r>
  <r>
    <s v="谢经兵"/>
    <s v="汉朔"/>
    <s v="数据分析"/>
    <s v="数据分析"/>
    <s v="数据分析"/>
    <m/>
    <x v="10"/>
    <s v="吕欣冉"/>
    <s v="吕欣冉"/>
    <x v="12"/>
  </r>
  <r>
    <s v="胡祖思"/>
    <s v="凯道"/>
    <s v="同业存款二期-45-&gt;V153验收用例"/>
    <s v="V153验收用例"/>
    <s v="V153验收测试"/>
    <m/>
    <x v="0"/>
    <s v="徐慧鹏"/>
    <s v="徐慧鹏"/>
    <x v="24"/>
  </r>
  <r>
    <s v="于俊涛"/>
    <s v="法本"/>
    <s v="V151生产数据比对"/>
    <s v="V153生产数据比对"/>
    <s v="V153生产数据比对"/>
    <m/>
    <x v="0"/>
    <s v="周德乐"/>
    <s v="周德乐"/>
    <x v="2"/>
  </r>
  <r>
    <s v="董莹莹"/>
    <s v="鼎纪"/>
    <s v="南向通一期"/>
    <s v="南向通一期"/>
    <s v="南向通一期"/>
    <s v="南向通-1"/>
    <x v="6"/>
    <s v="徐慧鹏"/>
    <s v="徐慧鹏"/>
    <x v="9"/>
  </r>
  <r>
    <s v="夏淑文"/>
    <s v="鼎纪"/>
    <s v="利率期权二期"/>
    <s v="利率期权二期"/>
    <s v="利率期权三期"/>
    <s v="利率期权三期"/>
    <x v="3"/>
    <s v="刘倩"/>
    <s v="刘倩"/>
    <x v="21"/>
  </r>
  <r>
    <s v="陆云帆"/>
    <s v="金楷泽"/>
    <s v="用户行为分析优化"/>
    <m/>
    <m/>
    <m/>
    <x v="7"/>
    <s v="李戬"/>
    <s v="李戬"/>
    <x v="3"/>
  </r>
  <r>
    <s v="卢朝立"/>
    <s v="金楷泽"/>
    <s v="CRMW+FRA"/>
    <s v="CRMW+FRA"/>
    <s v="央行报表及衍生品成交优化"/>
    <s v="央行报表及衍生品成交优化"/>
    <x v="3"/>
    <s v="刁望庆"/>
    <s v="刁望庆"/>
    <x v="7"/>
  </r>
  <r>
    <s v="沈迪"/>
    <s v="鼎纪"/>
    <s v="160周边整合"/>
    <s v="160周边整合（财政部一期+货债二期)-24"/>
    <s v="160周边整合（财政部一期+货债二期)-24"/>
    <m/>
    <x v="3"/>
    <s v="徐慧鹏"/>
    <s v="徐慧鹏"/>
    <x v="24"/>
  </r>
  <r>
    <s v="冒文影"/>
    <s v="鼎纪"/>
    <s v="CRMW+FRA"/>
    <s v="CRMW+FRA"/>
    <s v="央行报表及衍生品成交优化"/>
    <s v="央行报表及衍生品成交优化"/>
    <x v="3"/>
    <s v="郑安如"/>
    <s v="郑安如"/>
    <x v="5"/>
  </r>
  <r>
    <s v="王睿杰"/>
    <s v="埃森哲"/>
    <s v="CDS二期"/>
    <s v="CDS二期-42"/>
    <s v="CDS二期-42"/>
    <m/>
    <x v="3"/>
    <s v="郑安如"/>
    <s v="郑安如"/>
    <x v="5"/>
  </r>
  <r>
    <s v="孙栩"/>
    <s v="骄洋"/>
    <s v="V153验收测试"/>
    <s v="V153验收测试"/>
    <s v="V153验收测试"/>
    <m/>
    <x v="0"/>
    <s v="刘倩"/>
    <s v="刘倩"/>
    <x v="11"/>
  </r>
  <r>
    <s v="钟建强"/>
    <s v="法本"/>
    <s v="同业存款二期-45-&gt;排错组V151"/>
    <s v="排错组V151"/>
    <s v="排错组V151"/>
    <m/>
    <x v="11"/>
    <s v="周德乐"/>
    <s v="周德乐"/>
    <x v="2"/>
  </r>
  <r>
    <s v="郭方丽"/>
    <s v="汉朔"/>
    <s v="计费改造及监测-45-&gt;V153验收测试"/>
    <s v="计费改造及监测-45-&gt;V153验收测试"/>
    <s v="V153验收测试"/>
    <m/>
    <x v="0"/>
    <s v="吕欣冉"/>
    <s v="吕欣冉"/>
    <x v="12"/>
  </r>
  <r>
    <s v="陈小芬"/>
    <s v="向普"/>
    <s v="同业存款二期-45-&gt;V153验收用例"/>
    <s v="V153验收用例"/>
    <s v="V153验收测试"/>
    <m/>
    <x v="0"/>
    <s v="吕欣冉"/>
    <s v="吕欣冉"/>
    <x v="12"/>
  </r>
  <r>
    <s v="邴文静"/>
    <s v="汉朔"/>
    <s v="V153集中测试"/>
    <s v="V153集中测试"/>
    <s v="V153集中测试"/>
    <m/>
    <x v="0"/>
    <s v="顾静洁"/>
    <s v="顾静洁"/>
    <x v="10"/>
  </r>
  <r>
    <s v="杨得源"/>
    <s v="汉朔"/>
    <s v="计费改造及监测-45-&gt;V153验收测试"/>
    <s v="计费改造及监测-45-&gt;V153验收测试"/>
    <s v="V153验收测试"/>
    <m/>
    <x v="0"/>
    <s v="顾静洁"/>
    <s v="顾静洁"/>
    <x v="27"/>
  </r>
  <r>
    <s v="曾祥龙"/>
    <s v="法本"/>
    <m/>
    <m/>
    <m/>
    <m/>
    <x v="3"/>
    <s v="陈启明"/>
    <s v="陈启明"/>
    <x v="31"/>
  </r>
  <r>
    <s v="费厚壮"/>
    <s v="汉朔"/>
    <s v="清算所联测"/>
    <s v="清算所联测"/>
    <s v="V153集中测试-清算所联测"/>
    <m/>
    <x v="0"/>
    <s v="徐慧鹏"/>
    <s v="徐慧鹏"/>
    <x v="32"/>
  </r>
  <r>
    <s v="金星航"/>
    <s v="恒天"/>
    <s v="V15115版本集成"/>
    <s v="V15115版本集成"/>
    <s v="V15115版本集成"/>
    <m/>
    <x v="2"/>
    <s v="陈启明"/>
    <s v="陈启明"/>
    <x v="31"/>
  </r>
  <r>
    <s v="尤伟"/>
    <s v="汉朔"/>
    <s v="计费改造及监测-45"/>
    <s v="计费改造及监测-45"/>
    <s v="计费改造及监测-45"/>
    <m/>
    <x v="15"/>
    <s v="周德乐"/>
    <s v="周德乐"/>
    <x v="13"/>
  </r>
  <r>
    <s v="张建山"/>
    <s v="鼎纪"/>
    <s v="CRMW+FRA"/>
    <s v="CRMW+FRA"/>
    <s v="CRMW+FRA"/>
    <m/>
    <x v="3"/>
    <s v="顾静洁"/>
    <s v="顾静洁"/>
    <x v="10"/>
  </r>
  <r>
    <s v="丁金灵"/>
    <s v="汉朔"/>
    <s v="数据分析"/>
    <s v="数据分析"/>
    <s v="数据分析"/>
    <m/>
    <x v="10"/>
    <s v="吕欣冉"/>
    <s v="吕欣冉"/>
    <x v="22"/>
  </r>
  <r>
    <s v="胡健"/>
    <s v="埃森哲"/>
    <s v="UX设计"/>
    <s v="UX设计"/>
    <s v="UX设计"/>
    <m/>
    <x v="9"/>
    <s v="顾静洁"/>
    <s v="顾静洁"/>
    <x v="18"/>
  </r>
  <r>
    <s v="姜涛"/>
    <s v="恒天"/>
    <s v="南向通一期"/>
    <s v="南向通一期"/>
    <s v="南向通一期"/>
    <s v="南向通-1"/>
    <x v="6"/>
    <s v="陈启明"/>
    <s v="陈启明"/>
    <x v="32"/>
  </r>
  <r>
    <s v="蔡聪"/>
    <s v="汉朔"/>
    <s v="V153集中测试"/>
    <s v="V153集中测试"/>
    <s v="V153集中测试"/>
    <m/>
    <x v="0"/>
    <s v="郑安如"/>
    <s v="郑安如"/>
    <x v="32"/>
  </r>
  <r>
    <s v="胡佳莹"/>
    <s v="鼎纪"/>
    <s v="V153验收测试"/>
    <s v="V153验收测试"/>
    <s v="V153验收测试"/>
    <m/>
    <x v="0"/>
    <s v="徐慧鹏"/>
    <s v="徐慧鹏"/>
    <x v="32"/>
  </r>
  <r>
    <s v="张帅"/>
    <s v="鼎纪"/>
    <m/>
    <m/>
    <m/>
    <m/>
    <x v="3"/>
    <s v="刘倩"/>
    <s v="刘倩"/>
    <x v="32"/>
  </r>
  <r>
    <s v="李昂"/>
    <s v="塔塔"/>
    <s v="数据分析"/>
    <s v="数据分析"/>
    <s v="数据分析"/>
    <m/>
    <x v="10"/>
    <s v="吕欣冉"/>
    <s v="吕欣冉"/>
    <x v="32"/>
  </r>
  <r>
    <s v="李双"/>
    <s v="鼎纪"/>
    <s v="V153集中测试"/>
    <s v="V153集中测试"/>
    <s v="V153集中测试"/>
    <m/>
    <x v="0"/>
    <s v="郑安如"/>
    <s v="郑安如"/>
    <x v="32"/>
  </r>
  <r>
    <s v="李亚军"/>
    <s v="汉朔"/>
    <s v="V153集中测试"/>
    <s v="V153集中测试"/>
    <s v="V153集中测试"/>
    <m/>
    <x v="15"/>
    <s v="徐慧鹏"/>
    <s v="徐慧鹏"/>
    <x v="32"/>
  </r>
  <r>
    <s v="蔡天珩"/>
    <s v="汉朔"/>
    <m/>
    <s v="胡彪"/>
    <s v="胡彪"/>
    <m/>
    <x v="15"/>
    <s v="郑安如"/>
    <s v="郑安如"/>
    <x v="32"/>
  </r>
  <r>
    <s v="刘志顺"/>
    <s v="量投"/>
    <s v="计费改造及监测-45"/>
    <s v="计费改造及监测-45"/>
    <s v="计费改造及监测-45"/>
    <m/>
    <x v="15"/>
    <s v="李戬"/>
    <s v="李戬"/>
    <x v="32"/>
  </r>
  <r>
    <s v="勇泽康"/>
    <s v="金楷泽"/>
    <s v="聂瑞"/>
    <s v="周功平"/>
    <s v="周功平"/>
    <m/>
    <x v="15"/>
    <s v="周德乐"/>
    <s v="周德乐"/>
    <x v="32"/>
  </r>
  <r>
    <s v="桑强"/>
    <s v="金楷泽"/>
    <s v="马燕飞"/>
    <s v="马燕飞"/>
    <s v="马燕飞"/>
    <m/>
    <x v="15"/>
    <s v="刁望庆"/>
    <s v="刁望庆"/>
    <x v="32"/>
  </r>
  <r>
    <s v="焦震"/>
    <s v="中科金财"/>
    <s v="方润东"/>
    <s v="方润东"/>
    <s v="方润东"/>
    <m/>
    <x v="15"/>
    <s v="周德乐"/>
    <s v="周德乐"/>
    <x v="32"/>
  </r>
  <r>
    <s v="张珍珍"/>
    <s v="汉朔"/>
    <m/>
    <s v="周玮"/>
    <s v="周玮"/>
    <m/>
    <x v="15"/>
    <s v="郑安如"/>
    <s v="郑安如"/>
    <x v="32"/>
  </r>
  <r>
    <s v="马冰洁"/>
    <s v="鼎纪"/>
    <m/>
    <s v="段杰+魏亚男"/>
    <s v="段杰+魏亚男"/>
    <m/>
    <x v="15"/>
    <s v="徐慧鹏"/>
    <s v="徐慧鹏"/>
    <x v="32"/>
  </r>
  <r>
    <s v="顾子媛"/>
    <s v="鼎纪"/>
    <m/>
    <s v="石秀"/>
    <s v="石秀"/>
    <m/>
    <x v="15"/>
    <s v="徐慧鹏"/>
    <s v="徐慧鹏"/>
    <x v="32"/>
  </r>
  <r>
    <s v="吴南"/>
    <s v="汉朔"/>
    <m/>
    <s v="陆云帆"/>
    <s v="陆云帆"/>
    <m/>
    <x v="15"/>
    <s v="李戬"/>
    <s v="李戬"/>
    <x v="32"/>
  </r>
  <r>
    <s v="苗应春"/>
    <s v="金楷泽"/>
    <m/>
    <s v="陆云帆"/>
    <s v="陆云帆"/>
    <m/>
    <x v="15"/>
    <s v="李戬"/>
    <s v="李戬"/>
    <x v="32"/>
  </r>
  <r>
    <m/>
    <m/>
    <m/>
    <m/>
    <m/>
    <m/>
    <x v="7"/>
    <m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">
  <r>
    <s v="冉杨鋆"/>
    <s v="中心市场二部"/>
    <s v="V153负责人"/>
    <s v="V153负责人"/>
    <x v="0"/>
    <m/>
    <x v="0"/>
    <x v="0"/>
    <s v="孙小林"/>
    <s v="不计"/>
    <x v="0"/>
    <x v="0"/>
  </r>
  <r>
    <s v="郑安如"/>
    <s v="中心市场二部"/>
    <s v="守门员"/>
    <s v="守门员"/>
    <x v="1"/>
    <m/>
    <x v="1"/>
    <x v="1"/>
    <s v="郑安如"/>
    <s v="不计"/>
    <x v="1"/>
    <x v="1"/>
  </r>
  <r>
    <s v="赵攀"/>
    <s v="中心市场二部"/>
    <s v="V151负责人"/>
    <s v="V151负责人"/>
    <x v="2"/>
    <m/>
    <x v="2"/>
    <x v="0"/>
    <s v="孙小林"/>
    <s v="不计"/>
    <x v="0"/>
    <x v="0"/>
  </r>
  <r>
    <s v="张洋弘"/>
    <s v="中心市场二部"/>
    <s v="守门员"/>
    <s v="守门员"/>
    <x v="1"/>
    <m/>
    <x v="1"/>
    <x v="2"/>
    <s v="张洋弘"/>
    <s v="不计"/>
    <x v="2"/>
    <x v="2"/>
  </r>
  <r>
    <s v="杨子玉"/>
    <s v="中心市场二部"/>
    <s v="V153集中测试"/>
    <s v="V153集中测试"/>
    <x v="3"/>
    <m/>
    <x v="0"/>
    <x v="1"/>
    <s v="郑安如"/>
    <s v="不计"/>
    <x v="3"/>
    <x v="3"/>
  </r>
  <r>
    <s v="唐军敏"/>
    <s v="中心市场二部"/>
    <s v="V160负责人"/>
    <s v="V160负责人"/>
    <x v="4"/>
    <m/>
    <x v="3"/>
    <x v="0"/>
    <s v="孙小林"/>
    <s v="不计"/>
    <x v="0"/>
    <x v="0"/>
  </r>
  <r>
    <s v="孙小林"/>
    <s v="中心市场二部"/>
    <s v="版本整体负责"/>
    <s v="版本整体负责"/>
    <x v="5"/>
    <m/>
    <x v="4"/>
    <x v="0"/>
    <s v="孙小林"/>
    <s v="不计"/>
    <x v="0"/>
    <x v="0"/>
  </r>
  <r>
    <s v="孙道伟"/>
    <s v="中汇综合管理部"/>
    <s v="V153版本集成"/>
    <s v="V153版本集成"/>
    <x v="6"/>
    <m/>
    <x v="0"/>
    <x v="3"/>
    <s v="顾静洁"/>
    <s v="不计"/>
    <x v="4"/>
    <x v="4"/>
  </r>
  <r>
    <s v="李靖民"/>
    <s v="中心市场二部"/>
    <s v="V153验收测试"/>
    <s v="V153验收测试"/>
    <x v="7"/>
    <m/>
    <x v="0"/>
    <x v="4"/>
    <s v="刘倩"/>
    <s v="不计"/>
    <x v="5"/>
    <x v="5"/>
  </r>
  <r>
    <s v="顾静洁"/>
    <s v="中心市场二部"/>
    <s v="守门员"/>
    <s v="守门员"/>
    <x v="1"/>
    <m/>
    <x v="1"/>
    <x v="3"/>
    <s v="顾静洁"/>
    <s v="不计"/>
    <x v="4"/>
    <x v="1"/>
  </r>
  <r>
    <s v="王伟"/>
    <s v="埃森哲"/>
    <s v="CDS二期-42"/>
    <s v="CDS二期-42"/>
    <x v="8"/>
    <s v="V160版本集成"/>
    <x v="3"/>
    <x v="5"/>
    <s v="版本线"/>
    <s v="版本线"/>
    <x v="2"/>
    <x v="6"/>
  </r>
  <r>
    <s v="付天恩"/>
    <s v="汉朔"/>
    <s v="160周边整合（财政部一期+货债二期)-24"/>
    <s v="160周边整合（财政部一期+货债二期)-24"/>
    <x v="9"/>
    <m/>
    <x v="3"/>
    <x v="6"/>
    <s v="周德乐"/>
    <s v="周德乐-固定"/>
    <x v="2"/>
    <x v="6"/>
  </r>
  <r>
    <s v="吴波"/>
    <s v="塔塔"/>
    <s v="央行报表及衍生品成交优化"/>
    <s v="央行报表及衍生品成交优化"/>
    <x v="10"/>
    <m/>
    <x v="3"/>
    <x v="7"/>
    <s v="李戬"/>
    <s v="李戬-固定"/>
    <x v="6"/>
    <x v="7"/>
  </r>
  <r>
    <s v="唐熙棱"/>
    <s v="华腾"/>
    <s v="CRMW+FRA"/>
    <s v="央行报表及衍生品成交优化"/>
    <x v="10"/>
    <m/>
    <x v="3"/>
    <x v="2"/>
    <s v="张洋弘"/>
    <s v="张洋弘-固定"/>
    <x v="7"/>
    <x v="8"/>
  </r>
  <r>
    <s v="魏如梦"/>
    <s v="汉朔"/>
    <s v="V153集中测试"/>
    <s v="V153集中测试"/>
    <x v="3"/>
    <m/>
    <x v="0"/>
    <x v="6"/>
    <s v="周德乐"/>
    <s v="周德乐-固定"/>
    <x v="2"/>
    <x v="6"/>
  </r>
  <r>
    <s v="王智鹏"/>
    <s v="凯道"/>
    <s v="南向通一期"/>
    <s v="守门员"/>
    <x v="1"/>
    <m/>
    <x v="1"/>
    <x v="1"/>
    <s v="郑安如"/>
    <s v="郑安如-固定"/>
    <x v="1"/>
    <x v="9"/>
  </r>
  <r>
    <s v="陈杰樱"/>
    <s v="中汇开发三部"/>
    <s v="计费改造及监测-45"/>
    <s v="计费二期"/>
    <x v="11"/>
    <m/>
    <x v="3"/>
    <x v="8"/>
    <s v="刁望庆-项目"/>
    <s v="版本线"/>
    <x v="2"/>
    <x v="6"/>
  </r>
  <r>
    <s v="王瑞"/>
    <s v="埃森哲"/>
    <s v="守门员"/>
    <s v="守门员"/>
    <x v="1"/>
    <m/>
    <x v="1"/>
    <x v="9"/>
    <s v="申冬东"/>
    <s v="守门员"/>
    <x v="8"/>
    <x v="10"/>
  </r>
  <r>
    <s v="翟瑞平"/>
    <s v="塔塔"/>
    <s v="CDS二期-42"/>
    <s v="CDS二期-42"/>
    <x v="8"/>
    <m/>
    <x v="3"/>
    <x v="8"/>
    <s v="刁望庆"/>
    <s v="刁望庆-固定"/>
    <x v="6"/>
    <x v="7"/>
  </r>
  <r>
    <s v="丁强"/>
    <s v="塔塔"/>
    <s v="CDS二期-42"/>
    <s v="CDS二期-42"/>
    <x v="8"/>
    <m/>
    <x v="3"/>
    <x v="2"/>
    <s v="张洋弘"/>
    <s v="张洋弘-固定"/>
    <x v="7"/>
    <x v="8"/>
  </r>
  <r>
    <s v="翁复来"/>
    <s v="向普"/>
    <s v="CRMW+FRA"/>
    <s v="CRMW+FRA"/>
    <x v="12"/>
    <s v="V160集中测试"/>
    <x v="3"/>
    <x v="9"/>
    <s v="申冬东"/>
    <s v="申冬东-固定"/>
    <x v="8"/>
    <x v="10"/>
  </r>
  <r>
    <s v="陆光晨"/>
    <s v="恒天"/>
    <s v="CDS二期-42"/>
    <s v="利率期权三期"/>
    <x v="13"/>
    <s v="V160版本集成"/>
    <x v="3"/>
    <x v="6"/>
    <s v="周德乐"/>
    <s v="周德乐-固定"/>
    <x v="2"/>
    <x v="6"/>
  </r>
  <r>
    <s v="姜财"/>
    <s v="汉朔"/>
    <s v="计费改造及监测-45"/>
    <s v="160周边整合（财政部一期+货债二期)-24"/>
    <x v="14"/>
    <m/>
    <x v="5"/>
    <x v="2"/>
    <s v="张洋弘"/>
    <s v="张洋弘-固定"/>
    <x v="7"/>
    <x v="8"/>
  </r>
  <r>
    <s v="彭福康"/>
    <s v="微软"/>
    <s v="CRMW+FRA"/>
    <s v="央行报表及衍生品成交优化"/>
    <x v="10"/>
    <s v="V160版本集成-2"/>
    <x v="3"/>
    <x v="2"/>
    <s v="张洋弘"/>
    <s v="张洋弘-固定"/>
    <x v="7"/>
    <x v="8"/>
  </r>
  <r>
    <s v="梁木1"/>
    <s v="恒天"/>
    <s v="离场"/>
    <s v="离场"/>
    <x v="15"/>
    <m/>
    <x v="6"/>
    <x v="6"/>
    <s v="周德乐"/>
    <s v="周德乐-固定"/>
    <x v="2"/>
    <x v="6"/>
  </r>
  <r>
    <s v="张东升"/>
    <s v="汉朔"/>
    <s v="CRMW+FRA"/>
    <s v="央行报表及衍生品成交优化"/>
    <x v="10"/>
    <m/>
    <x v="3"/>
    <x v="6"/>
    <s v="周德乐"/>
    <s v="周德乐-固定"/>
    <x v="2"/>
    <x v="6"/>
  </r>
  <r>
    <s v="陈诚02"/>
    <s v="恒天"/>
    <s v="CDS二期-42"/>
    <s v="CDS二期-42"/>
    <x v="8"/>
    <m/>
    <x v="3"/>
    <x v="2"/>
    <s v="张洋弘"/>
    <s v="张洋弘-固定"/>
    <x v="7"/>
    <x v="8"/>
  </r>
  <r>
    <s v="王春辉"/>
    <s v="埃森哲"/>
    <s v="南向通一期"/>
    <s v="南向通一期"/>
    <x v="14"/>
    <m/>
    <x v="5"/>
    <x v="1"/>
    <s v="郑安如"/>
    <s v="守门员"/>
    <x v="1"/>
    <x v="9"/>
  </r>
  <r>
    <s v="祖滔"/>
    <s v="塔塔"/>
    <s v="利率期权二期"/>
    <s v="利率期权三期"/>
    <x v="13"/>
    <s v="V160版本集成"/>
    <x v="3"/>
    <x v="6"/>
    <s v="周德乐"/>
    <s v="周德乐-固定"/>
    <x v="6"/>
    <x v="7"/>
  </r>
  <r>
    <s v="张路"/>
    <s v="塔塔"/>
    <s v="离场"/>
    <s v="离场"/>
    <x v="15"/>
    <m/>
    <x v="6"/>
    <x v="9"/>
    <s v="申冬东"/>
    <s v="申冬东-固定"/>
    <x v="9"/>
    <x v="11"/>
  </r>
  <r>
    <s v="孙雨锦02"/>
    <s v="凯道"/>
    <s v="V153集中测试"/>
    <s v="V153集中测试"/>
    <x v="3"/>
    <m/>
    <x v="0"/>
    <x v="1"/>
    <s v="郑安如"/>
    <s v="郑安如-固定"/>
    <x v="1"/>
    <x v="9"/>
  </r>
  <r>
    <s v="潘泳光"/>
    <s v="金楷泽"/>
    <s v="央行报表及衍生品成交优化"/>
    <s v="央行报表及衍生品成交优化"/>
    <x v="10"/>
    <m/>
    <x v="3"/>
    <x v="8"/>
    <s v="刁望庆"/>
    <s v="刁望庆-固定"/>
    <x v="2"/>
    <x v="6"/>
  </r>
  <r>
    <s v="吴臻杰"/>
    <s v="汉朔"/>
    <s v="计费二期"/>
    <s v="计费二期"/>
    <x v="11"/>
    <m/>
    <x v="3"/>
    <x v="5"/>
    <s v="版本线"/>
    <s v="版本线"/>
    <x v="2"/>
    <x v="6"/>
  </r>
  <r>
    <s v="陈晓瑶"/>
    <s v="汉朔"/>
    <s v="利率期权二期"/>
    <s v="利率期权三期"/>
    <x v="13"/>
    <s v="V160版本集成"/>
    <x v="3"/>
    <x v="8"/>
    <s v="刁望庆"/>
    <s v="刁望庆-固定"/>
    <x v="2"/>
    <x v="6"/>
  </r>
  <r>
    <s v="章群燕"/>
    <s v="中汇开发三部"/>
    <s v="CRMW+FRA"/>
    <s v="CRMW+FRA"/>
    <x v="12"/>
    <s v="V160集中测试"/>
    <x v="3"/>
    <x v="6"/>
    <s v="周德乐-项目"/>
    <s v="版本线"/>
    <x v="2"/>
    <x v="6"/>
  </r>
  <r>
    <s v="杨姗"/>
    <s v="埃森哲"/>
    <s v="160周边整合（财政部一期+货债二期)-24"/>
    <s v="160周边整合（财政部一期+货债二期)-24"/>
    <x v="9"/>
    <m/>
    <x v="3"/>
    <x v="1"/>
    <s v="郑安如"/>
    <s v="郑安如-固定"/>
    <x v="1"/>
    <x v="9"/>
  </r>
  <r>
    <s v="许伊涵"/>
    <s v="骄洋"/>
    <s v="V153集中测试"/>
    <s v="V153集中测试"/>
    <x v="3"/>
    <m/>
    <x v="0"/>
    <x v="10"/>
    <s v="徐慧鹏"/>
    <s v="徐慧鹏-固定"/>
    <x v="10"/>
    <x v="12"/>
  </r>
  <r>
    <s v="翟丽丽"/>
    <s v="凯道"/>
    <s v="利率期权二期"/>
    <s v="利率期权三期"/>
    <x v="13"/>
    <s v="V160版本集成"/>
    <x v="3"/>
    <x v="10"/>
    <s v="徐慧鹏"/>
    <s v="徐慧鹏-固定"/>
    <x v="10"/>
    <x v="12"/>
  </r>
  <r>
    <s v="张东升01"/>
    <s v="凯道"/>
    <s v="CRMW+FRA"/>
    <s v="计费二期"/>
    <x v="11"/>
    <s v="V160验收用例/验收测试"/>
    <x v="3"/>
    <x v="3"/>
    <s v="顾静洁"/>
    <s v="顾静洁-固定"/>
    <x v="4"/>
    <x v="4"/>
  </r>
  <r>
    <s v="于肖肖"/>
    <s v="汉朔"/>
    <s v="利率期权二期"/>
    <s v="利率期权三期"/>
    <x v="13"/>
    <s v="V160版本集成"/>
    <x v="3"/>
    <x v="6"/>
    <s v="周德乐"/>
    <s v="周德乐-固定"/>
    <x v="2"/>
    <x v="6"/>
  </r>
  <r>
    <s v="魏亚男"/>
    <s v="鼎纪"/>
    <s v="V15115验收测试"/>
    <s v="V15115验收测试"/>
    <x v="16"/>
    <s v="V160验收用例/验收测试"/>
    <x v="3"/>
    <x v="4"/>
    <s v="刘倩"/>
    <s v="刘倩-固定"/>
    <x v="11"/>
    <x v="13"/>
  </r>
  <r>
    <s v="石秀"/>
    <s v="向普"/>
    <s v="利率期权二期"/>
    <s v="利率期权三期"/>
    <x v="13"/>
    <s v="V160验收用例"/>
    <x v="3"/>
    <x v="10"/>
    <s v="徐慧鹏"/>
    <s v="守门员"/>
    <x v="10"/>
    <x v="12"/>
  </r>
  <r>
    <s v="胡遂明"/>
    <s v="塔塔"/>
    <s v="南向通一期"/>
    <m/>
    <x v="17"/>
    <m/>
    <x v="7"/>
    <x v="2"/>
    <s v="张洋弘"/>
    <s v="张洋弘-固定"/>
    <x v="7"/>
    <x v="8"/>
  </r>
  <r>
    <s v="白晓乐"/>
    <s v="塔塔"/>
    <s v="V153版本集成-&gt;守门员"/>
    <s v="守门员"/>
    <x v="1"/>
    <m/>
    <x v="1"/>
    <x v="2"/>
    <s v="张洋弘"/>
    <s v="张洋弘-固定"/>
    <x v="7"/>
    <x v="8"/>
  </r>
  <r>
    <s v="田彩冰"/>
    <s v="京北方"/>
    <s v="利率期权二期"/>
    <s v="利率期权三期"/>
    <x v="13"/>
    <s v="V160版本集成"/>
    <x v="3"/>
    <x v="2"/>
    <s v="张洋弘"/>
    <s v="张洋弘-固定"/>
    <x v="7"/>
    <x v="8"/>
  </r>
  <r>
    <s v="吕欣冉"/>
    <s v="中汇开发一部"/>
    <s v="守门员"/>
    <s v="守门员"/>
    <x v="1"/>
    <m/>
    <x v="1"/>
    <x v="11"/>
    <s v="郑安如-版本"/>
    <s v="版本线"/>
    <x v="1"/>
    <x v="9"/>
  </r>
  <r>
    <s v="王阳"/>
    <s v="华腾"/>
    <s v="计费改造及监测-45"/>
    <s v="央行报表及衍生品成交优化"/>
    <x v="10"/>
    <m/>
    <x v="3"/>
    <x v="11"/>
    <s v="吕欣冉"/>
    <s v="吕欣冉-固定"/>
    <x v="12"/>
    <x v="14"/>
  </r>
  <r>
    <s v="石爱芳"/>
    <s v="汉朔"/>
    <s v="产假"/>
    <s v="产假"/>
    <x v="18"/>
    <m/>
    <x v="8"/>
    <x v="6"/>
    <s v="周德乐"/>
    <s v="周德乐-浮动"/>
    <x v="2"/>
    <x v="6"/>
  </r>
  <r>
    <s v="李慧洁01"/>
    <s v="鼎纪"/>
    <s v="产假"/>
    <s v="产假"/>
    <x v="18"/>
    <m/>
    <x v="8"/>
    <x v="1"/>
    <s v="郑安如"/>
    <s v="郑安如-固定"/>
    <x v="1"/>
    <x v="9"/>
  </r>
  <r>
    <s v="王勇浩01"/>
    <s v="塔塔"/>
    <s v="南向通一期"/>
    <s v="南向通一期"/>
    <x v="14"/>
    <m/>
    <x v="5"/>
    <x v="2"/>
    <s v="张洋弘"/>
    <s v="守门员"/>
    <x v="7"/>
    <x v="8"/>
  </r>
  <r>
    <s v="李月月"/>
    <s v="塔塔"/>
    <s v="守门员"/>
    <s v="守门员"/>
    <x v="1"/>
    <m/>
    <x v="1"/>
    <x v="3"/>
    <s v="顾静洁"/>
    <s v="顾静洁-固定"/>
    <x v="4"/>
    <x v="4"/>
  </r>
  <r>
    <s v="李彩红"/>
    <s v="埃森哲"/>
    <s v="利率期权二期"/>
    <s v="利率期权三期"/>
    <x v="13"/>
    <s v="V160集中测试"/>
    <x v="3"/>
    <x v="2"/>
    <s v="张洋弘"/>
    <s v="张洋弘-固定"/>
    <x v="7"/>
    <x v="8"/>
  </r>
  <r>
    <s v="甄向锋"/>
    <s v="塔塔"/>
    <s v="V153集中测试"/>
    <s v="V153集中测试"/>
    <x v="3"/>
    <m/>
    <x v="0"/>
    <x v="2"/>
    <s v="张洋弘"/>
    <s v="张洋弘-固定"/>
    <x v="7"/>
    <x v="8"/>
  </r>
  <r>
    <s v="李庆铎"/>
    <s v="汉朔"/>
    <s v="计费改造及监测-45-&gt;V153版本集成"/>
    <s v="V153版本集成"/>
    <x v="6"/>
    <m/>
    <x v="0"/>
    <x v="8"/>
    <s v="刁望庆"/>
    <s v="刁望庆-固定"/>
    <x v="6"/>
    <x v="7"/>
  </r>
  <r>
    <s v="赵晓韵"/>
    <s v="中汇开发一部"/>
    <s v="南向通一期"/>
    <s v="南向通一期"/>
    <x v="14"/>
    <m/>
    <x v="5"/>
    <x v="9"/>
    <s v="申冬东-项目"/>
    <s v="版本线"/>
    <x v="2"/>
    <x v="6"/>
  </r>
  <r>
    <s v="孙晓安"/>
    <s v="埃森哲"/>
    <s v="利率期权二期"/>
    <s v="利率期权三期"/>
    <x v="13"/>
    <m/>
    <x v="3"/>
    <x v="4"/>
    <s v="刘倩"/>
    <s v="刘倩-固定"/>
    <x v="11"/>
    <x v="13"/>
  </r>
  <r>
    <s v="马燕飞"/>
    <s v="金楷泽"/>
    <s v="利率期权二期"/>
    <s v="利率期权三期"/>
    <x v="13"/>
    <s v="V160版本集成"/>
    <x v="3"/>
    <x v="8"/>
    <s v="刁望庆"/>
    <s v="刁望庆-固定"/>
    <x v="6"/>
    <x v="7"/>
  </r>
  <r>
    <s v="陈斌"/>
    <s v="骄洋"/>
    <s v="计费改造及监测-45-&gt;V153版本集成"/>
    <s v="V153版本集成"/>
    <x v="6"/>
    <m/>
    <x v="0"/>
    <x v="2"/>
    <s v="张洋弘"/>
    <s v="张洋弘-固定"/>
    <x v="7"/>
    <x v="8"/>
  </r>
  <r>
    <s v="曹越"/>
    <s v="金楷泽"/>
    <s v="南向通一期"/>
    <s v="南向通一期"/>
    <x v="19"/>
    <m/>
    <x v="5"/>
    <x v="8"/>
    <s v="刁望庆"/>
    <s v="刁望庆-固定"/>
    <x v="2"/>
    <x v="6"/>
  </r>
  <r>
    <s v="邝亚光"/>
    <s v="埃森哲"/>
    <s v="计费改造及监测-45"/>
    <s v="计费二期"/>
    <x v="11"/>
    <m/>
    <x v="3"/>
    <x v="2"/>
    <s v="张洋弘"/>
    <s v="张洋弘-固定"/>
    <x v="7"/>
    <x v="8"/>
  </r>
  <r>
    <s v="丁乐01"/>
    <s v="凯道"/>
    <s v="V15115验收测试"/>
    <s v="V15115验收测试"/>
    <x v="7"/>
    <m/>
    <x v="0"/>
    <x v="10"/>
    <s v="徐慧鹏"/>
    <s v="徐慧鹏-固定"/>
    <x v="10"/>
    <x v="12"/>
  </r>
  <r>
    <s v="刁望庆"/>
    <s v="中汇开发三部"/>
    <s v="守门员"/>
    <s v="守门员"/>
    <x v="1"/>
    <m/>
    <x v="1"/>
    <x v="8"/>
    <s v="刁望庆-项目"/>
    <s v="守门员"/>
    <x v="6"/>
    <x v="7"/>
  </r>
  <r>
    <s v="苏雷皓"/>
    <s v="中汇总工办"/>
    <m/>
    <m/>
    <x v="17"/>
    <m/>
    <x v="7"/>
    <x v="8"/>
    <s v="刁望庆"/>
    <s v="刁望庆-固定"/>
    <x v="2"/>
    <x v="6"/>
  </r>
  <r>
    <s v="杨梦珂"/>
    <s v="汉朔"/>
    <s v="计费改造及监测-45"/>
    <s v="计费二期"/>
    <x v="11"/>
    <m/>
    <x v="3"/>
    <x v="6"/>
    <s v="周德乐"/>
    <s v="周德乐-固定"/>
    <x v="2"/>
    <x v="6"/>
  </r>
  <r>
    <s v="夏守伟"/>
    <s v="法本"/>
    <s v="CRMW+FRA"/>
    <s v="央行报表及衍生品成交优化"/>
    <x v="10"/>
    <m/>
    <x v="3"/>
    <x v="2"/>
    <s v="张洋弘"/>
    <s v="张洋弘-浮动"/>
    <x v="7"/>
    <x v="8"/>
  </r>
  <r>
    <s v="魏渐俊"/>
    <s v="中汇开发一部"/>
    <s v="160周边整合（财政部一期+货债二期)-24"/>
    <s v="160周边整合（财政部一期+货债二期)-24"/>
    <x v="9"/>
    <m/>
    <x v="3"/>
    <x v="6"/>
    <s v="周德乐-项目"/>
    <s v="版本线"/>
    <x v="6"/>
    <x v="7"/>
  </r>
  <r>
    <s v="王新"/>
    <s v="汉朔"/>
    <s v="离场"/>
    <s v="离场"/>
    <x v="15"/>
    <m/>
    <x v="6"/>
    <x v="5"/>
    <s v="版本线"/>
    <s v="周德乐-浮动"/>
    <x v="2"/>
    <x v="6"/>
  </r>
  <r>
    <s v="王春明"/>
    <s v="塔塔"/>
    <s v="离场"/>
    <s v="离场"/>
    <x v="15"/>
    <m/>
    <x v="6"/>
    <x v="9"/>
    <s v="申冬东"/>
    <s v="申冬东-固定"/>
    <x v="9"/>
    <x v="11"/>
  </r>
  <r>
    <s v="黎德国"/>
    <s v="时溪"/>
    <s v="利率期权二期"/>
    <s v="利率期权三期"/>
    <x v="13"/>
    <s v="V160版本集成"/>
    <x v="3"/>
    <x v="9"/>
    <s v="申冬东"/>
    <s v="申冬东-固定"/>
    <x v="8"/>
    <x v="10"/>
  </r>
  <r>
    <s v="李冬冬01"/>
    <s v="鼎纪"/>
    <s v="离场"/>
    <s v="离场"/>
    <x v="15"/>
    <m/>
    <x v="6"/>
    <x v="10"/>
    <s v="徐慧鹏"/>
    <s v="徐慧鹏-固定"/>
    <x v="10"/>
    <x v="12"/>
  </r>
  <r>
    <s v="陈嘉伟"/>
    <s v="中汇开发一部"/>
    <s v="利率期权二期"/>
    <s v="利率期权三期"/>
    <x v="13"/>
    <s v="V160版本集成"/>
    <x v="3"/>
    <x v="9"/>
    <s v="申冬东-项目"/>
    <s v="版本线"/>
    <x v="9"/>
    <x v="11"/>
  </r>
  <r>
    <s v="孙泽龄"/>
    <s v="埃森哲"/>
    <s v="CDS二期-42"/>
    <s v="CDS二期-42"/>
    <x v="8"/>
    <s v="V160验收用例/集中测试"/>
    <x v="3"/>
    <x v="10"/>
    <s v="徐慧鹏"/>
    <s v="徐慧鹏-固定"/>
    <x v="10"/>
    <x v="12"/>
  </r>
  <r>
    <s v="徐振忠"/>
    <s v="塔塔"/>
    <s v="160周边整合（财政部一期+货债二期)-24"/>
    <s v="160周边整合（财政部一期+货债二期)-24"/>
    <x v="9"/>
    <m/>
    <x v="3"/>
    <x v="6"/>
    <s v="周德乐"/>
    <s v="周德乐-固定"/>
    <x v="2"/>
    <x v="6"/>
  </r>
  <r>
    <s v="王涛"/>
    <s v="向普"/>
    <s v="V153版本集成"/>
    <s v="V153版本集成"/>
    <x v="6"/>
    <m/>
    <x v="0"/>
    <x v="9"/>
    <s v="申冬东"/>
    <s v="申冬东-固定"/>
    <x v="8"/>
    <x v="10"/>
  </r>
  <r>
    <s v="陈浩宇"/>
    <s v="恒天"/>
    <s v="离场"/>
    <s v="离场"/>
    <x v="15"/>
    <m/>
    <x v="6"/>
    <x v="6"/>
    <s v="周德乐"/>
    <s v="周德乐-固定"/>
    <x v="2"/>
    <x v="6"/>
  </r>
  <r>
    <s v="王艳慧"/>
    <s v="凯道"/>
    <s v="利率期权二期"/>
    <s v="计费二期"/>
    <x v="11"/>
    <s v="V160验收用例/验收测试"/>
    <x v="3"/>
    <x v="10"/>
    <s v="徐慧鹏"/>
    <s v="徐慧鹏-固定"/>
    <x v="10"/>
    <x v="12"/>
  </r>
  <r>
    <s v="邱媛媛"/>
    <s v="中汇开发一部"/>
    <s v="V153版本集成"/>
    <s v="V153版本集成"/>
    <x v="6"/>
    <m/>
    <x v="0"/>
    <x v="9"/>
    <s v="申冬东-项目"/>
    <s v="版本线"/>
    <x v="2"/>
    <x v="6"/>
  </r>
  <r>
    <s v="徐慧鹏"/>
    <s v="中汇测试部"/>
    <s v="守门员"/>
    <s v="守门员"/>
    <x v="1"/>
    <m/>
    <x v="1"/>
    <x v="10"/>
    <s v="徐慧鹏"/>
    <s v="守门员"/>
    <x v="10"/>
    <x v="12"/>
  </r>
  <r>
    <s v="冉金澎01"/>
    <s v="汉朔"/>
    <s v="守门员"/>
    <s v="守门员"/>
    <x v="1"/>
    <m/>
    <x v="1"/>
    <x v="7"/>
    <s v="李戬"/>
    <s v="守门员"/>
    <x v="6"/>
    <x v="7"/>
  </r>
  <r>
    <s v="黄晓露"/>
    <s v="鼎纪"/>
    <s v="V151南向通验收测试"/>
    <s v="南向通验收测试"/>
    <x v="20"/>
    <s v="V160集中测试"/>
    <x v="5"/>
    <x v="3"/>
    <s v="顾静洁"/>
    <s v="顾静洁-固定"/>
    <x v="4"/>
    <x v="4"/>
  </r>
  <r>
    <s v="夏远欣"/>
    <s v="汉朔"/>
    <s v="守门员"/>
    <s v="守门员"/>
    <x v="1"/>
    <m/>
    <x v="1"/>
    <x v="8"/>
    <s v="刁望庆"/>
    <s v="守门员"/>
    <x v="2"/>
    <x v="6"/>
  </r>
  <r>
    <s v="马士会"/>
    <s v="埃森哲"/>
    <s v="UX设计"/>
    <s v="UX设计"/>
    <x v="21"/>
    <m/>
    <x v="9"/>
    <x v="4"/>
    <s v="刘倩-版本"/>
    <s v="版本公共"/>
    <x v="11"/>
    <x v="13"/>
  </r>
  <r>
    <s v="鲍晓飞"/>
    <s v="威擎"/>
    <s v="CRMW+FRA"/>
    <s v="计费二期"/>
    <x v="11"/>
    <m/>
    <x v="3"/>
    <x v="2"/>
    <s v="张洋弘"/>
    <s v="张洋弘-固定"/>
    <x v="7"/>
    <x v="8"/>
  </r>
  <r>
    <s v="杨柳02"/>
    <s v="塔塔"/>
    <m/>
    <m/>
    <x v="17"/>
    <m/>
    <x v="7"/>
    <x v="2"/>
    <s v="张洋弘"/>
    <s v="张洋弘-固定"/>
    <x v="7"/>
    <x v="8"/>
  </r>
  <r>
    <s v="孙雅雯"/>
    <s v="埃森哲"/>
    <s v="V153版本集成"/>
    <s v="V153版本集成"/>
    <x v="6"/>
    <m/>
    <x v="0"/>
    <x v="11"/>
    <s v="吕欣冉"/>
    <s v="守门员"/>
    <x v="12"/>
    <x v="14"/>
  </r>
  <r>
    <s v="商月"/>
    <s v="中汇综合管理部"/>
    <s v="V153集中测试"/>
    <s v="V153集中测试"/>
    <x v="3"/>
    <m/>
    <x v="0"/>
    <x v="2"/>
    <s v="张洋弘-项目"/>
    <s v="版本线"/>
    <x v="7"/>
    <x v="8"/>
  </r>
  <r>
    <s v="梅济正"/>
    <s v="塔塔"/>
    <s v="计费改造及监测-45"/>
    <s v="计费二期"/>
    <x v="11"/>
    <m/>
    <x v="3"/>
    <x v="7"/>
    <s v="李戬"/>
    <s v="李戬-固定"/>
    <x v="6"/>
    <x v="7"/>
  </r>
  <r>
    <s v="宋依麟"/>
    <s v="汉朔"/>
    <s v="计费改造及监测-45"/>
    <s v="计费二期"/>
    <x v="11"/>
    <m/>
    <x v="3"/>
    <x v="8"/>
    <s v="刁望庆"/>
    <s v="刁望庆-固定"/>
    <x v="2"/>
    <x v="6"/>
  </r>
  <r>
    <s v="王诗凡"/>
    <s v="埃森哲"/>
    <s v="CRMW+FRA"/>
    <s v="CRMW+FRA"/>
    <x v="16"/>
    <s v="V160验收用例"/>
    <x v="3"/>
    <x v="10"/>
    <s v="徐慧鹏"/>
    <s v="徐慧鹏-浮动"/>
    <x v="10"/>
    <x v="12"/>
  </r>
  <r>
    <s v="周德乐"/>
    <s v="中汇开发一部"/>
    <s v="守门员"/>
    <s v="守门员"/>
    <x v="1"/>
    <m/>
    <x v="1"/>
    <x v="6"/>
    <s v="周德乐"/>
    <s v="守门员"/>
    <x v="7"/>
    <x v="8"/>
  </r>
  <r>
    <s v="王磊"/>
    <s v="塔塔"/>
    <s v="南向通一期"/>
    <s v="南向通一期"/>
    <x v="19"/>
    <m/>
    <x v="5"/>
    <x v="8"/>
    <s v="刁望庆"/>
    <s v="刁望庆-固定"/>
    <x v="2"/>
    <x v="6"/>
  </r>
  <r>
    <s v="申冬东"/>
    <s v="中汇开发三部"/>
    <s v="守门员"/>
    <s v="守门员"/>
    <x v="1"/>
    <m/>
    <x v="1"/>
    <x v="9"/>
    <s v="申冬东"/>
    <s v="守门员"/>
    <x v="9"/>
    <x v="11"/>
  </r>
  <r>
    <s v="聂瑞"/>
    <s v="金楷泽"/>
    <s v="V153版本集成"/>
    <s v="V153版本集成"/>
    <x v="6"/>
    <m/>
    <x v="0"/>
    <x v="8"/>
    <s v="刁望庆"/>
    <s v="刁望庆-固定"/>
    <x v="6"/>
    <x v="7"/>
  </r>
  <r>
    <s v="李戬"/>
    <s v="中汇开发一部"/>
    <s v="守门员"/>
    <s v="守门员"/>
    <x v="1"/>
    <m/>
    <x v="1"/>
    <x v="7"/>
    <s v="李戬"/>
    <s v="守门员"/>
    <x v="6"/>
    <x v="7"/>
  </r>
  <r>
    <s v="李广"/>
    <s v="法本"/>
    <s v="V153版本集成"/>
    <s v="V153版本集成"/>
    <x v="6"/>
    <m/>
    <x v="0"/>
    <x v="2"/>
    <s v="张洋弘"/>
    <s v="张洋弘-固定"/>
    <x v="7"/>
    <x v="8"/>
  </r>
  <r>
    <s v="方润东"/>
    <s v="汉朔"/>
    <s v="守门员-&gt;南向通一期"/>
    <s v="守门员-&gt;南向通一期"/>
    <x v="22"/>
    <m/>
    <x v="5"/>
    <x v="6"/>
    <s v="周德乐"/>
    <s v="守门员"/>
    <x v="2"/>
    <x v="6"/>
  </r>
  <r>
    <s v="徐庆来"/>
    <s v="塔塔"/>
    <s v="南向通一期"/>
    <s v="南向通一期"/>
    <x v="23"/>
    <m/>
    <x v="10"/>
    <x v="9"/>
    <s v="申冬东"/>
    <s v="申冬东-固定"/>
    <x v="9"/>
    <x v="11"/>
  </r>
  <r>
    <s v="周功平"/>
    <s v="中汇开发三部"/>
    <s v="数据分析"/>
    <s v="数据分析"/>
    <x v="24"/>
    <m/>
    <x v="11"/>
    <x v="11"/>
    <s v="吕欣冉"/>
    <s v="吕欣冉-固定"/>
    <x v="12"/>
    <x v="14"/>
  </r>
  <r>
    <s v="闫培杰"/>
    <s v="鼎纪"/>
    <s v="数据分析"/>
    <s v="数据分析"/>
    <x v="24"/>
    <m/>
    <x v="11"/>
    <x v="11"/>
    <s v="吕欣冉"/>
    <s v="吕欣冉-固定"/>
    <x v="12"/>
    <x v="14"/>
  </r>
  <r>
    <s v="李晶雯"/>
    <s v="中汇支持服务部"/>
    <s v="产假"/>
    <s v="产假"/>
    <x v="18"/>
    <m/>
    <x v="8"/>
    <x v="11"/>
    <s v="吕欣冉"/>
    <s v="守门员"/>
    <x v="12"/>
    <x v="14"/>
  </r>
  <r>
    <s v="孙相龙"/>
    <s v="塔塔"/>
    <s v="离场"/>
    <s v="离场"/>
    <x v="15"/>
    <m/>
    <x v="6"/>
    <x v="11"/>
    <s v="吕欣冉"/>
    <s v="吕欣冉-浮动"/>
    <x v="12"/>
    <x v="14"/>
  </r>
  <r>
    <s v="文婷苇"/>
    <s v="埃森哲"/>
    <s v="离场"/>
    <s v="离场"/>
    <x v="15"/>
    <m/>
    <x v="6"/>
    <x v="3"/>
    <s v="顾静洁-版本"/>
    <s v="版本公共-UIUX-浮动"/>
    <x v="4"/>
    <x v="4"/>
  </r>
  <r>
    <s v="郝好"/>
    <s v="埃森哲"/>
    <s v="UX设计"/>
    <s v="UX设计"/>
    <x v="21"/>
    <m/>
    <x v="9"/>
    <x v="1"/>
    <s v="郑安如-版本"/>
    <s v="版本公共"/>
    <x v="1"/>
    <x v="9"/>
  </r>
  <r>
    <s v="胡彪"/>
    <s v="凯道"/>
    <s v="CDS二期-42"/>
    <s v="CDS二期-42"/>
    <x v="8"/>
    <s v="V160验收用例/集中测试"/>
    <x v="3"/>
    <x v="1"/>
    <s v="郑安如"/>
    <s v="郑安如-固定"/>
    <x v="1"/>
    <x v="9"/>
  </r>
  <r>
    <s v="吴敏华"/>
    <s v="汉朔"/>
    <s v="V153集中测试"/>
    <s v="V153集中测试"/>
    <x v="15"/>
    <m/>
    <x v="6"/>
    <x v="9"/>
    <s v="申冬东"/>
    <s v="申冬东-固定"/>
    <x v="9"/>
    <x v="11"/>
  </r>
  <r>
    <s v="沈一筹"/>
    <s v="中汇综合管理部"/>
    <s v="V15115版本集成"/>
    <s v="V15115版本集成"/>
    <x v="25"/>
    <m/>
    <x v="2"/>
    <x v="8"/>
    <s v="刁望庆-项目"/>
    <s v="版本线"/>
    <x v="6"/>
    <x v="7"/>
  </r>
  <r>
    <s v="左麟"/>
    <s v="汉朔"/>
    <s v="V153版本集成"/>
    <s v="V153版本集成"/>
    <x v="6"/>
    <m/>
    <x v="0"/>
    <x v="8"/>
    <s v="刁望庆"/>
    <s v="刁望庆-固定"/>
    <x v="2"/>
    <x v="6"/>
  </r>
  <r>
    <s v="李杨"/>
    <s v="金楷泽"/>
    <s v="南向通一期"/>
    <s v="南向通一期"/>
    <x v="14"/>
    <m/>
    <x v="5"/>
    <x v="8"/>
    <s v="刁望庆"/>
    <s v="刁望庆-固定"/>
    <x v="6"/>
    <x v="7"/>
  </r>
  <r>
    <s v="雷阳"/>
    <s v="华腾"/>
    <s v="CDS二期-42"/>
    <s v="CDS二期-42"/>
    <x v="8"/>
    <s v="V160集中测试"/>
    <x v="3"/>
    <x v="6"/>
    <s v="周德乐"/>
    <s v="周德乐-固定"/>
    <x v="2"/>
    <x v="6"/>
  </r>
  <r>
    <s v="徐启峰"/>
    <s v="威擎"/>
    <s v="利率期权二期"/>
    <s v="CDS二期-42"/>
    <x v="8"/>
    <s v="V160版本集成"/>
    <x v="3"/>
    <x v="2"/>
    <s v="张洋弘"/>
    <s v="张洋弘-固定"/>
    <x v="7"/>
    <x v="8"/>
  </r>
  <r>
    <s v="李超01"/>
    <s v="恒天"/>
    <s v="央行报表及衍生品成交优化"/>
    <s v="央行报表及衍生品成交优化"/>
    <x v="10"/>
    <m/>
    <x v="3"/>
    <x v="7"/>
    <s v="李戬"/>
    <s v="李戬-固定"/>
    <x v="6"/>
    <x v="7"/>
  </r>
  <r>
    <s v="李云毅"/>
    <s v="中汇开发一部"/>
    <m/>
    <s v="央行报表及衍生品成交优化"/>
    <x v="10"/>
    <m/>
    <x v="3"/>
    <x v="4"/>
    <s v="刘倩-版本"/>
    <s v="版本线"/>
    <x v="11"/>
    <x v="13"/>
  </r>
  <r>
    <s v="龚伟峰"/>
    <s v="汉朔"/>
    <s v="160周边整合（财政部一期+货债二期)-24"/>
    <s v="160周边整合（财政部一期+货债二期)-24"/>
    <x v="9"/>
    <s v="V160集中测试"/>
    <x v="3"/>
    <x v="4"/>
    <s v="刘倩"/>
    <s v="刘倩-固定"/>
    <x v="11"/>
    <x v="13"/>
  </r>
  <r>
    <s v="姚文心"/>
    <s v="中汇测试部"/>
    <s v="CDS二期-42"/>
    <s v="CDS二期-42"/>
    <x v="8"/>
    <s v="V160版本集成"/>
    <x v="3"/>
    <x v="3"/>
    <s v="顾静洁-版本"/>
    <s v="版本线"/>
    <x v="4"/>
    <x v="4"/>
  </r>
  <r>
    <s v="江云南"/>
    <s v="恒天"/>
    <s v="产假"/>
    <s v="产假"/>
    <x v="18"/>
    <m/>
    <x v="8"/>
    <x v="1"/>
    <s v="郑安如"/>
    <s v="郑安如-固定"/>
    <x v="1"/>
    <x v="9"/>
  </r>
  <r>
    <s v="赵洋洋"/>
    <s v="法本"/>
    <s v="南向通一期"/>
    <s v="南向通一期"/>
    <x v="15"/>
    <m/>
    <x v="6"/>
    <x v="2"/>
    <s v="张洋弘"/>
    <s v="张洋弘-浮动"/>
    <x v="7"/>
    <x v="8"/>
  </r>
  <r>
    <s v="吴金成"/>
    <s v="鼎纪"/>
    <s v="V153集中测试"/>
    <s v="V153集中测试"/>
    <x v="3"/>
    <m/>
    <x v="0"/>
    <x v="4"/>
    <s v="刘倩"/>
    <s v="刘倩-固定"/>
    <x v="11"/>
    <x v="13"/>
  </r>
  <r>
    <s v="朱雪元"/>
    <s v="埃森哲"/>
    <s v="CDS二期-42"/>
    <s v="CDS二期-42"/>
    <x v="8"/>
    <s v="V160版本集成"/>
    <x v="3"/>
    <x v="2"/>
    <s v="张洋弘"/>
    <s v="张洋弘-固定"/>
    <x v="7"/>
    <x v="8"/>
  </r>
  <r>
    <s v="胡庆"/>
    <s v="华腾"/>
    <s v="排错组V151"/>
    <s v="V153集中测试"/>
    <x v="3"/>
    <m/>
    <x v="0"/>
    <x v="9"/>
    <s v="申冬东"/>
    <s v="申冬东-固定"/>
    <x v="9"/>
    <x v="11"/>
  </r>
  <r>
    <s v="陈敏"/>
    <s v="恒天"/>
    <s v="守门员"/>
    <s v="守门员"/>
    <x v="1"/>
    <m/>
    <x v="1"/>
    <x v="4"/>
    <s v="刘倩"/>
    <s v="守门员"/>
    <x v="11"/>
    <x v="13"/>
  </r>
  <r>
    <s v="李佳慧"/>
    <s v="法本"/>
    <s v="160周边整合（财政部一期+货债二期)-24"/>
    <s v="160周边整合（财政部一期+货债二期)-24"/>
    <x v="9"/>
    <m/>
    <x v="3"/>
    <x v="2"/>
    <s v="张洋弘"/>
    <s v="张洋弘-固定"/>
    <x v="7"/>
    <x v="8"/>
  </r>
  <r>
    <s v="胡昊"/>
    <s v="恒天"/>
    <s v="V153版本集成"/>
    <s v="V153版本集成"/>
    <x v="6"/>
    <m/>
    <x v="0"/>
    <x v="6"/>
    <s v="周德乐"/>
    <s v="周德乐-固定"/>
    <x v="2"/>
    <x v="6"/>
  </r>
  <r>
    <s v="陈创"/>
    <s v="塔塔"/>
    <s v="V153版本集成"/>
    <s v="V153版本集成"/>
    <x v="6"/>
    <m/>
    <x v="0"/>
    <x v="2"/>
    <s v="张洋弘"/>
    <s v="张洋弘-固定"/>
    <x v="7"/>
    <x v="8"/>
  </r>
  <r>
    <s v="程刚"/>
    <s v="汉朔"/>
    <s v="V153版本集成"/>
    <s v="V153版本集成"/>
    <x v="6"/>
    <m/>
    <x v="0"/>
    <x v="5"/>
    <s v="版本线"/>
    <s v="版本线"/>
    <x v="2"/>
    <x v="6"/>
  </r>
  <r>
    <s v="范东坤"/>
    <s v="凯道"/>
    <s v="V153验收测试"/>
    <s v="V153验收测试"/>
    <x v="7"/>
    <m/>
    <x v="0"/>
    <x v="4"/>
    <s v="刘倩"/>
    <s v="刘倩-固定"/>
    <x v="11"/>
    <x v="13"/>
  </r>
  <r>
    <s v="邬全友"/>
    <s v="金楷泽"/>
    <s v="计费二期"/>
    <s v="计费二期"/>
    <x v="11"/>
    <s v="V160版本集成-2"/>
    <x v="3"/>
    <x v="7"/>
    <s v="李戬"/>
    <s v="李戬-固定"/>
    <x v="6"/>
    <x v="7"/>
  </r>
  <r>
    <s v="庞苏瑶"/>
    <s v="法本"/>
    <s v="排错组V151"/>
    <s v="排错组V151"/>
    <x v="26"/>
    <m/>
    <x v="12"/>
    <x v="2"/>
    <s v="张洋弘"/>
    <s v="张洋弘-浮动"/>
    <x v="7"/>
    <x v="8"/>
  </r>
  <r>
    <s v="吴燕玉"/>
    <s v="塔塔"/>
    <s v="CDS二期-42"/>
    <s v="CDS二期-42"/>
    <x v="8"/>
    <m/>
    <x v="3"/>
    <x v="8"/>
    <s v="刁望庆"/>
    <s v="刁望庆-浮动"/>
    <x v="6"/>
    <x v="7"/>
  </r>
  <r>
    <s v="吴凯"/>
    <s v="埃森哲"/>
    <m/>
    <m/>
    <x v="17"/>
    <m/>
    <x v="7"/>
    <x v="9"/>
    <s v="申冬东"/>
    <s v="申冬东-固定"/>
    <x v="8"/>
    <x v="10"/>
  </r>
  <r>
    <s v="刘倩"/>
    <s v="中汇开发一部"/>
    <s v="守门员"/>
    <s v="守门员"/>
    <x v="1"/>
    <m/>
    <x v="1"/>
    <x v="4"/>
    <s v="刘倩"/>
    <s v="守门员"/>
    <x v="11"/>
    <x v="13"/>
  </r>
  <r>
    <s v="汪立"/>
    <s v="时溪"/>
    <s v="支持-会员组支持"/>
    <s v="支持-会员组支持"/>
    <x v="27"/>
    <m/>
    <x v="13"/>
    <x v="3"/>
    <s v="顾静洁"/>
    <s v="不计"/>
    <x v="13"/>
    <x v="15"/>
  </r>
  <r>
    <s v="何强"/>
    <s v="凯道"/>
    <s v="支持-会员组支持"/>
    <s v="支持-会员组支持"/>
    <x v="27"/>
    <m/>
    <x v="13"/>
    <x v="3"/>
    <s v="顾静洁"/>
    <s v="不计"/>
    <x v="13"/>
    <x v="15"/>
  </r>
  <r>
    <s v="陈婷玉"/>
    <s v="凯道"/>
    <s v="支持-会员组支持"/>
    <s v="支持-会员组支持"/>
    <x v="27"/>
    <m/>
    <x v="13"/>
    <x v="3"/>
    <s v="顾静洁"/>
    <s v="不计"/>
    <x v="13"/>
    <x v="15"/>
  </r>
  <r>
    <s v="陈玉莲"/>
    <s v="汉朔"/>
    <s v="支持-会员组支持"/>
    <s v="支持-会员组支持"/>
    <x v="27"/>
    <m/>
    <x v="13"/>
    <x v="3"/>
    <s v="顾静洁"/>
    <s v="不计"/>
    <x v="13"/>
    <x v="15"/>
  </r>
  <r>
    <s v="白苗苗"/>
    <s v="恒天"/>
    <s v="支持-会员组支持"/>
    <s v="支持-会员组支持"/>
    <x v="27"/>
    <m/>
    <x v="13"/>
    <x v="3"/>
    <s v="顾静洁"/>
    <s v="不计"/>
    <x v="13"/>
    <x v="15"/>
  </r>
  <r>
    <s v="朱丽娜"/>
    <s v="汉朔"/>
    <s v="支持-QA"/>
    <s v="支持-QA"/>
    <x v="28"/>
    <m/>
    <x v="9"/>
    <x v="3"/>
    <s v="顾静洁"/>
    <s v="版本公共"/>
    <x v="14"/>
    <x v="16"/>
  </r>
  <r>
    <s v="林艳"/>
    <s v="骄洋"/>
    <s v="支持-QA"/>
    <s v="支持-QA"/>
    <x v="28"/>
    <m/>
    <x v="9"/>
    <x v="3"/>
    <s v="顾静洁"/>
    <s v="版本公共"/>
    <x v="14"/>
    <x v="16"/>
  </r>
  <r>
    <s v="陈是杏"/>
    <s v="金楷泽"/>
    <s v="支持-QA"/>
    <s v="支持-QA"/>
    <x v="28"/>
    <m/>
    <x v="9"/>
    <x v="3"/>
    <s v="顾静洁"/>
    <s v="不计"/>
    <x v="15"/>
    <x v="17"/>
  </r>
  <r>
    <s v="杨棚"/>
    <s v="汉朔"/>
    <s v="V153版本集成"/>
    <s v="V153版本集成"/>
    <x v="6"/>
    <m/>
    <x v="0"/>
    <x v="6"/>
    <s v="周德乐"/>
    <s v="周德乐-固定"/>
    <x v="6"/>
    <x v="7"/>
  </r>
  <r>
    <s v="马海洋"/>
    <s v="金楷泽"/>
    <s v="排错组V151"/>
    <s v="排错组V151"/>
    <x v="26"/>
    <m/>
    <x v="12"/>
    <x v="8"/>
    <s v="刁望庆"/>
    <s v="刁望庆-固定"/>
    <x v="2"/>
    <x v="6"/>
  </r>
  <r>
    <s v="张猛"/>
    <s v="鼎纪"/>
    <s v="V153验收测试"/>
    <s v="V153验收测试"/>
    <x v="7"/>
    <m/>
    <x v="0"/>
    <x v="4"/>
    <s v="刘倩"/>
    <s v="刘倩-固定"/>
    <x v="11"/>
    <x v="13"/>
  </r>
  <r>
    <s v="潘成中"/>
    <s v="汉朔"/>
    <s v="V153生产数据比对"/>
    <s v="V153生产数据比对"/>
    <x v="29"/>
    <m/>
    <x v="0"/>
    <x v="7"/>
    <s v="李戬"/>
    <s v="李戬-固定"/>
    <x v="2"/>
    <x v="6"/>
  </r>
  <r>
    <s v="孙士惠"/>
    <s v="埃森哲"/>
    <s v="计费改造及监测-45"/>
    <s v="计费二期"/>
    <x v="11"/>
    <s v="V160集中测试"/>
    <x v="3"/>
    <x v="3"/>
    <s v="顾静洁"/>
    <s v="守门员"/>
    <x v="4"/>
    <x v="4"/>
  </r>
  <r>
    <s v="张政尧"/>
    <s v="汉朔"/>
    <s v="CDS二期-42"/>
    <s v="CDS二期-42"/>
    <x v="8"/>
    <s v="V160版本集成"/>
    <x v="3"/>
    <x v="8"/>
    <s v="刁望庆"/>
    <s v="刁望庆-固定"/>
    <x v="2"/>
    <x v="6"/>
  </r>
  <r>
    <s v="杨光"/>
    <s v="鼎纪"/>
    <s v="离场"/>
    <s v="离场"/>
    <x v="15"/>
    <m/>
    <x v="6"/>
    <x v="10"/>
    <s v="徐慧鹏"/>
    <s v="徐慧鹏-验收-浮动"/>
    <x v="16"/>
    <x v="18"/>
  </r>
  <r>
    <s v="王帅帅"/>
    <s v="鼎纪"/>
    <s v="利率期权二期"/>
    <s v="利率期权三期"/>
    <x v="13"/>
    <s v="V160验收用例/验收测试"/>
    <x v="3"/>
    <x v="4"/>
    <s v="刘倩"/>
    <s v="刘倩-验收-固定"/>
    <x v="5"/>
    <x v="5"/>
  </r>
  <r>
    <s v="涂瑞强"/>
    <s v="鼎纪"/>
    <s v="离场"/>
    <s v="离场"/>
    <x v="15"/>
    <m/>
    <x v="6"/>
    <x v="10"/>
    <s v="徐慧鹏"/>
    <s v="徐慧鹏-固定"/>
    <x v="10"/>
    <x v="12"/>
  </r>
  <r>
    <s v="翟青华01"/>
    <s v="鼎纪"/>
    <s v="V153验收测试"/>
    <s v="V153验收测试"/>
    <x v="7"/>
    <m/>
    <x v="0"/>
    <x v="3"/>
    <s v="顾静洁"/>
    <s v="顾静洁-验收-固定"/>
    <x v="17"/>
    <x v="19"/>
  </r>
  <r>
    <s v="陈海若"/>
    <s v="恒天"/>
    <s v="V153集中测试"/>
    <s v="V153集中测试"/>
    <x v="3"/>
    <m/>
    <x v="0"/>
    <x v="4"/>
    <s v="刘倩"/>
    <s v="刘倩-验收-固定"/>
    <x v="5"/>
    <x v="5"/>
  </r>
  <r>
    <s v="王德成"/>
    <s v="凯道"/>
    <s v="数据分析"/>
    <s v="数据分析"/>
    <x v="24"/>
    <m/>
    <x v="11"/>
    <x v="11"/>
    <s v="吕欣冉"/>
    <s v="吕欣冉-验收-固定"/>
    <x v="18"/>
    <x v="20"/>
  </r>
  <r>
    <s v="段杰"/>
    <s v="凯道"/>
    <s v="V15115验收测试"/>
    <s v="V15115验收测试"/>
    <x v="10"/>
    <s v="V160验收用例/验收测试"/>
    <x v="3"/>
    <x v="10"/>
    <s v="徐慧鹏"/>
    <s v="徐慧鹏-验收-固定"/>
    <x v="16"/>
    <x v="18"/>
  </r>
  <r>
    <s v="马岩01"/>
    <s v="凯道"/>
    <s v="160周边整合（财政部一期+货债二期)-24"/>
    <s v="160周边整合（财政部一期+货债二期)-24"/>
    <x v="9"/>
    <s v="V160验收用例/验收测试"/>
    <x v="3"/>
    <x v="3"/>
    <s v="顾静洁"/>
    <s v="顾静洁-验收-固定"/>
    <x v="17"/>
    <x v="19"/>
  </r>
  <r>
    <s v="麻昆仑"/>
    <s v="凯道"/>
    <s v="V153验收测试"/>
    <s v="V153验收测试"/>
    <x v="7"/>
    <m/>
    <x v="0"/>
    <x v="4"/>
    <s v="刘倩"/>
    <s v="刘倩-验收-固定"/>
    <x v="5"/>
    <x v="5"/>
  </r>
  <r>
    <s v="张园园01"/>
    <s v="凯道"/>
    <s v="离场"/>
    <s v="离场"/>
    <x v="15"/>
    <m/>
    <x v="6"/>
    <x v="3"/>
    <s v="顾静洁"/>
    <s v="顾静洁-验收-固定"/>
    <x v="17"/>
    <x v="19"/>
  </r>
  <r>
    <s v="谈思琼"/>
    <s v="凯道"/>
    <s v="离场"/>
    <s v="离场"/>
    <x v="15"/>
    <m/>
    <x v="6"/>
    <x v="1"/>
    <s v="郑安如"/>
    <s v="郑安如-验收-浮动"/>
    <x v="3"/>
    <x v="3"/>
  </r>
  <r>
    <s v="胡子龙"/>
    <s v="凯道"/>
    <s v="离场"/>
    <s v="离场"/>
    <x v="15"/>
    <m/>
    <x v="6"/>
    <x v="10"/>
    <s v="徐慧鹏"/>
    <s v="徐慧鹏-验收-固定"/>
    <x v="16"/>
    <x v="18"/>
  </r>
  <r>
    <s v="伍丽萍"/>
    <s v="凯道"/>
    <s v="离场"/>
    <s v="离场"/>
    <x v="15"/>
    <m/>
    <x v="6"/>
    <x v="1"/>
    <s v="郑安如"/>
    <s v="郑安如-验收-浮动"/>
    <x v="3"/>
    <x v="3"/>
  </r>
  <r>
    <s v="苏鹏飞02"/>
    <s v="凯道"/>
    <s v="V153验收测试"/>
    <s v="V153验收测试"/>
    <x v="7"/>
    <m/>
    <x v="0"/>
    <x v="11"/>
    <s v="吕欣冉"/>
    <s v="吕欣冉-验收-固定"/>
    <x v="18"/>
    <x v="20"/>
  </r>
  <r>
    <s v="沈辉"/>
    <s v="凯道"/>
    <s v="离场"/>
    <s v="离场"/>
    <x v="15"/>
    <m/>
    <x v="6"/>
    <x v="10"/>
    <s v="徐慧鹏"/>
    <s v="徐慧鹏-验收-浮动"/>
    <x v="16"/>
    <x v="18"/>
  </r>
  <r>
    <s v="于自尚"/>
    <s v="凯道"/>
    <s v="V151南向通验收测试"/>
    <s v="南向通验收测试"/>
    <x v="20"/>
    <m/>
    <x v="5"/>
    <x v="1"/>
    <s v="郑安如"/>
    <s v="郑安如-验收-固定"/>
    <x v="3"/>
    <x v="3"/>
  </r>
  <r>
    <s v="张政生"/>
    <s v="凯道"/>
    <s v="离场"/>
    <s v="离场"/>
    <x v="15"/>
    <m/>
    <x v="6"/>
    <x v="3"/>
    <s v="顾静洁"/>
    <s v="顾静洁-验收-浮动"/>
    <x v="17"/>
    <x v="19"/>
  </r>
  <r>
    <s v="石豪"/>
    <s v="凯道"/>
    <m/>
    <s v="南向通验收测试"/>
    <x v="20"/>
    <m/>
    <x v="5"/>
    <x v="1"/>
    <s v="郑安如"/>
    <s v="郑安如-验收-固定"/>
    <x v="3"/>
    <x v="3"/>
  </r>
  <r>
    <s v="张文科"/>
    <s v="凯道"/>
    <s v="离场"/>
    <s v="离场"/>
    <x v="15"/>
    <m/>
    <x v="6"/>
    <x v="4"/>
    <s v="刘倩"/>
    <s v="刘倩-验收-浮动"/>
    <x v="5"/>
    <x v="5"/>
  </r>
  <r>
    <s v="周玮"/>
    <s v="凯道"/>
    <s v="CDS二期-42"/>
    <s v="CDS二期-42"/>
    <x v="8"/>
    <s v="V160验收用例/验收测试"/>
    <x v="3"/>
    <x v="1"/>
    <s v="郑安如"/>
    <s v="郑安如-验收-固定"/>
    <x v="3"/>
    <x v="3"/>
  </r>
  <r>
    <s v="田明明"/>
    <s v="凯道"/>
    <s v="V153验收测试"/>
    <s v="V153验收测试"/>
    <x v="7"/>
    <m/>
    <x v="0"/>
    <x v="10"/>
    <s v="徐慧鹏"/>
    <s v="徐慧鹏-验收-固定"/>
    <x v="16"/>
    <x v="18"/>
  </r>
  <r>
    <s v="戚澎建"/>
    <s v="凯道"/>
    <s v="南向通一期"/>
    <s v="南向通验收测试"/>
    <x v="20"/>
    <s v="V160验收用例/验收测试"/>
    <x v="5"/>
    <x v="3"/>
    <s v="顾静洁"/>
    <s v="顾静洁-验收-固定"/>
    <x v="17"/>
    <x v="19"/>
  </r>
  <r>
    <s v="朱坤坤"/>
    <s v="凯道"/>
    <s v="婚假-&gt;央行报表"/>
    <s v="央行报表及衍生品成交优化"/>
    <x v="10"/>
    <s v="V160验收用例/验收测试"/>
    <x v="3"/>
    <x v="11"/>
    <s v="吕欣冉"/>
    <s v="吕欣冉-验收-固定"/>
    <x v="18"/>
    <x v="20"/>
  </r>
  <r>
    <s v="敖恒"/>
    <s v="凯道"/>
    <s v="V151南向通验收测试"/>
    <s v="南向通验收测试"/>
    <x v="20"/>
    <m/>
    <x v="5"/>
    <x v="1"/>
    <s v="郑安如"/>
    <s v="郑安如-验收-固定"/>
    <x v="3"/>
    <x v="3"/>
  </r>
  <r>
    <s v="张丽"/>
    <s v="凯道"/>
    <s v="V15115验收测试"/>
    <s v="V15115验收测试"/>
    <x v="30"/>
    <s v="V160验收用例/验收测试"/>
    <x v="5"/>
    <x v="10"/>
    <s v="徐慧鹏"/>
    <s v="徐慧鹏-验收-固定"/>
    <x v="16"/>
    <x v="18"/>
  </r>
  <r>
    <s v="姜宇亮"/>
    <s v="鼎纪"/>
    <s v="计费二期"/>
    <s v="计费二期"/>
    <x v="11"/>
    <s v="V160验收用例/验收测试"/>
    <x v="3"/>
    <x v="11"/>
    <s v="吕欣冉"/>
    <s v="吕欣冉-验收-固定"/>
    <x v="18"/>
    <x v="20"/>
  </r>
  <r>
    <s v="石少帅"/>
    <s v="凯道"/>
    <s v="V153验收测试"/>
    <s v="V153验收测试"/>
    <x v="7"/>
    <m/>
    <x v="0"/>
    <x v="3"/>
    <s v="顾静洁"/>
    <s v="顾静洁-验收-固定"/>
    <x v="17"/>
    <x v="19"/>
  </r>
  <r>
    <s v="谭明贵"/>
    <s v="凯道"/>
    <s v="V15115验收测试"/>
    <s v="V15115验收测试"/>
    <x v="16"/>
    <s v="V160验收用例/验收测试"/>
    <x v="3"/>
    <x v="4"/>
    <s v="刘倩"/>
    <s v="刘倩-验收-固定"/>
    <x v="5"/>
    <x v="5"/>
  </r>
  <r>
    <s v="夏磊"/>
    <s v="凯道"/>
    <s v="V153集中测试"/>
    <s v="V153集中测试"/>
    <x v="3"/>
    <m/>
    <x v="0"/>
    <x v="3"/>
    <s v="顾静洁"/>
    <s v="顾静洁-固定"/>
    <x v="4"/>
    <x v="4"/>
  </r>
  <r>
    <s v="郭龙梅"/>
    <s v="凯道"/>
    <s v="V153集中测试"/>
    <s v="V153集中测试"/>
    <x v="3"/>
    <m/>
    <x v="0"/>
    <x v="1"/>
    <s v="郑安如"/>
    <s v="郑安如-验收-固定"/>
    <x v="3"/>
    <x v="3"/>
  </r>
  <r>
    <s v="王莉"/>
    <s v="凯道"/>
    <s v="V151南向通集中测试"/>
    <s v="南向通集中测试"/>
    <x v="30"/>
    <m/>
    <x v="5"/>
    <x v="1"/>
    <s v="郑安如"/>
    <s v="郑安如-验收-固定"/>
    <x v="3"/>
    <x v="3"/>
  </r>
  <r>
    <s v="黄鹏"/>
    <s v="埃森哲"/>
    <s v="离场"/>
    <s v="离场"/>
    <x v="15"/>
    <m/>
    <x v="6"/>
    <x v="12"/>
    <s v="陈启明"/>
    <s v="版本公共-浮动"/>
    <x v="19"/>
    <x v="21"/>
  </r>
  <r>
    <s v="祁万"/>
    <s v="华腾"/>
    <s v="离场"/>
    <s v="离场"/>
    <x v="15"/>
    <m/>
    <x v="6"/>
    <x v="12"/>
    <s v="陈启明"/>
    <s v="版本公共"/>
    <x v="20"/>
    <x v="21"/>
  </r>
  <r>
    <s v="周隽"/>
    <s v="塔塔"/>
    <s v="守门员"/>
    <s v="守门员"/>
    <x v="1"/>
    <m/>
    <x v="1"/>
    <x v="12"/>
    <s v="陈启明"/>
    <s v="陈启明-固定"/>
    <x v="2"/>
    <x v="6"/>
  </r>
  <r>
    <s v="郑朝云"/>
    <s v="法本"/>
    <s v="配置管理"/>
    <s v="配置管理"/>
    <x v="31"/>
    <m/>
    <x v="14"/>
    <x v="12"/>
    <s v="陈启明"/>
    <s v="版本公共"/>
    <x v="19"/>
    <x v="22"/>
  </r>
  <r>
    <s v="郑成强"/>
    <s v="恒天"/>
    <s v="CRMW+FRA"/>
    <s v="央行报表及衍生品成交优化"/>
    <x v="10"/>
    <m/>
    <x v="3"/>
    <x v="8"/>
    <s v="刁望庆"/>
    <s v="刁望庆-固定"/>
    <x v="2"/>
    <x v="6"/>
  </r>
  <r>
    <s v="张晓"/>
    <s v="法本"/>
    <s v="守门员"/>
    <s v="守门员"/>
    <x v="1"/>
    <m/>
    <x v="1"/>
    <x v="12"/>
    <s v="陈启明"/>
    <s v="守门员"/>
    <x v="2"/>
    <x v="6"/>
  </r>
  <r>
    <s v="王骥"/>
    <s v="恒天"/>
    <s v="离场"/>
    <s v="离场"/>
    <x v="15"/>
    <m/>
    <x v="6"/>
    <x v="12"/>
    <s v="陈启明"/>
    <s v="陈启明-浮动"/>
    <x v="2"/>
    <x v="6"/>
  </r>
  <r>
    <s v="田佳乐"/>
    <s v="恒天"/>
    <s v="南向通一期"/>
    <s v="南向通一期"/>
    <x v="17"/>
    <m/>
    <x v="7"/>
    <x v="12"/>
    <s v="陈启明"/>
    <s v="陈启明-固定"/>
    <x v="2"/>
    <x v="6"/>
  </r>
  <r>
    <s v="施迁"/>
    <s v="塔塔"/>
    <s v="离场"/>
    <s v="离场"/>
    <x v="15"/>
    <m/>
    <x v="6"/>
    <x v="12"/>
    <s v="陈启明"/>
    <s v="版本公共"/>
    <x v="19"/>
    <x v="22"/>
  </r>
  <r>
    <s v="刘敏"/>
    <s v="恒天"/>
    <s v="离场"/>
    <s v="离场"/>
    <x v="15"/>
    <m/>
    <x v="6"/>
    <x v="4"/>
    <s v="刘倩"/>
    <s v="刘倩-固定"/>
    <x v="11"/>
    <x v="13"/>
  </r>
  <r>
    <s v="刘春平"/>
    <s v="中汇测试部"/>
    <s v="集成配置-运维"/>
    <s v="集成配置-运维"/>
    <x v="32"/>
    <m/>
    <x v="14"/>
    <x v="12"/>
    <s v="陈启明"/>
    <s v="版本公共-浮动"/>
    <x v="19"/>
    <x v="22"/>
  </r>
  <r>
    <s v="梁艺淞"/>
    <s v="骄洋"/>
    <s v="集成配置-Devops平台开发"/>
    <s v="集成配置-Devops平台开发"/>
    <x v="33"/>
    <m/>
    <x v="14"/>
    <x v="12"/>
    <s v="陈启明"/>
    <s v="版本公共"/>
    <x v="19"/>
    <x v="22"/>
  </r>
  <r>
    <s v="李艺楠"/>
    <s v="恒天"/>
    <s v="南向通一期"/>
    <s v="南向通一期"/>
    <x v="19"/>
    <m/>
    <x v="5"/>
    <x v="12"/>
    <s v="陈启明"/>
    <s v="陈启明-固定"/>
    <x v="2"/>
    <x v="6"/>
  </r>
  <r>
    <s v="郭文浩"/>
    <s v="塔塔"/>
    <s v="CRMW+FRA"/>
    <s v="央行报表及衍生品成交优化"/>
    <x v="10"/>
    <m/>
    <x v="3"/>
    <x v="12"/>
    <s v="陈启明"/>
    <s v="陈启明-固定"/>
    <x v="2"/>
    <x v="6"/>
  </r>
  <r>
    <s v="董炎彦"/>
    <s v="中汇开发一部"/>
    <m/>
    <s v="V153全量包准备"/>
    <x v="23"/>
    <m/>
    <x v="10"/>
    <x v="12"/>
    <s v="陈启明"/>
    <s v="版本线"/>
    <x v="19"/>
    <x v="22"/>
  </r>
  <r>
    <s v="陈昊"/>
    <s v="华腾"/>
    <s v="集成配置-Devops平台开发"/>
    <s v="集成配置-Devops平台开发"/>
    <x v="33"/>
    <m/>
    <x v="14"/>
    <x v="12"/>
    <s v="陈启明"/>
    <s v="版本公共"/>
    <x v="19"/>
    <x v="22"/>
  </r>
  <r>
    <s v="李科"/>
    <s v="骄洋"/>
    <s v="配置管理"/>
    <s v="配置管理"/>
    <x v="31"/>
    <m/>
    <x v="14"/>
    <x v="12"/>
    <s v="陈启明"/>
    <s v="版本公共"/>
    <x v="19"/>
    <x v="22"/>
  </r>
  <r>
    <s v="陈启明"/>
    <s v="中汇开发一部"/>
    <s v="守门员"/>
    <s v="守门员"/>
    <x v="1"/>
    <m/>
    <x v="1"/>
    <x v="12"/>
    <s v="陈启明"/>
    <s v="守门员"/>
    <x v="19"/>
    <x v="22"/>
  </r>
  <r>
    <s v="陈九辉"/>
    <s v="骄洋"/>
    <s v="南向通一期"/>
    <s v="南向通一期"/>
    <x v="19"/>
    <m/>
    <x v="5"/>
    <x v="12"/>
    <s v="陈启明"/>
    <s v="陈启明-固定"/>
    <x v="2"/>
    <x v="6"/>
  </r>
  <r>
    <s v="陈鹤"/>
    <s v="中汇开发一部"/>
    <s v="计费改造及监测-45-&gt;V153版本集成"/>
    <s v="V153版本集成"/>
    <x v="6"/>
    <m/>
    <x v="0"/>
    <x v="7"/>
    <s v="李戬"/>
    <s v="版本线"/>
    <x v="2"/>
    <x v="6"/>
  </r>
  <r>
    <s v="王寅森"/>
    <s v="凯道"/>
    <s v="南向通一期"/>
    <s v="南向通验收测试"/>
    <x v="20"/>
    <s v="V160集中测试"/>
    <x v="5"/>
    <x v="10"/>
    <s v="徐慧鹏"/>
    <s v="徐慧鹏-固定"/>
    <x v="10"/>
    <x v="12"/>
  </r>
  <r>
    <s v="曹泽恒"/>
    <s v="法本"/>
    <s v="集成配置-运维"/>
    <s v="集成配置-运维"/>
    <x v="32"/>
    <m/>
    <x v="14"/>
    <x v="12"/>
    <s v="陈启明"/>
    <s v="版本公共"/>
    <x v="20"/>
    <x v="21"/>
  </r>
  <r>
    <s v="付家然"/>
    <s v="恒天"/>
    <s v="离场"/>
    <s v="离场"/>
    <x v="15"/>
    <m/>
    <x v="6"/>
    <x v="1"/>
    <s v="郑安如"/>
    <s v="郑安如-固定"/>
    <x v="1"/>
    <x v="9"/>
  </r>
  <r>
    <s v="许贻豪"/>
    <s v="骄洋"/>
    <s v="集成配置-运维"/>
    <s v="集成配置-运维"/>
    <x v="32"/>
    <m/>
    <x v="14"/>
    <x v="12"/>
    <s v="陈启明"/>
    <s v="版本公共"/>
    <x v="19"/>
    <x v="22"/>
  </r>
  <r>
    <s v="谢桂锋"/>
    <s v="法本"/>
    <s v="配置管理"/>
    <s v="配置管理"/>
    <x v="31"/>
    <m/>
    <x v="14"/>
    <x v="12"/>
    <s v="陈启明"/>
    <s v="版本公共"/>
    <x v="19"/>
    <x v="22"/>
  </r>
  <r>
    <s v="金武顺"/>
    <s v="汉朔"/>
    <s v="排错组V151"/>
    <s v="排错组V151"/>
    <x v="26"/>
    <m/>
    <x v="12"/>
    <x v="12"/>
    <s v="陈启明-版本"/>
    <s v="版本公共"/>
    <x v="2"/>
    <x v="6"/>
  </r>
  <r>
    <s v="陈若来"/>
    <s v="汉朔"/>
    <s v="排错组V151"/>
    <s v="排错组V151"/>
    <x v="26"/>
    <m/>
    <x v="12"/>
    <x v="12"/>
    <s v="陈启明-版本"/>
    <s v="版本公共-浮动"/>
    <x v="2"/>
    <x v="6"/>
  </r>
  <r>
    <s v="谢经兵"/>
    <s v="汉朔"/>
    <s v="数据分析"/>
    <s v="数据分析"/>
    <x v="24"/>
    <m/>
    <x v="11"/>
    <x v="11"/>
    <s v="吕欣冉"/>
    <s v="吕欣冉-固定"/>
    <x v="12"/>
    <x v="14"/>
  </r>
  <r>
    <s v="胡祖思"/>
    <s v="凯道"/>
    <s v="V153验收用例"/>
    <s v="V153验收测试"/>
    <x v="15"/>
    <m/>
    <x v="6"/>
    <x v="10"/>
    <s v="徐慧鹏"/>
    <s v="徐慧鹏-验收-固定"/>
    <x v="16"/>
    <x v="18"/>
  </r>
  <r>
    <s v="于俊涛"/>
    <s v="法本"/>
    <s v="V153生产数据比对"/>
    <s v="V153生产数据比对"/>
    <x v="29"/>
    <m/>
    <x v="0"/>
    <x v="6"/>
    <s v="周德乐"/>
    <s v="周德乐-固定"/>
    <x v="2"/>
    <x v="6"/>
  </r>
  <r>
    <s v="董莹莹"/>
    <s v="鼎纪"/>
    <s v="南向通一期"/>
    <s v="南向通一期"/>
    <x v="14"/>
    <m/>
    <x v="5"/>
    <x v="10"/>
    <s v="徐慧鹏"/>
    <s v="徐慧鹏-固定"/>
    <x v="10"/>
    <x v="12"/>
  </r>
  <r>
    <s v="夏淑文"/>
    <s v="鼎纪"/>
    <s v="利率期权二期"/>
    <s v="利率期权三期"/>
    <x v="13"/>
    <s v="V160验收用例/验收测试"/>
    <x v="3"/>
    <x v="4"/>
    <s v="刘倩"/>
    <s v="刘倩-验收-固定"/>
    <x v="5"/>
    <x v="5"/>
  </r>
  <r>
    <s v="陆云帆"/>
    <s v="金楷泽"/>
    <m/>
    <m/>
    <x v="17"/>
    <m/>
    <x v="7"/>
    <x v="7"/>
    <s v="李戬"/>
    <s v="李戬-固定"/>
    <x v="12"/>
    <x v="14"/>
  </r>
  <r>
    <s v="卢朝立"/>
    <s v="金楷泽"/>
    <s v="CRMW+FRA"/>
    <s v="央行报表及衍生品成交优化"/>
    <x v="10"/>
    <m/>
    <x v="3"/>
    <x v="8"/>
    <s v="刁望庆"/>
    <s v="刁望庆-固定"/>
    <x v="2"/>
    <x v="6"/>
  </r>
  <r>
    <s v="沈迪"/>
    <s v="鼎纪"/>
    <s v="160周边整合（财政部一期+货债二期)-24"/>
    <s v="160周边整合（财政部一期+货债二期)-24"/>
    <x v="9"/>
    <m/>
    <x v="3"/>
    <x v="10"/>
    <s v="徐慧鹏"/>
    <s v="徐慧鹏-验收-固定"/>
    <x v="16"/>
    <x v="18"/>
  </r>
  <r>
    <s v="冒文影"/>
    <s v="鼎纪"/>
    <s v="CRMW+FRA"/>
    <s v="央行报表及衍生品成交优化"/>
    <x v="10"/>
    <s v="V160验收用例/验收测试"/>
    <x v="3"/>
    <x v="1"/>
    <s v="郑安如"/>
    <s v="郑安如-固定"/>
    <x v="1"/>
    <x v="9"/>
  </r>
  <r>
    <s v="王睿杰"/>
    <s v="埃森哲"/>
    <s v="CDS二期-42"/>
    <s v="CDS二期-42"/>
    <x v="8"/>
    <s v="V160集中测试"/>
    <x v="3"/>
    <x v="1"/>
    <s v="郑安如"/>
    <s v="郑安如-固定"/>
    <x v="1"/>
    <x v="9"/>
  </r>
  <r>
    <s v="孙栩"/>
    <s v="骄洋"/>
    <s v="V153验收测试"/>
    <s v="V153验收测试"/>
    <x v="7"/>
    <m/>
    <x v="0"/>
    <x v="4"/>
    <s v="刘倩"/>
    <s v="刘倩-固定"/>
    <x v="11"/>
    <x v="13"/>
  </r>
  <r>
    <s v="钟建强"/>
    <s v="法本"/>
    <s v="排错组V151"/>
    <s v="排错组V151"/>
    <x v="26"/>
    <m/>
    <x v="12"/>
    <x v="6"/>
    <s v="周德乐"/>
    <s v="周德乐-固定"/>
    <x v="21"/>
    <x v="23"/>
  </r>
  <r>
    <s v="郭方丽"/>
    <s v="汉朔"/>
    <s v="计费改造及监测-45-&gt;V153验收测试"/>
    <s v="V153验收测试"/>
    <x v="7"/>
    <m/>
    <x v="0"/>
    <x v="11"/>
    <s v="吕欣冉"/>
    <s v="吕欣冉-固定"/>
    <x v="12"/>
    <x v="14"/>
  </r>
  <r>
    <s v="陈小芬"/>
    <s v="向普"/>
    <s v="V153验收用例"/>
    <s v="V153验收测试"/>
    <x v="7"/>
    <m/>
    <x v="0"/>
    <x v="11"/>
    <s v="吕欣冉"/>
    <s v="吕欣冉-固定"/>
    <x v="12"/>
    <x v="14"/>
  </r>
  <r>
    <s v="邴文静"/>
    <s v="汉朔"/>
    <s v="V153集中测试"/>
    <s v="V153集中测试"/>
    <x v="3"/>
    <m/>
    <x v="0"/>
    <x v="3"/>
    <s v="顾静洁"/>
    <s v="顾静洁-固定"/>
    <x v="4"/>
    <x v="4"/>
  </r>
  <r>
    <s v="杨得源"/>
    <s v="汉朔"/>
    <s v="计费改造及监测-45-&gt;V153验收测试"/>
    <s v="V153验收测试"/>
    <x v="7"/>
    <m/>
    <x v="0"/>
    <x v="3"/>
    <s v="顾静洁"/>
    <s v="顾静洁-验收-浮动"/>
    <x v="17"/>
    <x v="19"/>
  </r>
  <r>
    <s v="曾祥龙"/>
    <s v="法本"/>
    <m/>
    <m/>
    <x v="17"/>
    <m/>
    <x v="3"/>
    <x v="12"/>
    <s v="陈启明"/>
    <s v="陈启明-浮动"/>
    <x v="2"/>
    <x v="6"/>
  </r>
  <r>
    <s v="费厚壮"/>
    <s v="汉朔"/>
    <s v="清算所联测"/>
    <s v="V153集中测试-清算所联测"/>
    <x v="7"/>
    <m/>
    <x v="0"/>
    <x v="10"/>
    <s v="徐慧鹏"/>
    <s v="徐慧鹏-验收-固定"/>
    <x v="16"/>
    <x v="18"/>
  </r>
  <r>
    <s v="金星航"/>
    <s v="恒天"/>
    <s v="V15115版本集成"/>
    <s v="V15115版本集成"/>
    <x v="17"/>
    <m/>
    <x v="7"/>
    <x v="12"/>
    <s v="陈启明"/>
    <s v="陈启明-浮动"/>
    <x v="2"/>
    <x v="6"/>
  </r>
  <r>
    <s v="尤伟"/>
    <s v="汉朔"/>
    <s v="计费改造及监测-45"/>
    <s v="计费改造及监测-45"/>
    <x v="17"/>
    <m/>
    <x v="7"/>
    <x v="6"/>
    <s v="周德乐"/>
    <s v="周德乐-浮动"/>
    <x v="2"/>
    <x v="6"/>
  </r>
  <r>
    <s v="张建山"/>
    <s v="鼎纪"/>
    <s v="CRMW+FRA"/>
    <s v="CRMW+FRA"/>
    <x v="30"/>
    <m/>
    <x v="5"/>
    <x v="3"/>
    <s v="顾静洁"/>
    <s v="顾静洁-固定"/>
    <x v="4"/>
    <x v="4"/>
  </r>
  <r>
    <s v="丁金灵"/>
    <s v="汉朔"/>
    <s v="数据分析"/>
    <s v="数据分析"/>
    <x v="24"/>
    <m/>
    <x v="11"/>
    <x v="11"/>
    <s v="吕欣冉"/>
    <s v="顾静洁-验收-固定"/>
    <x v="17"/>
    <x v="19"/>
  </r>
  <r>
    <s v="胡健"/>
    <s v="埃森哲"/>
    <s v="UX设计"/>
    <s v="UX设计"/>
    <x v="21"/>
    <m/>
    <x v="9"/>
    <x v="3"/>
    <s v="顾静洁"/>
    <s v="版本公共-UIUX-浮动"/>
    <x v="4"/>
    <x v="4"/>
  </r>
  <r>
    <s v="姜涛"/>
    <s v="恒天"/>
    <s v="南向通一期"/>
    <s v="南向通一期"/>
    <x v="17"/>
    <m/>
    <x v="7"/>
    <x v="12"/>
    <s v="陈启明"/>
    <s v="陈启明-浮动"/>
    <x v="2"/>
    <x v="6"/>
  </r>
  <r>
    <s v="蔡聪"/>
    <s v="汉朔"/>
    <s v="V153集中测试"/>
    <s v="V153集中测试"/>
    <x v="3"/>
    <m/>
    <x v="0"/>
    <x v="1"/>
    <s v="郑安如"/>
    <s v="郑安如-验收-浮动"/>
    <x v="3"/>
    <x v="3"/>
  </r>
  <r>
    <s v="胡佳莹"/>
    <s v="鼎纪"/>
    <s v="V153验收测试"/>
    <s v="V153验收测试"/>
    <x v="7"/>
    <m/>
    <x v="0"/>
    <x v="10"/>
    <s v="徐慧鹏"/>
    <s v="徐慧鹏-验收-浮动"/>
    <x v="16"/>
    <x v="18"/>
  </r>
  <r>
    <s v="张帅"/>
    <s v="鼎纪"/>
    <m/>
    <m/>
    <x v="17"/>
    <s v="V160集中测试"/>
    <x v="3"/>
    <x v="4"/>
    <s v="刘倩"/>
    <s v="刘倩-验收-浮动"/>
    <x v="5"/>
    <x v="5"/>
  </r>
  <r>
    <s v="李昂"/>
    <s v="塔塔"/>
    <s v="数据分析"/>
    <s v="数据分析"/>
    <x v="24"/>
    <m/>
    <x v="11"/>
    <x v="11"/>
    <s v="吕欣冉"/>
    <s v="吕欣冉-浮动"/>
    <x v="12"/>
    <x v="14"/>
  </r>
  <r>
    <s v="李双"/>
    <s v="鼎纪"/>
    <s v="V153集中测试"/>
    <s v="V153集中测试"/>
    <x v="3"/>
    <m/>
    <x v="0"/>
    <x v="1"/>
    <s v="郑安如"/>
    <s v="郑安如-固定"/>
    <x v="1"/>
    <x v="9"/>
  </r>
  <r>
    <s v="李亚军"/>
    <s v="汉朔"/>
    <s v="V153集中测试"/>
    <s v="V153集中测试"/>
    <x v="3"/>
    <m/>
    <x v="0"/>
    <x v="10"/>
    <s v="徐慧鹏"/>
    <s v="徐慧鹏-验收-浮动"/>
    <x v="16"/>
    <x v="18"/>
  </r>
  <r>
    <s v="蔡天珩"/>
    <s v="汉朔"/>
    <s v="胡彪"/>
    <s v="胡彪"/>
    <x v="30"/>
    <s v="V160集中测试"/>
    <x v="5"/>
    <x v="1"/>
    <s v="郑安如"/>
    <s v="郑安如-验收-浮动"/>
    <x v="3"/>
    <x v="3"/>
  </r>
  <r>
    <s v="刘志顺"/>
    <s v="量投"/>
    <s v="计费改造及监测-45"/>
    <s v="计费改造及监测-45"/>
    <x v="17"/>
    <m/>
    <x v="7"/>
    <x v="7"/>
    <s v="李戬"/>
    <m/>
    <x v="2"/>
    <x v="6"/>
  </r>
  <r>
    <s v="勇泽康"/>
    <s v="金楷泽"/>
    <s v="周功平"/>
    <s v="周功平"/>
    <x v="29"/>
    <m/>
    <x v="0"/>
    <x v="6"/>
    <s v="周德乐"/>
    <s v="周德乐-浮动"/>
    <x v="2"/>
    <x v="6"/>
  </r>
  <r>
    <s v="桑强"/>
    <s v="金楷泽"/>
    <s v="马燕飞"/>
    <s v="马燕飞"/>
    <x v="17"/>
    <m/>
    <x v="7"/>
    <x v="8"/>
    <s v="刁望庆"/>
    <s v="刁望庆-浮动"/>
    <x v="2"/>
    <x v="6"/>
  </r>
  <r>
    <s v="焦震"/>
    <s v="中科金财"/>
    <s v="方润东"/>
    <s v="方润东"/>
    <x v="17"/>
    <m/>
    <x v="7"/>
    <x v="6"/>
    <s v="周德乐"/>
    <s v="周德乐-浮动"/>
    <x v="2"/>
    <x v="6"/>
  </r>
  <r>
    <s v="张珍珍"/>
    <s v="汉朔"/>
    <s v="周玮"/>
    <s v="周玮"/>
    <x v="17"/>
    <s v="V160验收用例/验收测试"/>
    <x v="3"/>
    <x v="1"/>
    <s v="郑安如"/>
    <s v="郑安如-验收-浮动"/>
    <x v="3"/>
    <x v="3"/>
  </r>
  <r>
    <s v="马冰洁"/>
    <s v="鼎纪"/>
    <s v="段杰+魏亚男"/>
    <s v="段杰+魏亚男"/>
    <x v="34"/>
    <m/>
    <x v="15"/>
    <x v="10"/>
    <s v="徐慧鹏"/>
    <m/>
    <x v="21"/>
    <x v="23"/>
  </r>
  <r>
    <s v="吴南"/>
    <s v="汉朔"/>
    <s v="陆云帆"/>
    <s v="陆云帆"/>
    <x v="35"/>
    <m/>
    <x v="15"/>
    <x v="7"/>
    <s v="李戬"/>
    <m/>
    <x v="2"/>
    <x v="6"/>
  </r>
  <r>
    <s v="苗应春"/>
    <s v="金楷泽"/>
    <s v="陆云帆"/>
    <s v="陆云帆"/>
    <x v="35"/>
    <m/>
    <x v="15"/>
    <x v="7"/>
    <s v="李戬"/>
    <m/>
    <x v="2"/>
    <x v="6"/>
  </r>
  <r>
    <s v="王丹琦"/>
    <s v="埃森哲"/>
    <s v="孙晓安"/>
    <s v="孙晓安"/>
    <x v="36"/>
    <m/>
    <x v="15"/>
    <x v="4"/>
    <s v="刘倩"/>
    <m/>
    <x v="21"/>
    <x v="23"/>
  </r>
  <r>
    <s v="雷若男"/>
    <s v="鼎纪"/>
    <s v="孙泽龄"/>
    <s v="孙泽龄"/>
    <x v="37"/>
    <s v="V160集中测试"/>
    <x v="15"/>
    <x v="10"/>
    <s v="徐慧鹏"/>
    <m/>
    <x v="21"/>
    <x v="23"/>
  </r>
  <r>
    <s v="管佳园"/>
    <s v="汉朔"/>
    <s v="张东升01"/>
    <s v="张东升01"/>
    <x v="38"/>
    <m/>
    <x v="15"/>
    <x v="3"/>
    <s v="顾静洁"/>
    <s v="顾静洁-浮动"/>
    <x v="4"/>
    <x v="4"/>
  </r>
  <r>
    <s v="朱艺华"/>
    <s v="IBM"/>
    <s v="刁望庆"/>
    <s v="刁望庆"/>
    <x v="39"/>
    <m/>
    <x v="15"/>
    <x v="8"/>
    <s v="刁望庆"/>
    <m/>
    <x v="2"/>
    <x v="6"/>
  </r>
  <r>
    <m/>
    <m/>
    <m/>
    <m/>
    <x v="17"/>
    <m/>
    <x v="7"/>
    <x v="13"/>
    <m/>
    <m/>
    <x v="21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2" cacheId="1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rowHeaderCaption="版本及项目公共">
  <location ref="A35:B82" firstHeaderRow="1" firstDataRow="1" firstDataCol="1" rowPageCount="1" colPageCount="1"/>
  <pivotFields count="12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12"/>
        <item x="3"/>
        <item x="7"/>
        <item m="1" x="15"/>
        <item x="4"/>
        <item x="9"/>
        <item x="0"/>
        <item x="10"/>
        <item x="2"/>
        <item m="1" x="14"/>
        <item x="1"/>
        <item x="6"/>
        <item x="13"/>
        <item x="5"/>
        <item x="8"/>
        <item x="11"/>
        <item t="default"/>
      </items>
    </pivotField>
    <pivotField showAll="0"/>
    <pivotField showAll="0"/>
    <pivotField axis="axisRow" showAll="0">
      <items count="32">
        <item x="9"/>
        <item x="8"/>
        <item x="7"/>
        <item x="6"/>
        <item x="2"/>
        <item x="1"/>
        <item x="3"/>
        <item x="11"/>
        <item x="5"/>
        <item m="1" x="25"/>
        <item x="10"/>
        <item x="16"/>
        <item m="1" x="23"/>
        <item m="1" x="28"/>
        <item m="1" x="24"/>
        <item m="1" x="26"/>
        <item m="1" x="30"/>
        <item x="12"/>
        <item x="18"/>
        <item x="4"/>
        <item x="17"/>
        <item x="14"/>
        <item x="15"/>
        <item x="13"/>
        <item x="21"/>
        <item x="0"/>
        <item x="19"/>
        <item x="20"/>
        <item m="1" x="22"/>
        <item m="1" x="29"/>
        <item m="1" x="27"/>
        <item t="default"/>
      </items>
    </pivotField>
    <pivotField axis="axisPage" multipleItemSelectionAllowed="1" showAll="0">
      <items count="31">
        <item x="11"/>
        <item x="10"/>
        <item x="8"/>
        <item x="7"/>
        <item x="6"/>
        <item x="9"/>
        <item x="3"/>
        <item x="13"/>
        <item x="5"/>
        <item h="1" m="1" x="26"/>
        <item x="12"/>
        <item x="18"/>
        <item m="1" x="25"/>
        <item x="14"/>
        <item x="20"/>
        <item x="4"/>
        <item x="19"/>
        <item m="1" x="24"/>
        <item x="16"/>
        <item h="1" x="17"/>
        <item h="1" x="15"/>
        <item x="23"/>
        <item h="1" m="1" x="29"/>
        <item m="1" x="27"/>
        <item h="1" x="0"/>
        <item h="1" x="1"/>
        <item h="1" x="2"/>
        <item x="21"/>
        <item x="22"/>
        <item h="1" m="1" x="28"/>
        <item t="default"/>
      </items>
    </pivotField>
  </pivotFields>
  <rowFields count="2">
    <field x="7"/>
    <field x="10"/>
  </rowFields>
  <rowItems count="47">
    <i>
      <x/>
    </i>
    <i r="1">
      <x v="4"/>
    </i>
    <i r="1">
      <x v="26"/>
    </i>
    <i r="1">
      <x v="27"/>
    </i>
    <i>
      <x v="1"/>
    </i>
    <i r="1">
      <x v="19"/>
    </i>
    <i r="1">
      <x v="20"/>
    </i>
    <i r="1">
      <x v="21"/>
    </i>
    <i>
      <x v="2"/>
    </i>
    <i r="1">
      <x v="3"/>
    </i>
    <i r="1">
      <x v="4"/>
    </i>
    <i r="1">
      <x v="17"/>
    </i>
    <i>
      <x v="4"/>
    </i>
    <i r="1">
      <x v="7"/>
    </i>
    <i r="1">
      <x v="8"/>
    </i>
    <i r="1">
      <x v="24"/>
    </i>
    <i>
      <x v="5"/>
    </i>
    <i r="1">
      <x/>
    </i>
    <i r="1">
      <x v="1"/>
    </i>
    <i r="1">
      <x v="4"/>
    </i>
    <i>
      <x v="7"/>
    </i>
    <i r="1">
      <x v="10"/>
    </i>
    <i r="1">
      <x v="11"/>
    </i>
    <i r="1">
      <x v="24"/>
    </i>
    <i>
      <x v="8"/>
    </i>
    <i r="1">
      <x v="2"/>
    </i>
    <i>
      <x v="10"/>
    </i>
    <i r="1">
      <x v="5"/>
    </i>
    <i r="1">
      <x v="6"/>
    </i>
    <i>
      <x v="11"/>
    </i>
    <i r="1">
      <x v="2"/>
    </i>
    <i r="1">
      <x v="3"/>
    </i>
    <i r="1">
      <x v="4"/>
    </i>
    <i r="1">
      <x v="24"/>
    </i>
    <i>
      <x v="12"/>
    </i>
    <i r="1">
      <x v="24"/>
    </i>
    <i>
      <x v="13"/>
    </i>
    <i r="1">
      <x v="4"/>
    </i>
    <i>
      <x v="14"/>
    </i>
    <i r="1">
      <x v="3"/>
    </i>
    <i r="1">
      <x v="4"/>
    </i>
    <i>
      <x v="15"/>
    </i>
    <i r="1">
      <x v="5"/>
    </i>
    <i r="1">
      <x v="17"/>
    </i>
    <i r="1">
      <x v="18"/>
    </i>
    <i r="1">
      <x v="20"/>
    </i>
    <i t="grand">
      <x/>
    </i>
  </rowItems>
  <colItems count="1">
    <i/>
  </colItems>
  <pageFields count="1">
    <pageField fld="11" hier="0"/>
  </pageFields>
  <dataFields count="1">
    <dataField name="计数项:姓名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N3:O21" firstHeaderRow="1" firstDataRow="1" firstDataCol="1" rowPageCount="1" colPageCount="1"/>
  <pivotFields count="10">
    <pivotField dataField="1" showAll="0"/>
    <pivotField showAll="0"/>
    <pivotField showAll="0"/>
    <pivotField showAll="0"/>
    <pivotField showAll="0"/>
    <pivotField showAll="0"/>
    <pivotField axis="axisPage" multipleItemSelectionAllowed="1" showAll="0">
      <items count="17">
        <item h="1" x="2"/>
        <item h="1" x="6"/>
        <item h="1" x="0"/>
        <item h="1" x="3"/>
        <item h="1" x="14"/>
        <item h="1" x="9"/>
        <item h="1" x="4"/>
        <item h="1" x="8"/>
        <item h="1" x="12"/>
        <item x="5"/>
        <item h="1" x="11"/>
        <item h="1" x="13"/>
        <item h="1" x="1"/>
        <item h="1" x="10"/>
        <item h="1" x="15"/>
        <item h="1" x="7"/>
        <item t="default"/>
      </items>
    </pivotField>
    <pivotField showAll="0"/>
    <pivotField showAll="0"/>
    <pivotField axis="axisRow" showAll="0">
      <items count="35">
        <item x="15"/>
        <item x="18"/>
        <item x="29"/>
        <item x="1"/>
        <item x="0"/>
        <item x="31"/>
        <item x="30"/>
        <item x="19"/>
        <item x="7"/>
        <item x="10"/>
        <item x="27"/>
        <item x="22"/>
        <item x="3"/>
        <item m="1" x="33"/>
        <item x="11"/>
        <item x="28"/>
        <item x="21"/>
        <item x="17"/>
        <item x="12"/>
        <item x="23"/>
        <item x="8"/>
        <item x="6"/>
        <item x="16"/>
        <item x="9"/>
        <item x="20"/>
        <item x="24"/>
        <item x="14"/>
        <item x="4"/>
        <item x="5"/>
        <item x="25"/>
        <item x="26"/>
        <item x="13"/>
        <item x="2"/>
        <item x="32"/>
        <item t="default"/>
      </items>
    </pivotField>
  </pivotFields>
  <rowFields count="1">
    <field x="9"/>
  </rowFields>
  <rowItems count="18">
    <i>
      <x/>
    </i>
    <i>
      <x v="1"/>
    </i>
    <i>
      <x v="2"/>
    </i>
    <i>
      <x v="5"/>
    </i>
    <i>
      <x v="10"/>
    </i>
    <i>
      <x v="11"/>
    </i>
    <i>
      <x v="14"/>
    </i>
    <i>
      <x v="15"/>
    </i>
    <i>
      <x v="17"/>
    </i>
    <i>
      <x v="20"/>
    </i>
    <i>
      <x v="23"/>
    </i>
    <i>
      <x v="24"/>
    </i>
    <i>
      <x v="25"/>
    </i>
    <i>
      <x v="28"/>
    </i>
    <i>
      <x v="29"/>
    </i>
    <i>
      <x v="31"/>
    </i>
    <i>
      <x v="32"/>
    </i>
    <i t="grand">
      <x/>
    </i>
  </rowItems>
  <colItems count="1">
    <i/>
  </colItems>
  <pageFields count="1">
    <pageField fld="6" hier="-1"/>
  </pageFields>
  <dataFields count="1">
    <dataField name="计数项:姓名" fld="0" subtotal="count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9" type="button" dataOnly="0" labelOnly="1" outline="0" axis="axisRow" fieldPosition="0"/>
    </format>
    <format dxfId="3">
      <pivotArea dataOnly="0" labelOnly="1" fieldPosition="0">
        <references count="1">
          <reference field="9" count="17">
            <x v="0"/>
            <x v="1"/>
            <x v="2"/>
            <x v="5"/>
            <x v="10"/>
            <x v="11"/>
            <x v="14"/>
            <x v="15"/>
            <x v="17"/>
            <x v="20"/>
            <x v="23"/>
            <x v="24"/>
            <x v="25"/>
            <x v="28"/>
            <x v="29"/>
            <x v="31"/>
            <x v="32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K3:L33" firstHeaderRow="1" firstDataRow="1" firstDataCol="1" rowPageCount="1" colPageCount="1"/>
  <pivotFields count="10">
    <pivotField dataField="1" showAll="0"/>
    <pivotField showAll="0"/>
    <pivotField showAll="0"/>
    <pivotField showAll="0"/>
    <pivotField showAll="0"/>
    <pivotField showAll="0"/>
    <pivotField axis="axisPage" multipleItemSelectionAllowed="1" showAll="0">
      <items count="17">
        <item x="2"/>
        <item x="6"/>
        <item x="0"/>
        <item x="3"/>
        <item x="14"/>
        <item x="9"/>
        <item x="4"/>
        <item x="8"/>
        <item x="12"/>
        <item h="1" x="5"/>
        <item x="11"/>
        <item x="13"/>
        <item x="1"/>
        <item x="10"/>
        <item x="15"/>
        <item x="7"/>
        <item t="default"/>
      </items>
    </pivotField>
    <pivotField showAll="0"/>
    <pivotField showAll="0"/>
    <pivotField axis="axisRow" showAll="0">
      <items count="35">
        <item x="15"/>
        <item x="18"/>
        <item x="29"/>
        <item x="1"/>
        <item x="0"/>
        <item x="31"/>
        <item x="30"/>
        <item x="19"/>
        <item x="7"/>
        <item x="10"/>
        <item x="27"/>
        <item x="22"/>
        <item x="3"/>
        <item m="1" x="33"/>
        <item x="11"/>
        <item x="28"/>
        <item x="21"/>
        <item x="17"/>
        <item x="12"/>
        <item x="23"/>
        <item x="8"/>
        <item x="6"/>
        <item x="16"/>
        <item x="9"/>
        <item x="20"/>
        <item x="24"/>
        <item x="14"/>
        <item x="4"/>
        <item x="5"/>
        <item x="25"/>
        <item x="26"/>
        <item x="13"/>
        <item x="2"/>
        <item x="32"/>
        <item t="default"/>
      </items>
    </pivotField>
  </pivotFields>
  <rowFields count="1">
    <field x="9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 t="grand">
      <x/>
    </i>
  </rowItems>
  <colItems count="1">
    <i/>
  </colItems>
  <pageFields count="1">
    <pageField fld="6" hier="-1"/>
  </pageFields>
  <dataFields count="1">
    <dataField name="计数项:姓名" fld="0" subtotal="count" baseField="0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9" type="button" dataOnly="0" labelOnly="1" outline="0" axis="axisRow" fieldPosition="0"/>
    </format>
    <format dxfId="9">
      <pivotArea dataOnly="0" labelOnly="1" fieldPosition="0">
        <references count="1">
          <reference field="9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6"/>
            <x v="18"/>
            <x v="19"/>
            <x v="20"/>
            <x v="21"/>
            <x v="22"/>
            <x v="23"/>
            <x v="25"/>
            <x v="26"/>
            <x v="27"/>
            <x v="28"/>
            <x v="30"/>
            <x v="31"/>
            <x v="32"/>
            <x v="33"/>
          </reference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>
  <location ref="A3:B54" firstHeaderRow="1" firstDataRow="1" firstDataCol="1" rowPageCount="1" colPageCount="1"/>
  <pivotFields count="12">
    <pivotField dataField="1" showAll="0"/>
    <pivotField showAll="0"/>
    <pivotField showAll="0"/>
    <pivotField showAll="0"/>
    <pivotField axis="axisRow" showAll="0">
      <items count="41">
        <item x="9"/>
        <item x="8"/>
        <item x="21"/>
        <item x="25"/>
        <item x="2"/>
        <item x="6"/>
        <item x="0"/>
        <item x="3"/>
        <item x="23"/>
        <item x="29"/>
        <item x="7"/>
        <item x="4"/>
        <item x="12"/>
        <item x="16"/>
        <item x="5"/>
        <item x="18"/>
        <item x="39"/>
        <item x="34"/>
        <item x="33"/>
        <item x="32"/>
        <item x="11"/>
        <item x="15"/>
        <item x="13"/>
        <item x="35"/>
        <item x="14"/>
        <item x="30"/>
        <item x="20"/>
        <item x="19"/>
        <item x="26"/>
        <item x="31"/>
        <item x="1"/>
        <item x="22"/>
        <item x="24"/>
        <item x="36"/>
        <item x="37"/>
        <item x="10"/>
        <item x="38"/>
        <item x="28"/>
        <item x="27"/>
        <item x="17"/>
        <item t="default"/>
      </items>
    </pivotField>
    <pivotField showAll="0"/>
    <pivotField axis="axisRow" showAll="0">
      <items count="32">
        <item m="1" x="26"/>
        <item m="1" x="29"/>
        <item x="2"/>
        <item x="5"/>
        <item m="1" x="21"/>
        <item m="1" x="22"/>
        <item x="0"/>
        <item m="1" x="28"/>
        <item m="1" x="25"/>
        <item x="3"/>
        <item m="1" x="17"/>
        <item m="1" x="24"/>
        <item x="10"/>
        <item x="9"/>
        <item x="4"/>
        <item x="8"/>
        <item x="13"/>
        <item m="1" x="27"/>
        <item m="1" x="19"/>
        <item x="12"/>
        <item x="14"/>
        <item x="1"/>
        <item x="11"/>
        <item x="15"/>
        <item x="7"/>
        <item m="1" x="18"/>
        <item m="1" x="23"/>
        <item m="1" x="16"/>
        <item x="6"/>
        <item m="1" x="30"/>
        <item m="1" x="20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31">
        <item x="11"/>
        <item x="10"/>
        <item x="8"/>
        <item x="7"/>
        <item x="6"/>
        <item x="9"/>
        <item x="3"/>
        <item x="13"/>
        <item x="5"/>
        <item h="1" m="1" x="26"/>
        <item x="12"/>
        <item x="18"/>
        <item m="1" x="25"/>
        <item x="14"/>
        <item x="20"/>
        <item x="4"/>
        <item x="19"/>
        <item m="1" x="24"/>
        <item x="16"/>
        <item h="1" x="17"/>
        <item h="1" x="15"/>
        <item x="23"/>
        <item m="1" x="29"/>
        <item m="1" x="27"/>
        <item h="1" x="0"/>
        <item h="1" x="1"/>
        <item h="1" x="2"/>
        <item x="21"/>
        <item x="22"/>
        <item h="1" m="1" x="28"/>
        <item t="default"/>
      </items>
    </pivotField>
  </pivotFields>
  <rowFields count="2">
    <field x="6"/>
    <field x="4"/>
  </rowFields>
  <rowItems count="51">
    <i>
      <x v="2"/>
    </i>
    <i r="1">
      <x v="3"/>
    </i>
    <i>
      <x v="3"/>
    </i>
    <i r="1">
      <x v="24"/>
    </i>
    <i r="1">
      <x v="25"/>
    </i>
    <i r="1">
      <x v="26"/>
    </i>
    <i r="1">
      <x v="27"/>
    </i>
    <i r="1">
      <x v="31"/>
    </i>
    <i>
      <x v="6"/>
    </i>
    <i r="1">
      <x v="5"/>
    </i>
    <i r="1">
      <x v="7"/>
    </i>
    <i r="1">
      <x v="9"/>
    </i>
    <i r="1">
      <x v="10"/>
    </i>
    <i>
      <x v="9"/>
    </i>
    <i r="1">
      <x/>
    </i>
    <i r="1">
      <x v="1"/>
    </i>
    <i r="1">
      <x v="12"/>
    </i>
    <i r="1">
      <x v="13"/>
    </i>
    <i r="1">
      <x v="20"/>
    </i>
    <i r="1">
      <x v="22"/>
    </i>
    <i r="1">
      <x v="35"/>
    </i>
    <i r="1">
      <x v="39"/>
    </i>
    <i>
      <x v="12"/>
    </i>
    <i r="1">
      <x v="8"/>
    </i>
    <i>
      <x v="13"/>
    </i>
    <i r="1">
      <x v="2"/>
    </i>
    <i r="1">
      <x v="37"/>
    </i>
    <i>
      <x v="15"/>
    </i>
    <i r="1">
      <x v="15"/>
    </i>
    <i>
      <x v="19"/>
    </i>
    <i r="1">
      <x v="28"/>
    </i>
    <i>
      <x v="20"/>
    </i>
    <i r="1">
      <x v="18"/>
    </i>
    <i r="1">
      <x v="19"/>
    </i>
    <i r="1">
      <x v="29"/>
    </i>
    <i>
      <x v="21"/>
    </i>
    <i r="1">
      <x v="30"/>
    </i>
    <i>
      <x v="22"/>
    </i>
    <i r="1">
      <x v="32"/>
    </i>
    <i>
      <x v="23"/>
    </i>
    <i r="1">
      <x v="16"/>
    </i>
    <i r="1">
      <x v="17"/>
    </i>
    <i r="1">
      <x v="23"/>
    </i>
    <i r="1">
      <x v="33"/>
    </i>
    <i r="1">
      <x v="34"/>
    </i>
    <i r="1">
      <x v="36"/>
    </i>
    <i>
      <x v="24"/>
    </i>
    <i r="1">
      <x v="39"/>
    </i>
    <i>
      <x v="28"/>
    </i>
    <i r="1">
      <x v="21"/>
    </i>
    <i t="grand">
      <x/>
    </i>
  </rowItems>
  <colItems count="1">
    <i/>
  </colItems>
  <pageFields count="1">
    <pageField fld="11" hier="0"/>
  </pageFields>
  <dataFields count="1">
    <dataField name="计数项:姓名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../../zhulina/Documents/WeChat%20Files/zhulina/Documents/WeChat%20Files/wxid_9evie4cfa3b922/FileStorage/File/Documents/WeChat%20Files/nick2002/FileStorage/File/2020-09/supengfei@start-china.vip" TargetMode="External"/><Relationship Id="rId18" Type="http://schemas.openxmlformats.org/officeDocument/2006/relationships/hyperlink" Target="../../zhulina/Documents/WeChat%20Files/zhulina/Documents/WeChat%20Files/wxid_9evie4cfa3b922/FileStorage/File/Documents/WeChat%20Files/nick2002/FileStorage/File/2020-09/qipengjian@start-china.vip.com" TargetMode="External"/><Relationship Id="rId26" Type="http://schemas.openxmlformats.org/officeDocument/2006/relationships/hyperlink" Target="mailto:tjvegita@aliyun.com" TargetMode="External"/><Relationship Id="rId39" Type="http://schemas.openxmlformats.org/officeDocument/2006/relationships/hyperlink" Target="mailto:492642279@qq.com" TargetMode="External"/><Relationship Id="rId21" Type="http://schemas.openxmlformats.org/officeDocument/2006/relationships/hyperlink" Target="../../zhulina/Documents/WeChat%20Files/zhulina/Documents/WeChat%20Files/wxid_9evie4cfa3b922/FileStorage/File/Documents/WeChat%20Files/nick2002/FileStorage/File/2020-09/zhangli@start-china.vip.com" TargetMode="External"/><Relationship Id="rId34" Type="http://schemas.openxmlformats.org/officeDocument/2006/relationships/hyperlink" Target="mailto:zengxianglong@farben.com.cn" TargetMode="External"/><Relationship Id="rId42" Type="http://schemas.openxmlformats.org/officeDocument/2006/relationships/hyperlink" Target="mailto:dingjinling@hanorth.com" TargetMode="External"/><Relationship Id="rId47" Type="http://schemas.openxmlformats.org/officeDocument/2006/relationships/hyperlink" Target="mailto:caitianheng@hanorth.com" TargetMode="External"/><Relationship Id="rId50" Type="http://schemas.openxmlformats.org/officeDocument/2006/relationships/hyperlink" Target="mailto:yzk19950618@163.com" TargetMode="External"/><Relationship Id="rId7" Type="http://schemas.openxmlformats.org/officeDocument/2006/relationships/hyperlink" Target="../../zhulina/Documents/WeChat%20Files/zhulina/Documents/WeChat%20Files/wxid_9evie4cfa3b922/FileStorage/File/Documents/WeChat%20Files/nick2002/FileStorage/File/2020-09/wangdecheng@start-china.vip" TargetMode="External"/><Relationship Id="rId2" Type="http://schemas.openxmlformats.org/officeDocument/2006/relationships/hyperlink" Target="http://lijingwen_zh@chinamoney.com.cn/" TargetMode="External"/><Relationship Id="rId16" Type="http://schemas.openxmlformats.org/officeDocument/2006/relationships/hyperlink" Target="../../zhulina/Documents/WeChat%20Files/zhulina/Documents/WeChat%20Files/wxid_9evie4cfa3b922/FileStorage/File/Documents/WeChat%20Files/nick2002/FileStorage/File/2020-09/zhouwei@start-china.vip" TargetMode="External"/><Relationship Id="rId29" Type="http://schemas.openxmlformats.org/officeDocument/2006/relationships/hyperlink" Target="mailto:xiashuwen@ectesting.cn" TargetMode="External"/><Relationship Id="rId11" Type="http://schemas.openxmlformats.org/officeDocument/2006/relationships/hyperlink" Target="../../zhulina/Documents/WeChat%20Files/zhulina/Documents/WeChat%20Files/wxid_9evie4cfa3b922/FileStorage/File/Documents/WeChat%20Files/nick2002/FileStorage/File/2020-09/zhangyy@start-china.vip" TargetMode="External"/><Relationship Id="rId24" Type="http://schemas.openxmlformats.org/officeDocument/2006/relationships/hyperlink" Target="mailto:shendi@ectesting.cn" TargetMode="External"/><Relationship Id="rId32" Type="http://schemas.openxmlformats.org/officeDocument/2006/relationships/hyperlink" Target="mailto:yangdeyuan@hanorth.com" TargetMode="External"/><Relationship Id="rId37" Type="http://schemas.openxmlformats.org/officeDocument/2006/relationships/hyperlink" Target="../../zhulina/Documents/WeChat%20Files/zhulina/Documents/WeChat%20Files/wxid_9evie4cfa3b922/FileStorage/File/Documents/WeChat%20Files/nick2002/FileStorage/File/2020-09/wulp@start-china.vip" TargetMode="External"/><Relationship Id="rId40" Type="http://schemas.openxmlformats.org/officeDocument/2006/relationships/hyperlink" Target="mailto:youwei20080524@163.com" TargetMode="External"/><Relationship Id="rId45" Type="http://schemas.openxmlformats.org/officeDocument/2006/relationships/hyperlink" Target="mailto:liyajun@hanorth.com" TargetMode="External"/><Relationship Id="rId53" Type="http://schemas.openxmlformats.org/officeDocument/2006/relationships/hyperlink" Target="mailto:zhangshuai@ectesting.cn" TargetMode="External"/><Relationship Id="rId5" Type="http://schemas.openxmlformats.org/officeDocument/2006/relationships/hyperlink" Target="../../zhulina/Documents/WeChat%20Files/zhulina/Documents/WeChat%20Files/wxid_9evie4cfa3b922/FileStorage/File/Documents/WeChat%20Files/nick2002/FileStorage/File/2020-09/turuiqiang@ectesting.cn" TargetMode="External"/><Relationship Id="rId10" Type="http://schemas.openxmlformats.org/officeDocument/2006/relationships/hyperlink" Target="../../zhulina/Documents/WeChat%20Files/zhulina/Documents/WeChat%20Files/wxid_9evie4cfa3b922/FileStorage/File/Documents/WeChat%20Files/nick2002/FileStorage/File/2020-09/makunlun@start-china.vip" TargetMode="External"/><Relationship Id="rId19" Type="http://schemas.openxmlformats.org/officeDocument/2006/relationships/hyperlink" Target="../../zhulina/Documents/WeChat%20Files/zhulina/Documents/WeChat%20Files/wxid_9evie4cfa3b922/FileStorage/File/Documents/WeChat%20Files/nick2002/FileStorage/File/2020-09/zhukk@start-china.vip" TargetMode="External"/><Relationship Id="rId31" Type="http://schemas.openxmlformats.org/officeDocument/2006/relationships/hyperlink" Target="mailto:bingwenjing@hanorth.com" TargetMode="External"/><Relationship Id="rId44" Type="http://schemas.openxmlformats.org/officeDocument/2006/relationships/hyperlink" Target="mailto:lishuang@ectesting.cn" TargetMode="External"/><Relationship Id="rId52" Type="http://schemas.openxmlformats.org/officeDocument/2006/relationships/hyperlink" Target="mailto:hujiaying@ectesting.cn" TargetMode="External"/><Relationship Id="rId4" Type="http://schemas.openxmlformats.org/officeDocument/2006/relationships/hyperlink" Target="../../zhulina/Documents/WeChat%20Files/zhulina/Documents/WeChat%20Files/wxid_9evie4cfa3b922/FileStorage/File/Documents/WeChat%20Files/nick2002/FileStorage/File/2020-09/wangshuaishuai@ectesting.cn" TargetMode="External"/><Relationship Id="rId9" Type="http://schemas.openxmlformats.org/officeDocument/2006/relationships/hyperlink" Target="../../zhulina/Documents/WeChat%20Files/zhulina/Documents/WeChat%20Files/wxid_9evie4cfa3b922/FileStorage/File/Documents/WeChat%20Files/nick2002/FileStorage/File/2020-09/mayan@start-china.vip" TargetMode="External"/><Relationship Id="rId14" Type="http://schemas.openxmlformats.org/officeDocument/2006/relationships/hyperlink" Target="../../zhulina/Documents/WeChat%20Files/zhulina/Documents/WeChat%20Files/wxid_9evie4cfa3b922/FileStorage/File/Documents/WeChat%20Files/nick2002/FileStorage/File/2020-09/yuzishang@start-china.vip" TargetMode="External"/><Relationship Id="rId22" Type="http://schemas.openxmlformats.org/officeDocument/2006/relationships/hyperlink" Target="../../zhulina/Documents/WeChat%20Files/zhulina/Documents/WeChat%20Files/wxid_9evie4cfa3b922/FileStorage/File/Documents/WeChat%20Files/nick2002/FileStorage/File/2020-09/shishaoshuai@start-china.vip.com" TargetMode="External"/><Relationship Id="rId27" Type="http://schemas.openxmlformats.org/officeDocument/2006/relationships/hyperlink" Target="mailto:luyunfan@kingkz.com" TargetMode="External"/><Relationship Id="rId30" Type="http://schemas.openxmlformats.org/officeDocument/2006/relationships/hyperlink" Target="mailto:chenyulian@hanorth.com" TargetMode="External"/><Relationship Id="rId35" Type="http://schemas.openxmlformats.org/officeDocument/2006/relationships/hyperlink" Target="../../zhulina/Documents/WeChat%20Files/zhulina/Documents/WeChat%20Files/wxid_9evie4cfa3b922/FileStorage/File/Documents/WeChat%20Files/nick2002/FileStorage/File/2020-09/zhangzs@start-china.vip" TargetMode="External"/><Relationship Id="rId43" Type="http://schemas.openxmlformats.org/officeDocument/2006/relationships/hyperlink" Target="mailto:zhangjianshan@ectesting.cn" TargetMode="External"/><Relationship Id="rId48" Type="http://schemas.openxmlformats.org/officeDocument/2006/relationships/hyperlink" Target="mailto:597763370@qq.com" TargetMode="External"/><Relationship Id="rId8" Type="http://schemas.openxmlformats.org/officeDocument/2006/relationships/hyperlink" Target="../../zhulina/Documents/WeChat%20Files/zhulina/Documents/WeChat%20Files/wxid_9evie4cfa3b922/FileStorage/File/Documents/WeChat%20Files/nick2002/FileStorage/File/2020-09/921279158@qq.com" TargetMode="External"/><Relationship Id="rId51" Type="http://schemas.openxmlformats.org/officeDocument/2006/relationships/hyperlink" Target="mailto:zijia9635@163.com" TargetMode="External"/><Relationship Id="rId3" Type="http://schemas.openxmlformats.org/officeDocument/2006/relationships/hyperlink" Target="../../zhulina/Documents/WeChat%20Files/zhulina/Documents/WeChat%20Files/wxid_9evie4cfa3b922/FileStorage/File/Documents/WeChat%20Files/nick2002/FileStorage/File/2020-09/yangguang@ectesting.cn" TargetMode="External"/><Relationship Id="rId12" Type="http://schemas.openxmlformats.org/officeDocument/2006/relationships/hyperlink" Target="../../zhulina/Documents/WeChat%20Files/zhulina/Documents/WeChat%20Files/wxid_9evie4cfa3b922/FileStorage/File/Documents/WeChat%20Files/nick2002/FileStorage/File/2020-09/huzilong@start-china.vip" TargetMode="External"/><Relationship Id="rId17" Type="http://schemas.openxmlformats.org/officeDocument/2006/relationships/hyperlink" Target="../../zhulina/Documents/WeChat%20Files/zhulina/Documents/WeChat%20Files/wxid_9evie4cfa3b922/FileStorage/File/Documents/WeChat%20Files/nick2002/FileStorage/File/2020-09/tianmingming@start-china.vip.com" TargetMode="External"/><Relationship Id="rId25" Type="http://schemas.openxmlformats.org/officeDocument/2006/relationships/hyperlink" Target="mailto:maowenying@ectesting.cn" TargetMode="External"/><Relationship Id="rId33" Type="http://schemas.openxmlformats.org/officeDocument/2006/relationships/hyperlink" Target="mailto:feihouzhuang@hanorth.com" TargetMode="External"/><Relationship Id="rId38" Type="http://schemas.openxmlformats.org/officeDocument/2006/relationships/hyperlink" Target="../../zhulina/Documents/WeChat%20Files/zhulina/Documents/WeChat%20Files/wxid_9evie4cfa3b922/FileStorage/File/Documents/WeChat%20Files/nick2002/FileStorage/File/2020-09/shenhui@start-china.vip" TargetMode="External"/><Relationship Id="rId46" Type="http://schemas.openxmlformats.org/officeDocument/2006/relationships/hyperlink" Target="mailto:zhangzhenzhen@hanorth.com" TargetMode="External"/><Relationship Id="rId20" Type="http://schemas.openxmlformats.org/officeDocument/2006/relationships/hyperlink" Target="../../zhulina/Documents/WeChat%20Files/zhulina/Documents/WeChat%20Files/wxid_9evie4cfa3b922/FileStorage/File/Documents/WeChat%20Files/nick2002/FileStorage/File/2020-09/aoheng@start-china.vip" TargetMode="External"/><Relationship Id="rId41" Type="http://schemas.openxmlformats.org/officeDocument/2006/relationships/hyperlink" Target="mailto:jian.a.hu@accenture.com" TargetMode="External"/><Relationship Id="rId54" Type="http://schemas.openxmlformats.org/officeDocument/2006/relationships/hyperlink" Target="mailto:danqi.wang@accenture.com" TargetMode="External"/><Relationship Id="rId1" Type="http://schemas.openxmlformats.org/officeDocument/2006/relationships/hyperlink" Target="../../zhulina/Documents/WeChat%20Files/zhulina/Documents/WeChat%20Files/wxid_9evie4cfa3b922/FileStorage/File/Documents/WeChat%20Files/nick2002/FileStorage/File/2020-09/zhaopan_zh@chinamoney.com.cn" TargetMode="External"/><Relationship Id="rId6" Type="http://schemas.openxmlformats.org/officeDocument/2006/relationships/hyperlink" Target="../../zhulina/Documents/WeChat%20Files/zhulina/Documents/WeChat%20Files/wxid_9evie4cfa3b922/FileStorage/File/Documents/WeChat%20Files/nick2002/FileStorage/File/2020-09/zhaiqinghua@ectesting.cn" TargetMode="External"/><Relationship Id="rId15" Type="http://schemas.openxmlformats.org/officeDocument/2006/relationships/hyperlink" Target="../../zhulina/Documents/WeChat%20Files/zhulina/Documents/WeChat%20Files/wxid_9evie4cfa3b922/FileStorage/File/Documents/WeChat%20Files/nick2002/FileStorage/File/2020-09/shihao@start-china.vip.com" TargetMode="External"/><Relationship Id="rId23" Type="http://schemas.openxmlformats.org/officeDocument/2006/relationships/hyperlink" Target="../../zhulina/Documents/WeChat%20Files/zhulina/Documents/WeChat%20Files/wxid_9evie4cfa3b922/FileStorage/File/Documents/WeChat%20Files/nick2002/FileStorage/File/2020-09/tanminggui@start-china.vip.com" TargetMode="External"/><Relationship Id="rId28" Type="http://schemas.openxmlformats.org/officeDocument/2006/relationships/hyperlink" Target="mailto:luchaoli@kingkz.com" TargetMode="External"/><Relationship Id="rId36" Type="http://schemas.openxmlformats.org/officeDocument/2006/relationships/hyperlink" Target="../../zhulina/Documents/WeChat%20Files/zhulina/Documents/WeChat%20Files/wxid_9evie4cfa3b922/FileStorage/File/Documents/WeChat%20Files/nick2002/FileStorage/File/2020-09/wulp@start-china.vip" TargetMode="External"/><Relationship Id="rId49" Type="http://schemas.openxmlformats.org/officeDocument/2006/relationships/hyperlink" Target="mailto:694857002@qq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uiming.hu@microsoft.com" TargetMode="External"/><Relationship Id="rId3" Type="http://schemas.openxmlformats.org/officeDocument/2006/relationships/hyperlink" Target="mailto:qushk@hanorth.com" TargetMode="External"/><Relationship Id="rId7" Type="http://schemas.openxmlformats.org/officeDocument/2006/relationships/hyperlink" Target="mailto:weihua.yang@sharpg.com" TargetMode="External"/><Relationship Id="rId2" Type="http://schemas.openxmlformats.org/officeDocument/2006/relationships/hyperlink" Target="mailto:qushk@hanorth.com" TargetMode="External"/><Relationship Id="rId1" Type="http://schemas.openxmlformats.org/officeDocument/2006/relationships/hyperlink" Target="mailto:yichao.a.wang@accenture.com" TargetMode="External"/><Relationship Id="rId6" Type="http://schemas.openxmlformats.org/officeDocument/2006/relationships/hyperlink" Target="mailto:wei.yang@tcs.com" TargetMode="External"/><Relationship Id="rId5" Type="http://schemas.openxmlformats.org/officeDocument/2006/relationships/hyperlink" Target="mailto:linhaijing@ectesting.cn" TargetMode="External"/><Relationship Id="rId10" Type="http://schemas.openxmlformats.org/officeDocument/2006/relationships/hyperlink" Target="mailto:elsa.li@farben.com.cn" TargetMode="External"/><Relationship Id="rId4" Type="http://schemas.openxmlformats.org/officeDocument/2006/relationships/hyperlink" Target="mailto:elianewei@hengtiansoft.com" TargetMode="External"/><Relationship Id="rId9" Type="http://schemas.openxmlformats.org/officeDocument/2006/relationships/hyperlink" Target="mailto:huannan.wang@northking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29"/>
  <sheetViews>
    <sheetView workbookViewId="0">
      <selection activeCell="G1" sqref="G1:G22"/>
    </sheetView>
  </sheetViews>
  <sheetFormatPr defaultColWidth="9" defaultRowHeight="14.25" x14ac:dyDescent="0.15"/>
  <cols>
    <col min="1" max="1" width="22.875" style="154" customWidth="1"/>
    <col min="2" max="2" width="13.875" style="154" customWidth="1"/>
    <col min="3" max="3" width="13.125" style="154" customWidth="1"/>
    <col min="4" max="4" width="12.5" style="154" customWidth="1"/>
    <col min="5" max="5" width="19.375" style="154" customWidth="1"/>
    <col min="6" max="6" width="13.875" style="154" customWidth="1"/>
    <col min="7" max="7" width="18.5" style="154" customWidth="1"/>
    <col min="8" max="8" width="12.75" style="154" customWidth="1"/>
    <col min="9" max="9" width="13.875" style="154" customWidth="1"/>
    <col min="10" max="10" width="17.5" style="154" customWidth="1"/>
    <col min="11" max="11" width="22.25" style="155" customWidth="1"/>
    <col min="12" max="12" width="10.5" style="154" customWidth="1"/>
    <col min="13" max="13" width="7.125" style="154" customWidth="1"/>
    <col min="14" max="14" width="26.875" style="154" customWidth="1"/>
    <col min="15" max="16384" width="9" style="154"/>
  </cols>
  <sheetData>
    <row r="1" spans="1:14" ht="16.5" x14ac:dyDescent="0.15">
      <c r="A1" s="150" t="s">
        <v>0</v>
      </c>
      <c r="B1" s="150" t="s">
        <v>1</v>
      </c>
      <c r="C1" s="150" t="s">
        <v>2</v>
      </c>
      <c r="D1" s="150" t="s">
        <v>3</v>
      </c>
      <c r="E1" s="150" t="s">
        <v>4</v>
      </c>
      <c r="F1" s="150"/>
      <c r="G1" s="150" t="s">
        <v>5</v>
      </c>
      <c r="H1" s="150" t="s">
        <v>6</v>
      </c>
      <c r="I1" s="150" t="s">
        <v>7</v>
      </c>
      <c r="J1" s="150" t="s">
        <v>8</v>
      </c>
      <c r="K1" s="161"/>
    </row>
    <row r="2" spans="1:14" ht="16.5" x14ac:dyDescent="0.15">
      <c r="A2" s="150" t="s">
        <v>9</v>
      </c>
      <c r="B2" s="150">
        <v>9</v>
      </c>
      <c r="C2" s="150">
        <f>GETPIVOTDATA("姓名",$A$35,"业务技术线组长","郑安如","技能组","NDM业务-验收")</f>
        <v>12</v>
      </c>
      <c r="D2" s="150">
        <f>C2-I2</f>
        <v>4</v>
      </c>
      <c r="E2" s="150">
        <f t="shared" ref="E2:E19" si="0">C2-G2</f>
        <v>6</v>
      </c>
      <c r="F2" s="150"/>
      <c r="G2" s="150">
        <v>6</v>
      </c>
      <c r="H2" s="150"/>
      <c r="I2" s="150">
        <v>8</v>
      </c>
      <c r="J2" s="150">
        <v>5</v>
      </c>
      <c r="K2" s="162" t="s">
        <v>10</v>
      </c>
      <c r="M2" s="163" t="s">
        <v>11</v>
      </c>
      <c r="N2" s="163" t="s">
        <v>12</v>
      </c>
    </row>
    <row r="3" spans="1:14" ht="17.25" x14ac:dyDescent="0.15">
      <c r="A3" s="151" t="s">
        <v>13</v>
      </c>
      <c r="B3" s="152">
        <v>10</v>
      </c>
      <c r="C3" s="151">
        <f>GETPIVOTDATA("姓名",$A$35,"业务技术线组长","郑安如","技能组","NDM业务")</f>
        <v>12</v>
      </c>
      <c r="D3" s="151">
        <f t="shared" ref="D3:D19" si="1">C3-I3</f>
        <v>2</v>
      </c>
      <c r="E3" s="150">
        <f t="shared" si="0"/>
        <v>2</v>
      </c>
      <c r="F3" s="150"/>
      <c r="G3" s="152">
        <v>10</v>
      </c>
      <c r="H3" s="156">
        <v>1</v>
      </c>
      <c r="I3" s="152">
        <v>10</v>
      </c>
      <c r="J3" s="152">
        <v>9</v>
      </c>
      <c r="K3" s="164">
        <f>3+1</f>
        <v>4</v>
      </c>
      <c r="L3" s="165" t="s">
        <v>14</v>
      </c>
      <c r="M3" s="163">
        <v>3</v>
      </c>
      <c r="N3" s="163" t="s">
        <v>15</v>
      </c>
    </row>
    <row r="4" spans="1:14" ht="17.25" x14ac:dyDescent="0.15">
      <c r="A4" s="150" t="s">
        <v>16</v>
      </c>
      <c r="B4" s="150">
        <v>5</v>
      </c>
      <c r="C4" s="150">
        <f>GETPIVOTDATA("姓名",$A$35,"业务技术线组长","刘倩","技能组","ODM业务-验收")</f>
        <v>8</v>
      </c>
      <c r="D4" s="150">
        <f t="shared" si="1"/>
        <v>5</v>
      </c>
      <c r="E4" s="150">
        <f t="shared" si="0"/>
        <v>3</v>
      </c>
      <c r="F4" s="150"/>
      <c r="G4" s="150">
        <v>5</v>
      </c>
      <c r="H4" s="150"/>
      <c r="I4" s="150">
        <v>3</v>
      </c>
      <c r="J4" s="150">
        <v>3</v>
      </c>
      <c r="K4" s="164">
        <f>3+1</f>
        <v>4</v>
      </c>
      <c r="L4" s="165" t="s">
        <v>17</v>
      </c>
      <c r="M4" s="163">
        <v>3</v>
      </c>
      <c r="N4" s="163" t="s">
        <v>18</v>
      </c>
    </row>
    <row r="5" spans="1:14" ht="17.25" x14ac:dyDescent="0.15">
      <c r="A5" s="151" t="s">
        <v>19</v>
      </c>
      <c r="B5" s="152">
        <v>9</v>
      </c>
      <c r="C5" s="151">
        <f>GETPIVOTDATA("姓名",$A$35,"业务技术线组长","刘倩","技能组","ODM业务")</f>
        <v>12</v>
      </c>
      <c r="D5" s="151">
        <f t="shared" si="1"/>
        <v>3</v>
      </c>
      <c r="E5" s="150">
        <f t="shared" si="0"/>
        <v>3</v>
      </c>
      <c r="F5" s="150"/>
      <c r="G5" s="152">
        <v>9</v>
      </c>
      <c r="H5" s="152">
        <v>2</v>
      </c>
      <c r="I5" s="152">
        <v>9</v>
      </c>
      <c r="J5" s="152">
        <v>9</v>
      </c>
      <c r="K5" s="166">
        <f>3+3</f>
        <v>6</v>
      </c>
      <c r="L5" s="167" t="s">
        <v>19</v>
      </c>
      <c r="M5" s="168">
        <v>6</v>
      </c>
      <c r="N5" s="168" t="s">
        <v>20</v>
      </c>
    </row>
    <row r="6" spans="1:14" ht="17.25" x14ac:dyDescent="0.15">
      <c r="A6" s="150" t="s">
        <v>21</v>
      </c>
      <c r="B6" s="150">
        <v>7</v>
      </c>
      <c r="C6" s="150">
        <f>GETPIVOTDATA("姓名",$A$35,"业务技术线组长","徐慧鹏","技能组","共享服务-验收")</f>
        <v>11</v>
      </c>
      <c r="D6" s="150">
        <f t="shared" si="1"/>
        <v>8</v>
      </c>
      <c r="E6" s="150">
        <f t="shared" si="0"/>
        <v>5</v>
      </c>
      <c r="F6" s="150"/>
      <c r="G6" s="150">
        <v>6</v>
      </c>
      <c r="H6" s="150"/>
      <c r="I6" s="150">
        <v>3</v>
      </c>
      <c r="J6" s="150">
        <v>3</v>
      </c>
      <c r="K6" s="164">
        <f>5+1</f>
        <v>6</v>
      </c>
      <c r="L6" s="165" t="s">
        <v>22</v>
      </c>
      <c r="M6" s="163">
        <v>5</v>
      </c>
      <c r="N6" s="163" t="s">
        <v>23</v>
      </c>
    </row>
    <row r="7" spans="1:14" ht="17.25" x14ac:dyDescent="0.15">
      <c r="A7" s="151" t="s">
        <v>22</v>
      </c>
      <c r="B7" s="152">
        <v>9</v>
      </c>
      <c r="C7" s="151">
        <f>GETPIVOTDATA("姓名",$A$35,"业务技术线组长","徐慧鹏","技能组","共享服务")</f>
        <v>12</v>
      </c>
      <c r="D7" s="151">
        <f t="shared" si="1"/>
        <v>3</v>
      </c>
      <c r="E7" s="150">
        <f t="shared" si="0"/>
        <v>3</v>
      </c>
      <c r="F7" s="150"/>
      <c r="G7" s="152">
        <v>9</v>
      </c>
      <c r="H7" s="152"/>
      <c r="I7" s="152">
        <v>9</v>
      </c>
      <c r="J7" s="152">
        <v>8</v>
      </c>
      <c r="K7" s="164">
        <f>6+2</f>
        <v>8</v>
      </c>
      <c r="L7" s="165" t="s">
        <v>13</v>
      </c>
      <c r="M7" s="163">
        <v>7</v>
      </c>
      <c r="N7" s="163" t="s">
        <v>24</v>
      </c>
    </row>
    <row r="8" spans="1:14" ht="17.25" x14ac:dyDescent="0.15">
      <c r="A8" s="150" t="s">
        <v>25</v>
      </c>
      <c r="B8" s="150">
        <v>8</v>
      </c>
      <c r="C8" s="150">
        <f>GETPIVOTDATA("姓名",$A$35,"业务技术线组长","顾静洁","技能组","通用功能-验收")</f>
        <v>7</v>
      </c>
      <c r="D8" s="150">
        <f t="shared" si="1"/>
        <v>3</v>
      </c>
      <c r="E8" s="150">
        <f t="shared" si="0"/>
        <v>2</v>
      </c>
      <c r="F8" s="150"/>
      <c r="G8" s="150">
        <v>5</v>
      </c>
      <c r="H8" s="150"/>
      <c r="I8" s="150">
        <v>4</v>
      </c>
      <c r="J8" s="150">
        <v>2</v>
      </c>
      <c r="K8" s="164"/>
      <c r="L8" s="155"/>
      <c r="N8" s="163" t="s">
        <v>26</v>
      </c>
    </row>
    <row r="9" spans="1:14" ht="17.25" x14ac:dyDescent="0.15">
      <c r="A9" s="151" t="s">
        <v>14</v>
      </c>
      <c r="B9" s="152">
        <v>7</v>
      </c>
      <c r="C9" s="151">
        <f>GETPIVOTDATA("姓名",$A$35,"业务技术线组长","顾静洁","技能组","通用功能")</f>
        <v>12</v>
      </c>
      <c r="D9" s="151">
        <f t="shared" si="1"/>
        <v>8</v>
      </c>
      <c r="E9" s="150">
        <f t="shared" si="0"/>
        <v>6</v>
      </c>
      <c r="F9" s="150"/>
      <c r="G9" s="152">
        <v>6</v>
      </c>
      <c r="H9" s="152">
        <v>2</v>
      </c>
      <c r="I9" s="152">
        <v>4</v>
      </c>
      <c r="J9" s="152">
        <v>4</v>
      </c>
      <c r="K9" s="164"/>
      <c r="L9" s="169"/>
    </row>
    <row r="10" spans="1:14" ht="17.25" x14ac:dyDescent="0.15">
      <c r="A10" s="150" t="s">
        <v>27</v>
      </c>
      <c r="B10" s="150">
        <v>2</v>
      </c>
      <c r="C10" s="150" t="e">
        <f>GETPIVOTDATA("姓名",$A$35,"业务技术线组长","李晶雯","技能组","数据分析-验收")</f>
        <v>#REF!</v>
      </c>
      <c r="D10" s="150" t="e">
        <f t="shared" si="1"/>
        <v>#REF!</v>
      </c>
      <c r="E10" s="150" t="e">
        <f t="shared" si="0"/>
        <v>#REF!</v>
      </c>
      <c r="F10" s="150"/>
      <c r="G10" s="150">
        <v>4</v>
      </c>
      <c r="H10" s="150"/>
      <c r="I10" s="150">
        <v>1</v>
      </c>
      <c r="J10" s="150">
        <v>4</v>
      </c>
      <c r="K10" s="164">
        <v>26</v>
      </c>
      <c r="L10" s="169" t="s">
        <v>28</v>
      </c>
    </row>
    <row r="11" spans="1:14" ht="17.25" x14ac:dyDescent="0.15">
      <c r="A11" s="151" t="s">
        <v>17</v>
      </c>
      <c r="B11" s="152">
        <v>6</v>
      </c>
      <c r="C11" s="151" t="e">
        <f>GETPIVOTDATA("姓名",$A$35,"业务技术线组长","李晶雯","技能组","数据分析")</f>
        <v>#REF!</v>
      </c>
      <c r="D11" s="151" t="e">
        <f t="shared" si="1"/>
        <v>#REF!</v>
      </c>
      <c r="E11" s="150" t="e">
        <f t="shared" si="0"/>
        <v>#REF!</v>
      </c>
      <c r="F11" s="150"/>
      <c r="G11" s="152">
        <v>6</v>
      </c>
      <c r="H11" s="152"/>
      <c r="I11" s="152">
        <v>5</v>
      </c>
      <c r="J11" s="152"/>
      <c r="K11" s="164">
        <v>113</v>
      </c>
      <c r="L11" s="169" t="s">
        <v>29</v>
      </c>
    </row>
    <row r="12" spans="1:14" ht="17.25" x14ac:dyDescent="0.15">
      <c r="A12" s="150" t="s">
        <v>30</v>
      </c>
      <c r="B12" s="150">
        <v>9</v>
      </c>
      <c r="C12" s="150">
        <f>GETPIVOTDATA("姓名",$A$35,"业务技术线组长","李戬")</f>
        <v>12</v>
      </c>
      <c r="D12" s="150">
        <f t="shared" si="1"/>
        <v>4</v>
      </c>
      <c r="E12" s="150">
        <f t="shared" si="0"/>
        <v>4</v>
      </c>
      <c r="F12" s="150"/>
      <c r="G12" s="150">
        <v>8</v>
      </c>
      <c r="H12" s="150">
        <v>1</v>
      </c>
      <c r="I12" s="150">
        <v>8</v>
      </c>
      <c r="J12" s="150">
        <v>8</v>
      </c>
      <c r="K12" s="164">
        <v>1</v>
      </c>
      <c r="L12" s="169" t="s">
        <v>31</v>
      </c>
    </row>
    <row r="13" spans="1:14" ht="17.25" x14ac:dyDescent="0.15">
      <c r="A13" s="151" t="s">
        <v>32</v>
      </c>
      <c r="B13" s="152">
        <v>16</v>
      </c>
      <c r="C13" s="151">
        <f>GETPIVOTDATA("姓名",$A$35,"业务技术线组长","申冬东")</f>
        <v>14</v>
      </c>
      <c r="D13" s="151">
        <f t="shared" si="1"/>
        <v>2</v>
      </c>
      <c r="E13" s="150">
        <f t="shared" si="0"/>
        <v>0</v>
      </c>
      <c r="F13" s="150"/>
      <c r="G13" s="152">
        <v>14</v>
      </c>
      <c r="H13" s="152">
        <v>2</v>
      </c>
      <c r="I13" s="152">
        <v>12</v>
      </c>
      <c r="J13" s="152">
        <v>14</v>
      </c>
      <c r="K13" s="164">
        <v>40</v>
      </c>
      <c r="L13" s="169" t="s">
        <v>33</v>
      </c>
    </row>
    <row r="14" spans="1:14" ht="17.25" x14ac:dyDescent="0.15">
      <c r="A14" s="150" t="s">
        <v>34</v>
      </c>
      <c r="B14" s="150">
        <v>15</v>
      </c>
      <c r="C14" s="150">
        <f>GETPIVOTDATA("姓名",$A$35,"业务技术线组长","刁望庆")</f>
        <v>23</v>
      </c>
      <c r="D14" s="150">
        <f t="shared" si="1"/>
        <v>12</v>
      </c>
      <c r="E14" s="150">
        <f t="shared" si="0"/>
        <v>8</v>
      </c>
      <c r="F14" s="150"/>
      <c r="G14" s="150">
        <v>15</v>
      </c>
      <c r="H14" s="150">
        <v>7</v>
      </c>
      <c r="I14" s="150">
        <v>11</v>
      </c>
      <c r="J14" s="150">
        <v>13</v>
      </c>
      <c r="K14" s="164"/>
      <c r="L14" s="169"/>
      <c r="M14" s="170"/>
    </row>
    <row r="15" spans="1:14" ht="17.25" x14ac:dyDescent="0.15">
      <c r="A15" s="151" t="s">
        <v>35</v>
      </c>
      <c r="B15" s="152">
        <v>19</v>
      </c>
      <c r="C15" s="151">
        <f>GETPIVOTDATA("姓名",$A$35,"业务技术线组长","周德乐")</f>
        <v>23</v>
      </c>
      <c r="D15" s="151">
        <f t="shared" si="1"/>
        <v>7</v>
      </c>
      <c r="E15" s="150">
        <f t="shared" si="0"/>
        <v>6</v>
      </c>
      <c r="F15" s="150"/>
      <c r="G15" s="152">
        <v>17</v>
      </c>
      <c r="H15" s="152">
        <v>4</v>
      </c>
      <c r="I15" s="152">
        <v>16</v>
      </c>
      <c r="J15" s="152">
        <v>15</v>
      </c>
      <c r="K15" s="164">
        <v>22</v>
      </c>
      <c r="L15" s="169"/>
      <c r="M15" s="170"/>
    </row>
    <row r="16" spans="1:14" ht="17.25" x14ac:dyDescent="0.15">
      <c r="A16" s="150" t="s">
        <v>36</v>
      </c>
      <c r="B16" s="150">
        <v>24</v>
      </c>
      <c r="C16" s="150">
        <f>GETPIVOTDATA("姓名",$A$35,"业务技术线组长","张洋弘")</f>
        <v>24</v>
      </c>
      <c r="D16" s="150">
        <f t="shared" si="1"/>
        <v>6</v>
      </c>
      <c r="E16" s="150">
        <f t="shared" si="0"/>
        <v>4</v>
      </c>
      <c r="F16" s="150"/>
      <c r="G16" s="150">
        <v>20</v>
      </c>
      <c r="H16" s="150">
        <v>1</v>
      </c>
      <c r="I16" s="150">
        <v>18</v>
      </c>
      <c r="J16" s="150">
        <v>17</v>
      </c>
      <c r="K16" s="164">
        <v>158</v>
      </c>
      <c r="L16" s="169"/>
    </row>
    <row r="17" spans="1:12" ht="16.5" x14ac:dyDescent="0.15">
      <c r="A17" s="150" t="s">
        <v>37</v>
      </c>
      <c r="B17" s="150">
        <v>24</v>
      </c>
      <c r="C17" s="150">
        <f>GETPIVOTDATA("姓名",$A$35,"业务技术线组长","陈启明")</f>
        <v>25</v>
      </c>
      <c r="D17" s="150">
        <f t="shared" si="1"/>
        <v>8</v>
      </c>
      <c r="E17" s="150">
        <f t="shared" si="0"/>
        <v>6</v>
      </c>
      <c r="F17" s="150"/>
      <c r="G17" s="150">
        <v>19</v>
      </c>
      <c r="H17" s="150"/>
      <c r="I17" s="150">
        <v>17</v>
      </c>
      <c r="J17" s="150">
        <v>5</v>
      </c>
      <c r="L17" s="155"/>
    </row>
    <row r="18" spans="1:12" ht="16.5" x14ac:dyDescent="0.15">
      <c r="A18" s="150" t="s">
        <v>38</v>
      </c>
      <c r="B18" s="150">
        <v>2</v>
      </c>
      <c r="C18" s="150">
        <v>0</v>
      </c>
      <c r="D18" s="150">
        <f t="shared" si="1"/>
        <v>0</v>
      </c>
      <c r="E18" s="150">
        <f t="shared" si="0"/>
        <v>0</v>
      </c>
      <c r="F18" s="150"/>
      <c r="G18" s="150"/>
      <c r="H18" s="150"/>
      <c r="I18" s="150"/>
      <c r="J18" s="150"/>
      <c r="L18" s="155"/>
    </row>
    <row r="19" spans="1:12" ht="16.5" x14ac:dyDescent="0.15">
      <c r="A19" s="150" t="s">
        <v>39</v>
      </c>
      <c r="B19" s="150">
        <v>3</v>
      </c>
      <c r="C19" s="150">
        <f>GETPIVOTDATA("姓名",$A$35,"业务技术线组长","顾静洁","技能组","支持-QA")</f>
        <v>2</v>
      </c>
      <c r="D19" s="150">
        <f t="shared" si="1"/>
        <v>1</v>
      </c>
      <c r="E19" s="150">
        <f t="shared" si="0"/>
        <v>1</v>
      </c>
      <c r="F19" s="150"/>
      <c r="G19" s="150">
        <v>1</v>
      </c>
      <c r="H19" s="150"/>
      <c r="I19" s="150">
        <v>1</v>
      </c>
      <c r="J19" s="150">
        <v>1</v>
      </c>
      <c r="L19" s="155"/>
    </row>
    <row r="20" spans="1:12" ht="16.5" x14ac:dyDescent="0.15">
      <c r="A20" s="150" t="s">
        <v>40</v>
      </c>
      <c r="B20" s="150">
        <v>184</v>
      </c>
      <c r="C20" s="150" t="e">
        <f>SUM(C2:C19)</f>
        <v>#REF!</v>
      </c>
      <c r="D20" s="150"/>
      <c r="E20" s="150"/>
      <c r="F20" s="150"/>
      <c r="G20" s="150"/>
      <c r="H20" s="150"/>
      <c r="I20" s="150">
        <v>139</v>
      </c>
      <c r="J20" s="150">
        <v>120</v>
      </c>
      <c r="L20" s="155"/>
    </row>
    <row r="21" spans="1:12" ht="16.5" x14ac:dyDescent="0.15">
      <c r="A21" s="153" t="s">
        <v>41</v>
      </c>
      <c r="B21" s="153">
        <v>11</v>
      </c>
      <c r="C21" s="153"/>
      <c r="D21" s="153"/>
      <c r="E21" s="153"/>
      <c r="F21" s="153"/>
      <c r="G21" s="153">
        <v>10</v>
      </c>
      <c r="H21" s="153"/>
      <c r="I21" s="153">
        <v>10</v>
      </c>
      <c r="J21" s="153"/>
    </row>
    <row r="22" spans="1:12" ht="16.5" x14ac:dyDescent="0.15">
      <c r="A22" s="153" t="s">
        <v>42</v>
      </c>
      <c r="B22" s="153">
        <v>10</v>
      </c>
      <c r="C22" s="153"/>
      <c r="D22" s="153"/>
      <c r="E22" s="153"/>
      <c r="F22" s="153"/>
      <c r="G22" s="153">
        <v>10</v>
      </c>
      <c r="H22" s="153"/>
      <c r="I22" s="153">
        <v>10</v>
      </c>
      <c r="J22" s="153"/>
    </row>
    <row r="23" spans="1:12" ht="7.5" customHeight="1" x14ac:dyDescent="0.15">
      <c r="A23" s="157"/>
      <c r="B23" s="158"/>
      <c r="C23" s="157"/>
      <c r="D23" s="157"/>
      <c r="E23" s="157"/>
      <c r="F23" s="157"/>
      <c r="G23" s="158"/>
      <c r="H23" s="158"/>
      <c r="I23" s="158"/>
      <c r="J23" s="158"/>
    </row>
    <row r="24" spans="1:12" ht="16.5" x14ac:dyDescent="0.15">
      <c r="A24" s="150" t="s">
        <v>43</v>
      </c>
      <c r="B24" s="150">
        <v>147</v>
      </c>
      <c r="C24" s="150" t="e">
        <f>C20-C25-C26</f>
        <v>#REF!</v>
      </c>
      <c r="D24" s="159"/>
      <c r="E24" s="159"/>
      <c r="F24" s="159"/>
      <c r="G24" s="160">
        <v>125</v>
      </c>
      <c r="H24" s="159"/>
      <c r="I24" s="150">
        <v>103</v>
      </c>
      <c r="J24" s="150">
        <v>98</v>
      </c>
    </row>
    <row r="25" spans="1:12" ht="16.5" x14ac:dyDescent="0.15">
      <c r="A25" s="150" t="s">
        <v>44</v>
      </c>
      <c r="B25" s="150">
        <v>25</v>
      </c>
      <c r="C25" s="150">
        <f>C17</f>
        <v>25</v>
      </c>
      <c r="D25" s="150">
        <v>3</v>
      </c>
      <c r="E25" s="150"/>
      <c r="F25" s="150"/>
      <c r="G25" s="150">
        <v>19</v>
      </c>
      <c r="H25" s="150"/>
      <c r="I25" s="150">
        <v>17</v>
      </c>
      <c r="J25" s="150">
        <v>5</v>
      </c>
    </row>
    <row r="26" spans="1:12" ht="16.5" x14ac:dyDescent="0.15">
      <c r="A26" s="150" t="s">
        <v>45</v>
      </c>
      <c r="B26" s="150">
        <v>33</v>
      </c>
      <c r="C26" s="150" t="e">
        <f>C2+C4+C6+C8+C10</f>
        <v>#REF!</v>
      </c>
      <c r="D26" s="150">
        <v>6</v>
      </c>
      <c r="E26" s="150"/>
      <c r="F26" s="150"/>
      <c r="G26" s="150">
        <v>26</v>
      </c>
      <c r="H26" s="150"/>
      <c r="I26" s="150">
        <v>19</v>
      </c>
      <c r="J26" s="150">
        <v>17</v>
      </c>
    </row>
    <row r="27" spans="1:12" ht="16.5" x14ac:dyDescent="0.15">
      <c r="A27" s="153" t="s">
        <v>41</v>
      </c>
      <c r="B27" s="150"/>
      <c r="C27" s="150"/>
      <c r="D27" s="150"/>
      <c r="E27" s="150"/>
      <c r="F27" s="150"/>
      <c r="G27" s="150">
        <v>10</v>
      </c>
      <c r="H27" s="150"/>
      <c r="I27" s="150"/>
      <c r="J27" s="150"/>
    </row>
    <row r="28" spans="1:12" ht="16.5" x14ac:dyDescent="0.15">
      <c r="A28" s="153" t="s">
        <v>42</v>
      </c>
      <c r="B28" s="150"/>
      <c r="C28" s="150"/>
      <c r="D28" s="150"/>
      <c r="E28" s="150"/>
      <c r="F28" s="150"/>
      <c r="G28" s="150">
        <v>10</v>
      </c>
      <c r="H28" s="150"/>
      <c r="I28" s="150"/>
      <c r="J28" s="150"/>
    </row>
    <row r="32" spans="1:12" x14ac:dyDescent="0.15">
      <c r="E32" s="154" t="s">
        <v>46</v>
      </c>
    </row>
    <row r="33" spans="1:9" x14ac:dyDescent="0.15">
      <c r="A33" s="171" t="s">
        <v>47</v>
      </c>
      <c r="B33" t="s">
        <v>48</v>
      </c>
      <c r="E33" t="s">
        <v>49</v>
      </c>
      <c r="F33" t="s">
        <v>50</v>
      </c>
      <c r="H33"/>
      <c r="I33"/>
    </row>
    <row r="34" spans="1:9" x14ac:dyDescent="0.15">
      <c r="E34" t="s">
        <v>51</v>
      </c>
      <c r="F34">
        <v>2</v>
      </c>
    </row>
    <row r="35" spans="1:9" x14ac:dyDescent="0.15">
      <c r="A35" s="171" t="s">
        <v>49</v>
      </c>
      <c r="B35" t="s">
        <v>50</v>
      </c>
      <c r="C35"/>
      <c r="E35" t="s">
        <v>52</v>
      </c>
      <c r="F35">
        <v>2</v>
      </c>
      <c r="H35"/>
      <c r="I35"/>
    </row>
    <row r="36" spans="1:9" x14ac:dyDescent="0.15">
      <c r="A36" s="34" t="s">
        <v>37</v>
      </c>
      <c r="B36" s="15">
        <v>25</v>
      </c>
      <c r="C36"/>
      <c r="E36" t="s">
        <v>53</v>
      </c>
      <c r="F36">
        <v>2</v>
      </c>
      <c r="H36"/>
      <c r="I36"/>
    </row>
    <row r="37" spans="1:9" x14ac:dyDescent="0.15">
      <c r="A37" s="145" t="s">
        <v>54</v>
      </c>
      <c r="B37" s="15">
        <v>12</v>
      </c>
      <c r="C37"/>
      <c r="E37" s="37" t="s">
        <v>55</v>
      </c>
      <c r="F37">
        <v>4</v>
      </c>
      <c r="H37"/>
      <c r="I37"/>
    </row>
    <row r="38" spans="1:9" x14ac:dyDescent="0.15">
      <c r="A38" s="145" t="s">
        <v>56</v>
      </c>
      <c r="B38" s="15">
        <v>11</v>
      </c>
      <c r="C38"/>
      <c r="E38" s="37" t="s">
        <v>57</v>
      </c>
      <c r="F38">
        <v>1</v>
      </c>
      <c r="H38"/>
      <c r="I38"/>
    </row>
    <row r="39" spans="1:9" x14ac:dyDescent="0.15">
      <c r="A39" s="145" t="s">
        <v>58</v>
      </c>
      <c r="B39" s="15">
        <v>2</v>
      </c>
      <c r="C39"/>
      <c r="E39" s="37" t="s">
        <v>59</v>
      </c>
      <c r="F39">
        <v>3</v>
      </c>
      <c r="H39"/>
      <c r="I39"/>
    </row>
    <row r="40" spans="1:9" x14ac:dyDescent="0.15">
      <c r="A40" s="34" t="s">
        <v>14</v>
      </c>
      <c r="B40" s="15">
        <v>21</v>
      </c>
      <c r="C40"/>
      <c r="E40" s="37" t="s">
        <v>60</v>
      </c>
      <c r="F40">
        <v>3</v>
      </c>
      <c r="H40"/>
      <c r="I40"/>
    </row>
    <row r="41" spans="1:9" x14ac:dyDescent="0.15">
      <c r="A41" s="145" t="s">
        <v>61</v>
      </c>
      <c r="B41" s="15">
        <v>12</v>
      </c>
      <c r="C41"/>
      <c r="E41" s="37" t="s">
        <v>62</v>
      </c>
      <c r="F41">
        <v>2</v>
      </c>
      <c r="H41"/>
      <c r="I41"/>
    </row>
    <row r="42" spans="1:9" x14ac:dyDescent="0.15">
      <c r="A42" s="145" t="s">
        <v>63</v>
      </c>
      <c r="B42" s="15">
        <v>7</v>
      </c>
      <c r="C42"/>
      <c r="E42" s="37" t="s">
        <v>64</v>
      </c>
      <c r="F42">
        <v>1</v>
      </c>
      <c r="H42"/>
      <c r="I42"/>
    </row>
    <row r="43" spans="1:9" x14ac:dyDescent="0.15">
      <c r="A43" s="145" t="s">
        <v>65</v>
      </c>
      <c r="B43" s="15">
        <v>2</v>
      </c>
      <c r="C43"/>
      <c r="E43" t="s">
        <v>66</v>
      </c>
      <c r="F43">
        <v>1</v>
      </c>
      <c r="H43"/>
      <c r="I43"/>
    </row>
    <row r="44" spans="1:9" x14ac:dyDescent="0.15">
      <c r="A44" s="34" t="s">
        <v>30</v>
      </c>
      <c r="B44" s="15">
        <v>12</v>
      </c>
      <c r="C44"/>
      <c r="E44" t="s">
        <v>67</v>
      </c>
      <c r="F44">
        <v>21</v>
      </c>
      <c r="H44"/>
      <c r="I44"/>
    </row>
    <row r="45" spans="1:9" x14ac:dyDescent="0.15">
      <c r="A45" s="145" t="s">
        <v>68</v>
      </c>
      <c r="B45" s="15">
        <v>6</v>
      </c>
      <c r="C45"/>
      <c r="H45"/>
      <c r="I45"/>
    </row>
    <row r="46" spans="1:9" x14ac:dyDescent="0.15">
      <c r="A46" s="145" t="s">
        <v>54</v>
      </c>
      <c r="B46" s="15">
        <v>5</v>
      </c>
      <c r="C46"/>
      <c r="H46"/>
      <c r="I46"/>
    </row>
    <row r="47" spans="1:9" x14ac:dyDescent="0.15">
      <c r="A47" s="145" t="s">
        <v>69</v>
      </c>
      <c r="B47" s="15">
        <v>1</v>
      </c>
      <c r="C47"/>
      <c r="H47"/>
      <c r="I47"/>
    </row>
    <row r="48" spans="1:9" x14ac:dyDescent="0.15">
      <c r="A48" s="34" t="s">
        <v>19</v>
      </c>
      <c r="B48" s="15">
        <v>21</v>
      </c>
      <c r="C48"/>
      <c r="H48"/>
      <c r="I48"/>
    </row>
    <row r="49" spans="1:9" x14ac:dyDescent="0.15">
      <c r="A49" s="145" t="s">
        <v>71</v>
      </c>
      <c r="B49" s="15">
        <v>12</v>
      </c>
      <c r="C49"/>
      <c r="H49"/>
      <c r="I49"/>
    </row>
    <row r="50" spans="1:9" x14ac:dyDescent="0.15">
      <c r="A50" s="145" t="s">
        <v>72</v>
      </c>
      <c r="B50" s="15">
        <v>8</v>
      </c>
      <c r="C50"/>
      <c r="H50"/>
      <c r="I50"/>
    </row>
    <row r="51" spans="1:9" x14ac:dyDescent="0.15">
      <c r="A51" s="145" t="s">
        <v>70</v>
      </c>
      <c r="B51" s="15">
        <v>1</v>
      </c>
      <c r="C51"/>
      <c r="H51"/>
      <c r="I51"/>
    </row>
    <row r="52" spans="1:9" x14ac:dyDescent="0.15">
      <c r="A52" s="34" t="s">
        <v>32</v>
      </c>
      <c r="B52" s="15">
        <v>14</v>
      </c>
      <c r="C52"/>
      <c r="H52"/>
      <c r="I52"/>
    </row>
    <row r="53" spans="1:9" x14ac:dyDescent="0.15">
      <c r="A53" s="145" t="s">
        <v>73</v>
      </c>
      <c r="B53" s="15">
        <v>7</v>
      </c>
      <c r="H53"/>
      <c r="I53"/>
    </row>
    <row r="54" spans="1:9" x14ac:dyDescent="0.15">
      <c r="A54" s="145" t="s">
        <v>74</v>
      </c>
      <c r="B54" s="15">
        <v>5</v>
      </c>
      <c r="H54"/>
      <c r="I54"/>
    </row>
    <row r="55" spans="1:9" x14ac:dyDescent="0.15">
      <c r="A55" s="145" t="s">
        <v>54</v>
      </c>
      <c r="B55" s="15">
        <v>2</v>
      </c>
      <c r="H55"/>
      <c r="I55"/>
    </row>
    <row r="56" spans="1:9" x14ac:dyDescent="0.15">
      <c r="A56" s="34" t="s">
        <v>22</v>
      </c>
      <c r="B56" s="15">
        <v>25</v>
      </c>
      <c r="H56"/>
      <c r="I56"/>
    </row>
    <row r="57" spans="1:9" x14ac:dyDescent="0.15">
      <c r="A57" s="145" t="s">
        <v>75</v>
      </c>
      <c r="B57" s="15">
        <v>12</v>
      </c>
      <c r="H57"/>
      <c r="I57"/>
    </row>
    <row r="58" spans="1:9" x14ac:dyDescent="0.15">
      <c r="A58" s="145" t="s">
        <v>76</v>
      </c>
      <c r="B58" s="15">
        <v>11</v>
      </c>
      <c r="H58"/>
      <c r="I58"/>
    </row>
    <row r="59" spans="1:9" x14ac:dyDescent="0.15">
      <c r="A59" s="145" t="s">
        <v>70</v>
      </c>
      <c r="B59" s="15">
        <v>2</v>
      </c>
      <c r="H59"/>
      <c r="I59"/>
    </row>
    <row r="60" spans="1:9" x14ac:dyDescent="0.15">
      <c r="A60" s="34" t="s">
        <v>77</v>
      </c>
      <c r="B60" s="15">
        <v>24</v>
      </c>
      <c r="H60"/>
      <c r="I60"/>
    </row>
    <row r="61" spans="1:9" x14ac:dyDescent="0.15">
      <c r="A61" s="145" t="s">
        <v>78</v>
      </c>
      <c r="B61" s="15">
        <v>24</v>
      </c>
      <c r="H61"/>
      <c r="I61"/>
    </row>
    <row r="62" spans="1:9" x14ac:dyDescent="0.15">
      <c r="A62" s="34" t="s">
        <v>13</v>
      </c>
      <c r="B62" s="15">
        <v>24</v>
      </c>
      <c r="H62"/>
      <c r="I62"/>
    </row>
    <row r="63" spans="1:9" x14ac:dyDescent="0.15">
      <c r="A63" s="145" t="s">
        <v>79</v>
      </c>
      <c r="B63" s="15">
        <v>12</v>
      </c>
      <c r="H63"/>
      <c r="I63"/>
    </row>
    <row r="64" spans="1:9" x14ac:dyDescent="0.15">
      <c r="A64" s="145" t="s">
        <v>80</v>
      </c>
      <c r="B64" s="15">
        <v>12</v>
      </c>
      <c r="H64"/>
      <c r="I64"/>
    </row>
    <row r="65" spans="1:9" x14ac:dyDescent="0.15">
      <c r="A65" s="34" t="s">
        <v>81</v>
      </c>
      <c r="B65" s="15">
        <v>23</v>
      </c>
      <c r="H65"/>
      <c r="I65"/>
    </row>
    <row r="66" spans="1:9" x14ac:dyDescent="0.15">
      <c r="A66" s="145" t="s">
        <v>78</v>
      </c>
      <c r="B66" s="15">
        <v>1</v>
      </c>
      <c r="H66"/>
      <c r="I66"/>
    </row>
    <row r="67" spans="1:9" x14ac:dyDescent="0.15">
      <c r="A67" s="145" t="s">
        <v>68</v>
      </c>
      <c r="B67" s="15">
        <v>3</v>
      </c>
      <c r="H67"/>
      <c r="I67"/>
    </row>
    <row r="68" spans="1:9" x14ac:dyDescent="0.15">
      <c r="A68" s="145" t="s">
        <v>54</v>
      </c>
      <c r="B68" s="15">
        <v>18</v>
      </c>
      <c r="H68"/>
      <c r="I68"/>
    </row>
    <row r="69" spans="1:9" x14ac:dyDescent="0.15">
      <c r="A69" s="145" t="s">
        <v>70</v>
      </c>
      <c r="B69" s="15">
        <v>1</v>
      </c>
      <c r="H69"/>
      <c r="I69"/>
    </row>
    <row r="70" spans="1:9" x14ac:dyDescent="0.15">
      <c r="A70" s="34" t="s">
        <v>70</v>
      </c>
      <c r="B70" s="15"/>
      <c r="H70"/>
      <c r="I70"/>
    </row>
    <row r="71" spans="1:9" x14ac:dyDescent="0.15">
      <c r="A71" s="145" t="s">
        <v>70</v>
      </c>
      <c r="B71" s="15"/>
      <c r="H71"/>
      <c r="I71"/>
    </row>
    <row r="72" spans="1:9" x14ac:dyDescent="0.15">
      <c r="A72" s="34" t="s">
        <v>82</v>
      </c>
      <c r="B72" s="15">
        <v>4</v>
      </c>
      <c r="H72"/>
      <c r="I72"/>
    </row>
    <row r="73" spans="1:9" x14ac:dyDescent="0.15">
      <c r="A73" s="145" t="s">
        <v>54</v>
      </c>
      <c r="B73" s="15">
        <v>4</v>
      </c>
      <c r="H73"/>
      <c r="I73"/>
    </row>
    <row r="74" spans="1:9" x14ac:dyDescent="0.15">
      <c r="A74" s="34" t="s">
        <v>83</v>
      </c>
      <c r="B74" s="15">
        <v>23</v>
      </c>
      <c r="H74"/>
      <c r="I74"/>
    </row>
    <row r="75" spans="1:9" x14ac:dyDescent="0.15">
      <c r="A75" s="145" t="s">
        <v>68</v>
      </c>
      <c r="B75" s="15">
        <v>8</v>
      </c>
      <c r="H75"/>
      <c r="I75"/>
    </row>
    <row r="76" spans="1:9" x14ac:dyDescent="0.15">
      <c r="A76" s="145" t="s">
        <v>54</v>
      </c>
      <c r="B76" s="15">
        <v>15</v>
      </c>
      <c r="H76"/>
      <c r="I76"/>
    </row>
    <row r="77" spans="1:9" x14ac:dyDescent="0.15">
      <c r="A77" s="34" t="s">
        <v>84</v>
      </c>
      <c r="B77" s="15">
        <v>16</v>
      </c>
      <c r="H77"/>
      <c r="I77"/>
    </row>
    <row r="78" spans="1:9" x14ac:dyDescent="0.15">
      <c r="A78" s="145" t="s">
        <v>79</v>
      </c>
      <c r="B78" s="15">
        <v>1</v>
      </c>
      <c r="H78"/>
      <c r="I78"/>
    </row>
    <row r="79" spans="1:9" x14ac:dyDescent="0.15">
      <c r="A79" s="145" t="s">
        <v>69</v>
      </c>
      <c r="B79" s="15">
        <v>10</v>
      </c>
      <c r="H79"/>
      <c r="I79"/>
    </row>
    <row r="80" spans="1:9" x14ac:dyDescent="0.15">
      <c r="A80" s="145" t="s">
        <v>85</v>
      </c>
      <c r="B80" s="15">
        <v>4</v>
      </c>
      <c r="H80"/>
      <c r="I80"/>
    </row>
    <row r="81" spans="1:9" x14ac:dyDescent="0.15">
      <c r="A81" s="145" t="s">
        <v>63</v>
      </c>
      <c r="B81" s="15">
        <v>1</v>
      </c>
      <c r="H81"/>
      <c r="I81"/>
    </row>
    <row r="82" spans="1:9" x14ac:dyDescent="0.15">
      <c r="A82" s="34" t="s">
        <v>67</v>
      </c>
      <c r="B82" s="15">
        <v>232</v>
      </c>
    </row>
    <row r="83" spans="1:9" x14ac:dyDescent="0.15">
      <c r="A83"/>
      <c r="B83"/>
    </row>
    <row r="84" spans="1:9" x14ac:dyDescent="0.15">
      <c r="A84"/>
      <c r="B84"/>
    </row>
    <row r="85" spans="1:9" x14ac:dyDescent="0.15">
      <c r="A85"/>
      <c r="B85"/>
    </row>
    <row r="86" spans="1:9" x14ac:dyDescent="0.15">
      <c r="A86"/>
      <c r="B86"/>
    </row>
    <row r="87" spans="1:9" x14ac:dyDescent="0.15">
      <c r="A87"/>
      <c r="B87"/>
    </row>
    <row r="88" spans="1:9" x14ac:dyDescent="0.15">
      <c r="A88"/>
      <c r="B88"/>
    </row>
    <row r="89" spans="1:9" x14ac:dyDescent="0.15">
      <c r="A89"/>
      <c r="B89"/>
    </row>
    <row r="90" spans="1:9" x14ac:dyDescent="0.15">
      <c r="A90"/>
      <c r="B90"/>
    </row>
    <row r="91" spans="1:9" x14ac:dyDescent="0.15">
      <c r="A91"/>
      <c r="B91"/>
    </row>
    <row r="92" spans="1:9" x14ac:dyDescent="0.15">
      <c r="A92"/>
      <c r="B92"/>
    </row>
    <row r="93" spans="1:9" x14ac:dyDescent="0.15">
      <c r="A93"/>
      <c r="B93"/>
    </row>
    <row r="94" spans="1:9" x14ac:dyDescent="0.15">
      <c r="A94"/>
      <c r="B94"/>
    </row>
    <row r="95" spans="1:9" x14ac:dyDescent="0.15">
      <c r="A95"/>
      <c r="B95"/>
    </row>
    <row r="96" spans="1:9" x14ac:dyDescent="0.15">
      <c r="A96"/>
      <c r="B96"/>
    </row>
    <row r="97" spans="1:2" x14ac:dyDescent="0.15">
      <c r="A97"/>
      <c r="B97"/>
    </row>
    <row r="98" spans="1:2" x14ac:dyDescent="0.15">
      <c r="A98"/>
      <c r="B98"/>
    </row>
    <row r="99" spans="1:2" x14ac:dyDescent="0.15">
      <c r="A99"/>
      <c r="B99"/>
    </row>
    <row r="100" spans="1:2" x14ac:dyDescent="0.15">
      <c r="A100"/>
      <c r="B100"/>
    </row>
    <row r="101" spans="1:2" x14ac:dyDescent="0.15">
      <c r="A101"/>
      <c r="B101"/>
    </row>
    <row r="102" spans="1:2" x14ac:dyDescent="0.15">
      <c r="A102"/>
      <c r="B102"/>
    </row>
    <row r="103" spans="1:2" x14ac:dyDescent="0.15">
      <c r="A103"/>
      <c r="B103"/>
    </row>
    <row r="104" spans="1:2" x14ac:dyDescent="0.15">
      <c r="A104"/>
      <c r="B104"/>
    </row>
    <row r="105" spans="1:2" x14ac:dyDescent="0.15">
      <c r="A105"/>
      <c r="B105"/>
    </row>
    <row r="106" spans="1:2" x14ac:dyDescent="0.15">
      <c r="A106"/>
      <c r="B106"/>
    </row>
    <row r="107" spans="1:2" x14ac:dyDescent="0.15">
      <c r="A107"/>
      <c r="B107"/>
    </row>
    <row r="108" spans="1:2" x14ac:dyDescent="0.15">
      <c r="A108"/>
      <c r="B108"/>
    </row>
    <row r="109" spans="1:2" x14ac:dyDescent="0.15">
      <c r="A109"/>
      <c r="B109"/>
    </row>
    <row r="110" spans="1:2" x14ac:dyDescent="0.15">
      <c r="A110"/>
      <c r="B110"/>
    </row>
    <row r="111" spans="1:2" x14ac:dyDescent="0.15">
      <c r="A111"/>
      <c r="B111"/>
    </row>
    <row r="112" spans="1:2" x14ac:dyDescent="0.15">
      <c r="A112"/>
      <c r="B112"/>
    </row>
    <row r="113" spans="1:2" x14ac:dyDescent="0.15">
      <c r="A113"/>
      <c r="B113"/>
    </row>
    <row r="114" spans="1:2" x14ac:dyDescent="0.15">
      <c r="A114"/>
      <c r="B114"/>
    </row>
    <row r="115" spans="1:2" x14ac:dyDescent="0.15">
      <c r="A115"/>
      <c r="B115"/>
    </row>
    <row r="116" spans="1:2" x14ac:dyDescent="0.15">
      <c r="A116"/>
      <c r="B116"/>
    </row>
    <row r="117" spans="1:2" x14ac:dyDescent="0.15">
      <c r="A117"/>
      <c r="B117"/>
    </row>
    <row r="118" spans="1:2" x14ac:dyDescent="0.15">
      <c r="A118"/>
      <c r="B118"/>
    </row>
    <row r="119" spans="1:2" x14ac:dyDescent="0.15">
      <c r="A119"/>
      <c r="B119"/>
    </row>
    <row r="120" spans="1:2" x14ac:dyDescent="0.15">
      <c r="A120"/>
      <c r="B120"/>
    </row>
    <row r="121" spans="1:2" x14ac:dyDescent="0.15">
      <c r="A121"/>
      <c r="B121"/>
    </row>
    <row r="122" spans="1:2" x14ac:dyDescent="0.15">
      <c r="A122"/>
      <c r="B122"/>
    </row>
    <row r="123" spans="1:2" x14ac:dyDescent="0.15">
      <c r="A123"/>
      <c r="B123"/>
    </row>
    <row r="124" spans="1:2" x14ac:dyDescent="0.15">
      <c r="A124"/>
      <c r="B124"/>
    </row>
    <row r="125" spans="1:2" x14ac:dyDescent="0.15">
      <c r="A125"/>
      <c r="B125"/>
    </row>
    <row r="126" spans="1:2" x14ac:dyDescent="0.15">
      <c r="A126"/>
      <c r="B126"/>
    </row>
    <row r="127" spans="1:2" x14ac:dyDescent="0.15">
      <c r="A127"/>
      <c r="B127"/>
    </row>
    <row r="128" spans="1:2" x14ac:dyDescent="0.15">
      <c r="A128"/>
      <c r="B128"/>
    </row>
    <row r="129" spans="1:2" x14ac:dyDescent="0.15">
      <c r="A129"/>
      <c r="B129"/>
    </row>
    <row r="130" spans="1:2" x14ac:dyDescent="0.15">
      <c r="A130"/>
      <c r="B130"/>
    </row>
    <row r="131" spans="1:2" x14ac:dyDescent="0.15">
      <c r="A131"/>
      <c r="B131"/>
    </row>
    <row r="132" spans="1:2" x14ac:dyDescent="0.15">
      <c r="A132"/>
      <c r="B132"/>
    </row>
    <row r="133" spans="1:2" x14ac:dyDescent="0.15">
      <c r="A133"/>
      <c r="B133"/>
    </row>
    <row r="134" spans="1:2" x14ac:dyDescent="0.15">
      <c r="A134"/>
      <c r="B134"/>
    </row>
    <row r="135" spans="1:2" x14ac:dyDescent="0.15">
      <c r="A135"/>
      <c r="B135"/>
    </row>
    <row r="136" spans="1:2" x14ac:dyDescent="0.15">
      <c r="A136"/>
      <c r="B136"/>
    </row>
    <row r="137" spans="1:2" x14ac:dyDescent="0.15">
      <c r="A137"/>
      <c r="B137"/>
    </row>
    <row r="138" spans="1:2" x14ac:dyDescent="0.15">
      <c r="A138"/>
      <c r="B138"/>
    </row>
    <row r="139" spans="1:2" x14ac:dyDescent="0.15">
      <c r="A139"/>
      <c r="B139"/>
    </row>
    <row r="140" spans="1:2" x14ac:dyDescent="0.15">
      <c r="A140"/>
      <c r="B140"/>
    </row>
    <row r="141" spans="1:2" x14ac:dyDescent="0.15">
      <c r="A141"/>
      <c r="B141"/>
    </row>
    <row r="142" spans="1:2" x14ac:dyDescent="0.15">
      <c r="A142"/>
      <c r="B142"/>
    </row>
    <row r="143" spans="1:2" x14ac:dyDescent="0.15">
      <c r="A143"/>
      <c r="B143"/>
    </row>
    <row r="144" spans="1:2" x14ac:dyDescent="0.15">
      <c r="A144"/>
      <c r="B144"/>
    </row>
    <row r="145" spans="1:2" x14ac:dyDescent="0.15">
      <c r="A145"/>
      <c r="B145"/>
    </row>
    <row r="146" spans="1:2" x14ac:dyDescent="0.15">
      <c r="A146"/>
      <c r="B146"/>
    </row>
    <row r="147" spans="1:2" x14ac:dyDescent="0.15">
      <c r="A147"/>
      <c r="B147"/>
    </row>
    <row r="148" spans="1:2" x14ac:dyDescent="0.15">
      <c r="A148"/>
      <c r="B148"/>
    </row>
    <row r="149" spans="1:2" x14ac:dyDescent="0.15">
      <c r="A149"/>
      <c r="B149"/>
    </row>
    <row r="150" spans="1:2" x14ac:dyDescent="0.15">
      <c r="A150"/>
      <c r="B150"/>
    </row>
    <row r="151" spans="1:2" x14ac:dyDescent="0.15">
      <c r="A151"/>
      <c r="B151"/>
    </row>
    <row r="152" spans="1:2" x14ac:dyDescent="0.15">
      <c r="A152"/>
      <c r="B152"/>
    </row>
    <row r="153" spans="1:2" x14ac:dyDescent="0.15">
      <c r="A153"/>
      <c r="B153"/>
    </row>
    <row r="154" spans="1:2" x14ac:dyDescent="0.15">
      <c r="A154"/>
      <c r="B154"/>
    </row>
    <row r="155" spans="1:2" x14ac:dyDescent="0.15">
      <c r="A155"/>
      <c r="B155"/>
    </row>
    <row r="156" spans="1:2" x14ac:dyDescent="0.15">
      <c r="A156"/>
      <c r="B156"/>
    </row>
    <row r="157" spans="1:2" x14ac:dyDescent="0.15">
      <c r="A157"/>
      <c r="B157"/>
    </row>
    <row r="158" spans="1:2" x14ac:dyDescent="0.15">
      <c r="A158"/>
      <c r="B158"/>
    </row>
    <row r="159" spans="1:2" x14ac:dyDescent="0.15">
      <c r="A159"/>
      <c r="B159"/>
    </row>
    <row r="160" spans="1:2" x14ac:dyDescent="0.15">
      <c r="A160"/>
      <c r="B160"/>
    </row>
    <row r="161" spans="1:2" x14ac:dyDescent="0.15">
      <c r="A161"/>
      <c r="B161"/>
    </row>
    <row r="162" spans="1:2" x14ac:dyDescent="0.15">
      <c r="A162"/>
      <c r="B162"/>
    </row>
    <row r="163" spans="1:2" x14ac:dyDescent="0.15">
      <c r="A163"/>
      <c r="B163"/>
    </row>
    <row r="164" spans="1:2" x14ac:dyDescent="0.15">
      <c r="A164"/>
      <c r="B164"/>
    </row>
    <row r="165" spans="1:2" x14ac:dyDescent="0.15">
      <c r="A165"/>
      <c r="B165"/>
    </row>
    <row r="166" spans="1:2" x14ac:dyDescent="0.15">
      <c r="A166"/>
      <c r="B166"/>
    </row>
    <row r="167" spans="1:2" x14ac:dyDescent="0.15">
      <c r="A167"/>
      <c r="B167"/>
    </row>
    <row r="168" spans="1:2" x14ac:dyDescent="0.15">
      <c r="A168"/>
      <c r="B168"/>
    </row>
    <row r="169" spans="1:2" x14ac:dyDescent="0.15">
      <c r="A169"/>
      <c r="B169"/>
    </row>
    <row r="170" spans="1:2" x14ac:dyDescent="0.15">
      <c r="A170"/>
      <c r="B170"/>
    </row>
    <row r="171" spans="1:2" x14ac:dyDescent="0.15">
      <c r="A171"/>
      <c r="B171"/>
    </row>
    <row r="172" spans="1:2" x14ac:dyDescent="0.15">
      <c r="A172"/>
      <c r="B172"/>
    </row>
    <row r="173" spans="1:2" x14ac:dyDescent="0.15">
      <c r="A173"/>
      <c r="B173"/>
    </row>
    <row r="174" spans="1:2" x14ac:dyDescent="0.15">
      <c r="A174"/>
      <c r="B174"/>
    </row>
    <row r="175" spans="1:2" x14ac:dyDescent="0.15">
      <c r="A175"/>
      <c r="B175"/>
    </row>
    <row r="176" spans="1:2" x14ac:dyDescent="0.15">
      <c r="A176"/>
      <c r="B176"/>
    </row>
    <row r="177" spans="1:2" x14ac:dyDescent="0.15">
      <c r="A177"/>
      <c r="B177"/>
    </row>
    <row r="178" spans="1:2" x14ac:dyDescent="0.15">
      <c r="A178"/>
      <c r="B178"/>
    </row>
    <row r="179" spans="1:2" x14ac:dyDescent="0.15">
      <c r="A179"/>
      <c r="B179"/>
    </row>
    <row r="180" spans="1:2" x14ac:dyDescent="0.15">
      <c r="A180"/>
      <c r="B180"/>
    </row>
    <row r="181" spans="1:2" x14ac:dyDescent="0.15">
      <c r="A181"/>
      <c r="B181"/>
    </row>
    <row r="182" spans="1:2" x14ac:dyDescent="0.15">
      <c r="A182"/>
      <c r="B182"/>
    </row>
    <row r="183" spans="1:2" x14ac:dyDescent="0.15">
      <c r="A183"/>
      <c r="B183"/>
    </row>
    <row r="184" spans="1:2" x14ac:dyDescent="0.15">
      <c r="A184"/>
      <c r="B184"/>
    </row>
    <row r="185" spans="1:2" x14ac:dyDescent="0.15">
      <c r="A185"/>
      <c r="B185"/>
    </row>
    <row r="186" spans="1:2" x14ac:dyDescent="0.15">
      <c r="A186"/>
      <c r="B186"/>
    </row>
    <row r="187" spans="1:2" x14ac:dyDescent="0.15">
      <c r="A187"/>
      <c r="B187"/>
    </row>
    <row r="188" spans="1:2" x14ac:dyDescent="0.15">
      <c r="A188"/>
      <c r="B188"/>
    </row>
    <row r="189" spans="1:2" x14ac:dyDescent="0.15">
      <c r="A189"/>
      <c r="B189"/>
    </row>
    <row r="190" spans="1:2" x14ac:dyDescent="0.15">
      <c r="A190"/>
      <c r="B190"/>
    </row>
    <row r="191" spans="1:2" x14ac:dyDescent="0.15">
      <c r="A191"/>
      <c r="B191"/>
    </row>
    <row r="192" spans="1:2" x14ac:dyDescent="0.15">
      <c r="A192"/>
      <c r="B192"/>
    </row>
    <row r="193" spans="1:2" x14ac:dyDescent="0.15">
      <c r="A193"/>
      <c r="B193"/>
    </row>
    <row r="194" spans="1:2" x14ac:dyDescent="0.15">
      <c r="A194"/>
      <c r="B194"/>
    </row>
    <row r="195" spans="1:2" x14ac:dyDescent="0.15">
      <c r="A195"/>
      <c r="B195"/>
    </row>
    <row r="196" spans="1:2" x14ac:dyDescent="0.15">
      <c r="A196"/>
      <c r="B196"/>
    </row>
    <row r="197" spans="1:2" x14ac:dyDescent="0.15">
      <c r="A197"/>
      <c r="B197"/>
    </row>
    <row r="198" spans="1:2" x14ac:dyDescent="0.15">
      <c r="A198"/>
      <c r="B198"/>
    </row>
    <row r="199" spans="1:2" x14ac:dyDescent="0.15">
      <c r="A199"/>
      <c r="B199"/>
    </row>
    <row r="200" spans="1:2" x14ac:dyDescent="0.15">
      <c r="A200"/>
      <c r="B200"/>
    </row>
    <row r="201" spans="1:2" x14ac:dyDescent="0.15">
      <c r="A201"/>
      <c r="B201"/>
    </row>
    <row r="202" spans="1:2" x14ac:dyDescent="0.15">
      <c r="A202"/>
      <c r="B202"/>
    </row>
    <row r="203" spans="1:2" x14ac:dyDescent="0.15">
      <c r="A203"/>
      <c r="B203"/>
    </row>
    <row r="204" spans="1:2" x14ac:dyDescent="0.15">
      <c r="A204"/>
      <c r="B204"/>
    </row>
    <row r="205" spans="1:2" x14ac:dyDescent="0.15">
      <c r="A205"/>
      <c r="B205"/>
    </row>
    <row r="206" spans="1:2" x14ac:dyDescent="0.15">
      <c r="A206"/>
      <c r="B206"/>
    </row>
    <row r="207" spans="1:2" x14ac:dyDescent="0.15">
      <c r="A207"/>
      <c r="B207"/>
    </row>
    <row r="208" spans="1:2" x14ac:dyDescent="0.15">
      <c r="A208"/>
      <c r="B208"/>
    </row>
    <row r="209" spans="1:2" x14ac:dyDescent="0.15">
      <c r="A209"/>
      <c r="B209"/>
    </row>
    <row r="210" spans="1:2" x14ac:dyDescent="0.15">
      <c r="A210"/>
      <c r="B210"/>
    </row>
    <row r="211" spans="1:2" x14ac:dyDescent="0.15">
      <c r="A211"/>
      <c r="B211"/>
    </row>
    <row r="212" spans="1:2" x14ac:dyDescent="0.15">
      <c r="A212"/>
      <c r="B212"/>
    </row>
    <row r="213" spans="1:2" x14ac:dyDescent="0.15">
      <c r="A213"/>
      <c r="B213"/>
    </row>
    <row r="214" spans="1:2" x14ac:dyDescent="0.15">
      <c r="A214"/>
      <c r="B214"/>
    </row>
    <row r="215" spans="1:2" x14ac:dyDescent="0.15">
      <c r="A215"/>
      <c r="B215"/>
    </row>
    <row r="216" spans="1:2" x14ac:dyDescent="0.15">
      <c r="A216"/>
      <c r="B216"/>
    </row>
    <row r="217" spans="1:2" x14ac:dyDescent="0.15">
      <c r="A217"/>
      <c r="B217"/>
    </row>
    <row r="218" spans="1:2" x14ac:dyDescent="0.15">
      <c r="A218"/>
      <c r="B218"/>
    </row>
    <row r="219" spans="1:2" x14ac:dyDescent="0.15">
      <c r="A219"/>
      <c r="B219"/>
    </row>
    <row r="220" spans="1:2" x14ac:dyDescent="0.15">
      <c r="A220"/>
      <c r="B220"/>
    </row>
    <row r="221" spans="1:2" x14ac:dyDescent="0.15">
      <c r="A221"/>
      <c r="B221"/>
    </row>
    <row r="222" spans="1:2" x14ac:dyDescent="0.15">
      <c r="A222"/>
      <c r="B222"/>
    </row>
    <row r="223" spans="1:2" x14ac:dyDescent="0.15">
      <c r="A223"/>
      <c r="B223"/>
    </row>
    <row r="224" spans="1:2" x14ac:dyDescent="0.15">
      <c r="A224"/>
      <c r="B224"/>
    </row>
    <row r="225" spans="1:2" x14ac:dyDescent="0.15">
      <c r="A225"/>
      <c r="B225"/>
    </row>
    <row r="226" spans="1:2" x14ac:dyDescent="0.15">
      <c r="A226"/>
      <c r="B226"/>
    </row>
    <row r="227" spans="1:2" x14ac:dyDescent="0.15">
      <c r="A227"/>
      <c r="B227"/>
    </row>
    <row r="228" spans="1:2" x14ac:dyDescent="0.15">
      <c r="A228"/>
      <c r="B228"/>
    </row>
    <row r="229" spans="1:2" x14ac:dyDescent="0.15">
      <c r="A229"/>
      <c r="B229"/>
    </row>
  </sheetData>
  <autoFilter ref="A1:J28" xr:uid="{00000000-0009-0000-0000-000000000000}"/>
  <phoneticPr fontId="2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36"/>
  <sheetViews>
    <sheetView workbookViewId="0">
      <selection activeCell="C3" sqref="C3"/>
    </sheetView>
  </sheetViews>
  <sheetFormatPr defaultColWidth="9" defaultRowHeight="14.25" x14ac:dyDescent="0.15"/>
  <cols>
    <col min="1" max="1" width="20.5" customWidth="1"/>
    <col min="2" max="2" width="14.75" customWidth="1"/>
    <col min="3" max="3" width="12.125" customWidth="1"/>
    <col min="4" max="4" width="11.375" customWidth="1"/>
    <col min="5" max="5" width="10.375" bestFit="1" customWidth="1"/>
    <col min="6" max="6" width="8.875" customWidth="1"/>
    <col min="7" max="7" width="10.625" customWidth="1"/>
    <col min="8" max="8" width="16.5" customWidth="1"/>
    <col min="10" max="10" width="12.125" bestFit="1" customWidth="1"/>
    <col min="11" max="11" width="20.5" bestFit="1" customWidth="1"/>
    <col min="12" max="12" width="13.875" bestFit="1" customWidth="1"/>
    <col min="13" max="13" width="10" bestFit="1" customWidth="1"/>
    <col min="14" max="14" width="20.5" bestFit="1" customWidth="1"/>
    <col min="15" max="15" width="13.875" bestFit="1" customWidth="1"/>
    <col min="16" max="16" width="17.375" bestFit="1" customWidth="1"/>
    <col min="17" max="18" width="12.125" bestFit="1" customWidth="1"/>
    <col min="19" max="20" width="17.375" bestFit="1" customWidth="1"/>
    <col min="21" max="21" width="12.125" bestFit="1" customWidth="1"/>
    <col min="22" max="22" width="17.375" bestFit="1" customWidth="1"/>
    <col min="23" max="25" width="12.125" bestFit="1" customWidth="1"/>
    <col min="26" max="26" width="20.125" bestFit="1" customWidth="1"/>
    <col min="27" max="27" width="14.125" bestFit="1" customWidth="1"/>
    <col min="28" max="28" width="7.125" bestFit="1" customWidth="1"/>
    <col min="29" max="32" width="12.125" bestFit="1" customWidth="1"/>
    <col min="33" max="33" width="10" bestFit="1" customWidth="1"/>
    <col min="34" max="34" width="12.125" bestFit="1" customWidth="1"/>
    <col min="35" max="35" width="7.125" bestFit="1" customWidth="1"/>
    <col min="36" max="37" width="12.125" bestFit="1" customWidth="1"/>
    <col min="38" max="38" width="17.375" bestFit="1" customWidth="1"/>
    <col min="39" max="40" width="12.125" bestFit="1" customWidth="1"/>
    <col min="41" max="41" width="5.25" bestFit="1" customWidth="1"/>
  </cols>
  <sheetData>
    <row r="1" spans="1:15" ht="17.25" x14ac:dyDescent="0.15">
      <c r="A1" s="174" t="s">
        <v>0</v>
      </c>
      <c r="B1" s="174" t="s">
        <v>86</v>
      </c>
      <c r="C1" s="174" t="s">
        <v>1094</v>
      </c>
      <c r="D1" s="175" t="s">
        <v>87</v>
      </c>
      <c r="E1" s="175" t="s">
        <v>88</v>
      </c>
      <c r="F1" s="176" t="s">
        <v>1096</v>
      </c>
      <c r="G1" s="176" t="s">
        <v>1097</v>
      </c>
      <c r="H1" s="175" t="s">
        <v>1099</v>
      </c>
      <c r="I1" s="173"/>
      <c r="J1" s="173"/>
      <c r="K1" s="177" t="s">
        <v>177</v>
      </c>
      <c r="L1" s="173" t="s">
        <v>48</v>
      </c>
      <c r="M1" s="173"/>
      <c r="N1" s="177" t="s">
        <v>177</v>
      </c>
      <c r="O1" s="173" t="s">
        <v>172</v>
      </c>
    </row>
    <row r="2" spans="1:15" ht="17.25" x14ac:dyDescent="0.15">
      <c r="A2" s="178" t="s">
        <v>1095</v>
      </c>
      <c r="B2" s="178">
        <v>6</v>
      </c>
      <c r="C2" s="178">
        <f>COUNTIFS(人员最新分组!J:J,A2,人员最新分组!G:G,"&lt;&gt;离场")</f>
        <v>6</v>
      </c>
      <c r="D2" s="178">
        <f>COUNTIFS(人员最新分组!J:J,LEFT(A2,LEN(A2)-2)&amp;"浮动",人员最新分组!G:G,"&lt;&gt;离场")</f>
        <v>3</v>
      </c>
      <c r="E2" s="178">
        <f>C2+D2</f>
        <v>9</v>
      </c>
      <c r="F2" s="179">
        <f>COUNTIFS(人员最新分组!J:J,A2,人员最新分组!G:G,"=离场")</f>
        <v>0</v>
      </c>
      <c r="G2" s="179">
        <f>COUNTIFS(人员最新分组!J:J,LEFT(A2,LEN(A2)-2)&amp;"浮动",人员最新分组!G:G,"=离场")</f>
        <v>2</v>
      </c>
      <c r="H2" s="173"/>
      <c r="I2" s="173"/>
      <c r="J2" s="173"/>
      <c r="K2" s="173"/>
      <c r="L2" s="173"/>
      <c r="M2" s="173"/>
      <c r="N2" s="173"/>
      <c r="O2" s="173"/>
    </row>
    <row r="3" spans="1:15" ht="17.25" x14ac:dyDescent="0.15">
      <c r="A3" s="178" t="s">
        <v>91</v>
      </c>
      <c r="B3" s="178">
        <v>9</v>
      </c>
      <c r="C3" s="178">
        <f>COUNTIFS(人员最新分组!J:J,A3,人员最新分组!G:G,"&lt;&gt;离场")</f>
        <v>9</v>
      </c>
      <c r="D3" s="178">
        <f>COUNTIFS(人员最新分组!J:J,LEFT(A3,LEN(A3)-2)&amp;"浮动",人员最新分组!G:G,"&lt;&gt;离场")</f>
        <v>0</v>
      </c>
      <c r="E3" s="178">
        <f t="shared" ref="E3:E21" si="0">C3+D3</f>
        <v>9</v>
      </c>
      <c r="F3" s="179">
        <f>COUNTIFS(人员最新分组!J:J,A3,人员最新分组!G:G,"=离场")</f>
        <v>1</v>
      </c>
      <c r="G3" s="179">
        <f>COUNTIFS(人员最新分组!J:J,LEFT(A3,LEN(A3)-2)&amp;"浮动",人员最新分组!G:G,"=离场")</f>
        <v>0</v>
      </c>
      <c r="H3" s="173"/>
      <c r="I3" s="173"/>
      <c r="J3" s="173"/>
      <c r="K3" s="177" t="s">
        <v>89</v>
      </c>
      <c r="L3" s="173" t="s">
        <v>50</v>
      </c>
      <c r="M3" s="173"/>
      <c r="N3" s="177" t="s">
        <v>89</v>
      </c>
      <c r="O3" s="173" t="s">
        <v>50</v>
      </c>
    </row>
    <row r="4" spans="1:15" ht="17.25" x14ac:dyDescent="0.15">
      <c r="A4" s="176" t="s">
        <v>93</v>
      </c>
      <c r="B4" s="176">
        <v>5</v>
      </c>
      <c r="C4" s="176">
        <f>COUNTIFS(人员最新分组!J:J,A4,人员最新分组!G:G,"&lt;&gt;离场")</f>
        <v>5</v>
      </c>
      <c r="D4" s="176">
        <f>COUNTIFS(人员最新分组!J:J,LEFT(A4,LEN(A4)-2)&amp;"浮动",人员最新分组!G:G,"&lt;&gt;离场")</f>
        <v>1</v>
      </c>
      <c r="E4" s="176">
        <f t="shared" si="0"/>
        <v>6</v>
      </c>
      <c r="F4" s="180">
        <f>COUNTIFS(人员最新分组!J:J,A4,人员最新分组!G:G,"=离场")</f>
        <v>0</v>
      </c>
      <c r="G4" s="180">
        <f>COUNTIFS(人员最新分组!J:J,LEFT(A4,LEN(A4)-2)&amp;"浮动",人员最新分组!G:G,"=离场")</f>
        <v>1</v>
      </c>
      <c r="H4" s="173"/>
      <c r="I4" s="173"/>
      <c r="J4" s="173"/>
      <c r="K4" s="181" t="s">
        <v>41</v>
      </c>
      <c r="L4" s="182">
        <v>12</v>
      </c>
      <c r="M4" s="173"/>
      <c r="N4" s="181" t="s">
        <v>41</v>
      </c>
      <c r="O4" s="182">
        <v>2</v>
      </c>
    </row>
    <row r="5" spans="1:15" ht="17.25" x14ac:dyDescent="0.15">
      <c r="A5" s="176" t="s">
        <v>95</v>
      </c>
      <c r="B5" s="176">
        <v>7</v>
      </c>
      <c r="C5" s="176">
        <f>COUNTIFS(人员最新分组!J:J,A5,人员最新分组!G:G,"&lt;&gt;离场")</f>
        <v>7</v>
      </c>
      <c r="D5" s="176">
        <f>COUNTIFS(人员最新分组!J:J,LEFT(A5,LEN(A5)-2)&amp;"浮动",人员最新分组!G:G,"&lt;&gt;离场")</f>
        <v>0</v>
      </c>
      <c r="E5" s="176">
        <f t="shared" si="0"/>
        <v>7</v>
      </c>
      <c r="F5" s="180">
        <f>COUNTIFS(人员最新分组!J:J,A5,人员最新分组!G:G,"=离场")</f>
        <v>1</v>
      </c>
      <c r="G5" s="180">
        <f>COUNTIFS(人员最新分组!J:J,LEFT(A5,LEN(A5)-2)&amp;"浮动",人员最新分组!G:G,"=离场")</f>
        <v>0</v>
      </c>
      <c r="H5" s="173"/>
      <c r="I5" s="173"/>
      <c r="J5" s="173"/>
      <c r="K5" s="181" t="s">
        <v>92</v>
      </c>
      <c r="L5" s="182">
        <v>1</v>
      </c>
      <c r="M5" s="173"/>
      <c r="N5" s="181" t="s">
        <v>92</v>
      </c>
      <c r="O5" s="182">
        <v>1</v>
      </c>
    </row>
    <row r="6" spans="1:15" ht="17.25" x14ac:dyDescent="0.15">
      <c r="A6" s="178" t="s">
        <v>96</v>
      </c>
      <c r="B6" s="178">
        <v>6</v>
      </c>
      <c r="C6" s="178">
        <f>COUNTIFS(人员最新分组!J:J,A6,人员最新分组!G:G,"&lt;&gt;离场")</f>
        <v>5</v>
      </c>
      <c r="D6" s="178">
        <f>COUNTIFS(人员最新分组!J:J,LEFT(A6,LEN(A6)-2)&amp;"浮动",人员最新分组!G:G,"&lt;&gt;离场")</f>
        <v>2</v>
      </c>
      <c r="E6" s="178">
        <f t="shared" si="0"/>
        <v>7</v>
      </c>
      <c r="F6" s="179">
        <f>COUNTIFS(人员最新分组!J:J,A6,人员最新分组!G:G,"=离场")</f>
        <v>2</v>
      </c>
      <c r="G6" s="179">
        <f>COUNTIFS(人员最新分组!J:J,LEFT(A6,LEN(A6)-2)&amp;"浮动",人员最新分组!G:G,"=离场")</f>
        <v>2</v>
      </c>
      <c r="H6" s="173"/>
      <c r="I6" s="173"/>
      <c r="J6" s="173"/>
      <c r="K6" s="181" t="s">
        <v>94</v>
      </c>
      <c r="L6" s="182">
        <v>2</v>
      </c>
      <c r="M6" s="173"/>
      <c r="N6" s="181" t="s">
        <v>94</v>
      </c>
      <c r="O6" s="182">
        <v>1</v>
      </c>
    </row>
    <row r="7" spans="1:15" ht="17.25" x14ac:dyDescent="0.15">
      <c r="A7" s="178" t="s">
        <v>98</v>
      </c>
      <c r="B7" s="178">
        <v>9</v>
      </c>
      <c r="C7" s="178">
        <f>COUNTIFS(人员最新分组!J:J,A7,人员最新分组!G:G,"&lt;&gt;离场")</f>
        <v>7</v>
      </c>
      <c r="D7" s="178">
        <f>COUNTIFS(人员最新分组!J:J,LEFT(A7,LEN(A7)-2)&amp;"浮动",人员最新分组!G:G,"&lt;&gt;离场")</f>
        <v>1</v>
      </c>
      <c r="E7" s="178">
        <f t="shared" si="0"/>
        <v>8</v>
      </c>
      <c r="F7" s="179">
        <f>COUNTIFS(人员最新分组!J:J,A7,人员最新分组!G:G,"=离场")</f>
        <v>2</v>
      </c>
      <c r="G7" s="179">
        <f>COUNTIFS(人员最新分组!J:J,LEFT(A7,LEN(A7)-2)&amp;"浮动",人员最新分组!G:G,"=离场")</f>
        <v>0</v>
      </c>
      <c r="H7" s="173"/>
      <c r="I7" s="173"/>
      <c r="J7" s="173"/>
      <c r="K7" s="181" t="s">
        <v>82</v>
      </c>
      <c r="L7" s="182">
        <v>16</v>
      </c>
      <c r="M7" s="173"/>
      <c r="N7" s="181" t="s">
        <v>97</v>
      </c>
      <c r="O7" s="182">
        <v>1</v>
      </c>
    </row>
    <row r="8" spans="1:15" ht="17.25" x14ac:dyDescent="0.15">
      <c r="A8" s="176" t="s">
        <v>100</v>
      </c>
      <c r="B8" s="176">
        <v>5</v>
      </c>
      <c r="C8" s="176">
        <f>COUNTIFS(人员最新分组!J:J,A8,人员最新分组!G:G,"&lt;&gt;离场")</f>
        <v>5</v>
      </c>
      <c r="D8" s="176">
        <f>COUNTIFS(人员最新分组!J:J,LEFT(A8,LEN(A8)-2)&amp;"浮动",人员最新分组!G:G,"&lt;&gt;离场")</f>
        <v>1</v>
      </c>
      <c r="E8" s="176">
        <f t="shared" si="0"/>
        <v>6</v>
      </c>
      <c r="F8" s="180">
        <f>COUNTIFS(人员最新分组!J:J,A8,人员最新分组!G:G,"=离场")</f>
        <v>1</v>
      </c>
      <c r="G8" s="180">
        <f>COUNTIFS(人员最新分组!J:J,LEFT(A8,LEN(A8)-2)&amp;"浮动",人员最新分组!G:G,"=离场")</f>
        <v>1</v>
      </c>
      <c r="H8" s="173"/>
      <c r="I8" s="173"/>
      <c r="J8" s="173"/>
      <c r="K8" s="181" t="s">
        <v>189</v>
      </c>
      <c r="L8" s="182">
        <v>16</v>
      </c>
      <c r="M8" s="173"/>
      <c r="N8" s="181" t="s">
        <v>106</v>
      </c>
      <c r="O8" s="182">
        <v>1</v>
      </c>
    </row>
    <row r="9" spans="1:15" ht="17.25" x14ac:dyDescent="0.15">
      <c r="A9" s="176" t="s">
        <v>102</v>
      </c>
      <c r="B9" s="176">
        <v>6</v>
      </c>
      <c r="C9" s="176">
        <f>COUNTIFS(人员最新分组!J:J,A9,人员最新分组!G:G,"&lt;&gt;离场")</f>
        <v>6</v>
      </c>
      <c r="D9" s="176">
        <f>COUNTIFS(人员最新分组!J:J,LEFT(A9,LEN(A9)-2)&amp;"浮动",人员最新分组!G:G,"&lt;&gt;离场")</f>
        <v>1</v>
      </c>
      <c r="E9" s="176">
        <f t="shared" si="0"/>
        <v>7</v>
      </c>
      <c r="F9" s="180">
        <f>COUNTIFS(人员最新分组!J:J,A9,人员最新分组!G:G,"=离场")</f>
        <v>0</v>
      </c>
      <c r="G9" s="180">
        <f>COUNTIFS(人员最新分组!J:J,LEFT(A9,LEN(A9)-2)&amp;"浮动",人员最新分组!G:G,"=离场")</f>
        <v>0</v>
      </c>
      <c r="H9" s="173"/>
      <c r="I9" s="173"/>
      <c r="J9" s="173"/>
      <c r="K9" s="181" t="s">
        <v>97</v>
      </c>
      <c r="L9" s="182">
        <v>2</v>
      </c>
      <c r="M9" s="173"/>
      <c r="N9" s="181" t="s">
        <v>100</v>
      </c>
      <c r="O9" s="182">
        <v>1</v>
      </c>
    </row>
    <row r="10" spans="1:15" ht="17.25" x14ac:dyDescent="0.15">
      <c r="A10" s="178" t="s">
        <v>104</v>
      </c>
      <c r="B10" s="178">
        <v>4</v>
      </c>
      <c r="C10" s="178">
        <f>COUNTIFS(人员最新分组!J:J,A10,人员最新分组!G:G,"&lt;&gt;离场")</f>
        <v>4</v>
      </c>
      <c r="D10" s="178">
        <f>COUNTIFS(人员最新分组!J:J,LEFT(A10,LEN(A10)-2)&amp;"浮动",人员最新分组!G:G,"&lt;&gt;离场")</f>
        <v>0</v>
      </c>
      <c r="E10" s="178">
        <f t="shared" si="0"/>
        <v>4</v>
      </c>
      <c r="F10" s="179">
        <f>COUNTIFS(人员最新分组!J:J,A10,人员最新分组!G:G,"=离场")</f>
        <v>0</v>
      </c>
      <c r="G10" s="179">
        <f>COUNTIFS(人员最新分组!J:J,LEFT(A10,LEN(A10)-2)&amp;"浮动",人员最新分组!G:G,"=离场")</f>
        <v>0</v>
      </c>
      <c r="H10" s="173"/>
      <c r="I10" s="173"/>
      <c r="J10" s="173"/>
      <c r="K10" s="181" t="s">
        <v>99</v>
      </c>
      <c r="L10" s="182">
        <v>5</v>
      </c>
      <c r="M10" s="173"/>
      <c r="N10" s="181" t="s">
        <v>95</v>
      </c>
      <c r="O10" s="182">
        <v>1</v>
      </c>
    </row>
    <row r="11" spans="1:15" ht="17.25" x14ac:dyDescent="0.15">
      <c r="A11" s="178" t="s">
        <v>105</v>
      </c>
      <c r="B11" s="178">
        <v>6</v>
      </c>
      <c r="C11" s="178">
        <f>COUNTIFS(人员最新分组!J:J,A11,人员最新分组!G:G,"&lt;&gt;离场")</f>
        <v>6</v>
      </c>
      <c r="D11" s="178">
        <f>COUNTIFS(人员最新分组!J:J,LEFT(A11,LEN(A11)-2)&amp;"浮动",人员最新分组!G:G,"&lt;&gt;离场")</f>
        <v>1</v>
      </c>
      <c r="E11" s="178">
        <f t="shared" si="0"/>
        <v>7</v>
      </c>
      <c r="F11" s="179">
        <f>COUNTIFS(人员最新分组!J:J,A11,人员最新分组!G:G,"=离场")</f>
        <v>0</v>
      </c>
      <c r="G11" s="179">
        <f>COUNTIFS(人员最新分组!J:J,LEFT(A11,LEN(A11)-2)&amp;"浮动",人员最新分组!G:G,"=离场")</f>
        <v>1</v>
      </c>
      <c r="H11" s="173"/>
      <c r="I11" s="173"/>
      <c r="J11" s="173"/>
      <c r="K11" s="181" t="s">
        <v>101</v>
      </c>
      <c r="L11" s="182">
        <v>1</v>
      </c>
      <c r="M11" s="173"/>
      <c r="N11" s="181" t="s">
        <v>111</v>
      </c>
      <c r="O11" s="182">
        <v>1</v>
      </c>
    </row>
    <row r="12" spans="1:15" ht="17.25" x14ac:dyDescent="0.15">
      <c r="A12" s="174" t="s">
        <v>107</v>
      </c>
      <c r="B12" s="174">
        <v>6</v>
      </c>
      <c r="C12" s="174">
        <f>COUNTIFS(人员最新分组!J:J,A12,人员最新分组!G:G,"&lt;&gt;离场")</f>
        <v>6</v>
      </c>
      <c r="D12" s="174">
        <f>COUNTIFS(人员最新分组!J:J,LEFT(A12,LEN(A12)-2)&amp;"浮动",人员最新分组!G:G,"&lt;&gt;离场")</f>
        <v>0</v>
      </c>
      <c r="E12" s="174">
        <f t="shared" si="0"/>
        <v>6</v>
      </c>
      <c r="F12" s="183">
        <f>COUNTIFS(人员最新分组!J:J,A12,人员最新分组!G:G,"=离场")</f>
        <v>0</v>
      </c>
      <c r="G12" s="183">
        <f>COUNTIFS(人员最新分组!J:J,LEFT(A12,LEN(A12)-2)&amp;"浮动",人员最新分组!G:G,"=离场")</f>
        <v>0</v>
      </c>
      <c r="H12" s="173"/>
      <c r="I12" s="173"/>
      <c r="J12" s="173"/>
      <c r="K12" s="181" t="s">
        <v>103</v>
      </c>
      <c r="L12" s="182">
        <v>16</v>
      </c>
      <c r="M12" s="173"/>
      <c r="N12" s="181" t="s">
        <v>118</v>
      </c>
      <c r="O12" s="182">
        <v>1</v>
      </c>
    </row>
    <row r="13" spans="1:15" ht="17.25" x14ac:dyDescent="0.15">
      <c r="A13" s="178" t="s">
        <v>108</v>
      </c>
      <c r="B13" s="178">
        <v>9</v>
      </c>
      <c r="C13" s="178">
        <f>COUNTIFS(人员最新分组!J:J,A13,人员最新分组!G:G,"&lt;&gt;离场")</f>
        <v>6</v>
      </c>
      <c r="D13" s="178">
        <f>COUNTIFS(人员最新分组!J:J,LEFT(A13,LEN(A13)-2)&amp;"浮动",人员最新分组!G:G,"&lt;&gt;离场")</f>
        <v>0</v>
      </c>
      <c r="E13" s="178">
        <f t="shared" si="0"/>
        <v>6</v>
      </c>
      <c r="F13" s="179">
        <f>COUNTIFS(人员最新分组!J:J,A13,人员最新分组!G:G,"=离场")</f>
        <v>3</v>
      </c>
      <c r="G13" s="179">
        <f>COUNTIFS(人员最新分组!J:J,LEFT(A13,LEN(A13)-2)&amp;"浮动",人员最新分组!G:G,"=离场")</f>
        <v>0</v>
      </c>
      <c r="H13" s="173"/>
      <c r="I13" s="173"/>
      <c r="J13" s="173"/>
      <c r="K13" s="181" t="s">
        <v>102</v>
      </c>
      <c r="L13" s="182">
        <v>6</v>
      </c>
      <c r="M13" s="173"/>
      <c r="N13" s="181" t="s">
        <v>108</v>
      </c>
      <c r="O13" s="182">
        <v>2</v>
      </c>
    </row>
    <row r="14" spans="1:15" ht="17.25" x14ac:dyDescent="0.15">
      <c r="A14" s="174" t="s">
        <v>103</v>
      </c>
      <c r="B14" s="174">
        <v>16</v>
      </c>
      <c r="C14" s="174">
        <f>COUNTIFS(人员最新分组!J:J,A14,人员最新分组!G:G,"&lt;&gt;离场")</f>
        <v>16</v>
      </c>
      <c r="D14" s="174">
        <f>COUNTIFS(人员最新分组!J:J,LEFT(A14,LEN(A14)-2)&amp;"浮动",人员最新分组!G:G,"&lt;&gt;离场")</f>
        <v>2</v>
      </c>
      <c r="E14" s="174">
        <f t="shared" si="0"/>
        <v>18</v>
      </c>
      <c r="F14" s="183">
        <f>COUNTIFS(人员最新分组!J:J,A14,人员最新分组!G:G,"=离场")</f>
        <v>0</v>
      </c>
      <c r="G14" s="183">
        <f>COUNTIFS(人员最新分组!J:J,LEFT(A14,LEN(A14)-2)&amp;"浮动",人员最新分组!G:G,"=离场")</f>
        <v>0</v>
      </c>
      <c r="H14" s="173"/>
      <c r="I14" s="173"/>
      <c r="J14" s="173"/>
      <c r="K14" s="181" t="s">
        <v>106</v>
      </c>
      <c r="L14" s="182">
        <v>1</v>
      </c>
      <c r="M14" s="173"/>
      <c r="N14" s="181" t="s">
        <v>98</v>
      </c>
      <c r="O14" s="182">
        <v>2</v>
      </c>
    </row>
    <row r="15" spans="1:15" ht="17.25" x14ac:dyDescent="0.15">
      <c r="A15" s="178" t="s">
        <v>109</v>
      </c>
      <c r="B15" s="178">
        <v>15</v>
      </c>
      <c r="C15" s="178">
        <f>COUNTIFS(人员最新分组!J:J,A15,人员最新分组!G:G,"&lt;&gt;离场")</f>
        <v>13</v>
      </c>
      <c r="D15" s="178">
        <f>COUNTIFS(人员最新分组!J:J,LEFT(A15,LEN(A15)-2)&amp;"浮动",人员最新分组!G:G,"&lt;&gt;离场")</f>
        <v>4</v>
      </c>
      <c r="E15" s="178">
        <f t="shared" si="0"/>
        <v>17</v>
      </c>
      <c r="F15" s="179">
        <f>COUNTIFS(人员最新分组!J:J,A15,人员最新分组!G:G,"=离场")</f>
        <v>2</v>
      </c>
      <c r="G15" s="179">
        <f>COUNTIFS(人员最新分组!J:J,LEFT(A15,LEN(A15)-2)&amp;"浮动",人员最新分组!G:G,"=离场")</f>
        <v>1</v>
      </c>
      <c r="H15" s="173"/>
      <c r="I15" s="173"/>
      <c r="J15" s="173"/>
      <c r="K15" s="181" t="s">
        <v>100</v>
      </c>
      <c r="L15" s="182">
        <v>5</v>
      </c>
      <c r="M15" s="173"/>
      <c r="N15" s="181" t="s">
        <v>114</v>
      </c>
      <c r="O15" s="182">
        <v>2</v>
      </c>
    </row>
    <row r="16" spans="1:15" ht="17.25" x14ac:dyDescent="0.15">
      <c r="A16" s="174" t="s">
        <v>110</v>
      </c>
      <c r="B16" s="174">
        <v>19</v>
      </c>
      <c r="C16" s="174">
        <f>COUNTIFS(人员最新分组!J:J,A16,人员最新分组!G:G,"&lt;&gt;离场")</f>
        <v>19</v>
      </c>
      <c r="D16" s="174">
        <f>COUNTIFS(人员最新分组!J:J,LEFT(A16,LEN(A16)-2)&amp;"浮动",人员最新分组!G:G,"&lt;&gt;离场")</f>
        <v>2</v>
      </c>
      <c r="E16" s="174">
        <f t="shared" si="0"/>
        <v>21</v>
      </c>
      <c r="F16" s="183">
        <f>COUNTIFS(人员最新分组!J:J,A16,人员最新分组!G:G,"=离场")</f>
        <v>0</v>
      </c>
      <c r="G16" s="183">
        <f>COUNTIFS(人员最新分组!J:J,LEFT(A16,LEN(A16)-2)&amp;"浮动",人员最新分组!G:G,"=离场")</f>
        <v>1</v>
      </c>
      <c r="H16" s="173"/>
      <c r="I16" s="173"/>
      <c r="J16" s="173"/>
      <c r="K16" s="181" t="s">
        <v>107</v>
      </c>
      <c r="L16" s="182">
        <v>6</v>
      </c>
      <c r="M16" s="173"/>
      <c r="N16" s="181" t="s">
        <v>96</v>
      </c>
      <c r="O16" s="182">
        <v>1</v>
      </c>
    </row>
    <row r="17" spans="1:15" ht="17.25" x14ac:dyDescent="0.15">
      <c r="A17" s="178" t="s">
        <v>99</v>
      </c>
      <c r="B17" s="178">
        <v>5</v>
      </c>
      <c r="C17" s="178">
        <f>COUNTIFS(人员最新分组!J:J,A17,人员最新分组!G:G,"&lt;&gt;离场")</f>
        <v>5</v>
      </c>
      <c r="D17" s="178">
        <f>COUNTIFS(人员最新分组!J:J,LEFT(A17,LEN(A17)-2)&amp;"浮动",人员最新分组!G:G,"&lt;&gt;离场")</f>
        <v>3</v>
      </c>
      <c r="E17" s="178">
        <f t="shared" si="0"/>
        <v>8</v>
      </c>
      <c r="F17" s="179">
        <f>COUNTIFS(人员最新分组!J:J,A17,人员最新分组!G:G,"=离场")</f>
        <v>0</v>
      </c>
      <c r="G17" s="179">
        <f>COUNTIFS(人员最新分组!J:J,LEFT(A17,LEN(A17)-2)&amp;"浮动",人员最新分组!G:G,"=离场")</f>
        <v>1</v>
      </c>
      <c r="H17" s="173"/>
      <c r="I17" s="173"/>
      <c r="J17" s="173"/>
      <c r="K17" s="181" t="s">
        <v>95</v>
      </c>
      <c r="L17" s="182">
        <v>7</v>
      </c>
      <c r="M17" s="173"/>
      <c r="N17" s="181" t="s">
        <v>91</v>
      </c>
      <c r="O17" s="182">
        <v>1</v>
      </c>
    </row>
    <row r="18" spans="1:15" ht="17.25" x14ac:dyDescent="0.15">
      <c r="A18" s="184" t="s">
        <v>40</v>
      </c>
      <c r="B18" s="184">
        <f>SUM(B2:B17)</f>
        <v>133</v>
      </c>
      <c r="C18" s="184">
        <f>SUM(C2:C17)</f>
        <v>125</v>
      </c>
      <c r="D18" s="184">
        <f>SUM(D2:D17)</f>
        <v>21</v>
      </c>
      <c r="E18" s="184">
        <f t="shared" si="0"/>
        <v>146</v>
      </c>
      <c r="F18" s="185"/>
      <c r="G18" s="185"/>
      <c r="H18" s="173"/>
      <c r="I18" s="173"/>
      <c r="J18" s="173"/>
      <c r="K18" s="181" t="s">
        <v>93</v>
      </c>
      <c r="L18" s="182">
        <v>5</v>
      </c>
      <c r="M18" s="173"/>
      <c r="N18" s="181" t="s">
        <v>116</v>
      </c>
      <c r="O18" s="182">
        <v>2</v>
      </c>
    </row>
    <row r="19" spans="1:15" ht="17.25" x14ac:dyDescent="0.15">
      <c r="A19" s="186" t="s">
        <v>41</v>
      </c>
      <c r="B19" s="186">
        <v>14</v>
      </c>
      <c r="C19" s="186">
        <f>COUNTIFS(人员最新分组!J:J,A19,人员最新分组!G:G,"&lt;&gt;离场")</f>
        <v>12</v>
      </c>
      <c r="D19" s="186">
        <f>COUNTIFS(人员最新分组!J:J,"版本公共*浮动",人员最新分组!G:G,"&lt;&gt;离场")</f>
        <v>3</v>
      </c>
      <c r="E19" s="187">
        <f t="shared" si="0"/>
        <v>15</v>
      </c>
      <c r="F19" s="188">
        <f>COUNTIFS(人员最新分组!J:J,A19,人员最新分组!G:G,"=离场")</f>
        <v>2</v>
      </c>
      <c r="G19" s="188">
        <f>COUNTIFS(人员最新分组!J:J,"版本公共*浮动",人员最新分组!G:G,"=离场")</f>
        <v>2</v>
      </c>
      <c r="H19" s="173"/>
      <c r="I19" s="173"/>
      <c r="J19" s="173"/>
      <c r="K19" s="181" t="s">
        <v>105</v>
      </c>
      <c r="L19" s="182">
        <v>6</v>
      </c>
      <c r="M19" s="173"/>
      <c r="N19" s="181" t="s">
        <v>117</v>
      </c>
      <c r="O19" s="182">
        <v>1</v>
      </c>
    </row>
    <row r="20" spans="1:15" ht="17.25" x14ac:dyDescent="0.15">
      <c r="A20" s="186" t="s">
        <v>112</v>
      </c>
      <c r="B20" s="186">
        <v>19</v>
      </c>
      <c r="C20" s="186">
        <f>COUNTIFS(人员最新分组!J:J,A20,人员最新分组!G:G,"&lt;&gt;离场")</f>
        <v>19</v>
      </c>
      <c r="D20" s="189"/>
      <c r="E20" s="187">
        <f t="shared" si="0"/>
        <v>19</v>
      </c>
      <c r="F20" s="188">
        <f>COUNTIFS(人员最新分组!J:J,A20,人员最新分组!G:G,"=离场")</f>
        <v>0</v>
      </c>
      <c r="G20" s="188"/>
      <c r="H20" s="173"/>
      <c r="I20" s="173"/>
      <c r="J20" s="173"/>
      <c r="K20" s="181" t="s">
        <v>104</v>
      </c>
      <c r="L20" s="182">
        <v>4</v>
      </c>
      <c r="M20" s="173"/>
      <c r="N20" s="181" t="s">
        <v>109</v>
      </c>
      <c r="O20" s="182">
        <v>2</v>
      </c>
    </row>
    <row r="21" spans="1:15" ht="17.25" x14ac:dyDescent="0.15">
      <c r="A21" s="186" t="s">
        <v>1100</v>
      </c>
      <c r="B21" s="186">
        <v>16</v>
      </c>
      <c r="C21" s="186">
        <f>COUNTIFS(人员最新分组!J:J,RIGHT(A21,3),人员最新分组!G:G,"&lt;&gt;离场")</f>
        <v>16</v>
      </c>
      <c r="D21" s="186"/>
      <c r="E21" s="187">
        <f t="shared" si="0"/>
        <v>16</v>
      </c>
      <c r="F21" s="188">
        <f>COUNTIFS(人员最新分组!J:J,RIGHT(A21,3),人员最新分组!G:G,"=离场")</f>
        <v>0</v>
      </c>
      <c r="G21" s="188"/>
      <c r="H21" s="173"/>
      <c r="I21" s="173"/>
      <c r="J21" s="173"/>
      <c r="K21" s="181" t="s">
        <v>108</v>
      </c>
      <c r="L21" s="182">
        <v>7</v>
      </c>
      <c r="M21" s="173"/>
      <c r="N21" s="181" t="s">
        <v>67</v>
      </c>
      <c r="O21" s="182">
        <v>23</v>
      </c>
    </row>
    <row r="22" spans="1:15" ht="17.25" x14ac:dyDescent="0.15">
      <c r="A22" s="190" t="s">
        <v>1102</v>
      </c>
      <c r="B22" s="191"/>
      <c r="C22" s="191"/>
      <c r="D22" s="191"/>
      <c r="E22" s="191">
        <f>SUM(E18:E21)</f>
        <v>196</v>
      </c>
      <c r="F22" s="191"/>
      <c r="G22" s="191"/>
      <c r="H22" s="173"/>
      <c r="I22" s="173"/>
      <c r="J22" s="173"/>
      <c r="K22" s="181" t="s">
        <v>112</v>
      </c>
      <c r="L22" s="182">
        <v>19</v>
      </c>
      <c r="M22" s="173"/>
      <c r="N22" s="173"/>
      <c r="O22" s="173"/>
    </row>
    <row r="23" spans="1:15" ht="17.25" x14ac:dyDescent="0.15">
      <c r="A23" s="192" t="s">
        <v>1101</v>
      </c>
      <c r="B23" s="173"/>
      <c r="C23" s="173"/>
      <c r="D23" s="173"/>
      <c r="E23" s="192">
        <f>COUNTIFS(人员最新分组!J:J,"",人员最新分组!G:G,"&lt;&gt;离场",人员最新分组!G:G,"&lt;&gt;")</f>
        <v>6</v>
      </c>
      <c r="F23" s="173"/>
      <c r="G23" s="173"/>
      <c r="H23" s="173"/>
      <c r="I23" s="173"/>
      <c r="J23" s="173"/>
      <c r="K23" s="181" t="s">
        <v>113</v>
      </c>
      <c r="L23" s="182">
        <v>1</v>
      </c>
      <c r="M23" s="173"/>
      <c r="N23" s="173"/>
      <c r="O23" s="173"/>
    </row>
    <row r="24" spans="1:15" ht="17.25" x14ac:dyDescent="0.15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81" t="s">
        <v>98</v>
      </c>
      <c r="L24" s="182">
        <v>7</v>
      </c>
      <c r="M24" s="173"/>
      <c r="N24" s="173"/>
      <c r="O24" s="173"/>
    </row>
    <row r="25" spans="1:15" ht="17.25" x14ac:dyDescent="0.15">
      <c r="A25" s="173"/>
      <c r="B25" s="173"/>
      <c r="C25" s="173"/>
      <c r="D25" s="173"/>
      <c r="E25" s="173"/>
      <c r="F25" s="173"/>
      <c r="G25" s="173"/>
      <c r="H25" s="173"/>
      <c r="I25" s="173"/>
      <c r="J25" s="173"/>
      <c r="K25" s="181" t="s">
        <v>96</v>
      </c>
      <c r="L25" s="182">
        <v>5</v>
      </c>
      <c r="M25" s="173"/>
      <c r="N25" s="173"/>
      <c r="O25" s="173"/>
    </row>
    <row r="26" spans="1:15" ht="17.25" x14ac:dyDescent="0.15">
      <c r="A26" s="173" t="s">
        <v>1103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81" t="s">
        <v>115</v>
      </c>
      <c r="L26" s="182">
        <v>3</v>
      </c>
      <c r="M26" s="173"/>
      <c r="N26" s="173"/>
      <c r="O26" s="173"/>
    </row>
    <row r="27" spans="1:15" ht="17.25" x14ac:dyDescent="0.15">
      <c r="A27" s="173"/>
      <c r="B27" s="173"/>
      <c r="C27" s="173"/>
      <c r="D27" s="173"/>
      <c r="E27" s="173"/>
      <c r="F27" s="173"/>
      <c r="G27" s="173"/>
      <c r="H27" s="173"/>
      <c r="I27" s="173"/>
      <c r="J27" s="173"/>
      <c r="K27" s="181" t="s">
        <v>110</v>
      </c>
      <c r="L27" s="182">
        <v>19</v>
      </c>
      <c r="M27" s="173"/>
      <c r="N27" s="173"/>
      <c r="O27" s="173"/>
    </row>
    <row r="28" spans="1:15" ht="17.25" x14ac:dyDescent="0.15">
      <c r="A28" s="173"/>
      <c r="B28" s="173"/>
      <c r="C28" s="173"/>
      <c r="D28" s="173"/>
      <c r="E28" s="173"/>
      <c r="F28" s="173"/>
      <c r="G28" s="173"/>
      <c r="H28" s="173"/>
      <c r="I28" s="173"/>
      <c r="J28" s="173"/>
      <c r="K28" s="181" t="s">
        <v>91</v>
      </c>
      <c r="L28" s="182">
        <v>8</v>
      </c>
      <c r="M28" s="173"/>
      <c r="N28" s="173"/>
      <c r="O28" s="173"/>
    </row>
    <row r="29" spans="1:15" ht="17.25" x14ac:dyDescent="0.15">
      <c r="A29" s="173"/>
      <c r="B29" s="173"/>
      <c r="C29" s="173"/>
      <c r="D29" s="173"/>
      <c r="E29" s="173"/>
      <c r="F29" s="173"/>
      <c r="G29" s="173"/>
      <c r="H29" s="173"/>
      <c r="I29" s="173"/>
      <c r="J29" s="173"/>
      <c r="K29" s="181" t="s">
        <v>90</v>
      </c>
      <c r="L29" s="182">
        <v>6</v>
      </c>
      <c r="M29" s="173"/>
      <c r="N29" s="173"/>
      <c r="O29" s="173"/>
    </row>
    <row r="30" spans="1:15" ht="17.25" x14ac:dyDescent="0.15">
      <c r="A30" s="173"/>
      <c r="B30" s="173"/>
      <c r="C30" s="173"/>
      <c r="D30" s="173"/>
      <c r="E30" s="173"/>
      <c r="F30" s="173"/>
      <c r="G30" s="173"/>
      <c r="H30" s="173"/>
      <c r="I30" s="173"/>
      <c r="J30" s="173"/>
      <c r="K30" s="181" t="s">
        <v>117</v>
      </c>
      <c r="L30" s="182">
        <v>2</v>
      </c>
      <c r="M30" s="173"/>
      <c r="N30" s="173"/>
      <c r="O30" s="173"/>
    </row>
    <row r="31" spans="1:15" ht="17.25" x14ac:dyDescent="0.15">
      <c r="A31" s="173"/>
      <c r="B31" s="173"/>
      <c r="C31" s="173"/>
      <c r="D31" s="173"/>
      <c r="E31" s="173"/>
      <c r="F31" s="173"/>
      <c r="G31" s="173"/>
      <c r="H31" s="173"/>
      <c r="I31" s="173"/>
      <c r="J31" s="173"/>
      <c r="K31" s="181" t="s">
        <v>109</v>
      </c>
      <c r="L31" s="182">
        <v>13</v>
      </c>
      <c r="M31" s="173"/>
      <c r="N31" s="173"/>
      <c r="O31" s="173"/>
    </row>
    <row r="32" spans="1:15" ht="17.25" x14ac:dyDescent="0.15">
      <c r="A32" s="173"/>
      <c r="B32" s="173"/>
      <c r="C32" s="173"/>
      <c r="D32" s="173"/>
      <c r="E32" s="173"/>
      <c r="F32" s="173"/>
      <c r="G32" s="173"/>
      <c r="H32" s="173"/>
      <c r="I32" s="173"/>
      <c r="J32" s="173"/>
      <c r="K32" s="181" t="s">
        <v>70</v>
      </c>
      <c r="L32" s="182">
        <v>18</v>
      </c>
      <c r="M32" s="173"/>
      <c r="N32" s="173"/>
      <c r="O32" s="173"/>
    </row>
    <row r="33" spans="1:15" ht="17.25" x14ac:dyDescent="0.15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81" t="s">
        <v>67</v>
      </c>
      <c r="L33" s="182">
        <v>219</v>
      </c>
      <c r="M33" s="173"/>
      <c r="N33" s="173"/>
      <c r="O33" s="173"/>
    </row>
    <row r="34" spans="1:15" ht="17.25" x14ac:dyDescent="0.15">
      <c r="A34" s="173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</row>
    <row r="35" spans="1:15" ht="17.25" x14ac:dyDescent="0.15">
      <c r="A35" s="173"/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</row>
    <row r="36" spans="1:15" ht="17.25" x14ac:dyDescent="0.15">
      <c r="A36" s="173"/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</row>
  </sheetData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54"/>
  <sheetViews>
    <sheetView topLeftCell="A13" zoomScale="130" zoomScaleNormal="130" workbookViewId="0">
      <selection activeCell="B19" sqref="B19"/>
    </sheetView>
  </sheetViews>
  <sheetFormatPr defaultColWidth="8.625" defaultRowHeight="14.25" x14ac:dyDescent="0.15"/>
  <cols>
    <col min="1" max="1" width="43.875" customWidth="1"/>
    <col min="2" max="2" width="13.875" customWidth="1"/>
    <col min="3" max="3" width="8.875" customWidth="1"/>
    <col min="4" max="4" width="12.25" customWidth="1"/>
    <col min="5" max="5" width="24.375" customWidth="1"/>
    <col min="6" max="6" width="9.875" customWidth="1"/>
    <col min="7" max="7" width="6.5" customWidth="1"/>
    <col min="8" max="8" width="6.125" customWidth="1"/>
    <col min="10" max="10" width="12.375" customWidth="1"/>
    <col min="11" max="11" width="9.875" customWidth="1"/>
    <col min="12" max="12" width="8.875" customWidth="1"/>
  </cols>
  <sheetData>
    <row r="1" spans="1:18" x14ac:dyDescent="0.15">
      <c r="A1" s="171" t="s">
        <v>47</v>
      </c>
      <c r="B1" t="s">
        <v>48</v>
      </c>
      <c r="C1" s="37" t="s">
        <v>119</v>
      </c>
      <c r="D1" s="37" t="s">
        <v>120</v>
      </c>
      <c r="E1" s="37" t="s">
        <v>121</v>
      </c>
    </row>
    <row r="3" spans="1:18" x14ac:dyDescent="0.15">
      <c r="A3" s="171" t="s">
        <v>89</v>
      </c>
      <c r="B3" t="s">
        <v>50</v>
      </c>
      <c r="E3" s="144" t="s">
        <v>122</v>
      </c>
      <c r="F3" s="144" t="s">
        <v>123</v>
      </c>
    </row>
    <row r="4" spans="1:18" x14ac:dyDescent="0.15">
      <c r="A4" s="34" t="s">
        <v>124</v>
      </c>
      <c r="B4" s="15">
        <v>1</v>
      </c>
      <c r="E4" s="37" t="s">
        <v>125</v>
      </c>
      <c r="F4">
        <v>0</v>
      </c>
    </row>
    <row r="5" spans="1:18" x14ac:dyDescent="0.15">
      <c r="A5" s="145" t="s">
        <v>126</v>
      </c>
      <c r="B5" s="15">
        <v>1</v>
      </c>
      <c r="E5" s="37" t="s">
        <v>127</v>
      </c>
      <c r="F5">
        <v>0</v>
      </c>
    </row>
    <row r="6" spans="1:18" x14ac:dyDescent="0.15">
      <c r="A6" s="34" t="s">
        <v>138</v>
      </c>
      <c r="B6" s="15">
        <v>21</v>
      </c>
      <c r="E6" s="37" t="s">
        <v>129</v>
      </c>
      <c r="F6">
        <v>0</v>
      </c>
      <c r="P6" s="37" t="s">
        <v>130</v>
      </c>
    </row>
    <row r="7" spans="1:18" x14ac:dyDescent="0.15">
      <c r="A7" s="145" t="s">
        <v>1149</v>
      </c>
      <c r="B7" s="15">
        <v>6</v>
      </c>
      <c r="E7" s="37" t="s">
        <v>124</v>
      </c>
      <c r="F7">
        <f>GETPIVOTDATA("姓名",$A$3,"所属版本NEW","V151")+GETPIVOTDATA("姓名",$A$3,"所属版本NEW","V151南向通")+GETPIVOTDATA("姓名",$A$3,"所属版本NEW","V162")</f>
        <v>24</v>
      </c>
      <c r="P7" s="148" t="s">
        <v>132</v>
      </c>
      <c r="Q7" s="148" t="s">
        <v>133</v>
      </c>
      <c r="R7" s="148" t="s">
        <v>134</v>
      </c>
    </row>
    <row r="8" spans="1:18" x14ac:dyDescent="0.15">
      <c r="A8" s="145" t="s">
        <v>1090</v>
      </c>
      <c r="B8" s="15">
        <v>4</v>
      </c>
      <c r="E8" s="37" t="s">
        <v>135</v>
      </c>
      <c r="F8">
        <f>GETPIVOTDATA("姓名",$A$3,"所属版本NEW","V153")</f>
        <v>47</v>
      </c>
      <c r="P8" s="149">
        <v>5</v>
      </c>
      <c r="Q8" s="149">
        <v>10</v>
      </c>
      <c r="R8" s="149">
        <v>15</v>
      </c>
    </row>
    <row r="9" spans="1:18" x14ac:dyDescent="0.15">
      <c r="A9" s="145" t="s">
        <v>1088</v>
      </c>
      <c r="B9" s="15">
        <v>6</v>
      </c>
      <c r="E9" s="37" t="s">
        <v>136</v>
      </c>
      <c r="F9">
        <f>GETPIVOTDATA("姓名",$A$3,"所属版本NEW","V160")</f>
        <v>71</v>
      </c>
      <c r="P9" s="37" t="s">
        <v>137</v>
      </c>
    </row>
    <row r="10" spans="1:18" x14ac:dyDescent="0.15">
      <c r="A10" s="145" t="s">
        <v>144</v>
      </c>
      <c r="B10" s="15">
        <v>4</v>
      </c>
      <c r="E10" s="37" t="s">
        <v>139</v>
      </c>
      <c r="F10">
        <f>GETPIVOTDATA("姓名",$A$3,"所属版本NEW",)</f>
        <v>12</v>
      </c>
      <c r="P10" s="148" t="s">
        <v>132</v>
      </c>
      <c r="Q10" s="148" t="s">
        <v>133</v>
      </c>
      <c r="R10" s="148" t="s">
        <v>134</v>
      </c>
    </row>
    <row r="11" spans="1:18" x14ac:dyDescent="0.15">
      <c r="A11" s="145" t="s">
        <v>1152</v>
      </c>
      <c r="B11" s="15">
        <v>1</v>
      </c>
      <c r="E11" s="37" t="s">
        <v>141</v>
      </c>
      <c r="F11" s="37">
        <f>GETPIVOTDATA("姓名",$A$3,"所属版本NEW","排错组")+GETPIVOTDATA("姓名",$A$3,"所属版本NEW","配置管理")+GETPIVOTDATA("姓名",$A$3,"所属版本NEW","守门员")+GETPIVOTDATA("姓名",$A$3,"所属版本NEW","数据分析")</f>
        <v>36</v>
      </c>
      <c r="G11">
        <v>40</v>
      </c>
      <c r="H11">
        <v>43</v>
      </c>
      <c r="P11" s="149">
        <v>52</v>
      </c>
      <c r="Q11" s="149">
        <v>56</v>
      </c>
      <c r="R11" s="149">
        <v>60</v>
      </c>
    </row>
    <row r="12" spans="1:18" x14ac:dyDescent="0.15">
      <c r="A12" s="34" t="s">
        <v>135</v>
      </c>
      <c r="B12" s="15">
        <v>47</v>
      </c>
      <c r="E12" s="37" t="s">
        <v>143</v>
      </c>
      <c r="F12">
        <f>GETPIVOTDATA("姓名",$A$3,"所属版本NEW","版本共享")</f>
        <v>5</v>
      </c>
    </row>
    <row r="13" spans="1:18" x14ac:dyDescent="0.15">
      <c r="A13" s="145" t="s">
        <v>149</v>
      </c>
      <c r="B13" s="15">
        <v>14</v>
      </c>
      <c r="E13" s="37" t="s">
        <v>145</v>
      </c>
      <c r="F13">
        <v>0</v>
      </c>
    </row>
    <row r="14" spans="1:18" x14ac:dyDescent="0.15">
      <c r="A14" s="145" t="s">
        <v>150</v>
      </c>
      <c r="B14" s="15">
        <v>15</v>
      </c>
      <c r="E14" s="37" t="s">
        <v>146</v>
      </c>
      <c r="F14">
        <f>GETPIVOTDATA("姓名",$A$3,"所属版本NEW","新人")</f>
        <v>7</v>
      </c>
    </row>
    <row r="15" spans="1:18" x14ac:dyDescent="0.15">
      <c r="A15" s="145" t="s">
        <v>151</v>
      </c>
      <c r="B15" s="15">
        <v>3</v>
      </c>
      <c r="E15" s="37" t="s">
        <v>148</v>
      </c>
      <c r="F15">
        <f>GETPIVOTDATA("姓名",$A$3,"所属版本NEW","产假")</f>
        <v>4</v>
      </c>
    </row>
    <row r="16" spans="1:18" x14ac:dyDescent="0.15">
      <c r="A16" s="145" t="s">
        <v>152</v>
      </c>
      <c r="B16" s="15">
        <v>15</v>
      </c>
      <c r="E16" s="146" t="s">
        <v>67</v>
      </c>
      <c r="F16" s="147">
        <f>SUM(F4:F15)</f>
        <v>206</v>
      </c>
    </row>
    <row r="17" spans="1:2" x14ac:dyDescent="0.15">
      <c r="A17" s="34" t="s">
        <v>136</v>
      </c>
      <c r="B17" s="15">
        <v>71</v>
      </c>
    </row>
    <row r="18" spans="1:2" x14ac:dyDescent="0.15">
      <c r="A18" s="145" t="s">
        <v>1038</v>
      </c>
      <c r="B18" s="15">
        <v>8</v>
      </c>
    </row>
    <row r="19" spans="1:2" x14ac:dyDescent="0.15">
      <c r="A19" s="145" t="s">
        <v>1039</v>
      </c>
      <c r="B19" s="15">
        <v>14</v>
      </c>
    </row>
    <row r="20" spans="1:2" x14ac:dyDescent="0.15">
      <c r="A20" s="145" t="s">
        <v>1177</v>
      </c>
      <c r="B20" s="15">
        <v>2</v>
      </c>
    </row>
    <row r="21" spans="1:2" x14ac:dyDescent="0.15">
      <c r="A21" s="145" t="s">
        <v>1158</v>
      </c>
      <c r="B21" s="15">
        <v>3</v>
      </c>
    </row>
    <row r="22" spans="1:2" x14ac:dyDescent="0.15">
      <c r="A22" s="145" t="s">
        <v>1127</v>
      </c>
      <c r="B22" s="15">
        <v>12</v>
      </c>
    </row>
    <row r="23" spans="1:2" x14ac:dyDescent="0.15">
      <c r="A23" s="145" t="s">
        <v>1129</v>
      </c>
      <c r="B23" s="15">
        <v>14</v>
      </c>
    </row>
    <row r="24" spans="1:2" x14ac:dyDescent="0.15">
      <c r="A24" s="145" t="s">
        <v>1131</v>
      </c>
      <c r="B24" s="15">
        <v>15</v>
      </c>
    </row>
    <row r="25" spans="1:2" x14ac:dyDescent="0.15">
      <c r="A25" s="145" t="s">
        <v>70</v>
      </c>
      <c r="B25" s="15">
        <v>3</v>
      </c>
    </row>
    <row r="26" spans="1:2" x14ac:dyDescent="0.15">
      <c r="A26" s="34" t="s">
        <v>1061</v>
      </c>
      <c r="B26" s="15">
        <v>2</v>
      </c>
    </row>
    <row r="27" spans="1:2" x14ac:dyDescent="0.15">
      <c r="A27" s="145" t="s">
        <v>1136</v>
      </c>
      <c r="B27" s="15">
        <v>2</v>
      </c>
    </row>
    <row r="28" spans="1:2" x14ac:dyDescent="0.15">
      <c r="A28" s="34" t="s">
        <v>162</v>
      </c>
      <c r="B28" s="15">
        <v>5</v>
      </c>
    </row>
    <row r="29" spans="1:2" x14ac:dyDescent="0.15">
      <c r="A29" s="145" t="s">
        <v>163</v>
      </c>
      <c r="B29" s="15">
        <v>3</v>
      </c>
    </row>
    <row r="30" spans="1:2" x14ac:dyDescent="0.15">
      <c r="A30" s="145" t="s">
        <v>65</v>
      </c>
      <c r="B30" s="15">
        <v>2</v>
      </c>
    </row>
    <row r="31" spans="1:2" x14ac:dyDescent="0.15">
      <c r="A31" s="34" t="s">
        <v>148</v>
      </c>
      <c r="B31" s="15">
        <v>4</v>
      </c>
    </row>
    <row r="32" spans="1:2" x14ac:dyDescent="0.15">
      <c r="A32" s="145" t="s">
        <v>148</v>
      </c>
      <c r="B32" s="15">
        <v>4</v>
      </c>
    </row>
    <row r="33" spans="1:3" x14ac:dyDescent="0.15">
      <c r="A33" s="34" t="s">
        <v>164</v>
      </c>
      <c r="B33" s="15">
        <v>5</v>
      </c>
    </row>
    <row r="34" spans="1:3" x14ac:dyDescent="0.15">
      <c r="A34" s="145" t="s">
        <v>165</v>
      </c>
      <c r="B34" s="15">
        <v>5</v>
      </c>
    </row>
    <row r="35" spans="1:3" x14ac:dyDescent="0.15">
      <c r="A35" s="34" t="s">
        <v>166</v>
      </c>
      <c r="B35" s="15">
        <v>8</v>
      </c>
    </row>
    <row r="36" spans="1:3" x14ac:dyDescent="0.15">
      <c r="A36" s="145" t="s">
        <v>167</v>
      </c>
      <c r="B36" s="15">
        <v>2</v>
      </c>
    </row>
    <row r="37" spans="1:3" x14ac:dyDescent="0.15">
      <c r="A37" s="145" t="s">
        <v>168</v>
      </c>
      <c r="B37" s="15">
        <v>3</v>
      </c>
    </row>
    <row r="38" spans="1:3" x14ac:dyDescent="0.15">
      <c r="A38" s="145" t="s">
        <v>166</v>
      </c>
      <c r="B38" s="15">
        <v>3</v>
      </c>
    </row>
    <row r="39" spans="1:3" x14ac:dyDescent="0.15">
      <c r="A39" s="34" t="s">
        <v>112</v>
      </c>
      <c r="B39" s="15">
        <v>17</v>
      </c>
      <c r="C39" s="37"/>
    </row>
    <row r="40" spans="1:3" x14ac:dyDescent="0.15">
      <c r="A40" s="145" t="s">
        <v>112</v>
      </c>
      <c r="B40" s="15">
        <v>17</v>
      </c>
    </row>
    <row r="41" spans="1:3" x14ac:dyDescent="0.15">
      <c r="A41" s="34" t="s">
        <v>69</v>
      </c>
      <c r="B41" s="15">
        <v>6</v>
      </c>
    </row>
    <row r="42" spans="1:3" x14ac:dyDescent="0.15">
      <c r="A42" s="145" t="s">
        <v>69</v>
      </c>
      <c r="B42" s="15">
        <v>6</v>
      </c>
    </row>
    <row r="43" spans="1:3" x14ac:dyDescent="0.15">
      <c r="A43" s="34" t="s">
        <v>146</v>
      </c>
      <c r="B43" s="15">
        <v>7</v>
      </c>
    </row>
    <row r="44" spans="1:3" x14ac:dyDescent="0.15">
      <c r="A44" s="145" t="s">
        <v>83</v>
      </c>
      <c r="B44" s="15">
        <v>1</v>
      </c>
    </row>
    <row r="45" spans="1:3" x14ac:dyDescent="0.15">
      <c r="A45" s="145" t="s">
        <v>1049</v>
      </c>
      <c r="B45" s="15">
        <v>1</v>
      </c>
    </row>
    <row r="46" spans="1:3" x14ac:dyDescent="0.15">
      <c r="A46" s="145" t="s">
        <v>777</v>
      </c>
      <c r="B46" s="15">
        <v>2</v>
      </c>
    </row>
    <row r="47" spans="1:3" x14ac:dyDescent="0.15">
      <c r="A47" s="145" t="s">
        <v>364</v>
      </c>
      <c r="B47" s="15">
        <v>1</v>
      </c>
      <c r="C47" s="37"/>
    </row>
    <row r="48" spans="1:3" x14ac:dyDescent="0.15">
      <c r="A48" s="145" t="s">
        <v>409</v>
      </c>
      <c r="B48" s="15">
        <v>1</v>
      </c>
    </row>
    <row r="49" spans="1:2" x14ac:dyDescent="0.15">
      <c r="A49" s="145" t="s">
        <v>312</v>
      </c>
      <c r="B49" s="15">
        <v>1</v>
      </c>
    </row>
    <row r="50" spans="1:2" x14ac:dyDescent="0.15">
      <c r="A50" s="34" t="s">
        <v>70</v>
      </c>
      <c r="B50" s="15">
        <v>12</v>
      </c>
    </row>
    <row r="51" spans="1:2" x14ac:dyDescent="0.15">
      <c r="A51" s="145" t="s">
        <v>70</v>
      </c>
      <c r="B51" s="15">
        <v>12</v>
      </c>
    </row>
    <row r="52" spans="1:2" x14ac:dyDescent="0.15">
      <c r="A52" s="34" t="s">
        <v>172</v>
      </c>
      <c r="B52" s="15">
        <v>26</v>
      </c>
    </row>
    <row r="53" spans="1:2" x14ac:dyDescent="0.15">
      <c r="A53" s="145" t="s">
        <v>172</v>
      </c>
      <c r="B53" s="15">
        <v>26</v>
      </c>
    </row>
    <row r="54" spans="1:2" x14ac:dyDescent="0.15">
      <c r="A54" s="34" t="s">
        <v>67</v>
      </c>
      <c r="B54" s="15">
        <v>232</v>
      </c>
    </row>
  </sheetData>
  <phoneticPr fontId="27" type="noConversion"/>
  <conditionalFormatting sqref="G6">
    <cfRule type="iconSet" priority="5">
      <iconSet iconSet="3TrafficLights2" reverse="1">
        <cfvo type="percent" val="0"/>
        <cfvo type="num" val="$Q$11"/>
        <cfvo type="num" val="$R$11"/>
      </iconSet>
    </cfRule>
  </conditionalFormatting>
  <conditionalFormatting sqref="F7">
    <cfRule type="iconSet" priority="3">
      <iconSet iconSet="3TrafficLights2" reverse="1">
        <cfvo type="percent" val="0"/>
        <cfvo type="num" val="$Q$11"/>
        <cfvo type="num" val="$R$11"/>
      </iconSet>
    </cfRule>
  </conditionalFormatting>
  <conditionalFormatting sqref="G7">
    <cfRule type="iconSet" priority="6">
      <iconSet iconSet="3TrafficLights2" reverse="1">
        <cfvo type="percent" val="0"/>
        <cfvo type="num" val="$Q$11"/>
        <cfvo type="num" val="$R$11"/>
      </iconSet>
    </cfRule>
  </conditionalFormatting>
  <conditionalFormatting sqref="F8">
    <cfRule type="iconSet" priority="2">
      <iconSet iconSet="3TrafficLights2" reverse="1">
        <cfvo type="percent" val="0"/>
        <cfvo type="num" val="$Q$11"/>
        <cfvo type="num" val="$R$11"/>
      </iconSet>
    </cfRule>
  </conditionalFormatting>
  <conditionalFormatting sqref="G8">
    <cfRule type="iconSet" priority="7">
      <iconSet iconSet="3TrafficLights2" reverse="1">
        <cfvo type="percent" val="0"/>
        <cfvo type="num" val="$Q$11"/>
        <cfvo type="num" val="$R$11"/>
      </iconSet>
    </cfRule>
  </conditionalFormatting>
  <conditionalFormatting sqref="F9">
    <cfRule type="iconSet" priority="1">
      <iconSet iconSet="3TrafficLights2" reverse="1">
        <cfvo type="percent" val="0"/>
        <cfvo type="num" val="$Q$11"/>
        <cfvo type="num" val="$R$11"/>
      </iconSet>
    </cfRule>
  </conditionalFormatting>
  <conditionalFormatting sqref="F10">
    <cfRule type="iconSet" priority="15">
      <iconSet iconSet="3TrafficLights2" reverse="1">
        <cfvo type="percent" val="0"/>
        <cfvo type="num" val="$Q$8"/>
        <cfvo type="num" val="$R$8"/>
      </iconSet>
    </cfRule>
  </conditionalFormatting>
  <conditionalFormatting sqref="F11">
    <cfRule type="iconSet" priority="23">
      <iconSet iconSet="3TrafficLights2" reverse="1">
        <cfvo type="percent" val="0"/>
        <cfvo type="num" val="$G$11" gte="0"/>
        <cfvo type="num" val="$H$11"/>
      </iconSet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246"/>
  <sheetViews>
    <sheetView tabSelected="1" zoomScale="130" zoomScaleNormal="130" workbookViewId="0">
      <pane xSplit="2" ySplit="1" topLeftCell="C2" activePane="bottomRight" state="frozen"/>
      <selection pane="topRight"/>
      <selection pane="bottomLeft"/>
      <selection pane="bottomRight" activeCell="F247" sqref="F247"/>
    </sheetView>
  </sheetViews>
  <sheetFormatPr defaultColWidth="8.75" defaultRowHeight="14.25" x14ac:dyDescent="0.15"/>
  <cols>
    <col min="1" max="1" width="9" style="37" customWidth="1"/>
    <col min="2" max="2" width="14.875" style="37" customWidth="1"/>
    <col min="3" max="3" width="14.875" style="48" customWidth="1"/>
    <col min="4" max="4" width="17" style="48" customWidth="1"/>
    <col min="5" max="5" width="25.25" style="48" customWidth="1"/>
    <col min="6" max="6" width="27.75" style="48" customWidth="1"/>
    <col min="7" max="7" width="19.375" style="48" customWidth="1"/>
    <col min="8" max="8" width="13.75" style="37" customWidth="1"/>
    <col min="9" max="9" width="13.875" style="37" customWidth="1"/>
    <col min="10" max="10" width="20.25" style="37" customWidth="1"/>
    <col min="11" max="11" width="14.375" style="37" customWidth="1"/>
    <col min="12" max="12" width="18.875" style="37" customWidth="1"/>
    <col min="13" max="13" width="15.5" style="37" customWidth="1"/>
    <col min="14" max="14" width="36.875" style="37" customWidth="1"/>
    <col min="15" max="15" width="17.5" style="37" customWidth="1"/>
    <col min="16" max="16384" width="8.75" style="49"/>
  </cols>
  <sheetData>
    <row r="1" spans="1:15" ht="20.25" customHeight="1" x14ac:dyDescent="0.15">
      <c r="A1" s="50" t="s">
        <v>1160</v>
      </c>
      <c r="B1" s="50" t="s">
        <v>175</v>
      </c>
      <c r="C1" s="51" t="s">
        <v>176</v>
      </c>
      <c r="D1" s="52" t="s">
        <v>1085</v>
      </c>
      <c r="E1" s="52" t="s">
        <v>1182</v>
      </c>
      <c r="F1" s="172" t="s">
        <v>1189</v>
      </c>
      <c r="G1" s="53" t="s">
        <v>177</v>
      </c>
      <c r="H1" s="54" t="s">
        <v>178</v>
      </c>
      <c r="I1" s="50" t="s">
        <v>179</v>
      </c>
      <c r="J1" s="53" t="s">
        <v>180</v>
      </c>
      <c r="K1" s="50" t="s">
        <v>181</v>
      </c>
      <c r="L1" s="50" t="s">
        <v>47</v>
      </c>
      <c r="M1" s="50" t="s">
        <v>182</v>
      </c>
      <c r="N1" s="69" t="s">
        <v>183</v>
      </c>
      <c r="O1" s="70" t="s">
        <v>184</v>
      </c>
    </row>
    <row r="2" spans="1:15" x14ac:dyDescent="0.15">
      <c r="A2" s="55" t="s">
        <v>185</v>
      </c>
      <c r="B2" s="56" t="s">
        <v>186</v>
      </c>
      <c r="C2" s="57" t="s">
        <v>187</v>
      </c>
      <c r="D2" s="57" t="s">
        <v>187</v>
      </c>
      <c r="E2" s="57" t="s">
        <v>187</v>
      </c>
      <c r="F2" s="57"/>
      <c r="G2" s="57" t="s">
        <v>135</v>
      </c>
      <c r="H2" s="58" t="s">
        <v>188</v>
      </c>
      <c r="I2" s="58" t="s">
        <v>188</v>
      </c>
      <c r="J2" s="58" t="s">
        <v>189</v>
      </c>
      <c r="K2" s="55" t="s">
        <v>82</v>
      </c>
      <c r="L2" s="55" t="s">
        <v>82</v>
      </c>
      <c r="M2" s="71">
        <v>19901703786</v>
      </c>
      <c r="N2" s="72" t="s">
        <v>190</v>
      </c>
      <c r="O2" s="55" t="s">
        <v>191</v>
      </c>
    </row>
    <row r="3" spans="1:15" x14ac:dyDescent="0.15">
      <c r="A3" s="55" t="s">
        <v>13</v>
      </c>
      <c r="B3" s="56" t="s">
        <v>186</v>
      </c>
      <c r="C3" s="57" t="s">
        <v>112</v>
      </c>
      <c r="D3" s="57" t="s">
        <v>112</v>
      </c>
      <c r="E3" s="57" t="s">
        <v>112</v>
      </c>
      <c r="F3" s="57"/>
      <c r="G3" s="57" t="s">
        <v>112</v>
      </c>
      <c r="H3" s="58" t="s">
        <v>13</v>
      </c>
      <c r="I3" s="55" t="s">
        <v>13</v>
      </c>
      <c r="J3" s="55" t="s">
        <v>189</v>
      </c>
      <c r="K3" s="55" t="s">
        <v>79</v>
      </c>
      <c r="L3" s="55" t="s">
        <v>192</v>
      </c>
      <c r="M3" s="71">
        <v>18721595832</v>
      </c>
      <c r="N3" s="72" t="s">
        <v>193</v>
      </c>
      <c r="O3" s="55" t="s">
        <v>194</v>
      </c>
    </row>
    <row r="4" spans="1:15" x14ac:dyDescent="0.15">
      <c r="A4" s="55" t="s">
        <v>195</v>
      </c>
      <c r="B4" s="56" t="s">
        <v>186</v>
      </c>
      <c r="C4" s="57" t="s">
        <v>196</v>
      </c>
      <c r="D4" s="57" t="s">
        <v>196</v>
      </c>
      <c r="E4" s="57" t="s">
        <v>196</v>
      </c>
      <c r="F4" s="57"/>
      <c r="G4" s="57" t="s">
        <v>124</v>
      </c>
      <c r="H4" s="58" t="s">
        <v>188</v>
      </c>
      <c r="I4" s="58" t="s">
        <v>188</v>
      </c>
      <c r="J4" s="58" t="s">
        <v>189</v>
      </c>
      <c r="K4" s="55" t="s">
        <v>82</v>
      </c>
      <c r="L4" s="55" t="s">
        <v>82</v>
      </c>
      <c r="M4" s="71">
        <v>15026685022</v>
      </c>
      <c r="N4" s="73" t="s">
        <v>197</v>
      </c>
      <c r="O4" s="55" t="s">
        <v>198</v>
      </c>
    </row>
    <row r="5" spans="1:15" x14ac:dyDescent="0.15">
      <c r="A5" s="55" t="s">
        <v>77</v>
      </c>
      <c r="B5" s="56" t="s">
        <v>186</v>
      </c>
      <c r="C5" s="57" t="s">
        <v>112</v>
      </c>
      <c r="D5" s="57" t="s">
        <v>112</v>
      </c>
      <c r="E5" s="57" t="s">
        <v>112</v>
      </c>
      <c r="F5" s="57"/>
      <c r="G5" s="57" t="s">
        <v>112</v>
      </c>
      <c r="H5" s="58" t="s">
        <v>77</v>
      </c>
      <c r="I5" s="58" t="s">
        <v>77</v>
      </c>
      <c r="J5" s="58" t="s">
        <v>189</v>
      </c>
      <c r="K5" s="55" t="s">
        <v>54</v>
      </c>
      <c r="L5" s="55" t="s">
        <v>199</v>
      </c>
      <c r="M5" s="71">
        <v>18221900082</v>
      </c>
      <c r="N5" s="72" t="s">
        <v>200</v>
      </c>
      <c r="O5" s="55" t="s">
        <v>201</v>
      </c>
    </row>
    <row r="6" spans="1:15" x14ac:dyDescent="0.15">
      <c r="A6" s="55" t="s">
        <v>202</v>
      </c>
      <c r="B6" s="56" t="s">
        <v>186</v>
      </c>
      <c r="C6" s="57" t="s">
        <v>150</v>
      </c>
      <c r="D6" s="57" t="s">
        <v>150</v>
      </c>
      <c r="E6" s="57" t="s">
        <v>150</v>
      </c>
      <c r="F6" s="57"/>
      <c r="G6" s="57" t="s">
        <v>135</v>
      </c>
      <c r="H6" s="58" t="s">
        <v>13</v>
      </c>
      <c r="I6" s="58" t="s">
        <v>13</v>
      </c>
      <c r="J6" s="58" t="s">
        <v>189</v>
      </c>
      <c r="K6" s="55" t="s">
        <v>80</v>
      </c>
      <c r="L6" s="55" t="s">
        <v>80</v>
      </c>
      <c r="M6" s="71">
        <v>13127925069</v>
      </c>
      <c r="N6" s="72" t="s">
        <v>203</v>
      </c>
      <c r="O6" s="55" t="s">
        <v>204</v>
      </c>
    </row>
    <row r="7" spans="1:15" x14ac:dyDescent="0.15">
      <c r="A7" s="55" t="s">
        <v>205</v>
      </c>
      <c r="B7" s="56" t="s">
        <v>186</v>
      </c>
      <c r="C7" s="57" t="s">
        <v>206</v>
      </c>
      <c r="D7" s="57" t="s">
        <v>206</v>
      </c>
      <c r="E7" s="57" t="s">
        <v>206</v>
      </c>
      <c r="F7" s="57"/>
      <c r="G7" s="57" t="s">
        <v>136</v>
      </c>
      <c r="H7" s="58" t="s">
        <v>188</v>
      </c>
      <c r="I7" s="58" t="s">
        <v>188</v>
      </c>
      <c r="J7" s="58" t="s">
        <v>189</v>
      </c>
      <c r="K7" s="55" t="s">
        <v>82</v>
      </c>
      <c r="L7" s="55" t="s">
        <v>82</v>
      </c>
      <c r="M7" s="71">
        <v>13818571020</v>
      </c>
      <c r="N7" s="72" t="s">
        <v>207</v>
      </c>
      <c r="O7" s="55" t="s">
        <v>208</v>
      </c>
    </row>
    <row r="8" spans="1:15" x14ac:dyDescent="0.15">
      <c r="A8" s="59" t="s">
        <v>188</v>
      </c>
      <c r="B8" s="56" t="s">
        <v>186</v>
      </c>
      <c r="C8" s="57" t="s">
        <v>209</v>
      </c>
      <c r="D8" s="57" t="s">
        <v>209</v>
      </c>
      <c r="E8" s="57" t="s">
        <v>209</v>
      </c>
      <c r="F8" s="57"/>
      <c r="G8" s="57" t="s">
        <v>209</v>
      </c>
      <c r="H8" s="58" t="s">
        <v>188</v>
      </c>
      <c r="I8" s="58" t="s">
        <v>188</v>
      </c>
      <c r="J8" s="58" t="s">
        <v>189</v>
      </c>
      <c r="K8" s="55" t="s">
        <v>82</v>
      </c>
      <c r="L8" s="55" t="s">
        <v>82</v>
      </c>
      <c r="M8" s="71">
        <v>15000411879</v>
      </c>
      <c r="N8" s="72"/>
      <c r="O8" s="55" t="s">
        <v>210</v>
      </c>
    </row>
    <row r="9" spans="1:15" x14ac:dyDescent="0.15">
      <c r="A9" s="55" t="s">
        <v>211</v>
      </c>
      <c r="B9" s="56" t="s">
        <v>212</v>
      </c>
      <c r="C9" s="57" t="s">
        <v>149</v>
      </c>
      <c r="D9" s="57" t="s">
        <v>149</v>
      </c>
      <c r="E9" s="57" t="s">
        <v>149</v>
      </c>
      <c r="F9" s="57"/>
      <c r="G9" s="57" t="s">
        <v>135</v>
      </c>
      <c r="H9" s="58" t="s">
        <v>14</v>
      </c>
      <c r="I9" s="58" t="s">
        <v>14</v>
      </c>
      <c r="J9" s="58" t="s">
        <v>189</v>
      </c>
      <c r="K9" s="55" t="s">
        <v>61</v>
      </c>
      <c r="L9" s="55" t="s">
        <v>61</v>
      </c>
      <c r="M9" s="71">
        <v>18255157526</v>
      </c>
      <c r="N9" s="72" t="s">
        <v>213</v>
      </c>
      <c r="O9" s="55" t="s">
        <v>214</v>
      </c>
    </row>
    <row r="10" spans="1:15" x14ac:dyDescent="0.15">
      <c r="A10" s="55" t="s">
        <v>215</v>
      </c>
      <c r="B10" s="56" t="s">
        <v>186</v>
      </c>
      <c r="C10" s="57" t="s">
        <v>152</v>
      </c>
      <c r="D10" s="57" t="s">
        <v>152</v>
      </c>
      <c r="E10" s="57" t="s">
        <v>152</v>
      </c>
      <c r="F10" s="57"/>
      <c r="G10" s="57" t="s">
        <v>135</v>
      </c>
      <c r="H10" s="58" t="s">
        <v>19</v>
      </c>
      <c r="I10" s="58" t="s">
        <v>19</v>
      </c>
      <c r="J10" s="58" t="s">
        <v>189</v>
      </c>
      <c r="K10" s="55" t="s">
        <v>72</v>
      </c>
      <c r="L10" s="55" t="s">
        <v>72</v>
      </c>
      <c r="M10" s="71">
        <v>15000127138</v>
      </c>
      <c r="N10" s="72" t="s">
        <v>216</v>
      </c>
      <c r="O10" s="55" t="s">
        <v>217</v>
      </c>
    </row>
    <row r="11" spans="1:15" x14ac:dyDescent="0.15">
      <c r="A11" s="55" t="s">
        <v>14</v>
      </c>
      <c r="B11" s="56" t="s">
        <v>186</v>
      </c>
      <c r="C11" s="57" t="s">
        <v>112</v>
      </c>
      <c r="D11" s="57" t="s">
        <v>112</v>
      </c>
      <c r="E11" s="57" t="s">
        <v>112</v>
      </c>
      <c r="F11" s="57"/>
      <c r="G11" s="57" t="s">
        <v>112</v>
      </c>
      <c r="H11" s="58" t="s">
        <v>14</v>
      </c>
      <c r="I11" s="58" t="s">
        <v>14</v>
      </c>
      <c r="J11" s="58" t="s">
        <v>189</v>
      </c>
      <c r="K11" s="55" t="s">
        <v>61</v>
      </c>
      <c r="L11" s="55" t="s">
        <v>192</v>
      </c>
      <c r="M11" s="71">
        <v>18616028611</v>
      </c>
      <c r="N11" s="72" t="s">
        <v>218</v>
      </c>
      <c r="O11" s="55" t="s">
        <v>219</v>
      </c>
    </row>
    <row r="12" spans="1:15" x14ac:dyDescent="0.15">
      <c r="A12" s="55" t="s">
        <v>220</v>
      </c>
      <c r="B12" s="55" t="s">
        <v>221</v>
      </c>
      <c r="C12" s="60" t="s">
        <v>1039</v>
      </c>
      <c r="D12" s="60" t="s">
        <v>1039</v>
      </c>
      <c r="E12" s="60" t="s">
        <v>1039</v>
      </c>
      <c r="F12" s="60" t="s">
        <v>1176</v>
      </c>
      <c r="G12" s="61" t="s">
        <v>136</v>
      </c>
      <c r="H12" s="58" t="s">
        <v>82</v>
      </c>
      <c r="I12" s="58" t="s">
        <v>82</v>
      </c>
      <c r="J12" s="58" t="s">
        <v>82</v>
      </c>
      <c r="K12" s="55" t="s">
        <v>54</v>
      </c>
      <c r="L12" s="55" t="s">
        <v>54</v>
      </c>
      <c r="M12" s="71">
        <v>13135511340</v>
      </c>
      <c r="N12" s="72" t="s">
        <v>222</v>
      </c>
      <c r="O12" s="55" t="s">
        <v>223</v>
      </c>
    </row>
    <row r="13" spans="1:15" x14ac:dyDescent="0.15">
      <c r="A13" s="59" t="s">
        <v>224</v>
      </c>
      <c r="B13" s="56" t="s">
        <v>225</v>
      </c>
      <c r="C13" s="61" t="s">
        <v>1038</v>
      </c>
      <c r="D13" s="61" t="s">
        <v>1038</v>
      </c>
      <c r="E13" s="61" t="s">
        <v>1038</v>
      </c>
      <c r="F13" s="61"/>
      <c r="G13" s="57" t="s">
        <v>136</v>
      </c>
      <c r="H13" s="58" t="s">
        <v>81</v>
      </c>
      <c r="I13" s="58" t="s">
        <v>81</v>
      </c>
      <c r="J13" s="58" t="s">
        <v>109</v>
      </c>
      <c r="K13" s="55" t="s">
        <v>54</v>
      </c>
      <c r="L13" s="55" t="s">
        <v>54</v>
      </c>
      <c r="M13" s="71">
        <v>18500047479</v>
      </c>
      <c r="N13" s="72" t="s">
        <v>226</v>
      </c>
      <c r="O13" s="55" t="s">
        <v>688</v>
      </c>
    </row>
    <row r="14" spans="1:15" x14ac:dyDescent="0.15">
      <c r="A14" s="56" t="s">
        <v>228</v>
      </c>
      <c r="B14" s="56" t="s">
        <v>229</v>
      </c>
      <c r="C14" s="57" t="s">
        <v>161</v>
      </c>
      <c r="D14" s="57" t="s">
        <v>161</v>
      </c>
      <c r="E14" s="57" t="s">
        <v>1132</v>
      </c>
      <c r="F14" s="57"/>
      <c r="G14" s="61" t="s">
        <v>136</v>
      </c>
      <c r="H14" s="58" t="s">
        <v>30</v>
      </c>
      <c r="I14" s="58" t="s">
        <v>30</v>
      </c>
      <c r="J14" s="58" t="s">
        <v>107</v>
      </c>
      <c r="K14" s="55" t="s">
        <v>68</v>
      </c>
      <c r="L14" s="55" t="s">
        <v>68</v>
      </c>
      <c r="M14" s="71">
        <v>17621666685</v>
      </c>
      <c r="N14" s="72" t="s">
        <v>230</v>
      </c>
      <c r="O14" s="55" t="s">
        <v>422</v>
      </c>
    </row>
    <row r="15" spans="1:15" x14ac:dyDescent="0.15">
      <c r="A15" s="56" t="s">
        <v>231</v>
      </c>
      <c r="B15" s="56" t="s">
        <v>232</v>
      </c>
      <c r="C15" s="57" t="s">
        <v>159</v>
      </c>
      <c r="D15" s="57" t="s">
        <v>1059</v>
      </c>
      <c r="E15" s="57" t="s">
        <v>1132</v>
      </c>
      <c r="F15" s="57"/>
      <c r="G15" s="61" t="s">
        <v>136</v>
      </c>
      <c r="H15" s="58" t="s">
        <v>77</v>
      </c>
      <c r="I15" s="58" t="s">
        <v>77</v>
      </c>
      <c r="J15" s="58" t="s">
        <v>110</v>
      </c>
      <c r="K15" s="55" t="s">
        <v>78</v>
      </c>
      <c r="L15" s="55" t="s">
        <v>78</v>
      </c>
      <c r="M15" s="71">
        <v>13262868657</v>
      </c>
      <c r="N15" s="72" t="s">
        <v>233</v>
      </c>
      <c r="O15" s="55" t="s">
        <v>234</v>
      </c>
    </row>
    <row r="16" spans="1:15" x14ac:dyDescent="0.15">
      <c r="A16" s="55" t="s">
        <v>235</v>
      </c>
      <c r="B16" s="55" t="s">
        <v>225</v>
      </c>
      <c r="C16" s="62" t="s">
        <v>150</v>
      </c>
      <c r="D16" s="62" t="s">
        <v>150</v>
      </c>
      <c r="E16" s="62" t="s">
        <v>150</v>
      </c>
      <c r="F16" s="62"/>
      <c r="G16" s="57" t="s">
        <v>135</v>
      </c>
      <c r="H16" s="58" t="s">
        <v>81</v>
      </c>
      <c r="I16" s="58" t="s">
        <v>81</v>
      </c>
      <c r="J16" s="58" t="s">
        <v>109</v>
      </c>
      <c r="K16" s="55" t="s">
        <v>54</v>
      </c>
      <c r="L16" s="55" t="s">
        <v>54</v>
      </c>
      <c r="M16" s="71">
        <v>17521179671</v>
      </c>
      <c r="N16" s="72" t="s">
        <v>236</v>
      </c>
      <c r="O16" s="55" t="s">
        <v>237</v>
      </c>
    </row>
    <row r="17" spans="1:15" x14ac:dyDescent="0.15">
      <c r="A17" s="59" t="s">
        <v>238</v>
      </c>
      <c r="B17" s="56" t="s">
        <v>239</v>
      </c>
      <c r="C17" s="60" t="s">
        <v>144</v>
      </c>
      <c r="D17" s="60" t="s">
        <v>1058</v>
      </c>
      <c r="E17" s="60" t="s">
        <v>1058</v>
      </c>
      <c r="F17" s="60"/>
      <c r="G17" s="61" t="s">
        <v>1058</v>
      </c>
      <c r="H17" s="58" t="s">
        <v>13</v>
      </c>
      <c r="I17" s="55" t="s">
        <v>13</v>
      </c>
      <c r="J17" s="55" t="s">
        <v>91</v>
      </c>
      <c r="K17" s="55" t="s">
        <v>79</v>
      </c>
      <c r="L17" s="55" t="s">
        <v>79</v>
      </c>
      <c r="M17" s="71">
        <v>17621317679</v>
      </c>
      <c r="N17" s="72" t="s">
        <v>240</v>
      </c>
      <c r="O17" s="55" t="s">
        <v>241</v>
      </c>
    </row>
    <row r="18" spans="1:15" x14ac:dyDescent="0.15">
      <c r="A18" s="56" t="s">
        <v>242</v>
      </c>
      <c r="B18" s="56" t="s">
        <v>243</v>
      </c>
      <c r="C18" s="57" t="s">
        <v>155</v>
      </c>
      <c r="D18" s="57" t="s">
        <v>1053</v>
      </c>
      <c r="E18" s="57" t="s">
        <v>1128</v>
      </c>
      <c r="F18" s="57"/>
      <c r="G18" s="57" t="s">
        <v>1057</v>
      </c>
      <c r="H18" s="58" t="s">
        <v>83</v>
      </c>
      <c r="I18" s="55" t="s">
        <v>244</v>
      </c>
      <c r="J18" s="55" t="s">
        <v>82</v>
      </c>
      <c r="K18" s="55" t="s">
        <v>54</v>
      </c>
      <c r="L18" s="55" t="s">
        <v>54</v>
      </c>
      <c r="M18" s="71">
        <v>15021928785</v>
      </c>
      <c r="N18" s="72" t="s">
        <v>245</v>
      </c>
      <c r="O18" s="55" t="s">
        <v>246</v>
      </c>
    </row>
    <row r="19" spans="1:15" x14ac:dyDescent="0.15">
      <c r="A19" s="56" t="s">
        <v>247</v>
      </c>
      <c r="B19" s="56" t="s">
        <v>221</v>
      </c>
      <c r="C19" s="57" t="s">
        <v>112</v>
      </c>
      <c r="D19" s="57" t="s">
        <v>112</v>
      </c>
      <c r="E19" s="57" t="s">
        <v>112</v>
      </c>
      <c r="F19" s="57"/>
      <c r="G19" s="57" t="s">
        <v>112</v>
      </c>
      <c r="H19" s="58" t="s">
        <v>32</v>
      </c>
      <c r="I19" s="55" t="s">
        <v>32</v>
      </c>
      <c r="J19" s="55" t="s">
        <v>112</v>
      </c>
      <c r="K19" s="55" t="s">
        <v>74</v>
      </c>
      <c r="L19" s="55" t="s">
        <v>74</v>
      </c>
      <c r="M19" s="71">
        <v>18621172680</v>
      </c>
      <c r="N19" s="72" t="s">
        <v>248</v>
      </c>
      <c r="O19" s="55" t="s">
        <v>249</v>
      </c>
    </row>
    <row r="20" spans="1:15" x14ac:dyDescent="0.15">
      <c r="A20" s="55" t="s">
        <v>250</v>
      </c>
      <c r="B20" s="55" t="s">
        <v>229</v>
      </c>
      <c r="C20" s="60" t="s">
        <v>1039</v>
      </c>
      <c r="D20" s="60" t="s">
        <v>1039</v>
      </c>
      <c r="E20" s="60" t="s">
        <v>1039</v>
      </c>
      <c r="F20" s="57"/>
      <c r="G20" s="57" t="s">
        <v>136</v>
      </c>
      <c r="H20" s="58" t="s">
        <v>83</v>
      </c>
      <c r="I20" s="58" t="s">
        <v>83</v>
      </c>
      <c r="J20" s="58" t="s">
        <v>103</v>
      </c>
      <c r="K20" s="55" t="s">
        <v>68</v>
      </c>
      <c r="L20" s="55" t="s">
        <v>68</v>
      </c>
      <c r="M20" s="74">
        <v>15601969092</v>
      </c>
      <c r="N20" s="72" t="s">
        <v>251</v>
      </c>
      <c r="O20" s="55" t="s">
        <v>252</v>
      </c>
    </row>
    <row r="21" spans="1:15" x14ac:dyDescent="0.15">
      <c r="A21" s="56" t="s">
        <v>253</v>
      </c>
      <c r="B21" s="56" t="s">
        <v>229</v>
      </c>
      <c r="C21" s="60" t="s">
        <v>1039</v>
      </c>
      <c r="D21" s="60" t="s">
        <v>1039</v>
      </c>
      <c r="E21" s="60" t="s">
        <v>1039</v>
      </c>
      <c r="F21" s="61"/>
      <c r="G21" s="57" t="s">
        <v>136</v>
      </c>
      <c r="H21" s="58" t="s">
        <v>77</v>
      </c>
      <c r="I21" s="58" t="s">
        <v>77</v>
      </c>
      <c r="J21" s="58" t="s">
        <v>110</v>
      </c>
      <c r="K21" s="55" t="s">
        <v>78</v>
      </c>
      <c r="L21" s="55" t="s">
        <v>78</v>
      </c>
      <c r="M21" s="71">
        <v>13451657511</v>
      </c>
      <c r="N21" s="72" t="s">
        <v>254</v>
      </c>
      <c r="O21" s="55" t="s">
        <v>1104</v>
      </c>
    </row>
    <row r="22" spans="1:15" x14ac:dyDescent="0.15">
      <c r="A22" s="55" t="s">
        <v>256</v>
      </c>
      <c r="B22" s="56" t="s">
        <v>257</v>
      </c>
      <c r="C22" s="60" t="s">
        <v>159</v>
      </c>
      <c r="D22" s="60" t="s">
        <v>159</v>
      </c>
      <c r="E22" s="60" t="s">
        <v>1178</v>
      </c>
      <c r="F22" s="60" t="s">
        <v>1178</v>
      </c>
      <c r="G22" s="57" t="s">
        <v>136</v>
      </c>
      <c r="H22" s="58" t="s">
        <v>32</v>
      </c>
      <c r="I22" s="55" t="s">
        <v>32</v>
      </c>
      <c r="J22" s="55" t="s">
        <v>108</v>
      </c>
      <c r="K22" s="55" t="s">
        <v>74</v>
      </c>
      <c r="L22" s="55" t="s">
        <v>74</v>
      </c>
      <c r="M22" s="71">
        <v>13918191330</v>
      </c>
      <c r="N22" s="72" t="s">
        <v>258</v>
      </c>
      <c r="O22" s="55" t="s">
        <v>259</v>
      </c>
    </row>
    <row r="23" spans="1:15" x14ac:dyDescent="0.15">
      <c r="A23" s="59" t="s">
        <v>260</v>
      </c>
      <c r="B23" s="56" t="s">
        <v>261</v>
      </c>
      <c r="C23" s="60" t="s">
        <v>1039</v>
      </c>
      <c r="D23" s="60" t="s">
        <v>1054</v>
      </c>
      <c r="E23" s="60" t="s">
        <v>1130</v>
      </c>
      <c r="F23" s="57" t="s">
        <v>1176</v>
      </c>
      <c r="G23" s="57" t="s">
        <v>136</v>
      </c>
      <c r="H23" s="58" t="s">
        <v>81</v>
      </c>
      <c r="I23" s="58" t="s">
        <v>81</v>
      </c>
      <c r="J23" s="58" t="s">
        <v>109</v>
      </c>
      <c r="K23" s="55" t="s">
        <v>54</v>
      </c>
      <c r="L23" s="55" t="s">
        <v>54</v>
      </c>
      <c r="M23" s="71">
        <v>15896576095</v>
      </c>
      <c r="N23" s="72" t="s">
        <v>262</v>
      </c>
      <c r="O23" s="55" t="s">
        <v>263</v>
      </c>
    </row>
    <row r="24" spans="1:15" x14ac:dyDescent="0.15">
      <c r="A24" s="55" t="s">
        <v>264</v>
      </c>
      <c r="B24" s="55" t="s">
        <v>225</v>
      </c>
      <c r="C24" s="57" t="s">
        <v>155</v>
      </c>
      <c r="D24" s="57" t="s">
        <v>1092</v>
      </c>
      <c r="E24" s="57" t="s">
        <v>1150</v>
      </c>
      <c r="F24" s="57"/>
      <c r="G24" s="57" t="s">
        <v>1086</v>
      </c>
      <c r="H24" s="58" t="s">
        <v>77</v>
      </c>
      <c r="I24" s="58" t="s">
        <v>77</v>
      </c>
      <c r="J24" s="58" t="s">
        <v>110</v>
      </c>
      <c r="K24" s="55" t="s">
        <v>78</v>
      </c>
      <c r="L24" s="55" t="s">
        <v>78</v>
      </c>
      <c r="M24" s="71">
        <v>15689619876</v>
      </c>
      <c r="N24" s="72" t="s">
        <v>265</v>
      </c>
      <c r="O24" s="55" t="s">
        <v>266</v>
      </c>
    </row>
    <row r="25" spans="1:15" x14ac:dyDescent="0.15">
      <c r="A25" s="63" t="s">
        <v>267</v>
      </c>
      <c r="B25" s="63" t="s">
        <v>268</v>
      </c>
      <c r="C25" s="57" t="s">
        <v>159</v>
      </c>
      <c r="D25" s="57" t="s">
        <v>1059</v>
      </c>
      <c r="E25" s="57" t="s">
        <v>1132</v>
      </c>
      <c r="F25" s="57" t="s">
        <v>1179</v>
      </c>
      <c r="G25" s="57" t="s">
        <v>136</v>
      </c>
      <c r="H25" s="58" t="s">
        <v>77</v>
      </c>
      <c r="I25" s="58" t="s">
        <v>77</v>
      </c>
      <c r="J25" s="58" t="s">
        <v>110</v>
      </c>
      <c r="K25" s="55" t="s">
        <v>78</v>
      </c>
      <c r="L25" s="55" t="s">
        <v>78</v>
      </c>
      <c r="M25" s="71">
        <v>13795420290</v>
      </c>
      <c r="N25" s="72" t="s">
        <v>269</v>
      </c>
      <c r="O25" s="55" t="s">
        <v>1035</v>
      </c>
    </row>
    <row r="26" spans="1:15" x14ac:dyDescent="0.15">
      <c r="A26" s="59" t="s">
        <v>271</v>
      </c>
      <c r="B26" s="56" t="s">
        <v>261</v>
      </c>
      <c r="C26" s="57" t="s">
        <v>172</v>
      </c>
      <c r="D26" s="57" t="s">
        <v>172</v>
      </c>
      <c r="E26" s="57" t="s">
        <v>172</v>
      </c>
      <c r="F26" s="57"/>
      <c r="G26" s="57" t="s">
        <v>172</v>
      </c>
      <c r="H26" s="58" t="s">
        <v>81</v>
      </c>
      <c r="I26" s="58" t="s">
        <v>81</v>
      </c>
      <c r="J26" s="58" t="s">
        <v>109</v>
      </c>
      <c r="K26" s="55" t="s">
        <v>54</v>
      </c>
      <c r="L26" s="55" t="s">
        <v>54</v>
      </c>
      <c r="M26" s="71">
        <v>15652353687</v>
      </c>
      <c r="N26" s="72" t="s">
        <v>272</v>
      </c>
      <c r="O26" s="55" t="s">
        <v>172</v>
      </c>
    </row>
    <row r="27" spans="1:15" x14ac:dyDescent="0.15">
      <c r="A27" s="56" t="s">
        <v>273</v>
      </c>
      <c r="B27" s="56" t="s">
        <v>225</v>
      </c>
      <c r="C27" s="57" t="s">
        <v>159</v>
      </c>
      <c r="D27" s="57" t="s">
        <v>1059</v>
      </c>
      <c r="E27" s="57" t="s">
        <v>1132</v>
      </c>
      <c r="F27" s="57"/>
      <c r="G27" s="61" t="s">
        <v>136</v>
      </c>
      <c r="H27" s="58" t="s">
        <v>81</v>
      </c>
      <c r="I27" s="58" t="s">
        <v>81</v>
      </c>
      <c r="J27" s="58" t="s">
        <v>109</v>
      </c>
      <c r="K27" s="55" t="s">
        <v>54</v>
      </c>
      <c r="L27" s="55" t="s">
        <v>54</v>
      </c>
      <c r="M27" s="71">
        <v>15978655630</v>
      </c>
      <c r="N27" s="72" t="s">
        <v>274</v>
      </c>
      <c r="O27" s="55" t="s">
        <v>275</v>
      </c>
    </row>
    <row r="28" spans="1:15" x14ac:dyDescent="0.15">
      <c r="A28" s="59" t="s">
        <v>276</v>
      </c>
      <c r="B28" s="56" t="s">
        <v>261</v>
      </c>
      <c r="C28" s="60" t="s">
        <v>1039</v>
      </c>
      <c r="D28" s="60" t="s">
        <v>1039</v>
      </c>
      <c r="E28" s="60" t="s">
        <v>1039</v>
      </c>
      <c r="F28" s="57"/>
      <c r="G28" s="57" t="s">
        <v>136</v>
      </c>
      <c r="H28" s="58" t="s">
        <v>77</v>
      </c>
      <c r="I28" s="58" t="s">
        <v>77</v>
      </c>
      <c r="J28" s="58" t="s">
        <v>110</v>
      </c>
      <c r="K28" s="55" t="s">
        <v>78</v>
      </c>
      <c r="L28" s="55" t="s">
        <v>78</v>
      </c>
      <c r="M28" s="71">
        <v>13524006639</v>
      </c>
      <c r="N28" s="72" t="s">
        <v>277</v>
      </c>
      <c r="O28" s="55" t="s">
        <v>278</v>
      </c>
    </row>
    <row r="29" spans="1:15" x14ac:dyDescent="0.15">
      <c r="A29" s="56" t="s">
        <v>279</v>
      </c>
      <c r="B29" s="56" t="s">
        <v>221</v>
      </c>
      <c r="C29" s="60" t="s">
        <v>144</v>
      </c>
      <c r="D29" s="60" t="s">
        <v>144</v>
      </c>
      <c r="E29" s="60" t="s">
        <v>1150</v>
      </c>
      <c r="F29" s="60"/>
      <c r="G29" s="61" t="s">
        <v>138</v>
      </c>
      <c r="H29" s="58" t="s">
        <v>13</v>
      </c>
      <c r="I29" s="55" t="s">
        <v>13</v>
      </c>
      <c r="J29" s="55" t="s">
        <v>112</v>
      </c>
      <c r="K29" s="55" t="s">
        <v>79</v>
      </c>
      <c r="L29" s="55" t="s">
        <v>79</v>
      </c>
      <c r="M29" s="71">
        <v>15524580216</v>
      </c>
      <c r="N29" s="72" t="s">
        <v>280</v>
      </c>
      <c r="O29" s="55" t="s">
        <v>1105</v>
      </c>
    </row>
    <row r="30" spans="1:15" x14ac:dyDescent="0.15">
      <c r="A30" s="55" t="s">
        <v>282</v>
      </c>
      <c r="B30" s="56" t="s">
        <v>229</v>
      </c>
      <c r="C30" s="57" t="s">
        <v>160</v>
      </c>
      <c r="D30" s="60" t="s">
        <v>1054</v>
      </c>
      <c r="E30" s="60" t="s">
        <v>1130</v>
      </c>
      <c r="F30" s="57" t="s">
        <v>1176</v>
      </c>
      <c r="G30" s="57" t="s">
        <v>136</v>
      </c>
      <c r="H30" s="58" t="s">
        <v>81</v>
      </c>
      <c r="I30" s="58" t="s">
        <v>81</v>
      </c>
      <c r="J30" s="58" t="s">
        <v>109</v>
      </c>
      <c r="K30" s="55" t="s">
        <v>68</v>
      </c>
      <c r="L30" s="55" t="s">
        <v>68</v>
      </c>
      <c r="M30" s="71">
        <v>15873187160</v>
      </c>
      <c r="N30" s="72" t="s">
        <v>283</v>
      </c>
      <c r="O30" s="55" t="s">
        <v>284</v>
      </c>
    </row>
    <row r="31" spans="1:15" s="43" customFormat="1" x14ac:dyDescent="0.15">
      <c r="A31" s="64" t="s">
        <v>285</v>
      </c>
      <c r="B31" s="64" t="s">
        <v>229</v>
      </c>
      <c r="C31" s="65" t="s">
        <v>172</v>
      </c>
      <c r="D31" s="65" t="s">
        <v>172</v>
      </c>
      <c r="E31" s="65" t="s">
        <v>172</v>
      </c>
      <c r="F31" s="65"/>
      <c r="G31" s="66" t="s">
        <v>172</v>
      </c>
      <c r="H31" s="67" t="s">
        <v>32</v>
      </c>
      <c r="I31" s="75" t="s">
        <v>32</v>
      </c>
      <c r="J31" s="75" t="s">
        <v>108</v>
      </c>
      <c r="K31" s="75" t="s">
        <v>73</v>
      </c>
      <c r="L31" s="75" t="s">
        <v>73</v>
      </c>
      <c r="M31" s="76">
        <v>17701744659</v>
      </c>
      <c r="N31" s="77" t="s">
        <v>286</v>
      </c>
      <c r="O31" s="75" t="s">
        <v>172</v>
      </c>
    </row>
    <row r="32" spans="1:15" x14ac:dyDescent="0.15">
      <c r="A32" s="56" t="s">
        <v>287</v>
      </c>
      <c r="B32" s="56" t="s">
        <v>239</v>
      </c>
      <c r="C32" s="68" t="s">
        <v>150</v>
      </c>
      <c r="D32" s="68" t="s">
        <v>150</v>
      </c>
      <c r="E32" s="68" t="s">
        <v>150</v>
      </c>
      <c r="F32" s="68"/>
      <c r="G32" s="68" t="s">
        <v>135</v>
      </c>
      <c r="H32" s="58" t="s">
        <v>13</v>
      </c>
      <c r="I32" s="55" t="s">
        <v>13</v>
      </c>
      <c r="J32" s="55" t="s">
        <v>91</v>
      </c>
      <c r="K32" s="55" t="s">
        <v>79</v>
      </c>
      <c r="L32" s="55" t="s">
        <v>79</v>
      </c>
      <c r="M32" s="71">
        <v>17600913751</v>
      </c>
      <c r="N32" s="72" t="s">
        <v>288</v>
      </c>
      <c r="O32" s="55" t="s">
        <v>653</v>
      </c>
    </row>
    <row r="33" spans="1:15" x14ac:dyDescent="0.15">
      <c r="A33" s="59" t="s">
        <v>290</v>
      </c>
      <c r="B33" s="56" t="s">
        <v>291</v>
      </c>
      <c r="C33" s="57" t="s">
        <v>161</v>
      </c>
      <c r="D33" s="57" t="s">
        <v>161</v>
      </c>
      <c r="E33" s="57" t="s">
        <v>1132</v>
      </c>
      <c r="F33" s="57"/>
      <c r="G33" s="57" t="s">
        <v>136</v>
      </c>
      <c r="H33" s="58" t="s">
        <v>83</v>
      </c>
      <c r="I33" s="58" t="s">
        <v>83</v>
      </c>
      <c r="J33" s="58" t="s">
        <v>103</v>
      </c>
      <c r="K33" s="55" t="s">
        <v>54</v>
      </c>
      <c r="L33" s="55" t="s">
        <v>54</v>
      </c>
      <c r="M33" s="71">
        <v>13052113375</v>
      </c>
      <c r="N33" s="72" t="s">
        <v>292</v>
      </c>
      <c r="O33" s="55" t="s">
        <v>813</v>
      </c>
    </row>
    <row r="34" spans="1:15" x14ac:dyDescent="0.15">
      <c r="A34" s="56" t="s">
        <v>294</v>
      </c>
      <c r="B34" s="56" t="s">
        <v>225</v>
      </c>
      <c r="C34" s="57" t="s">
        <v>1053</v>
      </c>
      <c r="D34" s="57" t="s">
        <v>1053</v>
      </c>
      <c r="E34" s="57" t="s">
        <v>1128</v>
      </c>
      <c r="F34" s="57"/>
      <c r="G34" s="57" t="s">
        <v>136</v>
      </c>
      <c r="H34" s="58" t="s">
        <v>82</v>
      </c>
      <c r="I34" s="58" t="s">
        <v>82</v>
      </c>
      <c r="J34" s="58" t="s">
        <v>82</v>
      </c>
      <c r="K34" s="55" t="s">
        <v>54</v>
      </c>
      <c r="L34" s="55" t="s">
        <v>54</v>
      </c>
      <c r="M34" s="71">
        <v>13817643186</v>
      </c>
      <c r="N34" s="72" t="s">
        <v>295</v>
      </c>
      <c r="O34" s="55" t="s">
        <v>1106</v>
      </c>
    </row>
    <row r="35" spans="1:15" x14ac:dyDescent="0.15">
      <c r="A35" s="59" t="s">
        <v>296</v>
      </c>
      <c r="B35" s="56" t="s">
        <v>225</v>
      </c>
      <c r="C35" s="60" t="s">
        <v>160</v>
      </c>
      <c r="D35" s="60" t="s">
        <v>1054</v>
      </c>
      <c r="E35" s="60" t="s">
        <v>1130</v>
      </c>
      <c r="F35" s="57" t="s">
        <v>1176</v>
      </c>
      <c r="G35" s="57" t="s">
        <v>136</v>
      </c>
      <c r="H35" s="58" t="s">
        <v>83</v>
      </c>
      <c r="I35" s="58" t="s">
        <v>83</v>
      </c>
      <c r="J35" s="58" t="s">
        <v>103</v>
      </c>
      <c r="K35" s="55" t="s">
        <v>54</v>
      </c>
      <c r="L35" s="55" t="s">
        <v>54</v>
      </c>
      <c r="M35" s="71">
        <v>15272653301</v>
      </c>
      <c r="N35" s="72" t="s">
        <v>297</v>
      </c>
      <c r="O35" s="55" t="s">
        <v>298</v>
      </c>
    </row>
    <row r="36" spans="1:15" x14ac:dyDescent="0.15">
      <c r="A36" s="59" t="s">
        <v>299</v>
      </c>
      <c r="B36" s="56" t="s">
        <v>243</v>
      </c>
      <c r="C36" s="57" t="s">
        <v>159</v>
      </c>
      <c r="D36" s="57" t="s">
        <v>159</v>
      </c>
      <c r="E36" s="60" t="s">
        <v>1178</v>
      </c>
      <c r="F36" s="61" t="s">
        <v>1177</v>
      </c>
      <c r="G36" s="57" t="s">
        <v>136</v>
      </c>
      <c r="H36" s="58" t="s">
        <v>81</v>
      </c>
      <c r="I36" s="55" t="s">
        <v>300</v>
      </c>
      <c r="J36" s="55" t="s">
        <v>82</v>
      </c>
      <c r="K36" s="55" t="s">
        <v>54</v>
      </c>
      <c r="L36" s="55" t="s">
        <v>54</v>
      </c>
      <c r="M36" s="71">
        <v>15121017543</v>
      </c>
      <c r="N36" s="72" t="s">
        <v>301</v>
      </c>
      <c r="O36" s="55" t="s">
        <v>302</v>
      </c>
    </row>
    <row r="37" spans="1:15" x14ac:dyDescent="0.15">
      <c r="A37" s="55" t="s">
        <v>303</v>
      </c>
      <c r="B37" s="56" t="s">
        <v>221</v>
      </c>
      <c r="C37" s="61" t="s">
        <v>1038</v>
      </c>
      <c r="D37" s="61" t="s">
        <v>1038</v>
      </c>
      <c r="E37" s="61" t="s">
        <v>1038</v>
      </c>
      <c r="F37" s="57"/>
      <c r="G37" s="57" t="s">
        <v>136</v>
      </c>
      <c r="H37" s="58" t="s">
        <v>13</v>
      </c>
      <c r="I37" s="55" t="s">
        <v>13</v>
      </c>
      <c r="J37" s="55" t="s">
        <v>91</v>
      </c>
      <c r="K37" s="55" t="s">
        <v>79</v>
      </c>
      <c r="L37" s="55" t="s">
        <v>79</v>
      </c>
      <c r="M37" s="71">
        <v>15926338192</v>
      </c>
      <c r="N37" s="72" t="s">
        <v>304</v>
      </c>
      <c r="O37" s="55" t="s">
        <v>767</v>
      </c>
    </row>
    <row r="38" spans="1:15" x14ac:dyDescent="0.15">
      <c r="A38" s="55" t="s">
        <v>306</v>
      </c>
      <c r="B38" s="56" t="s">
        <v>307</v>
      </c>
      <c r="C38" s="57" t="s">
        <v>150</v>
      </c>
      <c r="D38" s="57" t="s">
        <v>150</v>
      </c>
      <c r="E38" s="57" t="s">
        <v>150</v>
      </c>
      <c r="F38" s="57"/>
      <c r="G38" s="57" t="s">
        <v>135</v>
      </c>
      <c r="H38" s="58" t="s">
        <v>22</v>
      </c>
      <c r="I38" s="55" t="s">
        <v>22</v>
      </c>
      <c r="J38" s="55" t="s">
        <v>98</v>
      </c>
      <c r="K38" s="55" t="s">
        <v>75</v>
      </c>
      <c r="L38" s="55" t="s">
        <v>75</v>
      </c>
      <c r="M38" s="71"/>
      <c r="N38" s="72"/>
      <c r="O38" s="55" t="s">
        <v>634</v>
      </c>
    </row>
    <row r="39" spans="1:15" x14ac:dyDescent="0.15">
      <c r="A39" s="59" t="s">
        <v>309</v>
      </c>
      <c r="B39" s="56" t="s">
        <v>239</v>
      </c>
      <c r="C39" s="57" t="s">
        <v>160</v>
      </c>
      <c r="D39" s="60" t="s">
        <v>1054</v>
      </c>
      <c r="E39" s="60" t="s">
        <v>1130</v>
      </c>
      <c r="F39" s="57" t="s">
        <v>1176</v>
      </c>
      <c r="G39" s="57" t="s">
        <v>136</v>
      </c>
      <c r="H39" s="58" t="s">
        <v>22</v>
      </c>
      <c r="I39" s="55" t="s">
        <v>22</v>
      </c>
      <c r="J39" s="55" t="s">
        <v>98</v>
      </c>
      <c r="K39" s="55" t="s">
        <v>75</v>
      </c>
      <c r="L39" s="55" t="s">
        <v>75</v>
      </c>
      <c r="M39" s="71">
        <v>13248296546</v>
      </c>
      <c r="N39" s="72" t="s">
        <v>310</v>
      </c>
      <c r="O39" s="55" t="s">
        <v>311</v>
      </c>
    </row>
    <row r="40" spans="1:15" x14ac:dyDescent="0.15">
      <c r="A40" s="59" t="s">
        <v>312</v>
      </c>
      <c r="B40" s="56" t="s">
        <v>239</v>
      </c>
      <c r="C40" s="57" t="s">
        <v>159</v>
      </c>
      <c r="D40" s="57" t="s">
        <v>1053</v>
      </c>
      <c r="E40" s="57" t="s">
        <v>1128</v>
      </c>
      <c r="F40" s="57" t="s">
        <v>1181</v>
      </c>
      <c r="G40" s="57" t="s">
        <v>136</v>
      </c>
      <c r="H40" s="58" t="s">
        <v>14</v>
      </c>
      <c r="I40" s="55" t="s">
        <v>14</v>
      </c>
      <c r="J40" s="55" t="s">
        <v>102</v>
      </c>
      <c r="K40" s="55" t="s">
        <v>61</v>
      </c>
      <c r="L40" s="55" t="s">
        <v>61</v>
      </c>
      <c r="M40" s="71">
        <v>15803861026</v>
      </c>
      <c r="N40" s="72" t="s">
        <v>313</v>
      </c>
      <c r="O40" s="55" t="s">
        <v>799</v>
      </c>
    </row>
    <row r="41" spans="1:15" x14ac:dyDescent="0.15">
      <c r="A41" s="56" t="s">
        <v>315</v>
      </c>
      <c r="B41" s="56" t="s">
        <v>225</v>
      </c>
      <c r="C41" s="57" t="s">
        <v>160</v>
      </c>
      <c r="D41" s="60" t="s">
        <v>1054</v>
      </c>
      <c r="E41" s="60" t="s">
        <v>1130</v>
      </c>
      <c r="F41" s="57" t="s">
        <v>1176</v>
      </c>
      <c r="G41" s="57" t="s">
        <v>136</v>
      </c>
      <c r="H41" s="58" t="s">
        <v>81</v>
      </c>
      <c r="I41" s="58" t="s">
        <v>81</v>
      </c>
      <c r="J41" s="58" t="s">
        <v>109</v>
      </c>
      <c r="K41" s="55" t="s">
        <v>54</v>
      </c>
      <c r="L41" s="55" t="s">
        <v>54</v>
      </c>
      <c r="M41" s="71">
        <v>15137862710</v>
      </c>
      <c r="N41" s="72" t="s">
        <v>316</v>
      </c>
      <c r="O41" s="55" t="s">
        <v>317</v>
      </c>
    </row>
    <row r="42" spans="1:15" x14ac:dyDescent="0.15">
      <c r="A42" s="56" t="s">
        <v>318</v>
      </c>
      <c r="B42" s="56" t="s">
        <v>319</v>
      </c>
      <c r="C42" s="61" t="s">
        <v>128</v>
      </c>
      <c r="D42" s="61" t="s">
        <v>128</v>
      </c>
      <c r="E42" s="57" t="s">
        <v>1159</v>
      </c>
      <c r="F42" s="57" t="s">
        <v>1181</v>
      </c>
      <c r="G42" s="57" t="s">
        <v>1057</v>
      </c>
      <c r="H42" s="58" t="s">
        <v>19</v>
      </c>
      <c r="I42" s="55" t="s">
        <v>19</v>
      </c>
      <c r="J42" s="55" t="s">
        <v>95</v>
      </c>
      <c r="K42" s="55" t="s">
        <v>71</v>
      </c>
      <c r="L42" s="55" t="s">
        <v>71</v>
      </c>
      <c r="M42" s="71">
        <v>17621675166</v>
      </c>
      <c r="N42" s="72" t="s">
        <v>321</v>
      </c>
      <c r="O42" s="55" t="s">
        <v>322</v>
      </c>
    </row>
    <row r="43" spans="1:15" x14ac:dyDescent="0.15">
      <c r="A43" s="56" t="s">
        <v>323</v>
      </c>
      <c r="B43" s="56" t="s">
        <v>257</v>
      </c>
      <c r="C43" s="57" t="s">
        <v>160</v>
      </c>
      <c r="D43" s="60" t="s">
        <v>1054</v>
      </c>
      <c r="E43" s="60" t="s">
        <v>1130</v>
      </c>
      <c r="F43" s="57" t="s">
        <v>1157</v>
      </c>
      <c r="G43" s="57" t="s">
        <v>136</v>
      </c>
      <c r="H43" s="58" t="s">
        <v>22</v>
      </c>
      <c r="I43" s="55" t="s">
        <v>22</v>
      </c>
      <c r="J43" s="55" t="s">
        <v>112</v>
      </c>
      <c r="K43" s="55" t="s">
        <v>75</v>
      </c>
      <c r="L43" s="55" t="s">
        <v>75</v>
      </c>
      <c r="M43" s="71">
        <v>13601630480</v>
      </c>
      <c r="N43" s="72" t="s">
        <v>324</v>
      </c>
      <c r="O43" s="55" t="s">
        <v>270</v>
      </c>
    </row>
    <row r="44" spans="1:15" x14ac:dyDescent="0.15">
      <c r="A44" s="59" t="s">
        <v>326</v>
      </c>
      <c r="B44" s="56" t="s">
        <v>229</v>
      </c>
      <c r="C44" s="57" t="s">
        <v>144</v>
      </c>
      <c r="D44" s="57"/>
      <c r="E44" s="57"/>
      <c r="F44" s="57"/>
      <c r="G44" s="57"/>
      <c r="H44" s="58" t="s">
        <v>77</v>
      </c>
      <c r="I44" s="58" t="s">
        <v>77</v>
      </c>
      <c r="J44" s="58" t="s">
        <v>110</v>
      </c>
      <c r="K44" s="55" t="s">
        <v>78</v>
      </c>
      <c r="L44" s="55" t="s">
        <v>78</v>
      </c>
      <c r="M44" s="71">
        <v>18621278768</v>
      </c>
      <c r="N44" s="72" t="s">
        <v>327</v>
      </c>
      <c r="O44" s="55" t="s">
        <v>255</v>
      </c>
    </row>
    <row r="45" spans="1:15" x14ac:dyDescent="0.15">
      <c r="A45" s="55" t="s">
        <v>328</v>
      </c>
      <c r="B45" s="55" t="s">
        <v>229</v>
      </c>
      <c r="C45" s="57" t="s">
        <v>1046</v>
      </c>
      <c r="D45" s="57" t="s">
        <v>1058</v>
      </c>
      <c r="E45" s="57" t="s">
        <v>1058</v>
      </c>
      <c r="F45" s="62"/>
      <c r="G45" s="57" t="s">
        <v>1058</v>
      </c>
      <c r="H45" s="58" t="s">
        <v>77</v>
      </c>
      <c r="I45" s="58" t="s">
        <v>77</v>
      </c>
      <c r="J45" s="58" t="s">
        <v>110</v>
      </c>
      <c r="K45" s="55" t="s">
        <v>78</v>
      </c>
      <c r="L45" s="55" t="s">
        <v>78</v>
      </c>
      <c r="M45" s="74">
        <v>15038600851</v>
      </c>
      <c r="N45" s="72" t="s">
        <v>329</v>
      </c>
      <c r="O45" s="55" t="s">
        <v>1107</v>
      </c>
    </row>
    <row r="46" spans="1:15" x14ac:dyDescent="0.15">
      <c r="A46" s="59" t="s">
        <v>331</v>
      </c>
      <c r="B46" s="56" t="s">
        <v>332</v>
      </c>
      <c r="C46" s="57" t="s">
        <v>160</v>
      </c>
      <c r="D46" s="60" t="s">
        <v>1054</v>
      </c>
      <c r="E46" s="60" t="s">
        <v>1130</v>
      </c>
      <c r="F46" s="57" t="s">
        <v>1176</v>
      </c>
      <c r="G46" s="57" t="s">
        <v>136</v>
      </c>
      <c r="H46" s="58" t="s">
        <v>77</v>
      </c>
      <c r="I46" s="58" t="s">
        <v>77</v>
      </c>
      <c r="J46" s="58" t="s">
        <v>110</v>
      </c>
      <c r="K46" s="55" t="s">
        <v>78</v>
      </c>
      <c r="L46" s="55" t="s">
        <v>78</v>
      </c>
      <c r="M46" s="71">
        <v>13526559102</v>
      </c>
      <c r="N46" s="72" t="s">
        <v>333</v>
      </c>
      <c r="O46" s="55" t="s">
        <v>334</v>
      </c>
    </row>
    <row r="47" spans="1:15" x14ac:dyDescent="0.15">
      <c r="A47" s="59" t="s">
        <v>84</v>
      </c>
      <c r="B47" s="56" t="s">
        <v>335</v>
      </c>
      <c r="C47" s="57" t="s">
        <v>112</v>
      </c>
      <c r="D47" s="57" t="s">
        <v>112</v>
      </c>
      <c r="E47" s="57" t="s">
        <v>112</v>
      </c>
      <c r="F47" s="57"/>
      <c r="G47" s="57" t="s">
        <v>112</v>
      </c>
      <c r="H47" s="58" t="s">
        <v>84</v>
      </c>
      <c r="I47" s="55" t="s">
        <v>53</v>
      </c>
      <c r="J47" s="55" t="s">
        <v>82</v>
      </c>
      <c r="K47" s="55" t="s">
        <v>79</v>
      </c>
      <c r="L47" s="55" t="s">
        <v>79</v>
      </c>
      <c r="M47" s="71">
        <v>18817326705</v>
      </c>
      <c r="N47" s="72" t="s">
        <v>336</v>
      </c>
      <c r="O47" s="55" t="s">
        <v>194</v>
      </c>
    </row>
    <row r="48" spans="1:15" x14ac:dyDescent="0.15">
      <c r="A48" s="56" t="s">
        <v>337</v>
      </c>
      <c r="B48" s="56" t="s">
        <v>232</v>
      </c>
      <c r="C48" s="57" t="s">
        <v>155</v>
      </c>
      <c r="D48" s="57" t="s">
        <v>161</v>
      </c>
      <c r="E48" s="57" t="s">
        <v>1132</v>
      </c>
      <c r="F48" s="57"/>
      <c r="G48" s="57" t="s">
        <v>1057</v>
      </c>
      <c r="H48" s="58" t="s">
        <v>84</v>
      </c>
      <c r="I48" s="58" t="s">
        <v>84</v>
      </c>
      <c r="J48" s="55" t="s">
        <v>105</v>
      </c>
      <c r="K48" s="55" t="s">
        <v>69</v>
      </c>
      <c r="L48" s="55" t="s">
        <v>69</v>
      </c>
      <c r="M48" s="71">
        <v>15618656040</v>
      </c>
      <c r="N48" s="72" t="s">
        <v>338</v>
      </c>
      <c r="O48" s="55" t="s">
        <v>822</v>
      </c>
    </row>
    <row r="49" spans="1:15" x14ac:dyDescent="0.15">
      <c r="A49" s="56" t="s">
        <v>340</v>
      </c>
      <c r="B49" s="56" t="s">
        <v>225</v>
      </c>
      <c r="C49" s="57" t="s">
        <v>148</v>
      </c>
      <c r="D49" s="57" t="s">
        <v>148</v>
      </c>
      <c r="E49" s="57" t="s">
        <v>148</v>
      </c>
      <c r="F49" s="57"/>
      <c r="G49" s="57" t="s">
        <v>148</v>
      </c>
      <c r="H49" s="58" t="s">
        <v>81</v>
      </c>
      <c r="I49" s="58" t="s">
        <v>81</v>
      </c>
      <c r="J49" s="58" t="s">
        <v>117</v>
      </c>
      <c r="K49" s="55" t="s">
        <v>54</v>
      </c>
      <c r="L49" s="55" t="s">
        <v>54</v>
      </c>
      <c r="M49" s="71">
        <v>15721535804</v>
      </c>
      <c r="N49" s="72" t="s">
        <v>341</v>
      </c>
      <c r="O49" s="55" t="s">
        <v>342</v>
      </c>
    </row>
    <row r="50" spans="1:15" x14ac:dyDescent="0.15">
      <c r="A50" s="55" t="s">
        <v>343</v>
      </c>
      <c r="B50" s="56" t="s">
        <v>319</v>
      </c>
      <c r="C50" s="57" t="s">
        <v>148</v>
      </c>
      <c r="D50" s="57" t="s">
        <v>148</v>
      </c>
      <c r="E50" s="57" t="s">
        <v>148</v>
      </c>
      <c r="F50" s="57"/>
      <c r="G50" s="57" t="s">
        <v>148</v>
      </c>
      <c r="H50" s="58" t="s">
        <v>13</v>
      </c>
      <c r="I50" s="55" t="s">
        <v>13</v>
      </c>
      <c r="J50" s="55" t="s">
        <v>91</v>
      </c>
      <c r="K50" s="55" t="s">
        <v>79</v>
      </c>
      <c r="L50" s="55" t="s">
        <v>79</v>
      </c>
      <c r="M50" s="71">
        <v>15751869621</v>
      </c>
      <c r="N50" s="72" t="s">
        <v>344</v>
      </c>
      <c r="O50" s="55" t="s">
        <v>345</v>
      </c>
    </row>
    <row r="51" spans="1:15" x14ac:dyDescent="0.15">
      <c r="A51" s="59" t="s">
        <v>346</v>
      </c>
      <c r="B51" s="56" t="s">
        <v>229</v>
      </c>
      <c r="C51" s="57" t="s">
        <v>1087</v>
      </c>
      <c r="D51" s="57" t="s">
        <v>1087</v>
      </c>
      <c r="E51" s="60" t="s">
        <v>1150</v>
      </c>
      <c r="F51" s="57"/>
      <c r="G51" s="57" t="s">
        <v>1086</v>
      </c>
      <c r="H51" s="58" t="s">
        <v>77</v>
      </c>
      <c r="I51" s="58" t="s">
        <v>77</v>
      </c>
      <c r="J51" s="58" t="s">
        <v>112</v>
      </c>
      <c r="K51" s="55" t="s">
        <v>78</v>
      </c>
      <c r="L51" s="55" t="s">
        <v>78</v>
      </c>
      <c r="M51" s="71">
        <v>17621597440</v>
      </c>
      <c r="N51" s="72" t="s">
        <v>347</v>
      </c>
      <c r="O51" s="55" t="s">
        <v>348</v>
      </c>
    </row>
    <row r="52" spans="1:15" x14ac:dyDescent="0.15">
      <c r="A52" s="56" t="s">
        <v>349</v>
      </c>
      <c r="B52" s="56" t="s">
        <v>229</v>
      </c>
      <c r="C52" s="57" t="s">
        <v>112</v>
      </c>
      <c r="D52" s="57" t="s">
        <v>112</v>
      </c>
      <c r="E52" s="57" t="s">
        <v>112</v>
      </c>
      <c r="F52" s="57"/>
      <c r="G52" s="57" t="s">
        <v>112</v>
      </c>
      <c r="H52" s="58" t="s">
        <v>14</v>
      </c>
      <c r="I52" s="55" t="s">
        <v>14</v>
      </c>
      <c r="J52" s="55" t="s">
        <v>102</v>
      </c>
      <c r="K52" s="55" t="s">
        <v>61</v>
      </c>
      <c r="L52" s="55" t="s">
        <v>61</v>
      </c>
      <c r="M52" s="71">
        <v>15921789784</v>
      </c>
      <c r="N52" s="72" t="s">
        <v>350</v>
      </c>
      <c r="O52" s="55" t="s">
        <v>351</v>
      </c>
    </row>
    <row r="53" spans="1:15" x14ac:dyDescent="0.15">
      <c r="A53" s="56" t="s">
        <v>352</v>
      </c>
      <c r="B53" s="56" t="s">
        <v>221</v>
      </c>
      <c r="C53" s="57" t="s">
        <v>160</v>
      </c>
      <c r="D53" s="60" t="s">
        <v>1054</v>
      </c>
      <c r="E53" s="60" t="s">
        <v>1130</v>
      </c>
      <c r="F53" s="57" t="s">
        <v>1178</v>
      </c>
      <c r="G53" s="57" t="s">
        <v>136</v>
      </c>
      <c r="H53" s="58" t="s">
        <v>77</v>
      </c>
      <c r="I53" s="58" t="s">
        <v>77</v>
      </c>
      <c r="J53" s="58" t="s">
        <v>110</v>
      </c>
      <c r="K53" s="55" t="s">
        <v>78</v>
      </c>
      <c r="L53" s="55" t="s">
        <v>78</v>
      </c>
      <c r="M53" s="71">
        <v>18917713389</v>
      </c>
      <c r="N53" s="72" t="s">
        <v>353</v>
      </c>
      <c r="O53" s="55" t="s">
        <v>354</v>
      </c>
    </row>
    <row r="54" spans="1:15" x14ac:dyDescent="0.15">
      <c r="A54" s="56" t="s">
        <v>355</v>
      </c>
      <c r="B54" s="56" t="s">
        <v>229</v>
      </c>
      <c r="C54" s="57" t="s">
        <v>150</v>
      </c>
      <c r="D54" s="57" t="s">
        <v>150</v>
      </c>
      <c r="E54" s="57" t="s">
        <v>150</v>
      </c>
      <c r="F54" s="57"/>
      <c r="G54" s="68" t="s">
        <v>135</v>
      </c>
      <c r="H54" s="58" t="s">
        <v>77</v>
      </c>
      <c r="I54" s="58" t="s">
        <v>77</v>
      </c>
      <c r="J54" s="58" t="s">
        <v>110</v>
      </c>
      <c r="K54" s="55" t="s">
        <v>78</v>
      </c>
      <c r="L54" s="55" t="s">
        <v>78</v>
      </c>
      <c r="M54" s="71">
        <v>13122528699</v>
      </c>
      <c r="N54" s="72" t="s">
        <v>356</v>
      </c>
      <c r="O54" s="55" t="s">
        <v>357</v>
      </c>
    </row>
    <row r="55" spans="1:15" x14ac:dyDescent="0.15">
      <c r="A55" s="59" t="s">
        <v>358</v>
      </c>
      <c r="B55" s="56" t="s">
        <v>225</v>
      </c>
      <c r="C55" s="62" t="s">
        <v>156</v>
      </c>
      <c r="D55" s="62" t="s">
        <v>1055</v>
      </c>
      <c r="E55" s="62" t="s">
        <v>1055</v>
      </c>
      <c r="F55" s="57"/>
      <c r="G55" s="57" t="s">
        <v>135</v>
      </c>
      <c r="H55" s="58" t="s">
        <v>83</v>
      </c>
      <c r="I55" s="58" t="s">
        <v>83</v>
      </c>
      <c r="J55" s="58" t="s">
        <v>103</v>
      </c>
      <c r="K55" s="55" t="s">
        <v>68</v>
      </c>
      <c r="L55" s="55" t="s">
        <v>68</v>
      </c>
      <c r="M55" s="71">
        <v>13522590361</v>
      </c>
      <c r="N55" s="72" t="s">
        <v>359</v>
      </c>
      <c r="O55" s="55" t="s">
        <v>1108</v>
      </c>
    </row>
    <row r="56" spans="1:15" x14ac:dyDescent="0.15">
      <c r="A56" s="59" t="s">
        <v>361</v>
      </c>
      <c r="B56" s="56" t="s">
        <v>335</v>
      </c>
      <c r="C56" s="57" t="s">
        <v>144</v>
      </c>
      <c r="D56" s="57" t="s">
        <v>144</v>
      </c>
      <c r="E56" s="60" t="s">
        <v>1150</v>
      </c>
      <c r="F56" s="57"/>
      <c r="G56" s="57" t="s">
        <v>138</v>
      </c>
      <c r="H56" s="58" t="s">
        <v>32</v>
      </c>
      <c r="I56" s="58" t="s">
        <v>62</v>
      </c>
      <c r="J56" s="58" t="s">
        <v>82</v>
      </c>
      <c r="K56" s="55" t="s">
        <v>54</v>
      </c>
      <c r="L56" s="55" t="s">
        <v>54</v>
      </c>
      <c r="M56" s="71">
        <v>18672371609</v>
      </c>
      <c r="N56" s="72" t="s">
        <v>362</v>
      </c>
      <c r="O56" s="55" t="s">
        <v>363</v>
      </c>
    </row>
    <row r="57" spans="1:15" x14ac:dyDescent="0.15">
      <c r="A57" s="55" t="s">
        <v>364</v>
      </c>
      <c r="B57" s="55" t="s">
        <v>221</v>
      </c>
      <c r="C57" s="57" t="s">
        <v>160</v>
      </c>
      <c r="D57" s="60" t="s">
        <v>1054</v>
      </c>
      <c r="E57" s="60" t="s">
        <v>1130</v>
      </c>
      <c r="F57" s="57"/>
      <c r="G57" s="57" t="s">
        <v>136</v>
      </c>
      <c r="H57" s="58" t="s">
        <v>19</v>
      </c>
      <c r="I57" s="55" t="s">
        <v>19</v>
      </c>
      <c r="J57" s="55" t="s">
        <v>95</v>
      </c>
      <c r="K57" s="55" t="s">
        <v>71</v>
      </c>
      <c r="L57" s="55" t="s">
        <v>71</v>
      </c>
      <c r="M57" s="71">
        <v>13472408123</v>
      </c>
      <c r="N57" s="72" t="s">
        <v>365</v>
      </c>
      <c r="O57" s="55" t="s">
        <v>366</v>
      </c>
    </row>
    <row r="58" spans="1:15" x14ac:dyDescent="0.15">
      <c r="A58" s="59" t="s">
        <v>170</v>
      </c>
      <c r="B58" s="56" t="s">
        <v>291</v>
      </c>
      <c r="C58" s="57" t="s">
        <v>160</v>
      </c>
      <c r="D58" s="60" t="s">
        <v>1054</v>
      </c>
      <c r="E58" s="60" t="s">
        <v>1130</v>
      </c>
      <c r="F58" s="57" t="s">
        <v>1176</v>
      </c>
      <c r="G58" s="57" t="s">
        <v>136</v>
      </c>
      <c r="H58" s="58" t="s">
        <v>83</v>
      </c>
      <c r="I58" s="58" t="s">
        <v>83</v>
      </c>
      <c r="J58" s="58" t="s">
        <v>103</v>
      </c>
      <c r="K58" s="55" t="s">
        <v>68</v>
      </c>
      <c r="L58" s="55" t="s">
        <v>68</v>
      </c>
      <c r="M58" s="71">
        <v>13698813155</v>
      </c>
      <c r="N58" s="72" t="s">
        <v>367</v>
      </c>
      <c r="O58" s="55" t="s">
        <v>368</v>
      </c>
    </row>
    <row r="59" spans="1:15" ht="14.25" customHeight="1" x14ac:dyDescent="0.15">
      <c r="A59" s="59" t="s">
        <v>369</v>
      </c>
      <c r="B59" s="56" t="s">
        <v>307</v>
      </c>
      <c r="C59" s="62" t="s">
        <v>156</v>
      </c>
      <c r="D59" s="62" t="s">
        <v>1055</v>
      </c>
      <c r="E59" s="62" t="s">
        <v>1055</v>
      </c>
      <c r="F59" s="62"/>
      <c r="G59" s="57" t="s">
        <v>135</v>
      </c>
      <c r="H59" s="58" t="s">
        <v>77</v>
      </c>
      <c r="I59" s="58" t="s">
        <v>77</v>
      </c>
      <c r="J59" s="58" t="s">
        <v>110</v>
      </c>
      <c r="K59" s="55" t="s">
        <v>78</v>
      </c>
      <c r="L59" s="55" t="s">
        <v>78</v>
      </c>
      <c r="M59" s="71">
        <v>15000302711</v>
      </c>
      <c r="N59" s="72" t="s">
        <v>370</v>
      </c>
      <c r="O59" s="55" t="s">
        <v>330</v>
      </c>
    </row>
    <row r="60" spans="1:15" x14ac:dyDescent="0.15">
      <c r="A60" s="55" t="s">
        <v>372</v>
      </c>
      <c r="B60" s="55" t="s">
        <v>291</v>
      </c>
      <c r="C60" s="57" t="s">
        <v>144</v>
      </c>
      <c r="D60" s="57" t="s">
        <v>144</v>
      </c>
      <c r="E60" s="57" t="s">
        <v>144</v>
      </c>
      <c r="F60" s="57"/>
      <c r="G60" s="61" t="s">
        <v>138</v>
      </c>
      <c r="H60" s="58" t="s">
        <v>83</v>
      </c>
      <c r="I60" s="58" t="s">
        <v>83</v>
      </c>
      <c r="J60" s="58" t="s">
        <v>103</v>
      </c>
      <c r="K60" s="55" t="s">
        <v>54</v>
      </c>
      <c r="L60" s="55" t="s">
        <v>54</v>
      </c>
      <c r="M60" s="71">
        <v>18539650795</v>
      </c>
      <c r="N60" s="72" t="s">
        <v>373</v>
      </c>
      <c r="O60" s="55" t="s">
        <v>374</v>
      </c>
    </row>
    <row r="61" spans="1:15" x14ac:dyDescent="0.15">
      <c r="A61" s="59" t="s">
        <v>375</v>
      </c>
      <c r="B61" s="56" t="s">
        <v>221</v>
      </c>
      <c r="C61" s="57" t="s">
        <v>155</v>
      </c>
      <c r="D61" s="57" t="s">
        <v>1053</v>
      </c>
      <c r="E61" s="57" t="s">
        <v>1128</v>
      </c>
      <c r="F61" s="57"/>
      <c r="G61" s="57" t="s">
        <v>1057</v>
      </c>
      <c r="H61" s="58" t="s">
        <v>77</v>
      </c>
      <c r="I61" s="58" t="s">
        <v>77</v>
      </c>
      <c r="J61" s="58" t="s">
        <v>110</v>
      </c>
      <c r="K61" s="55" t="s">
        <v>78</v>
      </c>
      <c r="L61" s="55" t="s">
        <v>78</v>
      </c>
      <c r="M61" s="71">
        <v>18530047731</v>
      </c>
      <c r="N61" s="72" t="s">
        <v>376</v>
      </c>
      <c r="O61" s="55" t="s">
        <v>377</v>
      </c>
    </row>
    <row r="62" spans="1:15" x14ac:dyDescent="0.15">
      <c r="A62" s="56" t="s">
        <v>378</v>
      </c>
      <c r="B62" s="56" t="s">
        <v>239</v>
      </c>
      <c r="C62" s="57" t="s">
        <v>128</v>
      </c>
      <c r="D62" s="57" t="s">
        <v>128</v>
      </c>
      <c r="E62" s="57" t="s">
        <v>1056</v>
      </c>
      <c r="F62" s="57"/>
      <c r="G62" s="57" t="s">
        <v>1083</v>
      </c>
      <c r="H62" s="58" t="s">
        <v>22</v>
      </c>
      <c r="I62" s="55" t="s">
        <v>22</v>
      </c>
      <c r="J62" s="55" t="s">
        <v>98</v>
      </c>
      <c r="K62" s="55" t="s">
        <v>75</v>
      </c>
      <c r="L62" s="55" t="s">
        <v>75</v>
      </c>
      <c r="M62" s="71">
        <v>15262615675</v>
      </c>
      <c r="N62" s="73" t="s">
        <v>379</v>
      </c>
      <c r="O62" s="55" t="s">
        <v>305</v>
      </c>
    </row>
    <row r="63" spans="1:15" x14ac:dyDescent="0.15">
      <c r="A63" s="56" t="s">
        <v>83</v>
      </c>
      <c r="B63" s="56" t="s">
        <v>243</v>
      </c>
      <c r="C63" s="57" t="s">
        <v>112</v>
      </c>
      <c r="D63" s="57" t="s">
        <v>112</v>
      </c>
      <c r="E63" s="57" t="s">
        <v>112</v>
      </c>
      <c r="F63" s="57"/>
      <c r="G63" s="57" t="s">
        <v>112</v>
      </c>
      <c r="H63" s="58" t="s">
        <v>83</v>
      </c>
      <c r="I63" s="55" t="s">
        <v>244</v>
      </c>
      <c r="J63" s="55" t="s">
        <v>112</v>
      </c>
      <c r="K63" s="55" t="s">
        <v>68</v>
      </c>
      <c r="L63" s="55" t="s">
        <v>68</v>
      </c>
      <c r="M63" s="74">
        <v>13764514223</v>
      </c>
      <c r="N63" s="72"/>
      <c r="O63" s="55" t="s">
        <v>381</v>
      </c>
    </row>
    <row r="64" spans="1:15" x14ac:dyDescent="0.15">
      <c r="A64" s="56" t="s">
        <v>382</v>
      </c>
      <c r="B64" s="56" t="s">
        <v>383</v>
      </c>
      <c r="C64" s="57"/>
      <c r="D64" s="57"/>
      <c r="E64" s="57"/>
      <c r="F64" s="57"/>
      <c r="G64" s="57"/>
      <c r="H64" s="58" t="s">
        <v>83</v>
      </c>
      <c r="I64" s="58" t="s">
        <v>83</v>
      </c>
      <c r="J64" s="58" t="s">
        <v>103</v>
      </c>
      <c r="K64" s="55" t="s">
        <v>54</v>
      </c>
      <c r="L64" s="55" t="s">
        <v>54</v>
      </c>
      <c r="M64" s="71">
        <v>13764327990</v>
      </c>
      <c r="N64" s="72" t="s">
        <v>384</v>
      </c>
      <c r="O64" s="55" t="s">
        <v>385</v>
      </c>
    </row>
    <row r="65" spans="1:15" x14ac:dyDescent="0.15">
      <c r="A65" s="56" t="s">
        <v>386</v>
      </c>
      <c r="B65" s="56" t="s">
        <v>225</v>
      </c>
      <c r="C65" s="57" t="s">
        <v>155</v>
      </c>
      <c r="D65" s="57" t="s">
        <v>1053</v>
      </c>
      <c r="E65" s="57" t="s">
        <v>1128</v>
      </c>
      <c r="F65" s="57"/>
      <c r="G65" s="57" t="s">
        <v>1057</v>
      </c>
      <c r="H65" s="58" t="s">
        <v>81</v>
      </c>
      <c r="I65" s="58" t="s">
        <v>81</v>
      </c>
      <c r="J65" s="58" t="s">
        <v>109</v>
      </c>
      <c r="K65" s="55" t="s">
        <v>54</v>
      </c>
      <c r="L65" s="55" t="s">
        <v>54</v>
      </c>
      <c r="M65" s="71">
        <v>15238652181</v>
      </c>
      <c r="N65" s="72" t="s">
        <v>387</v>
      </c>
      <c r="O65" s="55" t="s">
        <v>388</v>
      </c>
    </row>
    <row r="66" spans="1:15" x14ac:dyDescent="0.15">
      <c r="A66" s="59" t="s">
        <v>389</v>
      </c>
      <c r="B66" s="56" t="s">
        <v>390</v>
      </c>
      <c r="C66" s="57" t="s">
        <v>159</v>
      </c>
      <c r="D66" s="57" t="s">
        <v>1059</v>
      </c>
      <c r="E66" s="57" t="s">
        <v>1132</v>
      </c>
      <c r="F66" s="57"/>
      <c r="G66" s="57" t="s">
        <v>136</v>
      </c>
      <c r="H66" s="58" t="s">
        <v>77</v>
      </c>
      <c r="I66" s="58" t="s">
        <v>77</v>
      </c>
      <c r="J66" s="58" t="s">
        <v>115</v>
      </c>
      <c r="K66" s="55" t="s">
        <v>78</v>
      </c>
      <c r="L66" s="55" t="s">
        <v>78</v>
      </c>
      <c r="M66" s="71">
        <v>13053179212</v>
      </c>
      <c r="N66" s="72" t="s">
        <v>391</v>
      </c>
      <c r="O66" s="55" t="s">
        <v>392</v>
      </c>
    </row>
    <row r="67" spans="1:15" x14ac:dyDescent="0.15">
      <c r="A67" s="59" t="s">
        <v>393</v>
      </c>
      <c r="B67" s="56" t="s">
        <v>335</v>
      </c>
      <c r="C67" s="61" t="s">
        <v>1038</v>
      </c>
      <c r="D67" s="61" t="s">
        <v>1038</v>
      </c>
      <c r="E67" s="61" t="s">
        <v>1038</v>
      </c>
      <c r="F67" s="57"/>
      <c r="G67" s="57" t="s">
        <v>136</v>
      </c>
      <c r="H67" s="58" t="s">
        <v>81</v>
      </c>
      <c r="I67" s="58" t="s">
        <v>300</v>
      </c>
      <c r="J67" s="58" t="s">
        <v>82</v>
      </c>
      <c r="K67" s="55" t="s">
        <v>68</v>
      </c>
      <c r="L67" s="55" t="s">
        <v>68</v>
      </c>
      <c r="M67" s="71">
        <v>18801770121</v>
      </c>
      <c r="N67" s="72" t="s">
        <v>394</v>
      </c>
      <c r="O67" s="55" t="s">
        <v>848</v>
      </c>
    </row>
    <row r="68" spans="1:15" x14ac:dyDescent="0.15">
      <c r="A68" s="56" t="s">
        <v>396</v>
      </c>
      <c r="B68" s="56" t="s">
        <v>225</v>
      </c>
      <c r="C68" s="57" t="s">
        <v>172</v>
      </c>
      <c r="D68" s="57" t="s">
        <v>172</v>
      </c>
      <c r="E68" s="57" t="s">
        <v>172</v>
      </c>
      <c r="F68" s="57"/>
      <c r="G68" s="57" t="s">
        <v>172</v>
      </c>
      <c r="H68" s="58" t="s">
        <v>82</v>
      </c>
      <c r="I68" s="58" t="s">
        <v>82</v>
      </c>
      <c r="J68" s="58" t="s">
        <v>117</v>
      </c>
      <c r="K68" s="55" t="s">
        <v>54</v>
      </c>
      <c r="L68" s="55" t="s">
        <v>54</v>
      </c>
      <c r="M68" s="71">
        <v>13501973116</v>
      </c>
      <c r="N68" s="72" t="s">
        <v>397</v>
      </c>
      <c r="O68" s="55" t="s">
        <v>172</v>
      </c>
    </row>
    <row r="69" spans="1:15" s="43" customFormat="1" x14ac:dyDescent="0.15">
      <c r="A69" s="78" t="s">
        <v>398</v>
      </c>
      <c r="B69" s="64" t="s">
        <v>229</v>
      </c>
      <c r="C69" s="66" t="s">
        <v>172</v>
      </c>
      <c r="D69" s="66" t="s">
        <v>172</v>
      </c>
      <c r="E69" s="66" t="s">
        <v>172</v>
      </c>
      <c r="F69" s="66"/>
      <c r="G69" s="65" t="s">
        <v>172</v>
      </c>
      <c r="H69" s="67" t="s">
        <v>32</v>
      </c>
      <c r="I69" s="75" t="s">
        <v>32</v>
      </c>
      <c r="J69" s="75" t="s">
        <v>108</v>
      </c>
      <c r="K69" s="75" t="s">
        <v>73</v>
      </c>
      <c r="L69" s="75" t="s">
        <v>73</v>
      </c>
      <c r="M69" s="76">
        <v>18917051607</v>
      </c>
      <c r="N69" s="77" t="s">
        <v>399</v>
      </c>
      <c r="O69" s="75" t="s">
        <v>172</v>
      </c>
    </row>
    <row r="70" spans="1:15" x14ac:dyDescent="0.15">
      <c r="A70" s="59" t="s">
        <v>400</v>
      </c>
      <c r="B70" s="56" t="s">
        <v>401</v>
      </c>
      <c r="C70" s="57" t="s">
        <v>160</v>
      </c>
      <c r="D70" s="60" t="s">
        <v>1054</v>
      </c>
      <c r="E70" s="60" t="s">
        <v>1130</v>
      </c>
      <c r="F70" s="57" t="s">
        <v>1176</v>
      </c>
      <c r="G70" s="57" t="s">
        <v>136</v>
      </c>
      <c r="H70" s="58" t="s">
        <v>32</v>
      </c>
      <c r="I70" s="55" t="s">
        <v>32</v>
      </c>
      <c r="J70" s="55" t="s">
        <v>108</v>
      </c>
      <c r="K70" s="55" t="s">
        <v>74</v>
      </c>
      <c r="L70" s="55" t="s">
        <v>74</v>
      </c>
      <c r="M70" s="71">
        <v>18521302776</v>
      </c>
      <c r="N70" s="72" t="s">
        <v>402</v>
      </c>
      <c r="O70" s="55" t="s">
        <v>403</v>
      </c>
    </row>
    <row r="71" spans="1:15" x14ac:dyDescent="0.15">
      <c r="A71" s="55" t="s">
        <v>404</v>
      </c>
      <c r="B71" s="55" t="s">
        <v>319</v>
      </c>
      <c r="C71" s="57" t="s">
        <v>172</v>
      </c>
      <c r="D71" s="57" t="s">
        <v>172</v>
      </c>
      <c r="E71" s="57" t="s">
        <v>172</v>
      </c>
      <c r="F71" s="57"/>
      <c r="G71" s="57" t="s">
        <v>172</v>
      </c>
      <c r="H71" s="58" t="s">
        <v>22</v>
      </c>
      <c r="I71" s="55" t="s">
        <v>22</v>
      </c>
      <c r="J71" s="55" t="s">
        <v>98</v>
      </c>
      <c r="K71" s="55" t="s">
        <v>75</v>
      </c>
      <c r="L71" s="55" t="s">
        <v>75</v>
      </c>
      <c r="M71" s="71">
        <v>15000478926</v>
      </c>
      <c r="N71" s="80" t="s">
        <v>405</v>
      </c>
      <c r="O71" s="59" t="s">
        <v>172</v>
      </c>
    </row>
    <row r="72" spans="1:15" x14ac:dyDescent="0.15">
      <c r="A72" s="59" t="s">
        <v>406</v>
      </c>
      <c r="B72" s="56" t="s">
        <v>335</v>
      </c>
      <c r="C72" s="57" t="s">
        <v>160</v>
      </c>
      <c r="D72" s="60" t="s">
        <v>1054</v>
      </c>
      <c r="E72" s="60" t="s">
        <v>1130</v>
      </c>
      <c r="F72" s="57" t="s">
        <v>1176</v>
      </c>
      <c r="G72" s="57" t="s">
        <v>136</v>
      </c>
      <c r="H72" s="58" t="s">
        <v>32</v>
      </c>
      <c r="I72" s="55" t="s">
        <v>62</v>
      </c>
      <c r="J72" s="55" t="s">
        <v>82</v>
      </c>
      <c r="K72" s="55" t="s">
        <v>73</v>
      </c>
      <c r="L72" s="55" t="s">
        <v>73</v>
      </c>
      <c r="M72" s="71">
        <v>19901703891</v>
      </c>
      <c r="N72" s="72" t="s">
        <v>407</v>
      </c>
      <c r="O72" s="55" t="s">
        <v>408</v>
      </c>
    </row>
    <row r="73" spans="1:15" x14ac:dyDescent="0.15">
      <c r="A73" s="59" t="s">
        <v>409</v>
      </c>
      <c r="B73" s="56" t="s">
        <v>221</v>
      </c>
      <c r="C73" s="60" t="s">
        <v>1039</v>
      </c>
      <c r="D73" s="60" t="s">
        <v>1039</v>
      </c>
      <c r="E73" s="60" t="s">
        <v>1039</v>
      </c>
      <c r="F73" s="68" t="s">
        <v>1157</v>
      </c>
      <c r="G73" s="57" t="s">
        <v>136</v>
      </c>
      <c r="H73" s="58" t="s">
        <v>22</v>
      </c>
      <c r="I73" s="59" t="s">
        <v>22</v>
      </c>
      <c r="J73" s="55" t="s">
        <v>98</v>
      </c>
      <c r="K73" s="55" t="s">
        <v>75</v>
      </c>
      <c r="L73" s="55" t="s">
        <v>75</v>
      </c>
      <c r="M73" s="71">
        <v>18354266162</v>
      </c>
      <c r="N73" s="73" t="s">
        <v>410</v>
      </c>
      <c r="O73" s="55" t="s">
        <v>411</v>
      </c>
    </row>
    <row r="74" spans="1:15" x14ac:dyDescent="0.15">
      <c r="A74" s="56" t="s">
        <v>412</v>
      </c>
      <c r="B74" s="56" t="s">
        <v>229</v>
      </c>
      <c r="C74" s="61" t="s">
        <v>1038</v>
      </c>
      <c r="D74" s="61" t="s">
        <v>1038</v>
      </c>
      <c r="E74" s="61" t="s">
        <v>1038</v>
      </c>
      <c r="F74" s="57"/>
      <c r="G74" s="57" t="s">
        <v>136</v>
      </c>
      <c r="H74" s="58" t="s">
        <v>81</v>
      </c>
      <c r="I74" s="58" t="s">
        <v>81</v>
      </c>
      <c r="J74" s="58" t="s">
        <v>109</v>
      </c>
      <c r="K74" s="55" t="s">
        <v>54</v>
      </c>
      <c r="L74" s="55" t="s">
        <v>54</v>
      </c>
      <c r="M74" s="71">
        <v>13918379524</v>
      </c>
      <c r="N74" s="72" t="s">
        <v>413</v>
      </c>
      <c r="O74" s="55" t="s">
        <v>535</v>
      </c>
    </row>
    <row r="75" spans="1:15" x14ac:dyDescent="0.15">
      <c r="A75" s="59" t="s">
        <v>415</v>
      </c>
      <c r="B75" s="56" t="s">
        <v>257</v>
      </c>
      <c r="C75" s="62" t="s">
        <v>149</v>
      </c>
      <c r="D75" s="62" t="s">
        <v>149</v>
      </c>
      <c r="E75" s="62" t="s">
        <v>149</v>
      </c>
      <c r="F75" s="62"/>
      <c r="G75" s="57" t="s">
        <v>135</v>
      </c>
      <c r="H75" s="58" t="s">
        <v>32</v>
      </c>
      <c r="I75" s="55" t="s">
        <v>32</v>
      </c>
      <c r="J75" s="55" t="s">
        <v>108</v>
      </c>
      <c r="K75" s="55" t="s">
        <v>74</v>
      </c>
      <c r="L75" s="55" t="s">
        <v>74</v>
      </c>
      <c r="M75" s="71">
        <v>15801897800</v>
      </c>
      <c r="N75" s="72" t="s">
        <v>416</v>
      </c>
      <c r="O75" s="55" t="s">
        <v>417</v>
      </c>
    </row>
    <row r="76" spans="1:15" x14ac:dyDescent="0.15">
      <c r="A76" s="63" t="s">
        <v>418</v>
      </c>
      <c r="B76" s="56" t="s">
        <v>261</v>
      </c>
      <c r="C76" s="57" t="s">
        <v>172</v>
      </c>
      <c r="D76" s="57" t="s">
        <v>172</v>
      </c>
      <c r="E76" s="57" t="s">
        <v>172</v>
      </c>
      <c r="F76" s="57"/>
      <c r="G76" s="57" t="s">
        <v>172</v>
      </c>
      <c r="H76" s="58" t="s">
        <v>1144</v>
      </c>
      <c r="I76" s="58" t="s">
        <v>1144</v>
      </c>
      <c r="J76" s="58" t="s">
        <v>109</v>
      </c>
      <c r="K76" s="55" t="s">
        <v>54</v>
      </c>
      <c r="L76" s="55" t="s">
        <v>54</v>
      </c>
      <c r="M76" s="71">
        <v>18149757546</v>
      </c>
      <c r="N76" s="72" t="s">
        <v>419</v>
      </c>
      <c r="O76" s="55" t="s">
        <v>172</v>
      </c>
    </row>
    <row r="77" spans="1:15" x14ac:dyDescent="0.15">
      <c r="A77" s="59" t="s">
        <v>420</v>
      </c>
      <c r="B77" s="56" t="s">
        <v>239</v>
      </c>
      <c r="C77" s="57" t="s">
        <v>160</v>
      </c>
      <c r="D77" s="57" t="s">
        <v>154</v>
      </c>
      <c r="E77" s="57" t="s">
        <v>1128</v>
      </c>
      <c r="F77" s="57" t="s">
        <v>1181</v>
      </c>
      <c r="G77" s="57" t="s">
        <v>136</v>
      </c>
      <c r="H77" s="58" t="s">
        <v>22</v>
      </c>
      <c r="I77" s="55" t="s">
        <v>22</v>
      </c>
      <c r="J77" s="55" t="s">
        <v>98</v>
      </c>
      <c r="K77" s="55" t="s">
        <v>75</v>
      </c>
      <c r="L77" s="55" t="s">
        <v>75</v>
      </c>
      <c r="M77" s="71">
        <v>13585689749</v>
      </c>
      <c r="N77" s="72" t="s">
        <v>421</v>
      </c>
      <c r="O77" s="55" t="s">
        <v>339</v>
      </c>
    </row>
    <row r="78" spans="1:15" ht="24" customHeight="1" x14ac:dyDescent="0.15">
      <c r="A78" s="56" t="s">
        <v>423</v>
      </c>
      <c r="B78" s="56" t="s">
        <v>335</v>
      </c>
      <c r="C78" s="57" t="s">
        <v>149</v>
      </c>
      <c r="D78" s="57" t="s">
        <v>149</v>
      </c>
      <c r="E78" s="57" t="s">
        <v>149</v>
      </c>
      <c r="F78" s="57"/>
      <c r="G78" s="57" t="s">
        <v>135</v>
      </c>
      <c r="H78" s="91" t="s">
        <v>32</v>
      </c>
      <c r="I78" s="106" t="s">
        <v>62</v>
      </c>
      <c r="J78" s="106" t="s">
        <v>82</v>
      </c>
      <c r="K78" s="55" t="s">
        <v>54</v>
      </c>
      <c r="L78" s="55" t="s">
        <v>54</v>
      </c>
      <c r="M78" s="71">
        <v>13262860318</v>
      </c>
      <c r="N78" s="72" t="s">
        <v>424</v>
      </c>
      <c r="O78" s="55" t="s">
        <v>425</v>
      </c>
    </row>
    <row r="79" spans="1:15" x14ac:dyDescent="0.15">
      <c r="A79" s="59" t="s">
        <v>22</v>
      </c>
      <c r="B79" s="56" t="s">
        <v>426</v>
      </c>
      <c r="C79" s="57" t="s">
        <v>112</v>
      </c>
      <c r="D79" s="57" t="s">
        <v>112</v>
      </c>
      <c r="E79" s="57" t="s">
        <v>112</v>
      </c>
      <c r="F79" s="57"/>
      <c r="G79" s="57" t="s">
        <v>112</v>
      </c>
      <c r="H79" s="58" t="s">
        <v>22</v>
      </c>
      <c r="I79" s="55" t="s">
        <v>22</v>
      </c>
      <c r="J79" s="55" t="s">
        <v>112</v>
      </c>
      <c r="K79" s="55" t="s">
        <v>75</v>
      </c>
      <c r="L79" s="55" t="s">
        <v>75</v>
      </c>
      <c r="M79" s="71">
        <v>13989452181</v>
      </c>
      <c r="N79" s="72" t="s">
        <v>427</v>
      </c>
      <c r="O79" s="55" t="s">
        <v>428</v>
      </c>
    </row>
    <row r="80" spans="1:15" x14ac:dyDescent="0.15">
      <c r="A80" s="55" t="s">
        <v>429</v>
      </c>
      <c r="B80" s="56" t="s">
        <v>225</v>
      </c>
      <c r="C80" s="57" t="s">
        <v>112</v>
      </c>
      <c r="D80" s="57" t="s">
        <v>112</v>
      </c>
      <c r="E80" s="57" t="s">
        <v>112</v>
      </c>
      <c r="F80" s="57"/>
      <c r="G80" s="57" t="s">
        <v>112</v>
      </c>
      <c r="H80" s="58" t="s">
        <v>30</v>
      </c>
      <c r="I80" s="55" t="s">
        <v>30</v>
      </c>
      <c r="J80" s="55" t="s">
        <v>112</v>
      </c>
      <c r="K80" s="55" t="s">
        <v>68</v>
      </c>
      <c r="L80" s="55" t="s">
        <v>68</v>
      </c>
      <c r="M80" s="71">
        <v>15000567035</v>
      </c>
      <c r="N80" s="72" t="s">
        <v>430</v>
      </c>
      <c r="O80" s="55" t="s">
        <v>431</v>
      </c>
    </row>
    <row r="81" spans="1:15" x14ac:dyDescent="0.15">
      <c r="A81" s="56" t="s">
        <v>432</v>
      </c>
      <c r="B81" s="56" t="s">
        <v>319</v>
      </c>
      <c r="C81" s="61" t="s">
        <v>142</v>
      </c>
      <c r="D81" s="61" t="s">
        <v>1089</v>
      </c>
      <c r="E81" s="61" t="s">
        <v>1089</v>
      </c>
      <c r="F81" s="57" t="s">
        <v>1178</v>
      </c>
      <c r="G81" s="79" t="s">
        <v>138</v>
      </c>
      <c r="H81" s="58" t="s">
        <v>14</v>
      </c>
      <c r="I81" s="55" t="s">
        <v>14</v>
      </c>
      <c r="J81" s="55" t="s">
        <v>102</v>
      </c>
      <c r="K81" s="55" t="s">
        <v>61</v>
      </c>
      <c r="L81" s="55" t="s">
        <v>61</v>
      </c>
      <c r="M81" s="71">
        <v>15900868254</v>
      </c>
      <c r="N81" s="72" t="s">
        <v>433</v>
      </c>
      <c r="O81" s="55" t="s">
        <v>434</v>
      </c>
    </row>
    <row r="82" spans="1:15" x14ac:dyDescent="0.15">
      <c r="A82" s="59" t="s">
        <v>435</v>
      </c>
      <c r="B82" s="56" t="s">
        <v>225</v>
      </c>
      <c r="C82" s="57" t="s">
        <v>112</v>
      </c>
      <c r="D82" s="57" t="s">
        <v>112</v>
      </c>
      <c r="E82" s="57" t="s">
        <v>112</v>
      </c>
      <c r="F82" s="57"/>
      <c r="G82" s="57" t="s">
        <v>112</v>
      </c>
      <c r="H82" s="58" t="s">
        <v>83</v>
      </c>
      <c r="I82" s="58" t="s">
        <v>83</v>
      </c>
      <c r="J82" s="58" t="s">
        <v>112</v>
      </c>
      <c r="K82" s="55" t="s">
        <v>54</v>
      </c>
      <c r="L82" s="55" t="s">
        <v>54</v>
      </c>
      <c r="M82" s="71">
        <v>13029462719</v>
      </c>
      <c r="N82" s="72" t="s">
        <v>436</v>
      </c>
      <c r="O82" s="55" t="s">
        <v>437</v>
      </c>
    </row>
    <row r="83" spans="1:15" x14ac:dyDescent="0.15">
      <c r="A83" s="59" t="s">
        <v>438</v>
      </c>
      <c r="B83" s="56" t="s">
        <v>221</v>
      </c>
      <c r="C83" s="57" t="s">
        <v>163</v>
      </c>
      <c r="D83" s="57" t="s">
        <v>163</v>
      </c>
      <c r="E83" s="57" t="s">
        <v>163</v>
      </c>
      <c r="F83" s="57"/>
      <c r="G83" s="57" t="s">
        <v>162</v>
      </c>
      <c r="H83" s="58" t="s">
        <v>19</v>
      </c>
      <c r="I83" s="55" t="s">
        <v>52</v>
      </c>
      <c r="J83" s="55" t="s">
        <v>41</v>
      </c>
      <c r="K83" s="55" t="s">
        <v>71</v>
      </c>
      <c r="L83" s="55" t="s">
        <v>71</v>
      </c>
      <c r="M83" s="71">
        <v>18717867706</v>
      </c>
      <c r="N83" s="72" t="s">
        <v>439</v>
      </c>
      <c r="O83" s="55" t="s">
        <v>440</v>
      </c>
    </row>
    <row r="84" spans="1:15" x14ac:dyDescent="0.15">
      <c r="A84" s="59" t="s">
        <v>441</v>
      </c>
      <c r="B84" s="56" t="s">
        <v>442</v>
      </c>
      <c r="C84" s="57" t="s">
        <v>159</v>
      </c>
      <c r="D84" s="57" t="s">
        <v>1053</v>
      </c>
      <c r="E84" s="57" t="s">
        <v>1128</v>
      </c>
      <c r="F84" s="57"/>
      <c r="G84" s="57" t="s">
        <v>136</v>
      </c>
      <c r="H84" s="58" t="s">
        <v>77</v>
      </c>
      <c r="I84" s="58" t="s">
        <v>77</v>
      </c>
      <c r="J84" s="58" t="s">
        <v>110</v>
      </c>
      <c r="K84" s="55" t="s">
        <v>78</v>
      </c>
      <c r="L84" s="55" t="s">
        <v>78</v>
      </c>
      <c r="M84" s="71">
        <v>15728046038</v>
      </c>
      <c r="N84" s="72" t="s">
        <v>443</v>
      </c>
      <c r="O84" s="55" t="s">
        <v>360</v>
      </c>
    </row>
    <row r="85" spans="1:15" x14ac:dyDescent="0.15">
      <c r="A85" s="56" t="s">
        <v>445</v>
      </c>
      <c r="B85" s="56" t="s">
        <v>229</v>
      </c>
      <c r="C85" s="57"/>
      <c r="D85" s="57"/>
      <c r="E85" s="57"/>
      <c r="F85" s="57"/>
      <c r="G85" s="57"/>
      <c r="H85" s="58" t="s">
        <v>77</v>
      </c>
      <c r="I85" s="58" t="s">
        <v>77</v>
      </c>
      <c r="J85" s="58" t="s">
        <v>110</v>
      </c>
      <c r="K85" s="55" t="s">
        <v>78</v>
      </c>
      <c r="L85" s="55" t="s">
        <v>78</v>
      </c>
      <c r="M85" s="71">
        <v>13122676919</v>
      </c>
      <c r="N85" s="72" t="s">
        <v>446</v>
      </c>
      <c r="O85" s="55" t="s">
        <v>1109</v>
      </c>
    </row>
    <row r="86" spans="1:15" x14ac:dyDescent="0.15">
      <c r="A86" s="59" t="s">
        <v>447</v>
      </c>
      <c r="B86" s="56" t="s">
        <v>221</v>
      </c>
      <c r="C86" s="57" t="s">
        <v>149</v>
      </c>
      <c r="D86" s="57" t="s">
        <v>149</v>
      </c>
      <c r="E86" s="57" t="s">
        <v>149</v>
      </c>
      <c r="F86" s="57"/>
      <c r="G86" s="57" t="s">
        <v>135</v>
      </c>
      <c r="H86" s="58" t="s">
        <v>84</v>
      </c>
      <c r="I86" s="58" t="s">
        <v>84</v>
      </c>
      <c r="J86" s="55" t="s">
        <v>112</v>
      </c>
      <c r="K86" s="55" t="s">
        <v>69</v>
      </c>
      <c r="L86" s="55" t="s">
        <v>69</v>
      </c>
      <c r="M86" s="71">
        <v>18862281597</v>
      </c>
      <c r="N86" s="72" t="s">
        <v>448</v>
      </c>
      <c r="O86" s="55" t="s">
        <v>449</v>
      </c>
    </row>
    <row r="87" spans="1:15" x14ac:dyDescent="0.15">
      <c r="A87" s="56" t="s">
        <v>450</v>
      </c>
      <c r="B87" s="56" t="s">
        <v>212</v>
      </c>
      <c r="C87" s="57" t="s">
        <v>150</v>
      </c>
      <c r="D87" s="57" t="s">
        <v>150</v>
      </c>
      <c r="E87" s="57" t="s">
        <v>150</v>
      </c>
      <c r="F87" s="57"/>
      <c r="G87" s="57" t="s">
        <v>135</v>
      </c>
      <c r="H87" s="58" t="s">
        <v>77</v>
      </c>
      <c r="I87" s="55" t="s">
        <v>451</v>
      </c>
      <c r="J87" s="55" t="s">
        <v>82</v>
      </c>
      <c r="K87" s="55" t="s">
        <v>78</v>
      </c>
      <c r="L87" s="55" t="s">
        <v>78</v>
      </c>
      <c r="M87" s="71">
        <v>19121193979</v>
      </c>
      <c r="N87" s="72" t="s">
        <v>452</v>
      </c>
      <c r="O87" s="55" t="s">
        <v>453</v>
      </c>
    </row>
    <row r="88" spans="1:15" x14ac:dyDescent="0.15">
      <c r="A88" s="55" t="s">
        <v>454</v>
      </c>
      <c r="B88" s="56" t="s">
        <v>229</v>
      </c>
      <c r="C88" s="57" t="s">
        <v>155</v>
      </c>
      <c r="D88" s="57" t="s">
        <v>1053</v>
      </c>
      <c r="E88" s="57" t="s">
        <v>1128</v>
      </c>
      <c r="F88" s="57"/>
      <c r="G88" s="57" t="s">
        <v>1057</v>
      </c>
      <c r="H88" s="58" t="s">
        <v>30</v>
      </c>
      <c r="I88" s="58" t="s">
        <v>30</v>
      </c>
      <c r="J88" s="58" t="s">
        <v>107</v>
      </c>
      <c r="K88" s="55" t="s">
        <v>68</v>
      </c>
      <c r="L88" s="55" t="s">
        <v>68</v>
      </c>
      <c r="M88" s="71">
        <v>13671901506</v>
      </c>
      <c r="N88" s="72" t="s">
        <v>455</v>
      </c>
      <c r="O88" s="55" t="s">
        <v>456</v>
      </c>
    </row>
    <row r="89" spans="1:15" x14ac:dyDescent="0.15">
      <c r="A89" s="56" t="s">
        <v>457</v>
      </c>
      <c r="B89" s="56" t="s">
        <v>225</v>
      </c>
      <c r="C89" s="57" t="s">
        <v>155</v>
      </c>
      <c r="D89" s="57" t="s">
        <v>1053</v>
      </c>
      <c r="E89" s="57" t="s">
        <v>1128</v>
      </c>
      <c r="F89" s="57"/>
      <c r="G89" s="57" t="s">
        <v>1057</v>
      </c>
      <c r="H89" s="58" t="s">
        <v>83</v>
      </c>
      <c r="I89" s="58" t="s">
        <v>83</v>
      </c>
      <c r="J89" s="58" t="s">
        <v>103</v>
      </c>
      <c r="K89" s="55" t="s">
        <v>54</v>
      </c>
      <c r="L89" s="55" t="s">
        <v>54</v>
      </c>
      <c r="M89" s="71">
        <v>15001929875</v>
      </c>
      <c r="N89" s="72" t="s">
        <v>458</v>
      </c>
      <c r="O89" s="55" t="s">
        <v>459</v>
      </c>
    </row>
    <row r="90" spans="1:15" x14ac:dyDescent="0.15">
      <c r="A90" s="56" t="s">
        <v>460</v>
      </c>
      <c r="B90" s="56" t="s">
        <v>221</v>
      </c>
      <c r="C90" s="57" t="s">
        <v>159</v>
      </c>
      <c r="D90" s="57" t="s">
        <v>159</v>
      </c>
      <c r="E90" s="57" t="s">
        <v>1159</v>
      </c>
      <c r="F90" s="57" t="s">
        <v>1157</v>
      </c>
      <c r="G90" s="57" t="s">
        <v>1057</v>
      </c>
      <c r="H90" s="58" t="s">
        <v>22</v>
      </c>
      <c r="I90" s="55" t="s">
        <v>22</v>
      </c>
      <c r="J90" s="55" t="s">
        <v>113</v>
      </c>
      <c r="K90" s="55" t="s">
        <v>75</v>
      </c>
      <c r="L90" s="55" t="s">
        <v>75</v>
      </c>
      <c r="M90" s="71">
        <v>18017282598</v>
      </c>
      <c r="N90" s="72" t="s">
        <v>461</v>
      </c>
      <c r="O90" s="55" t="s">
        <v>462</v>
      </c>
    </row>
    <row r="91" spans="1:15" x14ac:dyDescent="0.15">
      <c r="A91" s="59" t="s">
        <v>81</v>
      </c>
      <c r="B91" s="56" t="s">
        <v>335</v>
      </c>
      <c r="C91" s="57" t="s">
        <v>112</v>
      </c>
      <c r="D91" s="57" t="s">
        <v>112</v>
      </c>
      <c r="E91" s="57" t="s">
        <v>112</v>
      </c>
      <c r="F91" s="57"/>
      <c r="G91" s="57" t="s">
        <v>112</v>
      </c>
      <c r="H91" s="58" t="s">
        <v>81</v>
      </c>
      <c r="I91" s="58" t="s">
        <v>81</v>
      </c>
      <c r="J91" s="58" t="s">
        <v>112</v>
      </c>
      <c r="K91" s="55" t="s">
        <v>78</v>
      </c>
      <c r="L91" s="55" t="s">
        <v>78</v>
      </c>
      <c r="M91" s="71">
        <v>13764337616</v>
      </c>
      <c r="N91" s="72" t="s">
        <v>463</v>
      </c>
      <c r="O91" s="55" t="s">
        <v>464</v>
      </c>
    </row>
    <row r="92" spans="1:15" x14ac:dyDescent="0.15">
      <c r="A92" s="59" t="s">
        <v>465</v>
      </c>
      <c r="B92" s="56" t="s">
        <v>229</v>
      </c>
      <c r="C92" s="57" t="s">
        <v>144</v>
      </c>
      <c r="D92" s="57" t="s">
        <v>144</v>
      </c>
      <c r="E92" s="57" t="s">
        <v>144</v>
      </c>
      <c r="F92" s="57"/>
      <c r="G92" s="61" t="s">
        <v>138</v>
      </c>
      <c r="H92" s="58" t="s">
        <v>83</v>
      </c>
      <c r="I92" s="58" t="s">
        <v>83</v>
      </c>
      <c r="J92" s="58" t="s">
        <v>103</v>
      </c>
      <c r="K92" s="55" t="s">
        <v>54</v>
      </c>
      <c r="L92" s="55" t="s">
        <v>54</v>
      </c>
      <c r="M92" s="71">
        <v>17730021982</v>
      </c>
      <c r="N92" s="72" t="s">
        <v>466</v>
      </c>
      <c r="O92" s="55" t="s">
        <v>467</v>
      </c>
    </row>
    <row r="93" spans="1:15" x14ac:dyDescent="0.15">
      <c r="A93" s="59" t="s">
        <v>32</v>
      </c>
      <c r="B93" s="56" t="s">
        <v>243</v>
      </c>
      <c r="C93" s="57" t="s">
        <v>112</v>
      </c>
      <c r="D93" s="57" t="s">
        <v>112</v>
      </c>
      <c r="E93" s="57" t="s">
        <v>112</v>
      </c>
      <c r="F93" s="57"/>
      <c r="G93" s="57" t="s">
        <v>112</v>
      </c>
      <c r="H93" s="58" t="s">
        <v>32</v>
      </c>
      <c r="I93" s="55" t="s">
        <v>32</v>
      </c>
      <c r="J93" s="55" t="s">
        <v>112</v>
      </c>
      <c r="K93" s="55" t="s">
        <v>73</v>
      </c>
      <c r="L93" s="55" t="s">
        <v>73</v>
      </c>
      <c r="M93" s="71">
        <v>18717891363</v>
      </c>
      <c r="N93" s="72" t="s">
        <v>468</v>
      </c>
      <c r="O93" s="55" t="s">
        <v>469</v>
      </c>
    </row>
    <row r="94" spans="1:15" x14ac:dyDescent="0.15">
      <c r="A94" s="56" t="s">
        <v>171</v>
      </c>
      <c r="B94" s="56" t="s">
        <v>291</v>
      </c>
      <c r="C94" s="57" t="s">
        <v>149</v>
      </c>
      <c r="D94" s="57" t="s">
        <v>149</v>
      </c>
      <c r="E94" s="57" t="s">
        <v>149</v>
      </c>
      <c r="F94" s="62"/>
      <c r="G94" s="57" t="s">
        <v>135</v>
      </c>
      <c r="H94" s="58" t="s">
        <v>83</v>
      </c>
      <c r="I94" s="58" t="s">
        <v>83</v>
      </c>
      <c r="J94" s="58" t="s">
        <v>103</v>
      </c>
      <c r="K94" s="55" t="s">
        <v>68</v>
      </c>
      <c r="L94" s="55" t="s">
        <v>68</v>
      </c>
      <c r="M94" s="71">
        <v>13817676171</v>
      </c>
      <c r="N94" s="72" t="s">
        <v>470</v>
      </c>
      <c r="O94" s="55" t="s">
        <v>471</v>
      </c>
    </row>
    <row r="95" spans="1:15" x14ac:dyDescent="0.15">
      <c r="A95" s="59" t="s">
        <v>30</v>
      </c>
      <c r="B95" s="56" t="s">
        <v>335</v>
      </c>
      <c r="C95" s="57" t="s">
        <v>112</v>
      </c>
      <c r="D95" s="57" t="s">
        <v>112</v>
      </c>
      <c r="E95" s="57" t="s">
        <v>112</v>
      </c>
      <c r="F95" s="57"/>
      <c r="G95" s="57" t="s">
        <v>112</v>
      </c>
      <c r="H95" s="58" t="s">
        <v>30</v>
      </c>
      <c r="I95" s="55" t="s">
        <v>30</v>
      </c>
      <c r="J95" s="55" t="s">
        <v>112</v>
      </c>
      <c r="K95" s="55" t="s">
        <v>68</v>
      </c>
      <c r="L95" s="55" t="s">
        <v>68</v>
      </c>
      <c r="M95" s="71">
        <v>18800125205</v>
      </c>
      <c r="N95" s="72" t="s">
        <v>472</v>
      </c>
      <c r="O95" s="55" t="s">
        <v>473</v>
      </c>
    </row>
    <row r="96" spans="1:15" x14ac:dyDescent="0.15">
      <c r="A96" s="59" t="s">
        <v>474</v>
      </c>
      <c r="B96" s="56" t="s">
        <v>390</v>
      </c>
      <c r="C96" s="57" t="s">
        <v>149</v>
      </c>
      <c r="D96" s="57" t="s">
        <v>149</v>
      </c>
      <c r="E96" s="57" t="s">
        <v>149</v>
      </c>
      <c r="F96" s="57"/>
      <c r="G96" s="57" t="s">
        <v>135</v>
      </c>
      <c r="H96" s="58" t="s">
        <v>77</v>
      </c>
      <c r="I96" s="58" t="s">
        <v>77</v>
      </c>
      <c r="J96" s="58" t="s">
        <v>110</v>
      </c>
      <c r="K96" s="55" t="s">
        <v>78</v>
      </c>
      <c r="L96" s="55" t="s">
        <v>78</v>
      </c>
      <c r="M96" s="71">
        <v>13072131099</v>
      </c>
      <c r="N96" s="72" t="s">
        <v>475</v>
      </c>
      <c r="O96" s="55" t="s">
        <v>476</v>
      </c>
    </row>
    <row r="97" spans="1:15" x14ac:dyDescent="0.15">
      <c r="A97" s="59" t="s">
        <v>169</v>
      </c>
      <c r="B97" s="56" t="s">
        <v>225</v>
      </c>
      <c r="C97" s="57" t="s">
        <v>147</v>
      </c>
      <c r="D97" s="57" t="s">
        <v>1151</v>
      </c>
      <c r="E97" s="57" t="s">
        <v>1153</v>
      </c>
      <c r="F97" s="57"/>
      <c r="G97" s="57" t="s">
        <v>1086</v>
      </c>
      <c r="H97" s="58" t="s">
        <v>81</v>
      </c>
      <c r="I97" s="58" t="s">
        <v>81</v>
      </c>
      <c r="J97" s="58" t="s">
        <v>112</v>
      </c>
      <c r="K97" s="55" t="s">
        <v>54</v>
      </c>
      <c r="L97" s="55" t="s">
        <v>54</v>
      </c>
      <c r="M97" s="71">
        <v>13478689484</v>
      </c>
      <c r="N97" s="72" t="s">
        <v>477</v>
      </c>
      <c r="O97" s="55" t="s">
        <v>478</v>
      </c>
    </row>
    <row r="98" spans="1:15" x14ac:dyDescent="0.15">
      <c r="A98" s="59" t="s">
        <v>479</v>
      </c>
      <c r="B98" s="56" t="s">
        <v>229</v>
      </c>
      <c r="C98" s="57" t="s">
        <v>144</v>
      </c>
      <c r="D98" s="57" t="s">
        <v>144</v>
      </c>
      <c r="E98" s="57" t="s">
        <v>1137</v>
      </c>
      <c r="F98" s="57"/>
      <c r="G98" s="61" t="s">
        <v>1062</v>
      </c>
      <c r="H98" s="58" t="s">
        <v>32</v>
      </c>
      <c r="I98" s="55" t="s">
        <v>32</v>
      </c>
      <c r="J98" s="55" t="s">
        <v>108</v>
      </c>
      <c r="K98" s="55" t="s">
        <v>73</v>
      </c>
      <c r="L98" s="55" t="s">
        <v>73</v>
      </c>
      <c r="M98" s="71">
        <v>17701686388</v>
      </c>
      <c r="N98" s="72" t="s">
        <v>480</v>
      </c>
      <c r="O98" s="55" t="s">
        <v>481</v>
      </c>
    </row>
    <row r="99" spans="1:15" x14ac:dyDescent="0.15">
      <c r="A99" s="59" t="s">
        <v>482</v>
      </c>
      <c r="B99" s="56" t="s">
        <v>243</v>
      </c>
      <c r="C99" s="57" t="s">
        <v>69</v>
      </c>
      <c r="D99" s="57" t="s">
        <v>69</v>
      </c>
      <c r="E99" s="57" t="s">
        <v>69</v>
      </c>
      <c r="F99" s="57"/>
      <c r="G99" s="57" t="s">
        <v>69</v>
      </c>
      <c r="H99" s="58" t="s">
        <v>84</v>
      </c>
      <c r="I99" s="58" t="s">
        <v>84</v>
      </c>
      <c r="J99" s="55" t="s">
        <v>105</v>
      </c>
      <c r="K99" s="55" t="s">
        <v>69</v>
      </c>
      <c r="L99" s="55" t="s">
        <v>69</v>
      </c>
      <c r="M99" s="71">
        <v>15800353831</v>
      </c>
      <c r="N99" s="72" t="s">
        <v>483</v>
      </c>
      <c r="O99" s="55" t="s">
        <v>484</v>
      </c>
    </row>
    <row r="100" spans="1:15" x14ac:dyDescent="0.15">
      <c r="A100" s="56" t="s">
        <v>485</v>
      </c>
      <c r="B100" s="56" t="s">
        <v>319</v>
      </c>
      <c r="C100" s="57" t="s">
        <v>69</v>
      </c>
      <c r="D100" s="57" t="s">
        <v>69</v>
      </c>
      <c r="E100" s="57" t="s">
        <v>69</v>
      </c>
      <c r="F100" s="57"/>
      <c r="G100" s="57" t="s">
        <v>69</v>
      </c>
      <c r="H100" s="58" t="s">
        <v>84</v>
      </c>
      <c r="I100" s="58" t="s">
        <v>84</v>
      </c>
      <c r="J100" s="55" t="s">
        <v>105</v>
      </c>
      <c r="K100" s="55" t="s">
        <v>69</v>
      </c>
      <c r="L100" s="55" t="s">
        <v>69</v>
      </c>
      <c r="M100" s="71">
        <v>16621235212</v>
      </c>
      <c r="N100" s="72" t="s">
        <v>486</v>
      </c>
      <c r="O100" s="55" t="s">
        <v>487</v>
      </c>
    </row>
    <row r="101" spans="1:15" x14ac:dyDescent="0.15">
      <c r="A101" s="59" t="s">
        <v>17</v>
      </c>
      <c r="B101" s="56" t="s">
        <v>488</v>
      </c>
      <c r="C101" s="57" t="s">
        <v>148</v>
      </c>
      <c r="D101" s="57" t="s">
        <v>148</v>
      </c>
      <c r="E101" s="57" t="s">
        <v>148</v>
      </c>
      <c r="F101" s="57"/>
      <c r="G101" s="57" t="s">
        <v>148</v>
      </c>
      <c r="H101" s="58" t="s">
        <v>84</v>
      </c>
      <c r="I101" s="58" t="s">
        <v>84</v>
      </c>
      <c r="J101" s="55" t="s">
        <v>112</v>
      </c>
      <c r="K101" s="55" t="s">
        <v>69</v>
      </c>
      <c r="L101" s="55" t="s">
        <v>69</v>
      </c>
      <c r="M101" s="71">
        <v>13127830830</v>
      </c>
      <c r="N101" s="73" t="s">
        <v>489</v>
      </c>
      <c r="O101" s="55" t="s">
        <v>194</v>
      </c>
    </row>
    <row r="102" spans="1:15" s="43" customFormat="1" x14ac:dyDescent="0.15">
      <c r="A102" s="64" t="s">
        <v>490</v>
      </c>
      <c r="B102" s="64" t="s">
        <v>229</v>
      </c>
      <c r="C102" s="66" t="s">
        <v>172</v>
      </c>
      <c r="D102" s="66" t="s">
        <v>172</v>
      </c>
      <c r="E102" s="66" t="s">
        <v>172</v>
      </c>
      <c r="F102" s="66"/>
      <c r="G102" s="66" t="s">
        <v>172</v>
      </c>
      <c r="H102" s="67" t="s">
        <v>84</v>
      </c>
      <c r="I102" s="75" t="s">
        <v>84</v>
      </c>
      <c r="J102" s="75" t="s">
        <v>118</v>
      </c>
      <c r="K102" s="75" t="s">
        <v>69</v>
      </c>
      <c r="L102" s="75" t="s">
        <v>69</v>
      </c>
      <c r="M102" s="76">
        <v>13564066859</v>
      </c>
      <c r="N102" s="77" t="s">
        <v>491</v>
      </c>
      <c r="O102" s="75" t="s">
        <v>172</v>
      </c>
    </row>
    <row r="103" spans="1:15" s="43" customFormat="1" x14ac:dyDescent="0.15">
      <c r="A103" s="78" t="s">
        <v>492</v>
      </c>
      <c r="B103" s="64" t="s">
        <v>221</v>
      </c>
      <c r="C103" s="66" t="s">
        <v>172</v>
      </c>
      <c r="D103" s="66" t="s">
        <v>172</v>
      </c>
      <c r="E103" s="66" t="s">
        <v>172</v>
      </c>
      <c r="F103" s="66"/>
      <c r="G103" s="66" t="s">
        <v>172</v>
      </c>
      <c r="H103" s="67" t="s">
        <v>14</v>
      </c>
      <c r="I103" s="75" t="s">
        <v>51</v>
      </c>
      <c r="J103" s="75" t="s">
        <v>92</v>
      </c>
      <c r="K103" s="75" t="s">
        <v>61</v>
      </c>
      <c r="L103" s="75" t="s">
        <v>61</v>
      </c>
      <c r="M103" s="76">
        <v>15172055725</v>
      </c>
      <c r="N103" s="77" t="s">
        <v>493</v>
      </c>
      <c r="O103" s="75" t="s">
        <v>172</v>
      </c>
    </row>
    <row r="104" spans="1:15" x14ac:dyDescent="0.15">
      <c r="A104" s="56" t="s">
        <v>494</v>
      </c>
      <c r="B104" s="56" t="s">
        <v>221</v>
      </c>
      <c r="C104" s="57" t="s">
        <v>163</v>
      </c>
      <c r="D104" s="57" t="s">
        <v>163</v>
      </c>
      <c r="E104" s="57" t="s">
        <v>163</v>
      </c>
      <c r="F104" s="57"/>
      <c r="G104" s="57" t="s">
        <v>162</v>
      </c>
      <c r="H104" s="58" t="s">
        <v>13</v>
      </c>
      <c r="I104" s="55" t="s">
        <v>53</v>
      </c>
      <c r="J104" s="55" t="s">
        <v>41</v>
      </c>
      <c r="K104" s="55" t="s">
        <v>79</v>
      </c>
      <c r="L104" s="55" t="s">
        <v>79</v>
      </c>
      <c r="M104" s="71">
        <v>18317106729</v>
      </c>
      <c r="N104" s="72" t="s">
        <v>495</v>
      </c>
      <c r="O104" s="55" t="s">
        <v>496</v>
      </c>
    </row>
    <row r="105" spans="1:15" x14ac:dyDescent="0.15">
      <c r="A105" s="59" t="s">
        <v>497</v>
      </c>
      <c r="B105" s="56" t="s">
        <v>239</v>
      </c>
      <c r="C105" s="60" t="s">
        <v>1039</v>
      </c>
      <c r="D105" s="60" t="s">
        <v>1039</v>
      </c>
      <c r="E105" s="60" t="s">
        <v>1039</v>
      </c>
      <c r="F105" s="68" t="s">
        <v>1180</v>
      </c>
      <c r="G105" s="57" t="s">
        <v>136</v>
      </c>
      <c r="H105" s="58" t="s">
        <v>13</v>
      </c>
      <c r="I105" s="55" t="s">
        <v>13</v>
      </c>
      <c r="J105" s="55" t="s">
        <v>91</v>
      </c>
      <c r="K105" s="55" t="s">
        <v>79</v>
      </c>
      <c r="L105" s="55" t="s">
        <v>79</v>
      </c>
      <c r="M105" s="71">
        <v>18501613319</v>
      </c>
      <c r="N105" s="72" t="s">
        <v>498</v>
      </c>
      <c r="O105" s="55" t="s">
        <v>499</v>
      </c>
    </row>
    <row r="106" spans="1:15" x14ac:dyDescent="0.15">
      <c r="A106" s="59" t="s">
        <v>500</v>
      </c>
      <c r="B106" s="56" t="s">
        <v>225</v>
      </c>
      <c r="C106" s="62" t="s">
        <v>150</v>
      </c>
      <c r="D106" s="62" t="s">
        <v>150</v>
      </c>
      <c r="E106" s="62" t="s">
        <v>1052</v>
      </c>
      <c r="F106" s="62"/>
      <c r="G106" s="57" t="s">
        <v>1052</v>
      </c>
      <c r="H106" s="58" t="s">
        <v>32</v>
      </c>
      <c r="I106" s="55" t="s">
        <v>32</v>
      </c>
      <c r="J106" s="55" t="s">
        <v>108</v>
      </c>
      <c r="K106" s="55" t="s">
        <v>73</v>
      </c>
      <c r="L106" s="55" t="s">
        <v>73</v>
      </c>
      <c r="M106" s="71">
        <v>13693620052</v>
      </c>
      <c r="N106" s="72" t="s">
        <v>501</v>
      </c>
      <c r="O106" s="55" t="s">
        <v>172</v>
      </c>
    </row>
    <row r="107" spans="1:15" x14ac:dyDescent="0.15">
      <c r="A107" s="59" t="s">
        <v>502</v>
      </c>
      <c r="B107" s="56" t="s">
        <v>212</v>
      </c>
      <c r="C107" s="57" t="s">
        <v>126</v>
      </c>
      <c r="D107" s="57" t="s">
        <v>126</v>
      </c>
      <c r="E107" s="57" t="s">
        <v>126</v>
      </c>
      <c r="F107" s="57"/>
      <c r="G107" s="57" t="s">
        <v>124</v>
      </c>
      <c r="H107" s="58" t="s">
        <v>83</v>
      </c>
      <c r="I107" s="55" t="s">
        <v>244</v>
      </c>
      <c r="J107" s="55" t="s">
        <v>82</v>
      </c>
      <c r="K107" s="55" t="s">
        <v>68</v>
      </c>
      <c r="L107" s="55" t="s">
        <v>68</v>
      </c>
      <c r="M107" s="71">
        <v>13816223936</v>
      </c>
      <c r="N107" s="72" t="s">
        <v>503</v>
      </c>
      <c r="O107" s="55" t="s">
        <v>308</v>
      </c>
    </row>
    <row r="108" spans="1:15" x14ac:dyDescent="0.15">
      <c r="A108" s="55" t="s">
        <v>504</v>
      </c>
      <c r="B108" s="55" t="s">
        <v>225</v>
      </c>
      <c r="C108" s="57" t="s">
        <v>149</v>
      </c>
      <c r="D108" s="57" t="s">
        <v>149</v>
      </c>
      <c r="E108" s="57" t="s">
        <v>149</v>
      </c>
      <c r="F108" s="57"/>
      <c r="G108" s="57" t="s">
        <v>135</v>
      </c>
      <c r="H108" s="58" t="s">
        <v>83</v>
      </c>
      <c r="I108" s="58" t="s">
        <v>83</v>
      </c>
      <c r="J108" s="58" t="s">
        <v>103</v>
      </c>
      <c r="K108" s="55" t="s">
        <v>54</v>
      </c>
      <c r="L108" s="55" t="s">
        <v>54</v>
      </c>
      <c r="M108" s="71">
        <v>18792145521</v>
      </c>
      <c r="N108" s="72" t="s">
        <v>505</v>
      </c>
      <c r="O108" s="55" t="s">
        <v>506</v>
      </c>
    </row>
    <row r="109" spans="1:15" x14ac:dyDescent="0.15">
      <c r="A109" s="56" t="s">
        <v>507</v>
      </c>
      <c r="B109" s="56" t="s">
        <v>291</v>
      </c>
      <c r="C109" s="57" t="s">
        <v>144</v>
      </c>
      <c r="D109" s="57" t="s">
        <v>144</v>
      </c>
      <c r="E109" s="57" t="s">
        <v>1150</v>
      </c>
      <c r="F109" s="57"/>
      <c r="G109" s="61" t="s">
        <v>138</v>
      </c>
      <c r="H109" s="58" t="s">
        <v>83</v>
      </c>
      <c r="I109" s="58" t="s">
        <v>83</v>
      </c>
      <c r="J109" s="58" t="s">
        <v>103</v>
      </c>
      <c r="K109" s="55" t="s">
        <v>68</v>
      </c>
      <c r="L109" s="55" t="s">
        <v>68</v>
      </c>
      <c r="M109" s="71">
        <v>16621066156</v>
      </c>
      <c r="N109" s="72" t="s">
        <v>508</v>
      </c>
      <c r="O109" s="55" t="s">
        <v>509</v>
      </c>
    </row>
    <row r="110" spans="1:15" x14ac:dyDescent="0.15">
      <c r="A110" s="59" t="s">
        <v>510</v>
      </c>
      <c r="B110" s="56" t="s">
        <v>232</v>
      </c>
      <c r="C110" s="60" t="s">
        <v>1039</v>
      </c>
      <c r="D110" s="60" t="s">
        <v>1039</v>
      </c>
      <c r="E110" s="60" t="s">
        <v>1039</v>
      </c>
      <c r="F110" s="57" t="s">
        <v>1178</v>
      </c>
      <c r="G110" s="57" t="s">
        <v>136</v>
      </c>
      <c r="H110" s="58" t="s">
        <v>81</v>
      </c>
      <c r="I110" s="58" t="s">
        <v>81</v>
      </c>
      <c r="J110" s="58" t="s">
        <v>109</v>
      </c>
      <c r="K110" s="55" t="s">
        <v>54</v>
      </c>
      <c r="L110" s="55" t="s">
        <v>54</v>
      </c>
      <c r="M110" s="71">
        <v>15921411314</v>
      </c>
      <c r="N110" s="72" t="s">
        <v>511</v>
      </c>
      <c r="O110" s="55" t="s">
        <v>512</v>
      </c>
    </row>
    <row r="111" spans="1:15" x14ac:dyDescent="0.15">
      <c r="A111" s="59" t="s">
        <v>513</v>
      </c>
      <c r="B111" s="56" t="s">
        <v>442</v>
      </c>
      <c r="C111" s="57" t="s">
        <v>160</v>
      </c>
      <c r="D111" s="57" t="s">
        <v>1060</v>
      </c>
      <c r="E111" s="57" t="s">
        <v>1060</v>
      </c>
      <c r="F111" s="57" t="s">
        <v>1176</v>
      </c>
      <c r="G111" s="57" t="s">
        <v>136</v>
      </c>
      <c r="H111" s="58" t="s">
        <v>77</v>
      </c>
      <c r="I111" s="58" t="s">
        <v>77</v>
      </c>
      <c r="J111" s="58" t="s">
        <v>110</v>
      </c>
      <c r="K111" s="55" t="s">
        <v>78</v>
      </c>
      <c r="L111" s="55" t="s">
        <v>78</v>
      </c>
      <c r="M111" s="71">
        <v>13816040282</v>
      </c>
      <c r="N111" s="72" t="s">
        <v>514</v>
      </c>
      <c r="O111" s="55" t="s">
        <v>515</v>
      </c>
    </row>
    <row r="112" spans="1:15" x14ac:dyDescent="0.15">
      <c r="A112" s="59" t="s">
        <v>516</v>
      </c>
      <c r="B112" s="56" t="s">
        <v>261</v>
      </c>
      <c r="C112" s="57" t="s">
        <v>161</v>
      </c>
      <c r="D112" s="57" t="s">
        <v>161</v>
      </c>
      <c r="E112" s="57" t="s">
        <v>1132</v>
      </c>
      <c r="F112" s="57"/>
      <c r="G112" s="57" t="s">
        <v>136</v>
      </c>
      <c r="H112" s="58" t="s">
        <v>30</v>
      </c>
      <c r="I112" s="55" t="s">
        <v>30</v>
      </c>
      <c r="J112" s="55" t="s">
        <v>107</v>
      </c>
      <c r="K112" s="55" t="s">
        <v>68</v>
      </c>
      <c r="L112" s="55" t="s">
        <v>68</v>
      </c>
      <c r="M112" s="71">
        <v>18616688263</v>
      </c>
      <c r="N112" s="72" t="s">
        <v>517</v>
      </c>
      <c r="O112" s="55" t="s">
        <v>444</v>
      </c>
    </row>
    <row r="113" spans="1:15" ht="24.75" customHeight="1" x14ac:dyDescent="0.15">
      <c r="A113" s="59" t="s">
        <v>519</v>
      </c>
      <c r="B113" s="56" t="s">
        <v>335</v>
      </c>
      <c r="C113" s="57"/>
      <c r="D113" s="57" t="s">
        <v>1059</v>
      </c>
      <c r="E113" s="57" t="s">
        <v>1132</v>
      </c>
      <c r="F113" s="57"/>
      <c r="G113" s="57" t="s">
        <v>1057</v>
      </c>
      <c r="H113" s="58" t="s">
        <v>19</v>
      </c>
      <c r="I113" s="55" t="s">
        <v>52</v>
      </c>
      <c r="J113" s="55" t="s">
        <v>82</v>
      </c>
      <c r="K113" s="55" t="s">
        <v>71</v>
      </c>
      <c r="L113" s="55" t="s">
        <v>71</v>
      </c>
      <c r="M113" s="71">
        <v>17321067590</v>
      </c>
      <c r="N113" s="72" t="s">
        <v>520</v>
      </c>
      <c r="O113" s="55" t="s">
        <v>314</v>
      </c>
    </row>
    <row r="114" spans="1:15" x14ac:dyDescent="0.15">
      <c r="A114" s="56" t="s">
        <v>521</v>
      </c>
      <c r="B114" s="56" t="s">
        <v>225</v>
      </c>
      <c r="C114" s="61" t="s">
        <v>1038</v>
      </c>
      <c r="D114" s="61" t="s">
        <v>1038</v>
      </c>
      <c r="E114" s="61" t="s">
        <v>1038</v>
      </c>
      <c r="F114" s="57" t="s">
        <v>1178</v>
      </c>
      <c r="G114" s="57" t="s">
        <v>136</v>
      </c>
      <c r="H114" s="58" t="s">
        <v>19</v>
      </c>
      <c r="I114" s="55" t="s">
        <v>19</v>
      </c>
      <c r="J114" s="55" t="s">
        <v>1098</v>
      </c>
      <c r="K114" s="55" t="s">
        <v>71</v>
      </c>
      <c r="L114" s="55" t="s">
        <v>71</v>
      </c>
      <c r="M114" s="71">
        <v>13524047687</v>
      </c>
      <c r="N114" s="72" t="s">
        <v>522</v>
      </c>
      <c r="O114" s="55" t="s">
        <v>648</v>
      </c>
    </row>
    <row r="115" spans="1:15" x14ac:dyDescent="0.15">
      <c r="A115" s="59" t="s">
        <v>524</v>
      </c>
      <c r="B115" s="56" t="s">
        <v>426</v>
      </c>
      <c r="C115" s="60" t="s">
        <v>1039</v>
      </c>
      <c r="D115" s="60" t="s">
        <v>1039</v>
      </c>
      <c r="E115" s="60" t="s">
        <v>1039</v>
      </c>
      <c r="F115" s="57" t="s">
        <v>1176</v>
      </c>
      <c r="G115" s="61" t="s">
        <v>136</v>
      </c>
      <c r="H115" s="58" t="s">
        <v>14</v>
      </c>
      <c r="I115" s="55" t="s">
        <v>51</v>
      </c>
      <c r="J115" s="55" t="s">
        <v>82</v>
      </c>
      <c r="K115" s="55" t="s">
        <v>61</v>
      </c>
      <c r="L115" s="55" t="s">
        <v>61</v>
      </c>
      <c r="M115" s="71">
        <v>18717727696</v>
      </c>
      <c r="N115" s="72" t="s">
        <v>525</v>
      </c>
      <c r="O115" s="55" t="s">
        <v>526</v>
      </c>
    </row>
    <row r="116" spans="1:15" x14ac:dyDescent="0.15">
      <c r="A116" s="59" t="s">
        <v>527</v>
      </c>
      <c r="B116" s="56" t="s">
        <v>261</v>
      </c>
      <c r="C116" s="61" t="s">
        <v>148</v>
      </c>
      <c r="D116" s="61" t="s">
        <v>148</v>
      </c>
      <c r="E116" s="61" t="s">
        <v>148</v>
      </c>
      <c r="F116" s="61"/>
      <c r="G116" s="57" t="s">
        <v>148</v>
      </c>
      <c r="H116" s="58" t="s">
        <v>13</v>
      </c>
      <c r="I116" s="55" t="s">
        <v>13</v>
      </c>
      <c r="J116" s="55" t="s">
        <v>91</v>
      </c>
      <c r="K116" s="55" t="s">
        <v>79</v>
      </c>
      <c r="L116" s="55" t="s">
        <v>79</v>
      </c>
      <c r="M116" s="71">
        <v>15121000769</v>
      </c>
      <c r="N116" s="72" t="s">
        <v>528</v>
      </c>
      <c r="O116" s="55" t="s">
        <v>342</v>
      </c>
    </row>
    <row r="117" spans="1:15" x14ac:dyDescent="0.15">
      <c r="A117" s="55" t="s">
        <v>530</v>
      </c>
      <c r="B117" s="55" t="s">
        <v>390</v>
      </c>
      <c r="C117" s="57" t="s">
        <v>144</v>
      </c>
      <c r="D117" s="57" t="s">
        <v>144</v>
      </c>
      <c r="E117" s="57" t="s">
        <v>1052</v>
      </c>
      <c r="F117" s="57"/>
      <c r="G117" s="61" t="s">
        <v>1052</v>
      </c>
      <c r="H117" s="58" t="s">
        <v>77</v>
      </c>
      <c r="I117" s="58" t="s">
        <v>77</v>
      </c>
      <c r="J117" s="58" t="s">
        <v>115</v>
      </c>
      <c r="K117" s="55" t="s">
        <v>78</v>
      </c>
      <c r="L117" s="55" t="s">
        <v>78</v>
      </c>
      <c r="M117" s="71">
        <v>18037179187</v>
      </c>
      <c r="N117" s="72" t="s">
        <v>531</v>
      </c>
      <c r="O117" s="55" t="s">
        <v>532</v>
      </c>
    </row>
    <row r="118" spans="1:15" x14ac:dyDescent="0.15">
      <c r="A118" s="55" t="s">
        <v>533</v>
      </c>
      <c r="B118" s="55" t="s">
        <v>319</v>
      </c>
      <c r="C118" s="62" t="s">
        <v>150</v>
      </c>
      <c r="D118" s="62" t="s">
        <v>150</v>
      </c>
      <c r="E118" s="62" t="s">
        <v>150</v>
      </c>
      <c r="F118" s="62"/>
      <c r="G118" s="57" t="s">
        <v>135</v>
      </c>
      <c r="H118" s="58" t="s">
        <v>19</v>
      </c>
      <c r="I118" s="55" t="s">
        <v>19</v>
      </c>
      <c r="J118" s="55" t="s">
        <v>95</v>
      </c>
      <c r="K118" s="55" t="s">
        <v>71</v>
      </c>
      <c r="L118" s="55" t="s">
        <v>71</v>
      </c>
      <c r="M118" s="71">
        <v>18817383470</v>
      </c>
      <c r="N118" s="72" t="s">
        <v>534</v>
      </c>
      <c r="O118" s="55" t="s">
        <v>395</v>
      </c>
    </row>
    <row r="119" spans="1:15" x14ac:dyDescent="0.15">
      <c r="A119" s="55" t="s">
        <v>536</v>
      </c>
      <c r="B119" s="56" t="s">
        <v>221</v>
      </c>
      <c r="C119" s="60" t="s">
        <v>1039</v>
      </c>
      <c r="D119" s="60" t="s">
        <v>1039</v>
      </c>
      <c r="E119" s="60" t="s">
        <v>1039</v>
      </c>
      <c r="F119" s="57" t="s">
        <v>1176</v>
      </c>
      <c r="G119" s="57" t="s">
        <v>136</v>
      </c>
      <c r="H119" s="58" t="s">
        <v>77</v>
      </c>
      <c r="I119" s="58" t="s">
        <v>77</v>
      </c>
      <c r="J119" s="58" t="s">
        <v>110</v>
      </c>
      <c r="K119" s="55" t="s">
        <v>78</v>
      </c>
      <c r="L119" s="55" t="s">
        <v>78</v>
      </c>
      <c r="M119" s="71">
        <v>13162055729</v>
      </c>
      <c r="N119" s="72" t="s">
        <v>537</v>
      </c>
      <c r="O119" s="55" t="s">
        <v>538</v>
      </c>
    </row>
    <row r="120" spans="1:15" x14ac:dyDescent="0.15">
      <c r="A120" s="56" t="s">
        <v>539</v>
      </c>
      <c r="B120" s="56" t="s">
        <v>232</v>
      </c>
      <c r="C120" s="57" t="s">
        <v>165</v>
      </c>
      <c r="D120" s="57" t="s">
        <v>1093</v>
      </c>
      <c r="E120" s="57" t="s">
        <v>1093</v>
      </c>
      <c r="F120" s="57"/>
      <c r="G120" s="57" t="s">
        <v>1083</v>
      </c>
      <c r="H120" s="58" t="s">
        <v>32</v>
      </c>
      <c r="I120" s="55" t="s">
        <v>32</v>
      </c>
      <c r="J120" s="55" t="s">
        <v>108</v>
      </c>
      <c r="K120" s="55" t="s">
        <v>73</v>
      </c>
      <c r="L120" s="55" t="s">
        <v>73</v>
      </c>
      <c r="M120" s="71">
        <v>13641784941</v>
      </c>
      <c r="N120" s="72" t="s">
        <v>540</v>
      </c>
      <c r="O120" s="55" t="s">
        <v>1110</v>
      </c>
    </row>
    <row r="121" spans="1:15" x14ac:dyDescent="0.15">
      <c r="A121" s="59" t="s">
        <v>542</v>
      </c>
      <c r="B121" s="56" t="s">
        <v>261</v>
      </c>
      <c r="C121" s="57" t="s">
        <v>112</v>
      </c>
      <c r="D121" s="57" t="s">
        <v>112</v>
      </c>
      <c r="E121" s="57" t="s">
        <v>112</v>
      </c>
      <c r="F121" s="57"/>
      <c r="G121" s="57" t="s">
        <v>112</v>
      </c>
      <c r="H121" s="58" t="s">
        <v>19</v>
      </c>
      <c r="I121" s="55" t="s">
        <v>19</v>
      </c>
      <c r="J121" s="55" t="s">
        <v>112</v>
      </c>
      <c r="K121" s="55" t="s">
        <v>71</v>
      </c>
      <c r="L121" s="55" t="s">
        <v>71</v>
      </c>
      <c r="M121" s="71">
        <v>15102122583</v>
      </c>
      <c r="N121" s="72" t="s">
        <v>543</v>
      </c>
      <c r="O121" s="55" t="s">
        <v>544</v>
      </c>
    </row>
    <row r="122" spans="1:15" x14ac:dyDescent="0.15">
      <c r="A122" s="59" t="s">
        <v>545</v>
      </c>
      <c r="B122" s="56" t="s">
        <v>390</v>
      </c>
      <c r="C122" s="57" t="s">
        <v>1038</v>
      </c>
      <c r="D122" s="57" t="s">
        <v>1038</v>
      </c>
      <c r="E122" s="57" t="s">
        <v>1038</v>
      </c>
      <c r="F122" s="57"/>
      <c r="G122" s="57" t="s">
        <v>136</v>
      </c>
      <c r="H122" s="58" t="s">
        <v>77</v>
      </c>
      <c r="I122" s="58" t="s">
        <v>77</v>
      </c>
      <c r="J122" s="58" t="s">
        <v>110</v>
      </c>
      <c r="K122" s="55" t="s">
        <v>78</v>
      </c>
      <c r="L122" s="55" t="s">
        <v>78</v>
      </c>
      <c r="M122" s="71">
        <v>18516548059</v>
      </c>
      <c r="N122" s="72" t="s">
        <v>546</v>
      </c>
      <c r="O122" s="55" t="s">
        <v>547</v>
      </c>
    </row>
    <row r="123" spans="1:15" x14ac:dyDescent="0.15">
      <c r="A123" s="55" t="s">
        <v>548</v>
      </c>
      <c r="B123" s="55" t="s">
        <v>261</v>
      </c>
      <c r="C123" s="57" t="s">
        <v>149</v>
      </c>
      <c r="D123" s="57" t="s">
        <v>149</v>
      </c>
      <c r="E123" s="57" t="s">
        <v>149</v>
      </c>
      <c r="F123" s="62"/>
      <c r="G123" s="57" t="s">
        <v>135</v>
      </c>
      <c r="H123" s="58" t="s">
        <v>81</v>
      </c>
      <c r="I123" s="58" t="s">
        <v>81</v>
      </c>
      <c r="J123" s="58" t="s">
        <v>109</v>
      </c>
      <c r="K123" s="55" t="s">
        <v>54</v>
      </c>
      <c r="L123" s="55" t="s">
        <v>54</v>
      </c>
      <c r="M123" s="71">
        <v>18872934554</v>
      </c>
      <c r="N123" s="72" t="s">
        <v>549</v>
      </c>
      <c r="O123" s="55" t="s">
        <v>550</v>
      </c>
    </row>
    <row r="124" spans="1:15" ht="15" customHeight="1" x14ac:dyDescent="0.15">
      <c r="A124" s="56" t="s">
        <v>551</v>
      </c>
      <c r="B124" s="56" t="s">
        <v>229</v>
      </c>
      <c r="C124" s="57" t="s">
        <v>149</v>
      </c>
      <c r="D124" s="57" t="s">
        <v>149</v>
      </c>
      <c r="E124" s="57" t="s">
        <v>149</v>
      </c>
      <c r="F124" s="57"/>
      <c r="G124" s="57" t="s">
        <v>135</v>
      </c>
      <c r="H124" s="58" t="s">
        <v>77</v>
      </c>
      <c r="I124" s="58" t="s">
        <v>77</v>
      </c>
      <c r="J124" s="58" t="s">
        <v>110</v>
      </c>
      <c r="K124" s="55" t="s">
        <v>78</v>
      </c>
      <c r="L124" s="55" t="s">
        <v>78</v>
      </c>
      <c r="M124" s="71">
        <v>17633712276</v>
      </c>
      <c r="N124" s="72" t="s">
        <v>552</v>
      </c>
      <c r="O124" s="55" t="s">
        <v>553</v>
      </c>
    </row>
    <row r="125" spans="1:15" x14ac:dyDescent="0.15">
      <c r="A125" s="56" t="s">
        <v>554</v>
      </c>
      <c r="B125" s="56" t="s">
        <v>225</v>
      </c>
      <c r="C125" s="62" t="s">
        <v>149</v>
      </c>
      <c r="D125" s="62" t="s">
        <v>149</v>
      </c>
      <c r="E125" s="62" t="s">
        <v>149</v>
      </c>
      <c r="F125" s="62"/>
      <c r="G125" s="57" t="s">
        <v>135</v>
      </c>
      <c r="H125" s="58" t="s">
        <v>82</v>
      </c>
      <c r="I125" s="55" t="s">
        <v>82</v>
      </c>
      <c r="J125" s="55" t="s">
        <v>82</v>
      </c>
      <c r="K125" s="55" t="s">
        <v>54</v>
      </c>
      <c r="L125" s="55" t="s">
        <v>54</v>
      </c>
      <c r="M125" s="71">
        <v>15800782540</v>
      </c>
      <c r="N125" s="72" t="s">
        <v>555</v>
      </c>
      <c r="O125" s="55" t="s">
        <v>556</v>
      </c>
    </row>
    <row r="126" spans="1:15" x14ac:dyDescent="0.15">
      <c r="A126" s="56" t="s">
        <v>557</v>
      </c>
      <c r="B126" s="56" t="s">
        <v>239</v>
      </c>
      <c r="C126" s="57" t="s">
        <v>152</v>
      </c>
      <c r="D126" s="57" t="s">
        <v>152</v>
      </c>
      <c r="E126" s="57" t="s">
        <v>152</v>
      </c>
      <c r="F126" s="57"/>
      <c r="G126" s="68" t="s">
        <v>135</v>
      </c>
      <c r="H126" s="58" t="s">
        <v>19</v>
      </c>
      <c r="I126" s="55" t="s">
        <v>19</v>
      </c>
      <c r="J126" s="55" t="s">
        <v>95</v>
      </c>
      <c r="K126" s="55" t="s">
        <v>71</v>
      </c>
      <c r="L126" s="55" t="s">
        <v>71</v>
      </c>
      <c r="M126" s="71">
        <v>17621152700</v>
      </c>
      <c r="N126" s="72" t="s">
        <v>558</v>
      </c>
      <c r="O126" s="55" t="s">
        <v>559</v>
      </c>
    </row>
    <row r="127" spans="1:15" x14ac:dyDescent="0.15">
      <c r="A127" s="56" t="s">
        <v>560</v>
      </c>
      <c r="B127" s="56" t="s">
        <v>291</v>
      </c>
      <c r="C127" s="57" t="s">
        <v>154</v>
      </c>
      <c r="D127" s="57" t="s">
        <v>154</v>
      </c>
      <c r="E127" s="57" t="s">
        <v>1128</v>
      </c>
      <c r="F127" s="57" t="s">
        <v>1179</v>
      </c>
      <c r="G127" s="57" t="s">
        <v>136</v>
      </c>
      <c r="H127" s="58" t="s">
        <v>30</v>
      </c>
      <c r="I127" s="55" t="s">
        <v>30</v>
      </c>
      <c r="J127" s="55" t="s">
        <v>107</v>
      </c>
      <c r="K127" s="55" t="s">
        <v>68</v>
      </c>
      <c r="L127" s="55" t="s">
        <v>68</v>
      </c>
      <c r="M127" s="71">
        <v>17621655654</v>
      </c>
      <c r="N127" s="72" t="s">
        <v>561</v>
      </c>
      <c r="O127" s="55" t="s">
        <v>741</v>
      </c>
    </row>
    <row r="128" spans="1:15" x14ac:dyDescent="0.15">
      <c r="A128" s="56" t="s">
        <v>562</v>
      </c>
      <c r="B128" s="56" t="s">
        <v>390</v>
      </c>
      <c r="C128" s="57" t="s">
        <v>165</v>
      </c>
      <c r="D128" s="57" t="s">
        <v>165</v>
      </c>
      <c r="E128" s="57" t="s">
        <v>165</v>
      </c>
      <c r="F128" s="57"/>
      <c r="G128" s="57" t="s">
        <v>164</v>
      </c>
      <c r="H128" s="58" t="s">
        <v>77</v>
      </c>
      <c r="I128" s="58" t="s">
        <v>77</v>
      </c>
      <c r="J128" s="58" t="s">
        <v>115</v>
      </c>
      <c r="K128" s="55" t="s">
        <v>78</v>
      </c>
      <c r="L128" s="55" t="s">
        <v>78</v>
      </c>
      <c r="M128" s="71">
        <v>13913702376</v>
      </c>
      <c r="N128" s="72" t="s">
        <v>563</v>
      </c>
      <c r="O128" s="55" t="s">
        <v>564</v>
      </c>
    </row>
    <row r="129" spans="1:15" x14ac:dyDescent="0.15">
      <c r="A129" s="59" t="s">
        <v>565</v>
      </c>
      <c r="B129" s="56" t="s">
        <v>229</v>
      </c>
      <c r="C129" s="60" t="s">
        <v>1039</v>
      </c>
      <c r="D129" s="60" t="s">
        <v>1039</v>
      </c>
      <c r="E129" s="60" t="s">
        <v>1039</v>
      </c>
      <c r="F129" s="57"/>
      <c r="G129" s="57" t="s">
        <v>136</v>
      </c>
      <c r="H129" s="58" t="s">
        <v>83</v>
      </c>
      <c r="I129" s="58" t="s">
        <v>83</v>
      </c>
      <c r="J129" s="58" t="s">
        <v>1146</v>
      </c>
      <c r="K129" s="55" t="s">
        <v>68</v>
      </c>
      <c r="L129" s="55" t="s">
        <v>68</v>
      </c>
      <c r="M129" s="71">
        <v>13681846814</v>
      </c>
      <c r="N129" s="72" t="s">
        <v>566</v>
      </c>
      <c r="O129" s="55" t="s">
        <v>567</v>
      </c>
    </row>
    <row r="130" spans="1:15" x14ac:dyDescent="0.15">
      <c r="A130" s="56" t="s">
        <v>568</v>
      </c>
      <c r="B130" s="56" t="s">
        <v>221</v>
      </c>
      <c r="C130" s="57"/>
      <c r="D130" s="57"/>
      <c r="E130" s="57"/>
      <c r="F130" s="57"/>
      <c r="G130" s="57"/>
      <c r="H130" s="58" t="s">
        <v>32</v>
      </c>
      <c r="I130" s="55" t="s">
        <v>32</v>
      </c>
      <c r="J130" s="55" t="s">
        <v>108</v>
      </c>
      <c r="K130" s="55" t="s">
        <v>74</v>
      </c>
      <c r="L130" s="55" t="s">
        <v>74</v>
      </c>
      <c r="M130" s="71">
        <v>18618480191</v>
      </c>
      <c r="N130" s="72" t="s">
        <v>569</v>
      </c>
      <c r="O130" s="55" t="s">
        <v>570</v>
      </c>
    </row>
    <row r="131" spans="1:15" x14ac:dyDescent="0.15">
      <c r="A131" s="59" t="s">
        <v>19</v>
      </c>
      <c r="B131" s="56" t="s">
        <v>335</v>
      </c>
      <c r="C131" s="57" t="s">
        <v>112</v>
      </c>
      <c r="D131" s="57" t="s">
        <v>112</v>
      </c>
      <c r="E131" s="57" t="s">
        <v>112</v>
      </c>
      <c r="F131" s="57"/>
      <c r="G131" s="57" t="s">
        <v>112</v>
      </c>
      <c r="H131" s="58" t="s">
        <v>19</v>
      </c>
      <c r="I131" s="55" t="s">
        <v>19</v>
      </c>
      <c r="J131" s="55" t="s">
        <v>112</v>
      </c>
      <c r="K131" s="55" t="s">
        <v>71</v>
      </c>
      <c r="L131" s="55" t="s">
        <v>71</v>
      </c>
      <c r="M131" s="71">
        <v>13361816821</v>
      </c>
      <c r="N131" s="72" t="s">
        <v>571</v>
      </c>
      <c r="O131" s="55" t="s">
        <v>572</v>
      </c>
    </row>
    <row r="132" spans="1:15" x14ac:dyDescent="0.15">
      <c r="A132" s="59" t="s">
        <v>573</v>
      </c>
      <c r="B132" s="56" t="s">
        <v>401</v>
      </c>
      <c r="C132" s="57" t="s">
        <v>574</v>
      </c>
      <c r="D132" s="57" t="s">
        <v>574</v>
      </c>
      <c r="E132" s="57" t="s">
        <v>574</v>
      </c>
      <c r="F132" s="57"/>
      <c r="G132" s="57" t="s">
        <v>575</v>
      </c>
      <c r="H132" s="58" t="s">
        <v>14</v>
      </c>
      <c r="I132" s="55" t="s">
        <v>14</v>
      </c>
      <c r="J132" s="55" t="s">
        <v>189</v>
      </c>
      <c r="K132" s="55" t="s">
        <v>574</v>
      </c>
      <c r="L132" s="55" t="s">
        <v>574</v>
      </c>
      <c r="M132" s="71">
        <v>15225088386</v>
      </c>
      <c r="N132" s="72" t="s">
        <v>576</v>
      </c>
      <c r="O132" s="55" t="s">
        <v>577</v>
      </c>
    </row>
    <row r="133" spans="1:15" x14ac:dyDescent="0.15">
      <c r="A133" s="56" t="s">
        <v>578</v>
      </c>
      <c r="B133" s="56" t="s">
        <v>239</v>
      </c>
      <c r="C133" s="57" t="s">
        <v>574</v>
      </c>
      <c r="D133" s="57" t="s">
        <v>574</v>
      </c>
      <c r="E133" s="57" t="s">
        <v>574</v>
      </c>
      <c r="F133" s="57"/>
      <c r="G133" s="57" t="s">
        <v>575</v>
      </c>
      <c r="H133" s="58" t="s">
        <v>14</v>
      </c>
      <c r="I133" s="55" t="s">
        <v>14</v>
      </c>
      <c r="J133" s="55" t="s">
        <v>189</v>
      </c>
      <c r="K133" s="55" t="s">
        <v>574</v>
      </c>
      <c r="L133" s="55" t="s">
        <v>574</v>
      </c>
      <c r="M133" s="71">
        <v>13818695034</v>
      </c>
      <c r="N133" s="72" t="s">
        <v>579</v>
      </c>
      <c r="O133" s="55" t="s">
        <v>580</v>
      </c>
    </row>
    <row r="134" spans="1:15" x14ac:dyDescent="0.15">
      <c r="A134" s="56" t="s">
        <v>581</v>
      </c>
      <c r="B134" s="56" t="s">
        <v>239</v>
      </c>
      <c r="C134" s="57" t="s">
        <v>574</v>
      </c>
      <c r="D134" s="57" t="s">
        <v>574</v>
      </c>
      <c r="E134" s="57" t="s">
        <v>574</v>
      </c>
      <c r="F134" s="57"/>
      <c r="G134" s="57" t="s">
        <v>575</v>
      </c>
      <c r="H134" s="58" t="s">
        <v>14</v>
      </c>
      <c r="I134" s="55" t="s">
        <v>14</v>
      </c>
      <c r="J134" s="55" t="s">
        <v>189</v>
      </c>
      <c r="K134" s="55" t="s">
        <v>574</v>
      </c>
      <c r="L134" s="55" t="s">
        <v>574</v>
      </c>
      <c r="M134" s="71">
        <v>13166063086</v>
      </c>
      <c r="N134" s="72" t="s">
        <v>582</v>
      </c>
      <c r="O134" s="55" t="s">
        <v>583</v>
      </c>
    </row>
    <row r="135" spans="1:15" x14ac:dyDescent="0.15">
      <c r="A135" s="81" t="s">
        <v>584</v>
      </c>
      <c r="B135" s="81" t="s">
        <v>225</v>
      </c>
      <c r="C135" s="57" t="s">
        <v>574</v>
      </c>
      <c r="D135" s="57" t="s">
        <v>574</v>
      </c>
      <c r="E135" s="57" t="s">
        <v>574</v>
      </c>
      <c r="F135" s="57"/>
      <c r="G135" s="57" t="s">
        <v>575</v>
      </c>
      <c r="H135" s="82" t="s">
        <v>14</v>
      </c>
      <c r="I135" s="57" t="s">
        <v>14</v>
      </c>
      <c r="J135" s="57" t="s">
        <v>189</v>
      </c>
      <c r="K135" s="57" t="s">
        <v>574</v>
      </c>
      <c r="L135" s="55" t="s">
        <v>574</v>
      </c>
      <c r="M135" s="92">
        <v>13665696496</v>
      </c>
      <c r="N135" s="93" t="s">
        <v>585</v>
      </c>
      <c r="O135" s="57" t="s">
        <v>577</v>
      </c>
    </row>
    <row r="136" spans="1:15" x14ac:dyDescent="0.15">
      <c r="A136" s="55" t="s">
        <v>586</v>
      </c>
      <c r="B136" s="56" t="s">
        <v>261</v>
      </c>
      <c r="C136" s="57" t="s">
        <v>574</v>
      </c>
      <c r="D136" s="57" t="s">
        <v>574</v>
      </c>
      <c r="E136" s="57" t="s">
        <v>574</v>
      </c>
      <c r="F136" s="57"/>
      <c r="G136" s="57" t="s">
        <v>575</v>
      </c>
      <c r="H136" s="58" t="s">
        <v>14</v>
      </c>
      <c r="I136" s="55" t="s">
        <v>14</v>
      </c>
      <c r="J136" s="55" t="s">
        <v>189</v>
      </c>
      <c r="K136" s="55" t="s">
        <v>574</v>
      </c>
      <c r="L136" s="55" t="s">
        <v>574</v>
      </c>
      <c r="M136" s="71">
        <v>17802973068</v>
      </c>
      <c r="N136" s="72" t="s">
        <v>587</v>
      </c>
      <c r="O136" s="55" t="s">
        <v>577</v>
      </c>
    </row>
    <row r="137" spans="1:15" x14ac:dyDescent="0.15">
      <c r="A137" s="56" t="s">
        <v>588</v>
      </c>
      <c r="B137" s="56" t="s">
        <v>225</v>
      </c>
      <c r="C137" s="57" t="s">
        <v>65</v>
      </c>
      <c r="D137" s="57" t="s">
        <v>65</v>
      </c>
      <c r="E137" s="57" t="s">
        <v>65</v>
      </c>
      <c r="F137" s="57"/>
      <c r="G137" s="57" t="s">
        <v>162</v>
      </c>
      <c r="H137" s="58" t="s">
        <v>14</v>
      </c>
      <c r="I137" s="55" t="s">
        <v>14</v>
      </c>
      <c r="J137" s="55" t="s">
        <v>41</v>
      </c>
      <c r="K137" s="55" t="s">
        <v>65</v>
      </c>
      <c r="L137" s="55" t="s">
        <v>65</v>
      </c>
      <c r="M137" s="71">
        <v>13918823156</v>
      </c>
      <c r="N137" s="72" t="s">
        <v>589</v>
      </c>
      <c r="O137" s="55" t="s">
        <v>590</v>
      </c>
    </row>
    <row r="138" spans="1:15" x14ac:dyDescent="0.15">
      <c r="A138" s="55" t="s">
        <v>591</v>
      </c>
      <c r="B138" s="55" t="s">
        <v>307</v>
      </c>
      <c r="C138" s="57" t="s">
        <v>65</v>
      </c>
      <c r="D138" s="57" t="s">
        <v>65</v>
      </c>
      <c r="E138" s="57" t="s">
        <v>65</v>
      </c>
      <c r="F138" s="57"/>
      <c r="G138" s="57" t="s">
        <v>162</v>
      </c>
      <c r="H138" s="58" t="s">
        <v>14</v>
      </c>
      <c r="I138" s="55" t="s">
        <v>14</v>
      </c>
      <c r="J138" s="55" t="s">
        <v>41</v>
      </c>
      <c r="K138" s="55" t="s">
        <v>65</v>
      </c>
      <c r="L138" s="55" t="s">
        <v>65</v>
      </c>
      <c r="M138" s="71">
        <v>13816434470</v>
      </c>
      <c r="N138" s="72" t="s">
        <v>592</v>
      </c>
      <c r="O138" s="55" t="s">
        <v>593</v>
      </c>
    </row>
    <row r="139" spans="1:15" x14ac:dyDescent="0.15">
      <c r="A139" s="59" t="s">
        <v>594</v>
      </c>
      <c r="B139" s="56" t="s">
        <v>291</v>
      </c>
      <c r="C139" s="57" t="s">
        <v>65</v>
      </c>
      <c r="D139" s="57" t="s">
        <v>65</v>
      </c>
      <c r="E139" s="57" t="s">
        <v>65</v>
      </c>
      <c r="F139" s="57"/>
      <c r="G139" s="57" t="s">
        <v>162</v>
      </c>
      <c r="H139" s="58" t="s">
        <v>14</v>
      </c>
      <c r="I139" s="55" t="s">
        <v>14</v>
      </c>
      <c r="J139" s="55" t="s">
        <v>189</v>
      </c>
      <c r="K139" s="55" t="s">
        <v>595</v>
      </c>
      <c r="L139" s="55" t="s">
        <v>595</v>
      </c>
      <c r="M139" s="71">
        <v>18964612186</v>
      </c>
      <c r="N139" s="72" t="s">
        <v>596</v>
      </c>
      <c r="O139" s="55" t="s">
        <v>597</v>
      </c>
    </row>
    <row r="140" spans="1:15" x14ac:dyDescent="0.15">
      <c r="A140" s="59" t="s">
        <v>598</v>
      </c>
      <c r="B140" s="56" t="s">
        <v>225</v>
      </c>
      <c r="C140" s="62" t="s">
        <v>149</v>
      </c>
      <c r="D140" s="62" t="s">
        <v>149</v>
      </c>
      <c r="E140" s="62" t="s">
        <v>149</v>
      </c>
      <c r="F140" s="62"/>
      <c r="G140" s="57" t="s">
        <v>135</v>
      </c>
      <c r="H140" s="58" t="s">
        <v>81</v>
      </c>
      <c r="I140" s="58" t="s">
        <v>81</v>
      </c>
      <c r="J140" s="58" t="s">
        <v>109</v>
      </c>
      <c r="K140" s="55" t="s">
        <v>68</v>
      </c>
      <c r="L140" s="55" t="s">
        <v>68</v>
      </c>
      <c r="M140" s="71">
        <v>17600660402</v>
      </c>
      <c r="N140" s="72" t="s">
        <v>599</v>
      </c>
      <c r="O140" s="55" t="s">
        <v>600</v>
      </c>
    </row>
    <row r="141" spans="1:15" x14ac:dyDescent="0.15">
      <c r="A141" s="59" t="s">
        <v>601</v>
      </c>
      <c r="B141" s="56" t="s">
        <v>291</v>
      </c>
      <c r="C141" s="57" t="s">
        <v>165</v>
      </c>
      <c r="D141" s="57" t="s">
        <v>165</v>
      </c>
      <c r="E141" s="57" t="s">
        <v>165</v>
      </c>
      <c r="F141" s="57"/>
      <c r="G141" s="57" t="s">
        <v>164</v>
      </c>
      <c r="H141" s="58" t="s">
        <v>83</v>
      </c>
      <c r="I141" s="58" t="s">
        <v>83</v>
      </c>
      <c r="J141" s="58" t="s">
        <v>103</v>
      </c>
      <c r="K141" s="55" t="s">
        <v>54</v>
      </c>
      <c r="L141" s="55" t="s">
        <v>54</v>
      </c>
      <c r="M141" s="71">
        <v>17502186239</v>
      </c>
      <c r="N141" s="73" t="s">
        <v>602</v>
      </c>
      <c r="O141" s="55" t="s">
        <v>541</v>
      </c>
    </row>
    <row r="142" spans="1:15" x14ac:dyDescent="0.15">
      <c r="A142" s="56" t="s">
        <v>603</v>
      </c>
      <c r="B142" s="56" t="s">
        <v>319</v>
      </c>
      <c r="C142" s="57" t="s">
        <v>152</v>
      </c>
      <c r="D142" s="57" t="s">
        <v>152</v>
      </c>
      <c r="E142" s="57" t="s">
        <v>152</v>
      </c>
      <c r="F142" s="57"/>
      <c r="G142" s="57" t="s">
        <v>135</v>
      </c>
      <c r="H142" s="58" t="s">
        <v>19</v>
      </c>
      <c r="I142" s="55" t="s">
        <v>19</v>
      </c>
      <c r="J142" s="55" t="s">
        <v>95</v>
      </c>
      <c r="K142" s="55" t="s">
        <v>71</v>
      </c>
      <c r="L142" s="55" t="s">
        <v>71</v>
      </c>
      <c r="M142" s="71">
        <v>18221102450</v>
      </c>
      <c r="N142" s="72" t="s">
        <v>604</v>
      </c>
      <c r="O142" s="55" t="s">
        <v>605</v>
      </c>
    </row>
    <row r="143" spans="1:15" x14ac:dyDescent="0.15">
      <c r="A143" s="56" t="s">
        <v>606</v>
      </c>
      <c r="B143" s="59" t="s">
        <v>225</v>
      </c>
      <c r="C143" s="57" t="s">
        <v>151</v>
      </c>
      <c r="D143" s="57" t="s">
        <v>151</v>
      </c>
      <c r="E143" s="57" t="s">
        <v>151</v>
      </c>
      <c r="F143" s="57"/>
      <c r="G143" s="57" t="s">
        <v>135</v>
      </c>
      <c r="H143" s="58" t="s">
        <v>30</v>
      </c>
      <c r="I143" s="59" t="s">
        <v>30</v>
      </c>
      <c r="J143" s="59" t="s">
        <v>107</v>
      </c>
      <c r="K143" s="55" t="s">
        <v>54</v>
      </c>
      <c r="L143" s="55" t="s">
        <v>54</v>
      </c>
      <c r="M143" s="71">
        <v>17621063668</v>
      </c>
      <c r="N143" s="72" t="s">
        <v>607</v>
      </c>
      <c r="O143" s="55" t="s">
        <v>608</v>
      </c>
    </row>
    <row r="144" spans="1:15" x14ac:dyDescent="0.15">
      <c r="A144" s="56" t="s">
        <v>609</v>
      </c>
      <c r="B144" s="59" t="s">
        <v>221</v>
      </c>
      <c r="C144" s="57" t="s">
        <v>155</v>
      </c>
      <c r="D144" s="57" t="s">
        <v>1053</v>
      </c>
      <c r="E144" s="57" t="s">
        <v>1128</v>
      </c>
      <c r="F144" s="57" t="s">
        <v>1178</v>
      </c>
      <c r="G144" s="57" t="s">
        <v>1057</v>
      </c>
      <c r="H144" s="58" t="s">
        <v>14</v>
      </c>
      <c r="I144" s="59" t="s">
        <v>14</v>
      </c>
      <c r="J144" s="59" t="s">
        <v>112</v>
      </c>
      <c r="K144" s="55" t="s">
        <v>61</v>
      </c>
      <c r="L144" s="55" t="s">
        <v>61</v>
      </c>
      <c r="M144" s="71"/>
      <c r="N144" s="72"/>
      <c r="O144" s="55" t="s">
        <v>610</v>
      </c>
    </row>
    <row r="145" spans="1:15" x14ac:dyDescent="0.15">
      <c r="A145" s="56" t="s">
        <v>611</v>
      </c>
      <c r="B145" s="59" t="s">
        <v>225</v>
      </c>
      <c r="C145" s="60" t="s">
        <v>1039</v>
      </c>
      <c r="D145" s="60" t="s">
        <v>1039</v>
      </c>
      <c r="E145" s="60" t="s">
        <v>1039</v>
      </c>
      <c r="F145" s="57" t="s">
        <v>1176</v>
      </c>
      <c r="G145" s="57" t="s">
        <v>136</v>
      </c>
      <c r="H145" s="58" t="s">
        <v>83</v>
      </c>
      <c r="I145" s="58" t="s">
        <v>83</v>
      </c>
      <c r="J145" s="58" t="s">
        <v>103</v>
      </c>
      <c r="K145" s="55" t="s">
        <v>54</v>
      </c>
      <c r="L145" s="55" t="s">
        <v>54</v>
      </c>
      <c r="M145" s="71">
        <v>18538150868</v>
      </c>
      <c r="N145" s="72" t="s">
        <v>612</v>
      </c>
      <c r="O145" s="55" t="s">
        <v>613</v>
      </c>
    </row>
    <row r="146" spans="1:15" s="43" customFormat="1" x14ac:dyDescent="0.15">
      <c r="A146" s="64" t="s">
        <v>614</v>
      </c>
      <c r="B146" s="83" t="s">
        <v>319</v>
      </c>
      <c r="C146" s="84" t="s">
        <v>172</v>
      </c>
      <c r="D146" s="84" t="s">
        <v>172</v>
      </c>
      <c r="E146" s="84" t="s">
        <v>172</v>
      </c>
      <c r="F146" s="84"/>
      <c r="G146" s="66" t="s">
        <v>172</v>
      </c>
      <c r="H146" s="67" t="s">
        <v>22</v>
      </c>
      <c r="I146" s="83" t="s">
        <v>22</v>
      </c>
      <c r="J146" s="83" t="s">
        <v>114</v>
      </c>
      <c r="K146" s="75" t="s">
        <v>76</v>
      </c>
      <c r="L146" s="75" t="s">
        <v>76</v>
      </c>
      <c r="M146" s="94">
        <v>17602180061</v>
      </c>
      <c r="N146" s="95" t="s">
        <v>615</v>
      </c>
      <c r="O146" s="66" t="s">
        <v>172</v>
      </c>
    </row>
    <row r="147" spans="1:15" x14ac:dyDescent="0.15">
      <c r="A147" s="56" t="s">
        <v>616</v>
      </c>
      <c r="B147" s="85" t="s">
        <v>319</v>
      </c>
      <c r="C147" s="57" t="s">
        <v>160</v>
      </c>
      <c r="D147" s="60" t="s">
        <v>1054</v>
      </c>
      <c r="E147" s="60" t="s">
        <v>1130</v>
      </c>
      <c r="F147" s="57" t="s">
        <v>1181</v>
      </c>
      <c r="G147" s="57" t="s">
        <v>136</v>
      </c>
      <c r="H147" s="58" t="s">
        <v>19</v>
      </c>
      <c r="I147" s="85" t="s">
        <v>19</v>
      </c>
      <c r="J147" s="85" t="s">
        <v>93</v>
      </c>
      <c r="K147" s="55" t="s">
        <v>72</v>
      </c>
      <c r="L147" s="55" t="s">
        <v>72</v>
      </c>
      <c r="M147" s="96">
        <v>18516579876</v>
      </c>
      <c r="N147" s="97" t="s">
        <v>617</v>
      </c>
      <c r="O147" s="79" t="s">
        <v>618</v>
      </c>
    </row>
    <row r="148" spans="1:15" x14ac:dyDescent="0.15">
      <c r="A148" s="56" t="s">
        <v>619</v>
      </c>
      <c r="B148" s="85" t="s">
        <v>319</v>
      </c>
      <c r="C148" s="61" t="s">
        <v>172</v>
      </c>
      <c r="D148" s="61" t="s">
        <v>172</v>
      </c>
      <c r="E148" s="61" t="s">
        <v>172</v>
      </c>
      <c r="F148" s="61"/>
      <c r="G148" s="57" t="s">
        <v>172</v>
      </c>
      <c r="H148" s="58" t="s">
        <v>22</v>
      </c>
      <c r="I148" s="85" t="s">
        <v>22</v>
      </c>
      <c r="J148" s="55" t="s">
        <v>98</v>
      </c>
      <c r="K148" s="79" t="s">
        <v>75</v>
      </c>
      <c r="L148" s="79" t="s">
        <v>75</v>
      </c>
      <c r="M148" s="96">
        <v>18858782638</v>
      </c>
      <c r="N148" s="97" t="s">
        <v>620</v>
      </c>
      <c r="O148" s="79" t="s">
        <v>172</v>
      </c>
    </row>
    <row r="149" spans="1:15" x14ac:dyDescent="0.15">
      <c r="A149" s="59" t="s">
        <v>621</v>
      </c>
      <c r="B149" s="85" t="s">
        <v>319</v>
      </c>
      <c r="C149" s="57" t="s">
        <v>152</v>
      </c>
      <c r="D149" s="57" t="s">
        <v>152</v>
      </c>
      <c r="E149" s="57" t="s">
        <v>152</v>
      </c>
      <c r="F149" s="57"/>
      <c r="G149" s="68" t="s">
        <v>135</v>
      </c>
      <c r="H149" s="58" t="s">
        <v>14</v>
      </c>
      <c r="I149" s="85" t="s">
        <v>14</v>
      </c>
      <c r="J149" s="85" t="s">
        <v>100</v>
      </c>
      <c r="K149" s="79" t="s">
        <v>63</v>
      </c>
      <c r="L149" s="79" t="s">
        <v>63</v>
      </c>
      <c r="M149" s="96">
        <v>18601748629</v>
      </c>
      <c r="N149" s="97" t="s">
        <v>622</v>
      </c>
      <c r="O149" s="79" t="s">
        <v>623</v>
      </c>
    </row>
    <row r="150" spans="1:15" x14ac:dyDescent="0.15">
      <c r="A150" s="56" t="s">
        <v>624</v>
      </c>
      <c r="B150" s="85" t="s">
        <v>261</v>
      </c>
      <c r="C150" s="57" t="s">
        <v>150</v>
      </c>
      <c r="D150" s="57" t="s">
        <v>150</v>
      </c>
      <c r="E150" s="57" t="s">
        <v>150</v>
      </c>
      <c r="F150" s="57"/>
      <c r="G150" s="68" t="s">
        <v>135</v>
      </c>
      <c r="H150" s="58" t="s">
        <v>19</v>
      </c>
      <c r="I150" s="85" t="s">
        <v>19</v>
      </c>
      <c r="J150" s="85" t="s">
        <v>93</v>
      </c>
      <c r="K150" s="55" t="s">
        <v>72</v>
      </c>
      <c r="L150" s="55" t="s">
        <v>72</v>
      </c>
      <c r="M150" s="96">
        <v>18019379163</v>
      </c>
      <c r="N150" s="98" t="s">
        <v>625</v>
      </c>
      <c r="O150" s="79" t="s">
        <v>675</v>
      </c>
    </row>
    <row r="151" spans="1:15" x14ac:dyDescent="0.15">
      <c r="A151" s="56" t="s">
        <v>626</v>
      </c>
      <c r="B151" s="85" t="s">
        <v>239</v>
      </c>
      <c r="C151" s="61" t="s">
        <v>69</v>
      </c>
      <c r="D151" s="61" t="s">
        <v>69</v>
      </c>
      <c r="E151" s="61" t="s">
        <v>69</v>
      </c>
      <c r="F151" s="61"/>
      <c r="G151" s="68" t="s">
        <v>69</v>
      </c>
      <c r="H151" s="58" t="s">
        <v>84</v>
      </c>
      <c r="I151" s="58" t="s">
        <v>84</v>
      </c>
      <c r="J151" s="85" t="s">
        <v>104</v>
      </c>
      <c r="K151" s="55" t="s">
        <v>85</v>
      </c>
      <c r="L151" s="55" t="s">
        <v>85</v>
      </c>
      <c r="M151" s="96">
        <v>15317095786</v>
      </c>
      <c r="N151" s="97" t="s">
        <v>627</v>
      </c>
      <c r="O151" s="79" t="s">
        <v>628</v>
      </c>
    </row>
    <row r="152" spans="1:15" x14ac:dyDescent="0.15">
      <c r="A152" s="56" t="s">
        <v>629</v>
      </c>
      <c r="B152" s="85" t="s">
        <v>239</v>
      </c>
      <c r="C152" s="61" t="s">
        <v>128</v>
      </c>
      <c r="D152" s="61" t="s">
        <v>128</v>
      </c>
      <c r="E152" s="61" t="s">
        <v>1132</v>
      </c>
      <c r="F152" s="57" t="s">
        <v>1181</v>
      </c>
      <c r="G152" s="68" t="s">
        <v>1057</v>
      </c>
      <c r="H152" s="58" t="s">
        <v>22</v>
      </c>
      <c r="I152" s="85" t="s">
        <v>22</v>
      </c>
      <c r="J152" s="85" t="s">
        <v>96</v>
      </c>
      <c r="K152" s="79" t="s">
        <v>76</v>
      </c>
      <c r="L152" s="79" t="s">
        <v>76</v>
      </c>
      <c r="M152" s="96">
        <v>18351253194</v>
      </c>
      <c r="N152" s="97" t="s">
        <v>630</v>
      </c>
      <c r="O152" s="79" t="s">
        <v>631</v>
      </c>
    </row>
    <row r="153" spans="1:15" x14ac:dyDescent="0.15">
      <c r="A153" s="56" t="s">
        <v>632</v>
      </c>
      <c r="B153" s="85" t="s">
        <v>239</v>
      </c>
      <c r="C153" s="61" t="s">
        <v>1038</v>
      </c>
      <c r="D153" s="61" t="s">
        <v>1038</v>
      </c>
      <c r="E153" s="61" t="s">
        <v>1038</v>
      </c>
      <c r="F153" s="57" t="s">
        <v>1181</v>
      </c>
      <c r="G153" s="57" t="s">
        <v>136</v>
      </c>
      <c r="H153" s="58" t="s">
        <v>14</v>
      </c>
      <c r="I153" s="85" t="s">
        <v>14</v>
      </c>
      <c r="J153" s="85" t="s">
        <v>100</v>
      </c>
      <c r="K153" s="79" t="s">
        <v>63</v>
      </c>
      <c r="L153" s="79" t="s">
        <v>63</v>
      </c>
      <c r="M153" s="96">
        <v>15201739610</v>
      </c>
      <c r="N153" s="97" t="s">
        <v>633</v>
      </c>
      <c r="O153" s="79" t="s">
        <v>802</v>
      </c>
    </row>
    <row r="154" spans="1:15" x14ac:dyDescent="0.15">
      <c r="A154" s="56" t="s">
        <v>635</v>
      </c>
      <c r="B154" s="85" t="s">
        <v>239</v>
      </c>
      <c r="C154" s="57" t="s">
        <v>152</v>
      </c>
      <c r="D154" s="57" t="s">
        <v>152</v>
      </c>
      <c r="E154" s="57" t="s">
        <v>152</v>
      </c>
      <c r="F154" s="57"/>
      <c r="G154" s="57" t="s">
        <v>135</v>
      </c>
      <c r="H154" s="58" t="s">
        <v>19</v>
      </c>
      <c r="I154" s="85" t="s">
        <v>19</v>
      </c>
      <c r="J154" s="85" t="s">
        <v>93</v>
      </c>
      <c r="K154" s="55" t="s">
        <v>72</v>
      </c>
      <c r="L154" s="55" t="s">
        <v>72</v>
      </c>
      <c r="M154" s="96">
        <v>13020297046</v>
      </c>
      <c r="N154" s="97" t="s">
        <v>636</v>
      </c>
      <c r="O154" s="79" t="s">
        <v>637</v>
      </c>
    </row>
    <row r="155" spans="1:15" s="43" customFormat="1" x14ac:dyDescent="0.15">
      <c r="A155" s="64" t="s">
        <v>638</v>
      </c>
      <c r="B155" s="83" t="s">
        <v>239</v>
      </c>
      <c r="C155" s="65" t="s">
        <v>172</v>
      </c>
      <c r="D155" s="65" t="s">
        <v>172</v>
      </c>
      <c r="E155" s="65" t="s">
        <v>172</v>
      </c>
      <c r="F155" s="65"/>
      <c r="G155" s="83" t="s">
        <v>172</v>
      </c>
      <c r="H155" s="67" t="s">
        <v>14</v>
      </c>
      <c r="I155" s="83" t="s">
        <v>14</v>
      </c>
      <c r="J155" s="83" t="s">
        <v>100</v>
      </c>
      <c r="K155" s="66" t="s">
        <v>63</v>
      </c>
      <c r="L155" s="66" t="s">
        <v>63</v>
      </c>
      <c r="M155" s="94">
        <v>17621252511</v>
      </c>
      <c r="N155" s="95" t="s">
        <v>639</v>
      </c>
      <c r="O155" s="66" t="s">
        <v>172</v>
      </c>
    </row>
    <row r="156" spans="1:15" s="43" customFormat="1" x14ac:dyDescent="0.15">
      <c r="A156" s="64" t="s">
        <v>640</v>
      </c>
      <c r="B156" s="83" t="s">
        <v>239</v>
      </c>
      <c r="C156" s="65" t="s">
        <v>172</v>
      </c>
      <c r="D156" s="65" t="s">
        <v>172</v>
      </c>
      <c r="E156" s="65" t="s">
        <v>172</v>
      </c>
      <c r="F156" s="65"/>
      <c r="G156" s="83" t="s">
        <v>172</v>
      </c>
      <c r="H156" s="67" t="s">
        <v>13</v>
      </c>
      <c r="I156" s="83" t="s">
        <v>13</v>
      </c>
      <c r="J156" s="83" t="s">
        <v>116</v>
      </c>
      <c r="K156" s="75" t="s">
        <v>80</v>
      </c>
      <c r="L156" s="75" t="s">
        <v>80</v>
      </c>
      <c r="M156" s="94">
        <v>15021864595</v>
      </c>
      <c r="N156" s="95" t="s">
        <v>641</v>
      </c>
      <c r="O156" s="66" t="s">
        <v>172</v>
      </c>
    </row>
    <row r="157" spans="1:15" s="43" customFormat="1" x14ac:dyDescent="0.15">
      <c r="A157" s="64" t="s">
        <v>642</v>
      </c>
      <c r="B157" s="83" t="s">
        <v>239</v>
      </c>
      <c r="C157" s="65" t="s">
        <v>172</v>
      </c>
      <c r="D157" s="65" t="s">
        <v>172</v>
      </c>
      <c r="E157" s="65" t="s">
        <v>172</v>
      </c>
      <c r="F157" s="65"/>
      <c r="G157" s="83" t="s">
        <v>172</v>
      </c>
      <c r="H157" s="67" t="s">
        <v>22</v>
      </c>
      <c r="I157" s="83" t="s">
        <v>22</v>
      </c>
      <c r="J157" s="83" t="s">
        <v>96</v>
      </c>
      <c r="K157" s="75" t="s">
        <v>76</v>
      </c>
      <c r="L157" s="75" t="s">
        <v>76</v>
      </c>
      <c r="M157" s="94">
        <v>18516539456</v>
      </c>
      <c r="N157" s="95" t="s">
        <v>643</v>
      </c>
      <c r="O157" s="66" t="s">
        <v>172</v>
      </c>
    </row>
    <row r="158" spans="1:15" s="43" customFormat="1" x14ac:dyDescent="0.15">
      <c r="A158" s="64" t="s">
        <v>644</v>
      </c>
      <c r="B158" s="83" t="s">
        <v>239</v>
      </c>
      <c r="C158" s="65" t="s">
        <v>172</v>
      </c>
      <c r="D158" s="65" t="s">
        <v>172</v>
      </c>
      <c r="E158" s="65" t="s">
        <v>172</v>
      </c>
      <c r="F158" s="65"/>
      <c r="G158" s="83" t="s">
        <v>172</v>
      </c>
      <c r="H158" s="67" t="s">
        <v>13</v>
      </c>
      <c r="I158" s="83" t="s">
        <v>13</v>
      </c>
      <c r="J158" s="83" t="s">
        <v>116</v>
      </c>
      <c r="K158" s="75" t="s">
        <v>80</v>
      </c>
      <c r="L158" s="75" t="s">
        <v>80</v>
      </c>
      <c r="M158" s="94">
        <v>15821850143</v>
      </c>
      <c r="N158" s="95" t="s">
        <v>645</v>
      </c>
      <c r="O158" s="66" t="s">
        <v>172</v>
      </c>
    </row>
    <row r="159" spans="1:15" ht="16.5" customHeight="1" x14ac:dyDescent="0.15">
      <c r="A159" s="56" t="s">
        <v>646</v>
      </c>
      <c r="B159" s="85" t="s">
        <v>239</v>
      </c>
      <c r="C159" s="61" t="s">
        <v>152</v>
      </c>
      <c r="D159" s="61" t="s">
        <v>152</v>
      </c>
      <c r="E159" s="61" t="s">
        <v>152</v>
      </c>
      <c r="F159" s="61"/>
      <c r="G159" s="68" t="s">
        <v>135</v>
      </c>
      <c r="H159" s="58" t="s">
        <v>84</v>
      </c>
      <c r="I159" s="58" t="s">
        <v>84</v>
      </c>
      <c r="J159" s="85" t="s">
        <v>104</v>
      </c>
      <c r="K159" s="55" t="s">
        <v>85</v>
      </c>
      <c r="L159" s="55" t="s">
        <v>85</v>
      </c>
      <c r="M159" s="96">
        <v>18001645679</v>
      </c>
      <c r="N159" s="97" t="s">
        <v>647</v>
      </c>
      <c r="O159" s="79" t="s">
        <v>289</v>
      </c>
    </row>
    <row r="160" spans="1:15" s="43" customFormat="1" x14ac:dyDescent="0.15">
      <c r="A160" s="64" t="s">
        <v>649</v>
      </c>
      <c r="B160" s="83" t="s">
        <v>239</v>
      </c>
      <c r="C160" s="65" t="s">
        <v>172</v>
      </c>
      <c r="D160" s="65" t="s">
        <v>172</v>
      </c>
      <c r="E160" s="65" t="s">
        <v>172</v>
      </c>
      <c r="F160" s="65"/>
      <c r="G160" s="66" t="s">
        <v>172</v>
      </c>
      <c r="H160" s="67" t="s">
        <v>22</v>
      </c>
      <c r="I160" s="83" t="s">
        <v>22</v>
      </c>
      <c r="J160" s="83" t="s">
        <v>114</v>
      </c>
      <c r="K160" s="75" t="s">
        <v>76</v>
      </c>
      <c r="L160" s="75" t="s">
        <v>76</v>
      </c>
      <c r="M160" s="94">
        <v>17321199952</v>
      </c>
      <c r="N160" s="95" t="s">
        <v>650</v>
      </c>
      <c r="O160" s="66" t="s">
        <v>172</v>
      </c>
    </row>
    <row r="161" spans="1:15" x14ac:dyDescent="0.15">
      <c r="A161" s="56" t="s">
        <v>651</v>
      </c>
      <c r="B161" s="85" t="s">
        <v>239</v>
      </c>
      <c r="C161" s="61" t="s">
        <v>142</v>
      </c>
      <c r="D161" s="61" t="s">
        <v>1089</v>
      </c>
      <c r="E161" s="61" t="s">
        <v>1089</v>
      </c>
      <c r="F161" s="57"/>
      <c r="G161" s="57" t="s">
        <v>138</v>
      </c>
      <c r="H161" s="58" t="s">
        <v>13</v>
      </c>
      <c r="I161" s="85" t="s">
        <v>13</v>
      </c>
      <c r="J161" s="85" t="s">
        <v>90</v>
      </c>
      <c r="K161" s="55" t="s">
        <v>80</v>
      </c>
      <c r="L161" s="55" t="s">
        <v>80</v>
      </c>
      <c r="M161" s="96">
        <v>18317056330</v>
      </c>
      <c r="N161" s="97" t="s">
        <v>652</v>
      </c>
      <c r="O161" s="79" t="s">
        <v>281</v>
      </c>
    </row>
    <row r="162" spans="1:15" s="43" customFormat="1" x14ac:dyDescent="0.15">
      <c r="A162" s="64" t="s">
        <v>654</v>
      </c>
      <c r="B162" s="83" t="s">
        <v>239</v>
      </c>
      <c r="C162" s="65" t="s">
        <v>172</v>
      </c>
      <c r="D162" s="65" t="s">
        <v>172</v>
      </c>
      <c r="E162" s="65" t="s">
        <v>172</v>
      </c>
      <c r="F162" s="65"/>
      <c r="G162" s="66" t="s">
        <v>172</v>
      </c>
      <c r="H162" s="67" t="s">
        <v>14</v>
      </c>
      <c r="I162" s="83" t="s">
        <v>14</v>
      </c>
      <c r="J162" s="83" t="s">
        <v>106</v>
      </c>
      <c r="K162" s="66" t="s">
        <v>63</v>
      </c>
      <c r="L162" s="66" t="s">
        <v>63</v>
      </c>
      <c r="M162" s="94">
        <v>18301808690</v>
      </c>
      <c r="N162" s="95" t="s">
        <v>655</v>
      </c>
      <c r="O162" s="66" t="s">
        <v>172</v>
      </c>
    </row>
    <row r="163" spans="1:15" x14ac:dyDescent="0.15">
      <c r="A163" s="56" t="s">
        <v>656</v>
      </c>
      <c r="B163" s="85" t="s">
        <v>239</v>
      </c>
      <c r="C163" s="61"/>
      <c r="D163" s="61" t="s">
        <v>1089</v>
      </c>
      <c r="E163" s="61" t="s">
        <v>1089</v>
      </c>
      <c r="F163" s="61"/>
      <c r="G163" s="57" t="s">
        <v>1086</v>
      </c>
      <c r="H163" s="58" t="s">
        <v>13</v>
      </c>
      <c r="I163" s="85" t="s">
        <v>13</v>
      </c>
      <c r="J163" s="85" t="s">
        <v>90</v>
      </c>
      <c r="K163" s="55" t="s">
        <v>80</v>
      </c>
      <c r="L163" s="55" t="s">
        <v>80</v>
      </c>
      <c r="M163" s="96">
        <v>15603802065</v>
      </c>
      <c r="N163" s="97" t="s">
        <v>657</v>
      </c>
      <c r="O163" s="79" t="s">
        <v>1111</v>
      </c>
    </row>
    <row r="164" spans="1:15" s="43" customFormat="1" x14ac:dyDescent="0.15">
      <c r="A164" s="64" t="s">
        <v>659</v>
      </c>
      <c r="B164" s="83" t="s">
        <v>239</v>
      </c>
      <c r="C164" s="65" t="s">
        <v>172</v>
      </c>
      <c r="D164" s="65" t="s">
        <v>172</v>
      </c>
      <c r="E164" s="65" t="s">
        <v>172</v>
      </c>
      <c r="F164" s="65"/>
      <c r="G164" s="83" t="s">
        <v>172</v>
      </c>
      <c r="H164" s="67" t="s">
        <v>19</v>
      </c>
      <c r="I164" s="83" t="s">
        <v>19</v>
      </c>
      <c r="J164" s="83" t="s">
        <v>1142</v>
      </c>
      <c r="K164" s="75" t="s">
        <v>72</v>
      </c>
      <c r="L164" s="75" t="s">
        <v>72</v>
      </c>
      <c r="M164" s="94">
        <v>17730158846</v>
      </c>
      <c r="N164" s="99" t="s">
        <v>660</v>
      </c>
      <c r="O164" s="66" t="s">
        <v>172</v>
      </c>
    </row>
    <row r="165" spans="1:15" x14ac:dyDescent="0.15">
      <c r="A165" s="56" t="s">
        <v>661</v>
      </c>
      <c r="B165" s="85" t="s">
        <v>239</v>
      </c>
      <c r="C165" s="60" t="s">
        <v>1039</v>
      </c>
      <c r="D165" s="60" t="s">
        <v>1039</v>
      </c>
      <c r="E165" s="60" t="s">
        <v>1039</v>
      </c>
      <c r="F165" s="57" t="s">
        <v>1181</v>
      </c>
      <c r="G165" s="68" t="s">
        <v>136</v>
      </c>
      <c r="H165" s="58" t="s">
        <v>13</v>
      </c>
      <c r="I165" s="85" t="s">
        <v>13</v>
      </c>
      <c r="J165" s="85" t="s">
        <v>90</v>
      </c>
      <c r="K165" s="55" t="s">
        <v>80</v>
      </c>
      <c r="L165" s="55" t="s">
        <v>80</v>
      </c>
      <c r="M165" s="96">
        <v>18101658299</v>
      </c>
      <c r="N165" s="97" t="s">
        <v>662</v>
      </c>
      <c r="O165" s="79" t="s">
        <v>663</v>
      </c>
    </row>
    <row r="166" spans="1:15" x14ac:dyDescent="0.15">
      <c r="A166" s="56" t="s">
        <v>664</v>
      </c>
      <c r="B166" s="85" t="s">
        <v>239</v>
      </c>
      <c r="C166" s="57" t="s">
        <v>152</v>
      </c>
      <c r="D166" s="57" t="s">
        <v>152</v>
      </c>
      <c r="E166" s="57" t="s">
        <v>152</v>
      </c>
      <c r="F166" s="57"/>
      <c r="G166" s="57" t="s">
        <v>135</v>
      </c>
      <c r="H166" s="58" t="s">
        <v>22</v>
      </c>
      <c r="I166" s="85" t="s">
        <v>22</v>
      </c>
      <c r="J166" s="85" t="s">
        <v>96</v>
      </c>
      <c r="K166" s="55" t="s">
        <v>76</v>
      </c>
      <c r="L166" s="55" t="s">
        <v>76</v>
      </c>
      <c r="M166" s="96">
        <v>19939475010</v>
      </c>
      <c r="N166" s="97" t="s">
        <v>665</v>
      </c>
      <c r="O166" s="79" t="s">
        <v>666</v>
      </c>
    </row>
    <row r="167" spans="1:15" x14ac:dyDescent="0.15">
      <c r="A167" s="56" t="s">
        <v>667</v>
      </c>
      <c r="B167" s="85" t="s">
        <v>239</v>
      </c>
      <c r="C167" s="61" t="s">
        <v>144</v>
      </c>
      <c r="D167" s="61" t="s">
        <v>1089</v>
      </c>
      <c r="E167" s="61" t="s">
        <v>1089</v>
      </c>
      <c r="F167" s="57" t="s">
        <v>1181</v>
      </c>
      <c r="G167" s="61" t="s">
        <v>138</v>
      </c>
      <c r="H167" s="58" t="s">
        <v>14</v>
      </c>
      <c r="I167" s="85" t="s">
        <v>14</v>
      </c>
      <c r="J167" s="85" t="s">
        <v>100</v>
      </c>
      <c r="K167" s="79" t="s">
        <v>63</v>
      </c>
      <c r="L167" s="79" t="s">
        <v>63</v>
      </c>
      <c r="M167" s="96">
        <v>13482490162</v>
      </c>
      <c r="N167" s="97" t="s">
        <v>668</v>
      </c>
      <c r="O167" s="79" t="s">
        <v>669</v>
      </c>
    </row>
    <row r="168" spans="1:15" x14ac:dyDescent="0.15">
      <c r="A168" s="56" t="s">
        <v>670</v>
      </c>
      <c r="B168" s="85" t="s">
        <v>239</v>
      </c>
      <c r="C168" s="57" t="s">
        <v>173</v>
      </c>
      <c r="D168" s="57" t="s">
        <v>161</v>
      </c>
      <c r="E168" s="57" t="s">
        <v>1132</v>
      </c>
      <c r="F168" s="57" t="s">
        <v>1181</v>
      </c>
      <c r="G168" s="57" t="s">
        <v>1057</v>
      </c>
      <c r="H168" s="58" t="s">
        <v>84</v>
      </c>
      <c r="I168" s="58" t="s">
        <v>84</v>
      </c>
      <c r="J168" s="85" t="s">
        <v>104</v>
      </c>
      <c r="K168" s="55" t="s">
        <v>85</v>
      </c>
      <c r="L168" s="55" t="s">
        <v>85</v>
      </c>
      <c r="M168" s="96">
        <v>15938624682</v>
      </c>
      <c r="N168" s="97" t="s">
        <v>671</v>
      </c>
      <c r="O168" s="79" t="s">
        <v>692</v>
      </c>
    </row>
    <row r="169" spans="1:15" x14ac:dyDescent="0.15">
      <c r="A169" s="56" t="s">
        <v>673</v>
      </c>
      <c r="B169" s="85" t="s">
        <v>239</v>
      </c>
      <c r="C169" s="61" t="s">
        <v>142</v>
      </c>
      <c r="D169" s="61" t="s">
        <v>1089</v>
      </c>
      <c r="E169" s="61" t="s">
        <v>1089</v>
      </c>
      <c r="F169" s="57"/>
      <c r="G169" s="57" t="s">
        <v>138</v>
      </c>
      <c r="H169" s="58" t="s">
        <v>13</v>
      </c>
      <c r="I169" s="85" t="s">
        <v>13</v>
      </c>
      <c r="J169" s="85" t="s">
        <v>90</v>
      </c>
      <c r="K169" s="55" t="s">
        <v>80</v>
      </c>
      <c r="L169" s="55" t="s">
        <v>80</v>
      </c>
      <c r="M169" s="96">
        <v>15300700801</v>
      </c>
      <c r="N169" s="97" t="s">
        <v>674</v>
      </c>
      <c r="O169" s="79" t="s">
        <v>773</v>
      </c>
    </row>
    <row r="170" spans="1:15" x14ac:dyDescent="0.15">
      <c r="A170" s="56" t="s">
        <v>676</v>
      </c>
      <c r="B170" s="85" t="s">
        <v>239</v>
      </c>
      <c r="C170" s="57" t="s">
        <v>128</v>
      </c>
      <c r="D170" s="57" t="s">
        <v>128</v>
      </c>
      <c r="E170" s="57" t="s">
        <v>1091</v>
      </c>
      <c r="F170" s="57" t="s">
        <v>1181</v>
      </c>
      <c r="G170" s="57" t="s">
        <v>1086</v>
      </c>
      <c r="H170" s="58" t="s">
        <v>22</v>
      </c>
      <c r="I170" s="85" t="s">
        <v>22</v>
      </c>
      <c r="J170" s="85" t="s">
        <v>96</v>
      </c>
      <c r="K170" s="55" t="s">
        <v>76</v>
      </c>
      <c r="L170" s="55" t="s">
        <v>76</v>
      </c>
      <c r="M170" s="96">
        <v>18621750734</v>
      </c>
      <c r="N170" s="97" t="s">
        <v>677</v>
      </c>
      <c r="O170" s="79" t="s">
        <v>678</v>
      </c>
    </row>
    <row r="171" spans="1:15" x14ac:dyDescent="0.15">
      <c r="A171" s="56" t="s">
        <v>679</v>
      </c>
      <c r="B171" s="85" t="s">
        <v>319</v>
      </c>
      <c r="C171" s="61" t="s">
        <v>154</v>
      </c>
      <c r="D171" s="61" t="s">
        <v>154</v>
      </c>
      <c r="E171" s="57" t="s">
        <v>1128</v>
      </c>
      <c r="F171" s="57" t="s">
        <v>1181</v>
      </c>
      <c r="G171" s="57" t="s">
        <v>136</v>
      </c>
      <c r="H171" s="58" t="s">
        <v>84</v>
      </c>
      <c r="I171" s="58" t="s">
        <v>84</v>
      </c>
      <c r="J171" s="85" t="s">
        <v>104</v>
      </c>
      <c r="K171" s="55" t="s">
        <v>85</v>
      </c>
      <c r="L171" s="55" t="s">
        <v>85</v>
      </c>
      <c r="M171" s="96"/>
      <c r="N171" s="98"/>
      <c r="O171" s="79" t="s">
        <v>518</v>
      </c>
    </row>
    <row r="172" spans="1:15" x14ac:dyDescent="0.15">
      <c r="A172" s="56" t="s">
        <v>681</v>
      </c>
      <c r="B172" s="85" t="s">
        <v>239</v>
      </c>
      <c r="C172" s="57" t="s">
        <v>152</v>
      </c>
      <c r="D172" s="57" t="s">
        <v>152</v>
      </c>
      <c r="E172" s="57" t="s">
        <v>152</v>
      </c>
      <c r="F172" s="57"/>
      <c r="G172" s="68" t="s">
        <v>135</v>
      </c>
      <c r="H172" s="58" t="s">
        <v>14</v>
      </c>
      <c r="I172" s="85" t="s">
        <v>14</v>
      </c>
      <c r="J172" s="85" t="s">
        <v>100</v>
      </c>
      <c r="K172" s="79" t="s">
        <v>63</v>
      </c>
      <c r="L172" s="79" t="s">
        <v>63</v>
      </c>
      <c r="M172" s="96">
        <v>13382070073</v>
      </c>
      <c r="N172" s="97" t="s">
        <v>682</v>
      </c>
      <c r="O172" s="79" t="s">
        <v>683</v>
      </c>
    </row>
    <row r="173" spans="1:15" x14ac:dyDescent="0.15">
      <c r="A173" s="56" t="s">
        <v>684</v>
      </c>
      <c r="B173" s="85" t="s">
        <v>239</v>
      </c>
      <c r="C173" s="57" t="s">
        <v>128</v>
      </c>
      <c r="D173" s="57" t="s">
        <v>128</v>
      </c>
      <c r="E173" s="57" t="s">
        <v>1159</v>
      </c>
      <c r="F173" s="57" t="s">
        <v>1181</v>
      </c>
      <c r="G173" s="57" t="s">
        <v>1057</v>
      </c>
      <c r="H173" s="58" t="s">
        <v>19</v>
      </c>
      <c r="I173" s="85" t="s">
        <v>19</v>
      </c>
      <c r="J173" s="85" t="s">
        <v>93</v>
      </c>
      <c r="K173" s="55" t="s">
        <v>72</v>
      </c>
      <c r="L173" s="55" t="s">
        <v>72</v>
      </c>
      <c r="M173" s="96">
        <v>13601797642</v>
      </c>
      <c r="N173" s="97" t="s">
        <v>685</v>
      </c>
      <c r="O173" s="79" t="s">
        <v>686</v>
      </c>
    </row>
    <row r="174" spans="1:15" x14ac:dyDescent="0.15">
      <c r="A174" s="56" t="s">
        <v>687</v>
      </c>
      <c r="B174" s="56" t="s">
        <v>239</v>
      </c>
      <c r="C174" s="57" t="s">
        <v>150</v>
      </c>
      <c r="D174" s="57" t="s">
        <v>150</v>
      </c>
      <c r="E174" s="57" t="s">
        <v>150</v>
      </c>
      <c r="F174" s="57"/>
      <c r="G174" s="57" t="s">
        <v>135</v>
      </c>
      <c r="H174" s="58" t="s">
        <v>14</v>
      </c>
      <c r="I174" s="100" t="s">
        <v>14</v>
      </c>
      <c r="J174" s="100" t="s">
        <v>102</v>
      </c>
      <c r="K174" s="79" t="s">
        <v>61</v>
      </c>
      <c r="L174" s="79" t="s">
        <v>61</v>
      </c>
      <c r="M174" s="71"/>
      <c r="N174" s="101"/>
      <c r="O174" s="102" t="s">
        <v>380</v>
      </c>
    </row>
    <row r="175" spans="1:15" x14ac:dyDescent="0.15">
      <c r="A175" s="56" t="s">
        <v>689</v>
      </c>
      <c r="B175" s="56" t="s">
        <v>239</v>
      </c>
      <c r="C175" s="62" t="s">
        <v>150</v>
      </c>
      <c r="D175" s="62" t="s">
        <v>150</v>
      </c>
      <c r="E175" s="62" t="s">
        <v>150</v>
      </c>
      <c r="F175" s="62"/>
      <c r="G175" s="57" t="s">
        <v>135</v>
      </c>
      <c r="H175" s="58" t="s">
        <v>13</v>
      </c>
      <c r="I175" s="100" t="s">
        <v>13</v>
      </c>
      <c r="J175" s="100" t="s">
        <v>90</v>
      </c>
      <c r="K175" s="100" t="s">
        <v>80</v>
      </c>
      <c r="L175" s="100" t="s">
        <v>80</v>
      </c>
      <c r="M175" s="102"/>
      <c r="N175" s="101"/>
      <c r="O175" s="102" t="s">
        <v>690</v>
      </c>
    </row>
    <row r="176" spans="1:15" x14ac:dyDescent="0.15">
      <c r="A176" s="56" t="s">
        <v>691</v>
      </c>
      <c r="B176" s="56" t="s">
        <v>239</v>
      </c>
      <c r="C176" s="61" t="s">
        <v>140</v>
      </c>
      <c r="D176" s="61" t="s">
        <v>1091</v>
      </c>
      <c r="E176" s="61" t="s">
        <v>1091</v>
      </c>
      <c r="F176" s="57"/>
      <c r="G176" s="57" t="s">
        <v>138</v>
      </c>
      <c r="H176" s="58" t="s">
        <v>13</v>
      </c>
      <c r="I176" s="100" t="s">
        <v>13</v>
      </c>
      <c r="J176" s="100" t="s">
        <v>90</v>
      </c>
      <c r="K176" s="55" t="s">
        <v>80</v>
      </c>
      <c r="L176" s="55" t="s">
        <v>80</v>
      </c>
      <c r="M176" s="71"/>
      <c r="N176" s="101"/>
      <c r="O176" s="102" t="s">
        <v>680</v>
      </c>
    </row>
    <row r="177" spans="1:15" s="43" customFormat="1" x14ac:dyDescent="0.15">
      <c r="A177" s="64" t="s">
        <v>693</v>
      </c>
      <c r="B177" s="83" t="s">
        <v>221</v>
      </c>
      <c r="C177" s="66" t="s">
        <v>172</v>
      </c>
      <c r="D177" s="66" t="s">
        <v>172</v>
      </c>
      <c r="E177" s="66" t="s">
        <v>172</v>
      </c>
      <c r="F177" s="66"/>
      <c r="G177" s="66" t="s">
        <v>172</v>
      </c>
      <c r="H177" s="67" t="s">
        <v>37</v>
      </c>
      <c r="I177" s="83" t="s">
        <v>37</v>
      </c>
      <c r="J177" s="83" t="s">
        <v>94</v>
      </c>
      <c r="K177" s="75" t="s">
        <v>56</v>
      </c>
      <c r="L177" s="75" t="s">
        <v>58</v>
      </c>
      <c r="M177" s="94"/>
      <c r="N177" s="99"/>
      <c r="O177" s="66" t="s">
        <v>172</v>
      </c>
    </row>
    <row r="178" spans="1:15" s="43" customFormat="1" x14ac:dyDescent="0.15">
      <c r="A178" s="64" t="s">
        <v>694</v>
      </c>
      <c r="B178" s="64" t="s">
        <v>232</v>
      </c>
      <c r="C178" s="66" t="s">
        <v>172</v>
      </c>
      <c r="D178" s="66" t="s">
        <v>172</v>
      </c>
      <c r="E178" s="66" t="s">
        <v>172</v>
      </c>
      <c r="F178" s="66"/>
      <c r="G178" s="66" t="s">
        <v>172</v>
      </c>
      <c r="H178" s="67" t="s">
        <v>37</v>
      </c>
      <c r="I178" s="75" t="s">
        <v>37</v>
      </c>
      <c r="J178" s="75" t="s">
        <v>41</v>
      </c>
      <c r="K178" s="75" t="s">
        <v>58</v>
      </c>
      <c r="L178" s="75" t="s">
        <v>58</v>
      </c>
      <c r="M178" s="76">
        <v>18217448147</v>
      </c>
      <c r="N178" s="77" t="s">
        <v>695</v>
      </c>
      <c r="O178" s="75" t="s">
        <v>172</v>
      </c>
    </row>
    <row r="179" spans="1:15" x14ac:dyDescent="0.15">
      <c r="A179" s="56" t="s">
        <v>696</v>
      </c>
      <c r="B179" s="56" t="s">
        <v>229</v>
      </c>
      <c r="C179" s="60" t="s">
        <v>112</v>
      </c>
      <c r="D179" s="60" t="s">
        <v>112</v>
      </c>
      <c r="E179" s="60" t="s">
        <v>112</v>
      </c>
      <c r="F179" s="60"/>
      <c r="G179" s="57" t="s">
        <v>112</v>
      </c>
      <c r="H179" s="58" t="s">
        <v>37</v>
      </c>
      <c r="I179" s="55" t="s">
        <v>37</v>
      </c>
      <c r="J179" s="55" t="s">
        <v>99</v>
      </c>
      <c r="K179" s="55" t="s">
        <v>54</v>
      </c>
      <c r="L179" s="55" t="s">
        <v>54</v>
      </c>
      <c r="M179" s="71">
        <v>13774402593</v>
      </c>
      <c r="N179" s="72" t="s">
        <v>697</v>
      </c>
      <c r="O179" s="55" t="s">
        <v>698</v>
      </c>
    </row>
    <row r="180" spans="1:15" x14ac:dyDescent="0.15">
      <c r="A180" s="56" t="s">
        <v>699</v>
      </c>
      <c r="B180" s="56" t="s">
        <v>390</v>
      </c>
      <c r="C180" s="57" t="s">
        <v>166</v>
      </c>
      <c r="D180" s="57" t="s">
        <v>166</v>
      </c>
      <c r="E180" s="57" t="s">
        <v>166</v>
      </c>
      <c r="F180" s="57"/>
      <c r="G180" s="57" t="s">
        <v>166</v>
      </c>
      <c r="H180" s="58" t="s">
        <v>37</v>
      </c>
      <c r="I180" s="55" t="s">
        <v>37</v>
      </c>
      <c r="J180" s="55" t="s">
        <v>41</v>
      </c>
      <c r="K180" s="55" t="s">
        <v>56</v>
      </c>
      <c r="L180" s="55" t="s">
        <v>56</v>
      </c>
      <c r="M180" s="71">
        <v>18616924767</v>
      </c>
      <c r="N180" s="72" t="s">
        <v>700</v>
      </c>
      <c r="O180" s="55" t="s">
        <v>701</v>
      </c>
    </row>
    <row r="181" spans="1:15" x14ac:dyDescent="0.15">
      <c r="A181" s="56" t="s">
        <v>702</v>
      </c>
      <c r="B181" s="56" t="s">
        <v>261</v>
      </c>
      <c r="C181" s="57" t="s">
        <v>159</v>
      </c>
      <c r="D181" s="57" t="s">
        <v>1059</v>
      </c>
      <c r="E181" s="57" t="s">
        <v>1132</v>
      </c>
      <c r="F181" s="57"/>
      <c r="G181" s="57" t="s">
        <v>136</v>
      </c>
      <c r="H181" s="58" t="s">
        <v>83</v>
      </c>
      <c r="I181" s="58" t="s">
        <v>83</v>
      </c>
      <c r="J181" s="58" t="s">
        <v>103</v>
      </c>
      <c r="K181" s="55" t="s">
        <v>54</v>
      </c>
      <c r="L181" s="55" t="s">
        <v>54</v>
      </c>
      <c r="M181" s="71">
        <v>15773243797</v>
      </c>
      <c r="N181" s="72" t="s">
        <v>703</v>
      </c>
      <c r="O181" s="55" t="s">
        <v>325</v>
      </c>
    </row>
    <row r="182" spans="1:15" x14ac:dyDescent="0.15">
      <c r="A182" s="56" t="s">
        <v>704</v>
      </c>
      <c r="B182" s="56" t="s">
        <v>390</v>
      </c>
      <c r="C182" s="61" t="s">
        <v>112</v>
      </c>
      <c r="D182" s="61" t="s">
        <v>112</v>
      </c>
      <c r="E182" s="61" t="s">
        <v>112</v>
      </c>
      <c r="F182" s="61"/>
      <c r="G182" s="57" t="s">
        <v>112</v>
      </c>
      <c r="H182" s="58" t="s">
        <v>37</v>
      </c>
      <c r="I182" s="55" t="s">
        <v>37</v>
      </c>
      <c r="J182" s="55" t="s">
        <v>112</v>
      </c>
      <c r="K182" s="55" t="s">
        <v>54</v>
      </c>
      <c r="L182" s="55" t="s">
        <v>54</v>
      </c>
      <c r="M182" s="71">
        <v>13849025289</v>
      </c>
      <c r="N182" s="72" t="s">
        <v>705</v>
      </c>
      <c r="O182" s="55" t="s">
        <v>706</v>
      </c>
    </row>
    <row r="183" spans="1:15" s="43" customFormat="1" x14ac:dyDescent="0.15">
      <c r="A183" s="64" t="s">
        <v>707</v>
      </c>
      <c r="B183" s="64" t="s">
        <v>261</v>
      </c>
      <c r="C183" s="66" t="s">
        <v>172</v>
      </c>
      <c r="D183" s="66" t="s">
        <v>172</v>
      </c>
      <c r="E183" s="66" t="s">
        <v>172</v>
      </c>
      <c r="F183" s="66"/>
      <c r="G183" s="66" t="s">
        <v>172</v>
      </c>
      <c r="H183" s="67" t="s">
        <v>37</v>
      </c>
      <c r="I183" s="75" t="s">
        <v>37</v>
      </c>
      <c r="J183" s="75" t="s">
        <v>97</v>
      </c>
      <c r="K183" s="75" t="s">
        <v>54</v>
      </c>
      <c r="L183" s="75" t="s">
        <v>54</v>
      </c>
      <c r="M183" s="76">
        <v>13486686558</v>
      </c>
      <c r="N183" s="77" t="s">
        <v>708</v>
      </c>
      <c r="O183" s="75" t="s">
        <v>172</v>
      </c>
    </row>
    <row r="184" spans="1:15" x14ac:dyDescent="0.15">
      <c r="A184" s="56" t="s">
        <v>709</v>
      </c>
      <c r="B184" s="56" t="s">
        <v>261</v>
      </c>
      <c r="C184" s="57" t="s">
        <v>144</v>
      </c>
      <c r="D184" s="57" t="s">
        <v>144</v>
      </c>
      <c r="E184" s="57"/>
      <c r="F184" s="57"/>
      <c r="G184" s="61"/>
      <c r="H184" s="58" t="s">
        <v>37</v>
      </c>
      <c r="I184" s="55" t="s">
        <v>37</v>
      </c>
      <c r="J184" s="55" t="s">
        <v>99</v>
      </c>
      <c r="K184" s="55" t="s">
        <v>54</v>
      </c>
      <c r="L184" s="55" t="s">
        <v>54</v>
      </c>
      <c r="M184" s="71">
        <v>18217411321</v>
      </c>
      <c r="N184" s="72" t="s">
        <v>710</v>
      </c>
      <c r="O184" s="55" t="s">
        <v>711</v>
      </c>
    </row>
    <row r="185" spans="1:15" s="44" customFormat="1" x14ac:dyDescent="0.15">
      <c r="A185" s="86" t="s">
        <v>712</v>
      </c>
      <c r="B185" s="86" t="s">
        <v>229</v>
      </c>
      <c r="C185" s="87" t="s">
        <v>1052</v>
      </c>
      <c r="D185" s="87" t="s">
        <v>1052</v>
      </c>
      <c r="E185" s="87" t="s">
        <v>1052</v>
      </c>
      <c r="F185" s="87"/>
      <c r="G185" s="87" t="s">
        <v>1052</v>
      </c>
      <c r="H185" s="88" t="s">
        <v>37</v>
      </c>
      <c r="I185" s="103" t="s">
        <v>37</v>
      </c>
      <c r="J185" s="103" t="s">
        <v>41</v>
      </c>
      <c r="K185" s="103" t="s">
        <v>56</v>
      </c>
      <c r="L185" s="103" t="s">
        <v>56</v>
      </c>
      <c r="M185" s="104">
        <v>13681925576</v>
      </c>
      <c r="N185" s="105" t="s">
        <v>713</v>
      </c>
      <c r="O185" s="103" t="s">
        <v>172</v>
      </c>
    </row>
    <row r="186" spans="1:15" s="45" customFormat="1" x14ac:dyDescent="0.15">
      <c r="A186" s="89" t="s">
        <v>714</v>
      </c>
      <c r="B186" s="89" t="s">
        <v>261</v>
      </c>
      <c r="C186" s="90" t="s">
        <v>172</v>
      </c>
      <c r="D186" s="90" t="s">
        <v>172</v>
      </c>
      <c r="E186" s="90" t="s">
        <v>172</v>
      </c>
      <c r="F186" s="90"/>
      <c r="G186" s="90" t="s">
        <v>172</v>
      </c>
      <c r="H186" s="91" t="s">
        <v>19</v>
      </c>
      <c r="I186" s="106" t="s">
        <v>19</v>
      </c>
      <c r="J186" s="106" t="s">
        <v>95</v>
      </c>
      <c r="K186" s="106" t="s">
        <v>71</v>
      </c>
      <c r="L186" s="106" t="s">
        <v>71</v>
      </c>
      <c r="M186" s="107">
        <v>15900459203</v>
      </c>
      <c r="N186" s="108" t="s">
        <v>715</v>
      </c>
      <c r="O186" s="106" t="s">
        <v>172</v>
      </c>
    </row>
    <row r="187" spans="1:15" x14ac:dyDescent="0.15">
      <c r="A187" s="56" t="s">
        <v>716</v>
      </c>
      <c r="B187" s="56" t="s">
        <v>426</v>
      </c>
      <c r="C187" s="57" t="s">
        <v>168</v>
      </c>
      <c r="D187" s="57" t="s">
        <v>168</v>
      </c>
      <c r="E187" s="57" t="s">
        <v>168</v>
      </c>
      <c r="F187" s="57"/>
      <c r="G187" s="57" t="s">
        <v>166</v>
      </c>
      <c r="H187" s="58" t="s">
        <v>37</v>
      </c>
      <c r="I187" s="55" t="s">
        <v>37</v>
      </c>
      <c r="J187" s="55" t="s">
        <v>94</v>
      </c>
      <c r="K187" s="55" t="s">
        <v>56</v>
      </c>
      <c r="L187" s="55" t="s">
        <v>56</v>
      </c>
      <c r="M187" s="71">
        <v>15216777835</v>
      </c>
      <c r="N187" s="72" t="s">
        <v>717</v>
      </c>
      <c r="O187" s="55" t="s">
        <v>718</v>
      </c>
    </row>
    <row r="188" spans="1:15" x14ac:dyDescent="0.15">
      <c r="A188" s="56" t="s">
        <v>719</v>
      </c>
      <c r="B188" s="56" t="s">
        <v>307</v>
      </c>
      <c r="C188" s="57" t="s">
        <v>167</v>
      </c>
      <c r="D188" s="57" t="s">
        <v>167</v>
      </c>
      <c r="E188" s="57" t="s">
        <v>167</v>
      </c>
      <c r="F188" s="57"/>
      <c r="G188" s="57" t="s">
        <v>166</v>
      </c>
      <c r="H188" s="58" t="s">
        <v>37</v>
      </c>
      <c r="I188" s="55" t="s">
        <v>37</v>
      </c>
      <c r="J188" s="55" t="s">
        <v>41</v>
      </c>
      <c r="K188" s="55" t="s">
        <v>56</v>
      </c>
      <c r="L188" s="55" t="s">
        <v>56</v>
      </c>
      <c r="M188" s="71">
        <v>17602143014</v>
      </c>
      <c r="N188" s="72" t="s">
        <v>720</v>
      </c>
      <c r="O188" s="55" t="s">
        <v>718</v>
      </c>
    </row>
    <row r="189" spans="1:15" x14ac:dyDescent="0.15">
      <c r="A189" s="56" t="s">
        <v>721</v>
      </c>
      <c r="B189" s="56" t="s">
        <v>261</v>
      </c>
      <c r="C189" s="57" t="s">
        <v>144</v>
      </c>
      <c r="D189" s="57" t="s">
        <v>144</v>
      </c>
      <c r="E189" s="57" t="s">
        <v>144</v>
      </c>
      <c r="F189" s="57"/>
      <c r="G189" s="57" t="s">
        <v>138</v>
      </c>
      <c r="H189" s="58" t="s">
        <v>37</v>
      </c>
      <c r="I189" s="55" t="s">
        <v>37</v>
      </c>
      <c r="J189" s="55" t="s">
        <v>99</v>
      </c>
      <c r="K189" s="55" t="s">
        <v>54</v>
      </c>
      <c r="L189" s="55" t="s">
        <v>54</v>
      </c>
      <c r="M189" s="71">
        <v>15514267267</v>
      </c>
      <c r="N189" s="72" t="s">
        <v>722</v>
      </c>
      <c r="O189" s="55" t="s">
        <v>723</v>
      </c>
    </row>
    <row r="190" spans="1:15" x14ac:dyDescent="0.15">
      <c r="A190" s="56" t="s">
        <v>724</v>
      </c>
      <c r="B190" s="56" t="s">
        <v>229</v>
      </c>
      <c r="C190" s="61" t="s">
        <v>159</v>
      </c>
      <c r="D190" s="57" t="s">
        <v>161</v>
      </c>
      <c r="E190" s="57" t="s">
        <v>1132</v>
      </c>
      <c r="F190" s="57"/>
      <c r="G190" s="61" t="s">
        <v>136</v>
      </c>
      <c r="H190" s="58" t="s">
        <v>37</v>
      </c>
      <c r="I190" s="55" t="s">
        <v>37</v>
      </c>
      <c r="J190" s="55" t="s">
        <v>99</v>
      </c>
      <c r="K190" s="55" t="s">
        <v>54</v>
      </c>
      <c r="L190" s="55" t="s">
        <v>54</v>
      </c>
      <c r="M190" s="71">
        <v>13601749561</v>
      </c>
      <c r="N190" s="72" t="s">
        <v>725</v>
      </c>
      <c r="O190" s="55" t="s">
        <v>726</v>
      </c>
    </row>
    <row r="191" spans="1:15" x14ac:dyDescent="0.15">
      <c r="A191" s="56" t="s">
        <v>727</v>
      </c>
      <c r="B191" s="56" t="s">
        <v>335</v>
      </c>
      <c r="C191" s="57"/>
      <c r="D191" s="57" t="s">
        <v>1063</v>
      </c>
      <c r="E191" s="57" t="s">
        <v>1137</v>
      </c>
      <c r="F191" s="57"/>
      <c r="G191" s="57" t="s">
        <v>1062</v>
      </c>
      <c r="H191" s="58" t="s">
        <v>37</v>
      </c>
      <c r="I191" s="55" t="s">
        <v>37</v>
      </c>
      <c r="J191" s="55" t="s">
        <v>82</v>
      </c>
      <c r="K191" s="55" t="s">
        <v>56</v>
      </c>
      <c r="L191" s="55" t="s">
        <v>56</v>
      </c>
      <c r="M191" s="71">
        <v>18310816676</v>
      </c>
      <c r="N191" s="72" t="s">
        <v>728</v>
      </c>
      <c r="O191" s="55" t="s">
        <v>729</v>
      </c>
    </row>
    <row r="192" spans="1:15" x14ac:dyDescent="0.15">
      <c r="A192" s="56" t="s">
        <v>730</v>
      </c>
      <c r="B192" s="56" t="s">
        <v>232</v>
      </c>
      <c r="C192" s="57" t="s">
        <v>167</v>
      </c>
      <c r="D192" s="57" t="s">
        <v>167</v>
      </c>
      <c r="E192" s="57" t="s">
        <v>167</v>
      </c>
      <c r="F192" s="57"/>
      <c r="G192" s="57" t="s">
        <v>166</v>
      </c>
      <c r="H192" s="58" t="s">
        <v>37</v>
      </c>
      <c r="I192" s="55" t="s">
        <v>37</v>
      </c>
      <c r="J192" s="55" t="s">
        <v>41</v>
      </c>
      <c r="K192" s="55" t="s">
        <v>56</v>
      </c>
      <c r="L192" s="55" t="s">
        <v>56</v>
      </c>
      <c r="M192" s="71">
        <v>13120733801</v>
      </c>
      <c r="N192" s="72" t="s">
        <v>731</v>
      </c>
      <c r="O192" s="55" t="s">
        <v>718</v>
      </c>
    </row>
    <row r="193" spans="1:15" x14ac:dyDescent="0.15">
      <c r="A193" s="56" t="s">
        <v>732</v>
      </c>
      <c r="B193" s="56" t="s">
        <v>307</v>
      </c>
      <c r="C193" s="57" t="s">
        <v>166</v>
      </c>
      <c r="D193" s="57" t="s">
        <v>166</v>
      </c>
      <c r="E193" s="57" t="s">
        <v>166</v>
      </c>
      <c r="F193" s="57"/>
      <c r="G193" s="57" t="s">
        <v>166</v>
      </c>
      <c r="H193" s="58" t="s">
        <v>37</v>
      </c>
      <c r="I193" s="55" t="s">
        <v>37</v>
      </c>
      <c r="J193" s="55" t="s">
        <v>41</v>
      </c>
      <c r="K193" s="55" t="s">
        <v>56</v>
      </c>
      <c r="L193" s="55" t="s">
        <v>56</v>
      </c>
      <c r="M193" s="71">
        <v>15371161736</v>
      </c>
      <c r="N193" s="72" t="s">
        <v>733</v>
      </c>
      <c r="O193" s="55" t="s">
        <v>734</v>
      </c>
    </row>
    <row r="194" spans="1:15" x14ac:dyDescent="0.15">
      <c r="A194" s="56" t="s">
        <v>37</v>
      </c>
      <c r="B194" s="56" t="s">
        <v>335</v>
      </c>
      <c r="C194" s="57" t="s">
        <v>112</v>
      </c>
      <c r="D194" s="57" t="s">
        <v>112</v>
      </c>
      <c r="E194" s="57" t="s">
        <v>112</v>
      </c>
      <c r="F194" s="57"/>
      <c r="G194" s="57" t="s">
        <v>112</v>
      </c>
      <c r="H194" s="58" t="s">
        <v>37</v>
      </c>
      <c r="I194" s="55" t="s">
        <v>37</v>
      </c>
      <c r="J194" s="55" t="s">
        <v>112</v>
      </c>
      <c r="K194" s="55" t="s">
        <v>56</v>
      </c>
      <c r="L194" s="55" t="s">
        <v>56</v>
      </c>
      <c r="M194" s="71">
        <v>17321067591</v>
      </c>
      <c r="N194" s="72" t="s">
        <v>735</v>
      </c>
      <c r="O194" s="55" t="s">
        <v>718</v>
      </c>
    </row>
    <row r="195" spans="1:15" x14ac:dyDescent="0.15">
      <c r="A195" s="56" t="s">
        <v>736</v>
      </c>
      <c r="B195" s="56" t="s">
        <v>307</v>
      </c>
      <c r="C195" s="57" t="s">
        <v>144</v>
      </c>
      <c r="D195" s="57" t="s">
        <v>144</v>
      </c>
      <c r="E195" s="57" t="s">
        <v>144</v>
      </c>
      <c r="F195" s="57"/>
      <c r="G195" s="61" t="s">
        <v>138</v>
      </c>
      <c r="H195" s="58" t="s">
        <v>37</v>
      </c>
      <c r="I195" s="55" t="s">
        <v>37</v>
      </c>
      <c r="J195" s="55" t="s">
        <v>99</v>
      </c>
      <c r="K195" s="55" t="s">
        <v>54</v>
      </c>
      <c r="L195" s="55" t="s">
        <v>54</v>
      </c>
      <c r="M195" s="71">
        <v>18721498798</v>
      </c>
      <c r="N195" s="72" t="s">
        <v>737</v>
      </c>
      <c r="O195" s="55" t="s">
        <v>738</v>
      </c>
    </row>
    <row r="196" spans="1:15" x14ac:dyDescent="0.15">
      <c r="A196" s="56" t="s">
        <v>739</v>
      </c>
      <c r="B196" s="56" t="s">
        <v>335</v>
      </c>
      <c r="C196" s="62" t="s">
        <v>156</v>
      </c>
      <c r="D196" s="62" t="s">
        <v>1055</v>
      </c>
      <c r="E196" s="62" t="s">
        <v>1055</v>
      </c>
      <c r="F196" s="62"/>
      <c r="G196" s="57" t="s">
        <v>135</v>
      </c>
      <c r="H196" s="58" t="s">
        <v>30</v>
      </c>
      <c r="I196" s="55" t="s">
        <v>30</v>
      </c>
      <c r="J196" s="55" t="s">
        <v>82</v>
      </c>
      <c r="K196" s="55" t="s">
        <v>54</v>
      </c>
      <c r="L196" s="55" t="s">
        <v>54</v>
      </c>
      <c r="M196" s="71">
        <v>17521217982</v>
      </c>
      <c r="N196" s="72" t="s">
        <v>740</v>
      </c>
      <c r="O196" s="55" t="s">
        <v>1112</v>
      </c>
    </row>
    <row r="197" spans="1:15" x14ac:dyDescent="0.15">
      <c r="A197" s="59" t="s">
        <v>742</v>
      </c>
      <c r="B197" s="56" t="s">
        <v>239</v>
      </c>
      <c r="C197" s="61" t="s">
        <v>144</v>
      </c>
      <c r="D197" s="61" t="s">
        <v>1089</v>
      </c>
      <c r="E197" s="61" t="s">
        <v>1089</v>
      </c>
      <c r="F197" s="57" t="s">
        <v>1178</v>
      </c>
      <c r="G197" s="61" t="s">
        <v>138</v>
      </c>
      <c r="H197" s="58" t="s">
        <v>22</v>
      </c>
      <c r="I197" s="55" t="s">
        <v>22</v>
      </c>
      <c r="J197" s="55" t="s">
        <v>98</v>
      </c>
      <c r="K197" s="55" t="s">
        <v>75</v>
      </c>
      <c r="L197" s="55" t="s">
        <v>75</v>
      </c>
      <c r="M197" s="71">
        <v>17621254897</v>
      </c>
      <c r="N197" s="72" t="s">
        <v>743</v>
      </c>
      <c r="O197" s="55" t="s">
        <v>744</v>
      </c>
    </row>
    <row r="198" spans="1:15" x14ac:dyDescent="0.15">
      <c r="A198" s="56" t="s">
        <v>745</v>
      </c>
      <c r="B198" s="56" t="s">
        <v>390</v>
      </c>
      <c r="C198" s="57" t="s">
        <v>168</v>
      </c>
      <c r="D198" s="57" t="s">
        <v>168</v>
      </c>
      <c r="E198" s="57" t="s">
        <v>168</v>
      </c>
      <c r="F198" s="57"/>
      <c r="G198" s="57" t="s">
        <v>166</v>
      </c>
      <c r="H198" s="58" t="s">
        <v>37</v>
      </c>
      <c r="I198" s="55" t="s">
        <v>37</v>
      </c>
      <c r="J198" s="55" t="s">
        <v>41</v>
      </c>
      <c r="K198" s="55" t="s">
        <v>58</v>
      </c>
      <c r="L198" s="55" t="s">
        <v>58</v>
      </c>
      <c r="M198" s="71">
        <v>13227725828</v>
      </c>
      <c r="N198" s="73" t="s">
        <v>746</v>
      </c>
      <c r="O198" s="55" t="s">
        <v>718</v>
      </c>
    </row>
    <row r="199" spans="1:15" s="43" customFormat="1" x14ac:dyDescent="0.15">
      <c r="A199" s="64" t="s">
        <v>747</v>
      </c>
      <c r="B199" s="64" t="s">
        <v>261</v>
      </c>
      <c r="C199" s="66" t="s">
        <v>172</v>
      </c>
      <c r="D199" s="66" t="s">
        <v>172</v>
      </c>
      <c r="E199" s="66" t="s">
        <v>172</v>
      </c>
      <c r="F199" s="66"/>
      <c r="G199" s="66" t="s">
        <v>172</v>
      </c>
      <c r="H199" s="67" t="s">
        <v>13</v>
      </c>
      <c r="I199" s="75" t="s">
        <v>13</v>
      </c>
      <c r="J199" s="75" t="s">
        <v>91</v>
      </c>
      <c r="K199" s="75" t="s">
        <v>79</v>
      </c>
      <c r="L199" s="75" t="s">
        <v>79</v>
      </c>
      <c r="M199" s="76">
        <v>17621068196</v>
      </c>
      <c r="N199" s="121" t="s">
        <v>748</v>
      </c>
      <c r="O199" s="75" t="s">
        <v>172</v>
      </c>
    </row>
    <row r="200" spans="1:15" x14ac:dyDescent="0.15">
      <c r="A200" s="56" t="s">
        <v>749</v>
      </c>
      <c r="B200" s="56" t="s">
        <v>307</v>
      </c>
      <c r="C200" s="57" t="s">
        <v>168</v>
      </c>
      <c r="D200" s="57" t="s">
        <v>168</v>
      </c>
      <c r="E200" s="57" t="s">
        <v>168</v>
      </c>
      <c r="F200" s="57"/>
      <c r="G200" s="57" t="s">
        <v>166</v>
      </c>
      <c r="H200" s="58" t="s">
        <v>37</v>
      </c>
      <c r="I200" s="55" t="s">
        <v>37</v>
      </c>
      <c r="J200" s="55" t="s">
        <v>41</v>
      </c>
      <c r="K200" s="55" t="s">
        <v>56</v>
      </c>
      <c r="L200" s="55" t="s">
        <v>56</v>
      </c>
      <c r="M200" s="71">
        <v>13782928558</v>
      </c>
      <c r="N200" s="73" t="s">
        <v>750</v>
      </c>
      <c r="O200" s="55" t="s">
        <v>751</v>
      </c>
    </row>
    <row r="201" spans="1:15" x14ac:dyDescent="0.15">
      <c r="A201" s="56" t="s">
        <v>752</v>
      </c>
      <c r="B201" s="56" t="s">
        <v>390</v>
      </c>
      <c r="C201" s="57" t="s">
        <v>166</v>
      </c>
      <c r="D201" s="57" t="s">
        <v>166</v>
      </c>
      <c r="E201" s="57" t="s">
        <v>166</v>
      </c>
      <c r="F201" s="57"/>
      <c r="G201" s="57" t="s">
        <v>166</v>
      </c>
      <c r="H201" s="58" t="s">
        <v>37</v>
      </c>
      <c r="I201" s="55" t="s">
        <v>37</v>
      </c>
      <c r="J201" s="55" t="s">
        <v>41</v>
      </c>
      <c r="K201" s="55" t="s">
        <v>56</v>
      </c>
      <c r="L201" s="55" t="s">
        <v>56</v>
      </c>
      <c r="M201" s="71">
        <v>18252010317</v>
      </c>
      <c r="N201" s="98" t="s">
        <v>753</v>
      </c>
      <c r="O201" s="79" t="s">
        <v>754</v>
      </c>
    </row>
    <row r="202" spans="1:15" x14ac:dyDescent="0.15">
      <c r="A202" s="56" t="s">
        <v>755</v>
      </c>
      <c r="B202" s="56" t="s">
        <v>225</v>
      </c>
      <c r="C202" s="57" t="s">
        <v>165</v>
      </c>
      <c r="D202" s="57" t="s">
        <v>165</v>
      </c>
      <c r="E202" s="57" t="s">
        <v>165</v>
      </c>
      <c r="F202" s="57"/>
      <c r="G202" s="57" t="s">
        <v>164</v>
      </c>
      <c r="H202" s="58" t="s">
        <v>37</v>
      </c>
      <c r="I202" s="58" t="s">
        <v>756</v>
      </c>
      <c r="J202" s="58" t="s">
        <v>41</v>
      </c>
      <c r="K202" s="55" t="s">
        <v>54</v>
      </c>
      <c r="L202" s="55" t="s">
        <v>54</v>
      </c>
      <c r="M202" s="71">
        <v>18995942664</v>
      </c>
      <c r="N202" s="98" t="s">
        <v>757</v>
      </c>
      <c r="O202" s="79" t="s">
        <v>758</v>
      </c>
    </row>
    <row r="203" spans="1:15" x14ac:dyDescent="0.15">
      <c r="A203" s="56" t="s">
        <v>759</v>
      </c>
      <c r="B203" s="56" t="s">
        <v>225</v>
      </c>
      <c r="C203" s="57" t="s">
        <v>165</v>
      </c>
      <c r="D203" s="57" t="s">
        <v>165</v>
      </c>
      <c r="E203" s="57" t="s">
        <v>165</v>
      </c>
      <c r="F203" s="57"/>
      <c r="G203" s="57" t="s">
        <v>164</v>
      </c>
      <c r="H203" s="58" t="s">
        <v>37</v>
      </c>
      <c r="I203" s="58" t="s">
        <v>756</v>
      </c>
      <c r="J203" s="58" t="s">
        <v>94</v>
      </c>
      <c r="K203" s="55" t="s">
        <v>54</v>
      </c>
      <c r="L203" s="55" t="s">
        <v>54</v>
      </c>
      <c r="M203" s="71">
        <v>18551752649</v>
      </c>
      <c r="N203" s="98" t="s">
        <v>760</v>
      </c>
      <c r="O203" s="79" t="s">
        <v>761</v>
      </c>
    </row>
    <row r="204" spans="1:15" x14ac:dyDescent="0.15">
      <c r="A204" s="109" t="s">
        <v>762</v>
      </c>
      <c r="B204" s="109" t="s">
        <v>225</v>
      </c>
      <c r="C204" s="110" t="s">
        <v>69</v>
      </c>
      <c r="D204" s="110" t="s">
        <v>69</v>
      </c>
      <c r="E204" s="110" t="s">
        <v>69</v>
      </c>
      <c r="F204" s="110"/>
      <c r="G204" s="57" t="s">
        <v>69</v>
      </c>
      <c r="H204" s="58" t="s">
        <v>84</v>
      </c>
      <c r="I204" s="58" t="s">
        <v>84</v>
      </c>
      <c r="J204" s="122" t="s">
        <v>105</v>
      </c>
      <c r="K204" s="122" t="s">
        <v>69</v>
      </c>
      <c r="L204" s="122" t="s">
        <v>69</v>
      </c>
      <c r="M204" s="123">
        <v>13918098688</v>
      </c>
      <c r="N204" s="124" t="s">
        <v>763</v>
      </c>
      <c r="O204" s="79" t="s">
        <v>764</v>
      </c>
    </row>
    <row r="205" spans="1:15" x14ac:dyDescent="0.15">
      <c r="A205" s="56" t="s">
        <v>765</v>
      </c>
      <c r="B205" s="85" t="s">
        <v>239</v>
      </c>
      <c r="C205" s="57" t="s">
        <v>153</v>
      </c>
      <c r="D205" s="57" t="s">
        <v>1056</v>
      </c>
      <c r="E205" s="57" t="s">
        <v>1052</v>
      </c>
      <c r="F205" s="57"/>
      <c r="G205" s="57" t="s">
        <v>1052</v>
      </c>
      <c r="H205" s="58" t="s">
        <v>22</v>
      </c>
      <c r="I205" s="79" t="s">
        <v>22</v>
      </c>
      <c r="J205" s="79" t="s">
        <v>96</v>
      </c>
      <c r="K205" s="79" t="s">
        <v>76</v>
      </c>
      <c r="L205" s="79" t="s">
        <v>76</v>
      </c>
      <c r="M205" s="96">
        <v>18710001357</v>
      </c>
      <c r="N205" s="98" t="s">
        <v>766</v>
      </c>
      <c r="O205" s="79" t="s">
        <v>523</v>
      </c>
    </row>
    <row r="206" spans="1:15" x14ac:dyDescent="0.15">
      <c r="A206" s="56" t="s">
        <v>768</v>
      </c>
      <c r="B206" s="56" t="s">
        <v>390</v>
      </c>
      <c r="C206" s="61" t="s">
        <v>151</v>
      </c>
      <c r="D206" s="61" t="s">
        <v>151</v>
      </c>
      <c r="E206" s="61" t="s">
        <v>151</v>
      </c>
      <c r="F206" s="61"/>
      <c r="G206" s="57" t="s">
        <v>135</v>
      </c>
      <c r="H206" s="58" t="s">
        <v>81</v>
      </c>
      <c r="I206" s="58" t="s">
        <v>81</v>
      </c>
      <c r="J206" s="58" t="s">
        <v>109</v>
      </c>
      <c r="K206" s="79" t="s">
        <v>54</v>
      </c>
      <c r="L206" s="79" t="s">
        <v>54</v>
      </c>
      <c r="M206" s="96">
        <v>13062719880</v>
      </c>
      <c r="N206" s="98" t="s">
        <v>769</v>
      </c>
      <c r="O206" s="79" t="s">
        <v>770</v>
      </c>
    </row>
    <row r="207" spans="1:15" x14ac:dyDescent="0.15">
      <c r="A207" s="56" t="s">
        <v>771</v>
      </c>
      <c r="B207" s="56" t="s">
        <v>319</v>
      </c>
      <c r="C207" s="57" t="s">
        <v>144</v>
      </c>
      <c r="D207" s="57" t="s">
        <v>144</v>
      </c>
      <c r="E207" s="57" t="s">
        <v>1150</v>
      </c>
      <c r="F207" s="57" t="s">
        <v>1178</v>
      </c>
      <c r="G207" s="61" t="s">
        <v>138</v>
      </c>
      <c r="H207" s="58" t="s">
        <v>22</v>
      </c>
      <c r="I207" s="79" t="s">
        <v>22</v>
      </c>
      <c r="J207" s="79" t="s">
        <v>98</v>
      </c>
      <c r="K207" s="79" t="s">
        <v>75</v>
      </c>
      <c r="L207" s="79" t="s">
        <v>75</v>
      </c>
      <c r="M207" s="96">
        <v>17621490514</v>
      </c>
      <c r="N207" s="98" t="s">
        <v>772</v>
      </c>
      <c r="O207" s="79" t="s">
        <v>428</v>
      </c>
    </row>
    <row r="208" spans="1:15" x14ac:dyDescent="0.15">
      <c r="A208" s="56" t="s">
        <v>774</v>
      </c>
      <c r="B208" s="56" t="s">
        <v>319</v>
      </c>
      <c r="C208" s="57" t="s">
        <v>160</v>
      </c>
      <c r="D208" s="60" t="s">
        <v>1054</v>
      </c>
      <c r="E208" s="60" t="s">
        <v>1130</v>
      </c>
      <c r="F208" s="57" t="s">
        <v>1181</v>
      </c>
      <c r="G208" s="57" t="s">
        <v>136</v>
      </c>
      <c r="H208" s="58" t="s">
        <v>19</v>
      </c>
      <c r="I208" s="79" t="s">
        <v>19</v>
      </c>
      <c r="J208" s="79" t="s">
        <v>93</v>
      </c>
      <c r="K208" s="79" t="s">
        <v>72</v>
      </c>
      <c r="L208" s="79" t="s">
        <v>72</v>
      </c>
      <c r="M208" s="96">
        <v>15800584617</v>
      </c>
      <c r="N208" s="98" t="s">
        <v>775</v>
      </c>
      <c r="O208" s="79" t="s">
        <v>776</v>
      </c>
    </row>
    <row r="209" spans="1:15" x14ac:dyDescent="0.15">
      <c r="A209" s="56" t="s">
        <v>777</v>
      </c>
      <c r="B209" s="56" t="s">
        <v>291</v>
      </c>
      <c r="C209" s="61"/>
      <c r="D209" s="61"/>
      <c r="E209" s="61"/>
      <c r="F209" s="61"/>
      <c r="G209" s="57"/>
      <c r="H209" s="55" t="s">
        <v>30</v>
      </c>
      <c r="I209" s="79" t="s">
        <v>30</v>
      </c>
      <c r="J209" s="79" t="s">
        <v>107</v>
      </c>
      <c r="K209" s="79" t="s">
        <v>69</v>
      </c>
      <c r="L209" s="79" t="s">
        <v>69</v>
      </c>
      <c r="M209" s="96">
        <v>13681607786</v>
      </c>
      <c r="N209" s="98" t="s">
        <v>778</v>
      </c>
      <c r="O209" s="79" t="s">
        <v>779</v>
      </c>
    </row>
    <row r="210" spans="1:15" x14ac:dyDescent="0.15">
      <c r="A210" s="56" t="s">
        <v>780</v>
      </c>
      <c r="B210" s="56" t="s">
        <v>291</v>
      </c>
      <c r="C210" s="57" t="s">
        <v>159</v>
      </c>
      <c r="D210" s="57" t="s">
        <v>1059</v>
      </c>
      <c r="E210" s="57" t="s">
        <v>1132</v>
      </c>
      <c r="F210" s="57"/>
      <c r="G210" s="57" t="s">
        <v>136</v>
      </c>
      <c r="H210" s="58" t="s">
        <v>83</v>
      </c>
      <c r="I210" s="58" t="s">
        <v>83</v>
      </c>
      <c r="J210" s="58" t="s">
        <v>103</v>
      </c>
      <c r="K210" s="79" t="s">
        <v>54</v>
      </c>
      <c r="L210" s="79" t="s">
        <v>54</v>
      </c>
      <c r="M210" s="96">
        <v>17342066102</v>
      </c>
      <c r="N210" s="98" t="s">
        <v>781</v>
      </c>
      <c r="O210" s="79" t="s">
        <v>782</v>
      </c>
    </row>
    <row r="211" spans="1:15" x14ac:dyDescent="0.15">
      <c r="A211" s="56" t="s">
        <v>783</v>
      </c>
      <c r="B211" s="56" t="s">
        <v>319</v>
      </c>
      <c r="C211" s="61" t="s">
        <v>1038</v>
      </c>
      <c r="D211" s="61" t="s">
        <v>1038</v>
      </c>
      <c r="E211" s="61" t="s">
        <v>1038</v>
      </c>
      <c r="F211" s="57"/>
      <c r="G211" s="57" t="s">
        <v>136</v>
      </c>
      <c r="H211" s="55" t="s">
        <v>22</v>
      </c>
      <c r="I211" s="79" t="s">
        <v>22</v>
      </c>
      <c r="J211" s="79" t="s">
        <v>96</v>
      </c>
      <c r="K211" s="79" t="s">
        <v>76</v>
      </c>
      <c r="L211" s="79" t="s">
        <v>76</v>
      </c>
      <c r="M211" s="96">
        <v>17602107052</v>
      </c>
      <c r="N211" s="98" t="s">
        <v>784</v>
      </c>
      <c r="O211" s="79" t="s">
        <v>672</v>
      </c>
    </row>
    <row r="212" spans="1:15" x14ac:dyDescent="0.15">
      <c r="A212" s="56" t="s">
        <v>786</v>
      </c>
      <c r="B212" s="56" t="s">
        <v>319</v>
      </c>
      <c r="C212" s="81" t="s">
        <v>159</v>
      </c>
      <c r="D212" s="57" t="s">
        <v>1059</v>
      </c>
      <c r="E212" s="57" t="s">
        <v>1132</v>
      </c>
      <c r="F212" s="57" t="s">
        <v>1181</v>
      </c>
      <c r="G212" s="81" t="s">
        <v>136</v>
      </c>
      <c r="H212" s="55" t="s">
        <v>13</v>
      </c>
      <c r="I212" s="55" t="s">
        <v>13</v>
      </c>
      <c r="J212" s="55" t="s">
        <v>91</v>
      </c>
      <c r="K212" s="79" t="s">
        <v>79</v>
      </c>
      <c r="L212" s="79" t="s">
        <v>79</v>
      </c>
      <c r="M212" s="96">
        <v>18202122652</v>
      </c>
      <c r="N212" s="98" t="s">
        <v>787</v>
      </c>
      <c r="O212" s="79" t="s">
        <v>788</v>
      </c>
    </row>
    <row r="213" spans="1:15" x14ac:dyDescent="0.15">
      <c r="A213" s="56" t="s">
        <v>789</v>
      </c>
      <c r="B213" s="56" t="s">
        <v>221</v>
      </c>
      <c r="C213" s="60" t="s">
        <v>1039</v>
      </c>
      <c r="D213" s="60" t="s">
        <v>1039</v>
      </c>
      <c r="E213" s="60" t="s">
        <v>1039</v>
      </c>
      <c r="F213" s="68" t="s">
        <v>1178</v>
      </c>
      <c r="G213" s="61" t="s">
        <v>136</v>
      </c>
      <c r="H213" s="55" t="s">
        <v>13</v>
      </c>
      <c r="I213" s="55" t="s">
        <v>13</v>
      </c>
      <c r="J213" s="55" t="s">
        <v>91</v>
      </c>
      <c r="K213" s="79" t="s">
        <v>79</v>
      </c>
      <c r="L213" s="79" t="s">
        <v>79</v>
      </c>
      <c r="M213" s="96">
        <v>18601614677</v>
      </c>
      <c r="N213" s="98" t="s">
        <v>790</v>
      </c>
      <c r="O213" s="79" t="s">
        <v>791</v>
      </c>
    </row>
    <row r="214" spans="1:15" x14ac:dyDescent="0.15">
      <c r="A214" s="56" t="s">
        <v>792</v>
      </c>
      <c r="B214" s="56" t="s">
        <v>307</v>
      </c>
      <c r="C214" s="57" t="s">
        <v>152</v>
      </c>
      <c r="D214" s="57" t="s">
        <v>152</v>
      </c>
      <c r="E214" s="57" t="s">
        <v>152</v>
      </c>
      <c r="F214" s="57"/>
      <c r="G214" s="57" t="s">
        <v>135</v>
      </c>
      <c r="H214" s="55" t="s">
        <v>19</v>
      </c>
      <c r="I214" s="55" t="s">
        <v>19</v>
      </c>
      <c r="J214" s="55" t="s">
        <v>95</v>
      </c>
      <c r="K214" s="79" t="s">
        <v>71</v>
      </c>
      <c r="L214" s="79" t="s">
        <v>71</v>
      </c>
      <c r="M214" s="96">
        <v>15800376863</v>
      </c>
      <c r="N214" s="98" t="s">
        <v>793</v>
      </c>
      <c r="O214" s="79" t="s">
        <v>794</v>
      </c>
    </row>
    <row r="215" spans="1:15" x14ac:dyDescent="0.15">
      <c r="A215" s="59" t="s">
        <v>795</v>
      </c>
      <c r="B215" s="56" t="s">
        <v>390</v>
      </c>
      <c r="C215" s="57" t="s">
        <v>165</v>
      </c>
      <c r="D215" s="57" t="s">
        <v>165</v>
      </c>
      <c r="E215" s="57" t="s">
        <v>165</v>
      </c>
      <c r="F215" s="57"/>
      <c r="G215" s="61" t="s">
        <v>164</v>
      </c>
      <c r="H215" s="58" t="s">
        <v>81</v>
      </c>
      <c r="I215" s="58" t="s">
        <v>81</v>
      </c>
      <c r="J215" s="58" t="s">
        <v>109</v>
      </c>
      <c r="K215" s="57"/>
      <c r="L215" s="57"/>
      <c r="M215" s="92">
        <v>15256530786</v>
      </c>
      <c r="N215" s="93" t="s">
        <v>796</v>
      </c>
      <c r="O215" s="57" t="s">
        <v>293</v>
      </c>
    </row>
    <row r="216" spans="1:15" x14ac:dyDescent="0.15">
      <c r="A216" s="59" t="s">
        <v>797</v>
      </c>
      <c r="B216" s="56" t="s">
        <v>225</v>
      </c>
      <c r="C216" s="57" t="s">
        <v>157</v>
      </c>
      <c r="D216" s="57" t="s">
        <v>1056</v>
      </c>
      <c r="E216" s="57" t="s">
        <v>1056</v>
      </c>
      <c r="F216" s="57"/>
      <c r="G216" s="61" t="s">
        <v>135</v>
      </c>
      <c r="H216" s="58" t="s">
        <v>84</v>
      </c>
      <c r="I216" s="58" t="s">
        <v>84</v>
      </c>
      <c r="J216" s="122" t="s">
        <v>105</v>
      </c>
      <c r="K216" s="57" t="s">
        <v>69</v>
      </c>
      <c r="L216" s="57" t="s">
        <v>69</v>
      </c>
      <c r="M216" s="92">
        <v>15716650371</v>
      </c>
      <c r="N216" s="125" t="s">
        <v>798</v>
      </c>
      <c r="O216" s="57" t="s">
        <v>227</v>
      </c>
    </row>
    <row r="217" spans="1:15" s="46" customFormat="1" x14ac:dyDescent="0.15">
      <c r="A217" s="71" t="s">
        <v>800</v>
      </c>
      <c r="B217" s="111" t="s">
        <v>257</v>
      </c>
      <c r="C217" s="57" t="s">
        <v>153</v>
      </c>
      <c r="D217" s="57" t="s">
        <v>1056</v>
      </c>
      <c r="E217" s="57" t="s">
        <v>1056</v>
      </c>
      <c r="F217" s="57"/>
      <c r="G217" s="112" t="s">
        <v>135</v>
      </c>
      <c r="H217" s="58" t="s">
        <v>84</v>
      </c>
      <c r="I217" s="58" t="s">
        <v>84</v>
      </c>
      <c r="J217" s="111" t="s">
        <v>105</v>
      </c>
      <c r="K217" s="111" t="s">
        <v>69</v>
      </c>
      <c r="L217" s="111" t="s">
        <v>69</v>
      </c>
      <c r="M217" s="96">
        <v>18621814392</v>
      </c>
      <c r="N217" s="126" t="s">
        <v>801</v>
      </c>
      <c r="O217" s="111" t="s">
        <v>414</v>
      </c>
    </row>
    <row r="218" spans="1:15" s="46" customFormat="1" x14ac:dyDescent="0.15">
      <c r="A218" s="71" t="s">
        <v>803</v>
      </c>
      <c r="B218" s="111" t="s">
        <v>225</v>
      </c>
      <c r="C218" s="57" t="s">
        <v>150</v>
      </c>
      <c r="D218" s="57" t="s">
        <v>150</v>
      </c>
      <c r="E218" s="57" t="s">
        <v>150</v>
      </c>
      <c r="F218" s="57"/>
      <c r="G218" s="112" t="s">
        <v>135</v>
      </c>
      <c r="H218" s="111" t="s">
        <v>14</v>
      </c>
      <c r="I218" s="111" t="s">
        <v>14</v>
      </c>
      <c r="J218" s="111" t="s">
        <v>102</v>
      </c>
      <c r="K218" s="111" t="s">
        <v>61</v>
      </c>
      <c r="L218" s="111" t="s">
        <v>61</v>
      </c>
      <c r="M218" s="96">
        <v>18621643880</v>
      </c>
      <c r="N218" s="127" t="s">
        <v>804</v>
      </c>
      <c r="O218" s="128" t="s">
        <v>805</v>
      </c>
    </row>
    <row r="219" spans="1:15" s="46" customFormat="1" x14ac:dyDescent="0.15">
      <c r="A219" s="111" t="s">
        <v>806</v>
      </c>
      <c r="B219" s="71" t="s">
        <v>225</v>
      </c>
      <c r="C219" s="57" t="s">
        <v>157</v>
      </c>
      <c r="D219" s="57" t="s">
        <v>1056</v>
      </c>
      <c r="E219" s="57" t="s">
        <v>1056</v>
      </c>
      <c r="F219" s="57"/>
      <c r="G219" s="112" t="s">
        <v>135</v>
      </c>
      <c r="H219" s="111" t="s">
        <v>14</v>
      </c>
      <c r="I219" s="111" t="s">
        <v>14</v>
      </c>
      <c r="J219" s="111" t="s">
        <v>106</v>
      </c>
      <c r="K219" s="111" t="s">
        <v>63</v>
      </c>
      <c r="L219" s="111" t="s">
        <v>63</v>
      </c>
      <c r="M219" s="96">
        <v>15000653360</v>
      </c>
      <c r="N219" s="127" t="s">
        <v>807</v>
      </c>
      <c r="O219" s="128" t="s">
        <v>785</v>
      </c>
    </row>
    <row r="220" spans="1:15" s="46" customFormat="1" x14ac:dyDescent="0.15">
      <c r="A220" s="111" t="s">
        <v>808</v>
      </c>
      <c r="B220" s="71" t="s">
        <v>390</v>
      </c>
      <c r="C220" s="57"/>
      <c r="D220" s="57"/>
      <c r="E220" s="57"/>
      <c r="F220" s="57"/>
      <c r="G220" s="112" t="s">
        <v>136</v>
      </c>
      <c r="H220" s="111" t="s">
        <v>37</v>
      </c>
      <c r="I220" s="111" t="s">
        <v>37</v>
      </c>
      <c r="J220" s="111" t="s">
        <v>97</v>
      </c>
      <c r="K220" s="111" t="s">
        <v>54</v>
      </c>
      <c r="L220" s="111" t="s">
        <v>54</v>
      </c>
      <c r="M220" s="96">
        <v>18818227652</v>
      </c>
      <c r="N220" s="127" t="s">
        <v>809</v>
      </c>
      <c r="O220" s="128" t="s">
        <v>810</v>
      </c>
    </row>
    <row r="221" spans="1:15" s="46" customFormat="1" x14ac:dyDescent="0.15">
      <c r="A221" s="111" t="s">
        <v>811</v>
      </c>
      <c r="B221" s="71" t="s">
        <v>225</v>
      </c>
      <c r="C221" s="61" t="s">
        <v>1040</v>
      </c>
      <c r="D221" s="61" t="s">
        <v>1084</v>
      </c>
      <c r="E221" s="61" t="s">
        <v>1056</v>
      </c>
      <c r="F221" s="113"/>
      <c r="G221" s="112" t="s">
        <v>1083</v>
      </c>
      <c r="H221" s="111" t="s">
        <v>22</v>
      </c>
      <c r="I221" s="111" t="s">
        <v>22</v>
      </c>
      <c r="J221" s="90" t="s">
        <v>96</v>
      </c>
      <c r="K221" s="90" t="s">
        <v>76</v>
      </c>
      <c r="L221" s="90" t="s">
        <v>76</v>
      </c>
      <c r="M221" s="96">
        <v>15026682335</v>
      </c>
      <c r="N221" s="127" t="s">
        <v>812</v>
      </c>
      <c r="O221" s="128" t="s">
        <v>1113</v>
      </c>
    </row>
    <row r="222" spans="1:15" s="46" customFormat="1" x14ac:dyDescent="0.15">
      <c r="A222" s="111" t="s">
        <v>814</v>
      </c>
      <c r="B222" s="71" t="s">
        <v>261</v>
      </c>
      <c r="C222" s="57" t="s">
        <v>126</v>
      </c>
      <c r="D222" s="57" t="s">
        <v>126</v>
      </c>
      <c r="E222" s="57"/>
      <c r="F222" s="57"/>
      <c r="G222" s="112"/>
      <c r="H222" s="111" t="s">
        <v>37</v>
      </c>
      <c r="I222" s="111" t="s">
        <v>37</v>
      </c>
      <c r="J222" s="111" t="s">
        <v>97</v>
      </c>
      <c r="K222" s="111" t="s">
        <v>54</v>
      </c>
      <c r="L222" s="111" t="s">
        <v>54</v>
      </c>
      <c r="M222" s="96">
        <v>18683691203</v>
      </c>
      <c r="N222" s="127" t="s">
        <v>815</v>
      </c>
      <c r="O222" s="128" t="s">
        <v>816</v>
      </c>
    </row>
    <row r="223" spans="1:15" x14ac:dyDescent="0.15">
      <c r="A223" s="114" t="s">
        <v>817</v>
      </c>
      <c r="B223" s="115" t="s">
        <v>225</v>
      </c>
      <c r="C223" s="115" t="s">
        <v>155</v>
      </c>
      <c r="D223" s="115" t="s">
        <v>155</v>
      </c>
      <c r="E223" s="115"/>
      <c r="F223" s="115"/>
      <c r="G223" s="116"/>
      <c r="H223" s="115" t="s">
        <v>81</v>
      </c>
      <c r="I223" s="115" t="s">
        <v>81</v>
      </c>
      <c r="J223" s="129" t="s">
        <v>1147</v>
      </c>
      <c r="K223" s="129" t="s">
        <v>54</v>
      </c>
      <c r="L223" s="129" t="s">
        <v>54</v>
      </c>
      <c r="M223" s="115">
        <v>13661789604</v>
      </c>
      <c r="N223" s="130" t="s">
        <v>818</v>
      </c>
      <c r="O223" s="131" t="s">
        <v>819</v>
      </c>
    </row>
    <row r="224" spans="1:15" x14ac:dyDescent="0.15">
      <c r="A224" s="114" t="s">
        <v>820</v>
      </c>
      <c r="B224" s="115" t="s">
        <v>319</v>
      </c>
      <c r="C224" s="115" t="s">
        <v>159</v>
      </c>
      <c r="D224" s="115" t="s">
        <v>159</v>
      </c>
      <c r="E224" s="115" t="s">
        <v>1091</v>
      </c>
      <c r="F224" s="115"/>
      <c r="G224" s="116" t="s">
        <v>1086</v>
      </c>
      <c r="H224" s="115" t="s">
        <v>14</v>
      </c>
      <c r="I224" s="115" t="s">
        <v>14</v>
      </c>
      <c r="J224" s="129" t="s">
        <v>102</v>
      </c>
      <c r="K224" s="129" t="s">
        <v>61</v>
      </c>
      <c r="L224" s="129" t="s">
        <v>61</v>
      </c>
      <c r="M224" s="115">
        <v>18726863303</v>
      </c>
      <c r="N224" s="130" t="s">
        <v>821</v>
      </c>
      <c r="O224" s="131" t="s">
        <v>1114</v>
      </c>
    </row>
    <row r="225" spans="1:15" x14ac:dyDescent="0.15">
      <c r="A225" s="114" t="s">
        <v>823</v>
      </c>
      <c r="B225" s="115" t="s">
        <v>225</v>
      </c>
      <c r="C225" s="115" t="s">
        <v>69</v>
      </c>
      <c r="D225" s="115" t="s">
        <v>69</v>
      </c>
      <c r="E225" s="115" t="s">
        <v>69</v>
      </c>
      <c r="F225" s="115"/>
      <c r="G225" s="116" t="s">
        <v>69</v>
      </c>
      <c r="H225" s="115" t="s">
        <v>84</v>
      </c>
      <c r="I225" s="115" t="s">
        <v>84</v>
      </c>
      <c r="J225" s="129" t="s">
        <v>100</v>
      </c>
      <c r="K225" s="129" t="s">
        <v>63</v>
      </c>
      <c r="L225" s="129" t="s">
        <v>63</v>
      </c>
      <c r="M225" s="115">
        <v>15861811561</v>
      </c>
      <c r="N225" s="130" t="s">
        <v>824</v>
      </c>
      <c r="O225" s="131" t="s">
        <v>825</v>
      </c>
    </row>
    <row r="226" spans="1:15" x14ac:dyDescent="0.15">
      <c r="A226" s="114" t="s">
        <v>826</v>
      </c>
      <c r="B226" s="115" t="s">
        <v>221</v>
      </c>
      <c r="C226" s="115" t="s">
        <v>163</v>
      </c>
      <c r="D226" s="115" t="s">
        <v>163</v>
      </c>
      <c r="E226" s="115" t="s">
        <v>163</v>
      </c>
      <c r="F226" s="115"/>
      <c r="G226" s="116" t="s">
        <v>162</v>
      </c>
      <c r="H226" s="115" t="s">
        <v>14</v>
      </c>
      <c r="I226" s="115" t="s">
        <v>14</v>
      </c>
      <c r="J226" s="129" t="s">
        <v>92</v>
      </c>
      <c r="K226" s="129" t="s">
        <v>61</v>
      </c>
      <c r="L226" s="129" t="s">
        <v>61</v>
      </c>
      <c r="M226" s="115">
        <v>17695676889</v>
      </c>
      <c r="N226" s="130" t="s">
        <v>827</v>
      </c>
      <c r="O226" s="131" t="s">
        <v>828</v>
      </c>
    </row>
    <row r="227" spans="1:15" x14ac:dyDescent="0.15">
      <c r="A227" s="114" t="s">
        <v>829</v>
      </c>
      <c r="B227" s="115" t="s">
        <v>261</v>
      </c>
      <c r="C227" s="115" t="s">
        <v>144</v>
      </c>
      <c r="D227" s="115" t="s">
        <v>144</v>
      </c>
      <c r="E227" s="115"/>
      <c r="F227" s="115"/>
      <c r="G227" s="116"/>
      <c r="H227" s="115" t="s">
        <v>37</v>
      </c>
      <c r="I227" s="115" t="s">
        <v>37</v>
      </c>
      <c r="J227" s="129" t="s">
        <v>1139</v>
      </c>
      <c r="K227" s="129" t="s">
        <v>54</v>
      </c>
      <c r="L227" s="129" t="s">
        <v>54</v>
      </c>
      <c r="M227" s="115">
        <v>17649975129</v>
      </c>
      <c r="N227" s="132"/>
      <c r="O227" s="133" t="s">
        <v>830</v>
      </c>
    </row>
    <row r="228" spans="1:15" x14ac:dyDescent="0.15">
      <c r="A228" s="114" t="s">
        <v>831</v>
      </c>
      <c r="B228" s="115" t="s">
        <v>225</v>
      </c>
      <c r="C228" s="115" t="s">
        <v>150</v>
      </c>
      <c r="D228" s="115" t="s">
        <v>150</v>
      </c>
      <c r="E228" s="115" t="s">
        <v>150</v>
      </c>
      <c r="F228" s="115"/>
      <c r="G228" s="116" t="s">
        <v>135</v>
      </c>
      <c r="H228" s="115" t="s">
        <v>13</v>
      </c>
      <c r="I228" s="115" t="s">
        <v>13</v>
      </c>
      <c r="J228" s="129" t="s">
        <v>1133</v>
      </c>
      <c r="K228" s="129" t="s">
        <v>80</v>
      </c>
      <c r="L228" s="129" t="s">
        <v>80</v>
      </c>
      <c r="M228" s="115">
        <v>18121110028</v>
      </c>
      <c r="N228" s="132" t="s">
        <v>832</v>
      </c>
      <c r="O228" s="133" t="s">
        <v>833</v>
      </c>
    </row>
    <row r="229" spans="1:15" x14ac:dyDescent="0.15">
      <c r="A229" s="114" t="s">
        <v>834</v>
      </c>
      <c r="B229" s="115" t="s">
        <v>319</v>
      </c>
      <c r="C229" s="115" t="s">
        <v>152</v>
      </c>
      <c r="D229" s="115" t="s">
        <v>152</v>
      </c>
      <c r="E229" s="115" t="s">
        <v>152</v>
      </c>
      <c r="F229" s="115"/>
      <c r="G229" s="116" t="s">
        <v>135</v>
      </c>
      <c r="H229" s="115" t="s">
        <v>22</v>
      </c>
      <c r="I229" s="115" t="s">
        <v>22</v>
      </c>
      <c r="J229" s="129" t="s">
        <v>1145</v>
      </c>
      <c r="K229" s="129" t="s">
        <v>76</v>
      </c>
      <c r="L229" s="129" t="s">
        <v>76</v>
      </c>
      <c r="M229" s="134">
        <v>13626938667</v>
      </c>
      <c r="N229" s="135" t="s">
        <v>835</v>
      </c>
      <c r="O229" s="136" t="s">
        <v>836</v>
      </c>
    </row>
    <row r="230" spans="1:15" x14ac:dyDescent="0.15">
      <c r="A230" s="114" t="s">
        <v>837</v>
      </c>
      <c r="B230" s="115" t="s">
        <v>319</v>
      </c>
      <c r="C230" s="115"/>
      <c r="D230" s="115"/>
      <c r="E230" s="115"/>
      <c r="F230" s="115" t="s">
        <v>1178</v>
      </c>
      <c r="G230" s="116" t="s">
        <v>136</v>
      </c>
      <c r="H230" s="115" t="s">
        <v>19</v>
      </c>
      <c r="I230" s="115" t="s">
        <v>19</v>
      </c>
      <c r="J230" s="129" t="s">
        <v>1142</v>
      </c>
      <c r="K230" s="129" t="s">
        <v>1143</v>
      </c>
      <c r="L230" s="129" t="s">
        <v>1143</v>
      </c>
      <c r="M230" s="134">
        <v>15855793932</v>
      </c>
      <c r="N230" s="135" t="s">
        <v>838</v>
      </c>
      <c r="O230" s="136" t="s">
        <v>839</v>
      </c>
    </row>
    <row r="231" spans="1:15" x14ac:dyDescent="0.15">
      <c r="A231" s="117" t="s">
        <v>840</v>
      </c>
      <c r="B231" s="117" t="s">
        <v>229</v>
      </c>
      <c r="C231" s="117" t="s">
        <v>69</v>
      </c>
      <c r="D231" s="117" t="s">
        <v>69</v>
      </c>
      <c r="E231" s="117" t="s">
        <v>69</v>
      </c>
      <c r="F231" s="117"/>
      <c r="G231" s="118" t="s">
        <v>69</v>
      </c>
      <c r="H231" s="117" t="s">
        <v>84</v>
      </c>
      <c r="I231" s="117" t="s">
        <v>84</v>
      </c>
      <c r="J231" s="137" t="s">
        <v>1140</v>
      </c>
      <c r="K231" s="137" t="s">
        <v>69</v>
      </c>
      <c r="L231" s="137" t="s">
        <v>1141</v>
      </c>
      <c r="M231" s="134">
        <v>13611918891</v>
      </c>
      <c r="N231" s="138" t="s">
        <v>841</v>
      </c>
      <c r="O231" s="139" t="s">
        <v>842</v>
      </c>
    </row>
    <row r="232" spans="1:15" x14ac:dyDescent="0.15">
      <c r="A232" s="117" t="s">
        <v>843</v>
      </c>
      <c r="B232" s="117" t="s">
        <v>319</v>
      </c>
      <c r="C232" s="117" t="s">
        <v>150</v>
      </c>
      <c r="D232" s="117" t="s">
        <v>150</v>
      </c>
      <c r="E232" s="117" t="s">
        <v>150</v>
      </c>
      <c r="F232" s="117"/>
      <c r="G232" s="118" t="s">
        <v>135</v>
      </c>
      <c r="H232" s="117" t="s">
        <v>13</v>
      </c>
      <c r="I232" s="117" t="s">
        <v>13</v>
      </c>
      <c r="J232" s="137" t="s">
        <v>91</v>
      </c>
      <c r="K232" s="137" t="s">
        <v>79</v>
      </c>
      <c r="L232" s="137" t="s">
        <v>79</v>
      </c>
      <c r="M232" s="134">
        <v>15121158684</v>
      </c>
      <c r="N232" s="135" t="s">
        <v>844</v>
      </c>
      <c r="O232" s="136" t="s">
        <v>845</v>
      </c>
    </row>
    <row r="233" spans="1:15" x14ac:dyDescent="0.15">
      <c r="A233" s="117" t="s">
        <v>846</v>
      </c>
      <c r="B233" s="117" t="s">
        <v>225</v>
      </c>
      <c r="C233" s="117" t="s">
        <v>150</v>
      </c>
      <c r="D233" s="117" t="s">
        <v>150</v>
      </c>
      <c r="E233" s="117" t="s">
        <v>150</v>
      </c>
      <c r="F233" s="117"/>
      <c r="G233" s="118" t="s">
        <v>1083</v>
      </c>
      <c r="H233" s="117" t="s">
        <v>22</v>
      </c>
      <c r="I233" s="117" t="s">
        <v>22</v>
      </c>
      <c r="J233" s="129" t="s">
        <v>1145</v>
      </c>
      <c r="K233" s="129" t="s">
        <v>76</v>
      </c>
      <c r="L233" s="129" t="s">
        <v>76</v>
      </c>
      <c r="M233" s="134">
        <v>15900897017</v>
      </c>
      <c r="N233" s="135" t="s">
        <v>847</v>
      </c>
      <c r="O233" s="136" t="s">
        <v>658</v>
      </c>
    </row>
    <row r="234" spans="1:15" x14ac:dyDescent="0.15">
      <c r="A234" s="117" t="s">
        <v>849</v>
      </c>
      <c r="B234" s="117" t="s">
        <v>225</v>
      </c>
      <c r="C234" s="117" t="s">
        <v>1047</v>
      </c>
      <c r="D234" s="117" t="s">
        <v>1047</v>
      </c>
      <c r="E234" s="117" t="s">
        <v>1091</v>
      </c>
      <c r="F234" s="117" t="s">
        <v>1178</v>
      </c>
      <c r="G234" s="118" t="s">
        <v>1086</v>
      </c>
      <c r="H234" s="117" t="s">
        <v>13</v>
      </c>
      <c r="I234" s="117" t="s">
        <v>13</v>
      </c>
      <c r="J234" s="129" t="s">
        <v>1133</v>
      </c>
      <c r="K234" s="129" t="s">
        <v>80</v>
      </c>
      <c r="L234" s="129" t="s">
        <v>80</v>
      </c>
      <c r="M234" s="134">
        <v>15000539533</v>
      </c>
      <c r="N234" s="135" t="s">
        <v>850</v>
      </c>
      <c r="O234" s="136" t="s">
        <v>851</v>
      </c>
    </row>
    <row r="235" spans="1:15" x14ac:dyDescent="0.15">
      <c r="A235" s="117" t="s">
        <v>852</v>
      </c>
      <c r="B235" s="117" t="s">
        <v>853</v>
      </c>
      <c r="C235" s="117" t="s">
        <v>155</v>
      </c>
      <c r="D235" s="117" t="s">
        <v>155</v>
      </c>
      <c r="E235" s="117"/>
      <c r="F235" s="117"/>
      <c r="G235" s="118"/>
      <c r="H235" s="117" t="s">
        <v>30</v>
      </c>
      <c r="I235" s="117" t="s">
        <v>30</v>
      </c>
      <c r="J235" s="137"/>
      <c r="K235" s="129" t="s">
        <v>54</v>
      </c>
      <c r="L235" s="129" t="s">
        <v>54</v>
      </c>
      <c r="M235" s="134">
        <v>15797655726</v>
      </c>
      <c r="N235" s="135" t="s">
        <v>854</v>
      </c>
      <c r="O235" s="136" t="s">
        <v>855</v>
      </c>
    </row>
    <row r="236" spans="1:15" x14ac:dyDescent="0.15">
      <c r="A236" s="117" t="s">
        <v>856</v>
      </c>
      <c r="B236" s="117" t="s">
        <v>291</v>
      </c>
      <c r="C236" s="117" t="s">
        <v>482</v>
      </c>
      <c r="D236" s="117" t="s">
        <v>482</v>
      </c>
      <c r="E236" s="117" t="s">
        <v>1126</v>
      </c>
      <c r="F236" s="117"/>
      <c r="G236" s="118" t="s">
        <v>1083</v>
      </c>
      <c r="H236" s="117" t="s">
        <v>81</v>
      </c>
      <c r="I236" s="117" t="s">
        <v>81</v>
      </c>
      <c r="J236" s="137" t="s">
        <v>1147</v>
      </c>
      <c r="K236" s="129" t="s">
        <v>54</v>
      </c>
      <c r="L236" s="129" t="s">
        <v>54</v>
      </c>
      <c r="M236" s="134">
        <v>15737152468</v>
      </c>
      <c r="N236" s="135" t="s">
        <v>857</v>
      </c>
      <c r="O236" s="136" t="s">
        <v>858</v>
      </c>
    </row>
    <row r="237" spans="1:15" x14ac:dyDescent="0.15">
      <c r="A237" s="117" t="s">
        <v>1148</v>
      </c>
      <c r="B237" s="117" t="s">
        <v>291</v>
      </c>
      <c r="C237" s="117" t="s">
        <v>170</v>
      </c>
      <c r="D237" s="117" t="s">
        <v>170</v>
      </c>
      <c r="E237" s="117"/>
      <c r="F237" s="117"/>
      <c r="G237" s="118"/>
      <c r="H237" s="117" t="s">
        <v>83</v>
      </c>
      <c r="I237" s="117" t="s">
        <v>83</v>
      </c>
      <c r="J237" s="137" t="s">
        <v>1146</v>
      </c>
      <c r="K237" s="137" t="s">
        <v>54</v>
      </c>
      <c r="L237" s="137" t="s">
        <v>54</v>
      </c>
      <c r="M237" s="134">
        <v>18156279635</v>
      </c>
      <c r="N237" s="135" t="s">
        <v>859</v>
      </c>
      <c r="O237" s="136" t="s">
        <v>860</v>
      </c>
    </row>
    <row r="238" spans="1:15" x14ac:dyDescent="0.15">
      <c r="A238" s="117" t="s">
        <v>861</v>
      </c>
      <c r="B238" s="117" t="s">
        <v>862</v>
      </c>
      <c r="C238" s="117" t="s">
        <v>169</v>
      </c>
      <c r="D238" s="117" t="s">
        <v>169</v>
      </c>
      <c r="E238" s="117"/>
      <c r="F238" s="117"/>
      <c r="G238" s="118"/>
      <c r="H238" s="117" t="s">
        <v>81</v>
      </c>
      <c r="I238" s="117" t="s">
        <v>81</v>
      </c>
      <c r="J238" s="137" t="s">
        <v>117</v>
      </c>
      <c r="K238" s="129" t="s">
        <v>54</v>
      </c>
      <c r="L238" s="129" t="s">
        <v>54</v>
      </c>
      <c r="M238" s="134">
        <v>15755373037</v>
      </c>
      <c r="N238" s="135" t="s">
        <v>863</v>
      </c>
      <c r="O238" s="136" t="s">
        <v>864</v>
      </c>
    </row>
    <row r="239" spans="1:15" x14ac:dyDescent="0.15">
      <c r="A239" s="117" t="s">
        <v>865</v>
      </c>
      <c r="B239" s="117" t="s">
        <v>225</v>
      </c>
      <c r="C239" s="117" t="s">
        <v>1048</v>
      </c>
      <c r="D239" s="117" t="s">
        <v>1048</v>
      </c>
      <c r="E239" s="117"/>
      <c r="F239" s="117" t="s">
        <v>1181</v>
      </c>
      <c r="G239" s="118" t="s">
        <v>1057</v>
      </c>
      <c r="H239" s="117" t="s">
        <v>13</v>
      </c>
      <c r="I239" s="117" t="s">
        <v>13</v>
      </c>
      <c r="J239" s="129" t="s">
        <v>1133</v>
      </c>
      <c r="K239" s="129" t="s">
        <v>80</v>
      </c>
      <c r="L239" s="129" t="s">
        <v>80</v>
      </c>
      <c r="M239" s="134">
        <v>13564976083</v>
      </c>
      <c r="N239" s="135" t="s">
        <v>866</v>
      </c>
      <c r="O239" s="136" t="s">
        <v>867</v>
      </c>
    </row>
    <row r="240" spans="1:15" s="47" customFormat="1" x14ac:dyDescent="0.15">
      <c r="A240" s="119" t="s">
        <v>868</v>
      </c>
      <c r="B240" s="119" t="s">
        <v>319</v>
      </c>
      <c r="C240" s="119" t="s">
        <v>1050</v>
      </c>
      <c r="D240" s="119" t="s">
        <v>1050</v>
      </c>
      <c r="E240" s="119" t="s">
        <v>1050</v>
      </c>
      <c r="F240" s="119"/>
      <c r="G240" s="120" t="s">
        <v>146</v>
      </c>
      <c r="H240" s="119" t="s">
        <v>22</v>
      </c>
      <c r="I240" s="119" t="s">
        <v>22</v>
      </c>
      <c r="J240" s="120"/>
      <c r="K240" s="140"/>
      <c r="L240" s="140"/>
      <c r="M240" s="141">
        <v>17821918117</v>
      </c>
      <c r="N240" s="142" t="s">
        <v>869</v>
      </c>
      <c r="O240" s="143" t="s">
        <v>1034</v>
      </c>
    </row>
    <row r="241" spans="1:15" s="47" customFormat="1" x14ac:dyDescent="0.15">
      <c r="A241" s="119" t="s">
        <v>870</v>
      </c>
      <c r="B241" s="119" t="s">
        <v>225</v>
      </c>
      <c r="C241" s="119" t="s">
        <v>1051</v>
      </c>
      <c r="D241" s="119" t="s">
        <v>1051</v>
      </c>
      <c r="E241" s="119" t="s">
        <v>1051</v>
      </c>
      <c r="F241" s="119"/>
      <c r="G241" s="120" t="s">
        <v>146</v>
      </c>
      <c r="H241" s="119" t="s">
        <v>30</v>
      </c>
      <c r="I241" s="119" t="s">
        <v>30</v>
      </c>
      <c r="J241" s="120"/>
      <c r="K241" s="129" t="s">
        <v>54</v>
      </c>
      <c r="L241" s="129" t="s">
        <v>54</v>
      </c>
      <c r="M241" s="141">
        <v>17749735250</v>
      </c>
      <c r="N241" s="142" t="s">
        <v>871</v>
      </c>
      <c r="O241" s="143" t="s">
        <v>1036</v>
      </c>
    </row>
    <row r="242" spans="1:15" s="47" customFormat="1" x14ac:dyDescent="0.15">
      <c r="A242" s="119" t="s">
        <v>872</v>
      </c>
      <c r="B242" s="119" t="s">
        <v>291</v>
      </c>
      <c r="C242" s="119" t="s">
        <v>1051</v>
      </c>
      <c r="D242" s="119" t="s">
        <v>1051</v>
      </c>
      <c r="E242" s="119" t="s">
        <v>1051</v>
      </c>
      <c r="F242" s="119"/>
      <c r="G242" s="120" t="s">
        <v>146</v>
      </c>
      <c r="H242" s="119" t="s">
        <v>30</v>
      </c>
      <c r="I242" s="119" t="s">
        <v>30</v>
      </c>
      <c r="J242" s="120"/>
      <c r="K242" s="129" t="s">
        <v>54</v>
      </c>
      <c r="L242" s="129" t="s">
        <v>54</v>
      </c>
      <c r="M242" s="141">
        <v>18555115488</v>
      </c>
      <c r="N242" s="142" t="s">
        <v>873</v>
      </c>
      <c r="O242" s="143" t="s">
        <v>1037</v>
      </c>
    </row>
    <row r="243" spans="1:15" x14ac:dyDescent="0.15">
      <c r="A243" s="193" t="s">
        <v>1115</v>
      </c>
      <c r="B243" s="193" t="s">
        <v>221</v>
      </c>
      <c r="C243" s="193" t="s">
        <v>364</v>
      </c>
      <c r="D243" s="193" t="s">
        <v>364</v>
      </c>
      <c r="E243" s="193" t="s">
        <v>364</v>
      </c>
      <c r="F243" s="193"/>
      <c r="G243" s="194" t="s">
        <v>146</v>
      </c>
      <c r="H243" s="193" t="s">
        <v>19</v>
      </c>
      <c r="I243" s="193" t="s">
        <v>19</v>
      </c>
      <c r="J243" s="194"/>
      <c r="K243" s="120"/>
      <c r="L243" s="120"/>
      <c r="M243" s="195">
        <v>15399428698</v>
      </c>
      <c r="N243" s="196" t="s">
        <v>1116</v>
      </c>
      <c r="O243" s="120" t="s">
        <v>1117</v>
      </c>
    </row>
    <row r="244" spans="1:15" x14ac:dyDescent="0.15">
      <c r="A244" s="193" t="s">
        <v>1118</v>
      </c>
      <c r="B244" s="193" t="s">
        <v>319</v>
      </c>
      <c r="C244" s="193" t="s">
        <v>409</v>
      </c>
      <c r="D244" s="193" t="s">
        <v>409</v>
      </c>
      <c r="E244" s="193" t="s">
        <v>409</v>
      </c>
      <c r="F244" s="119" t="s">
        <v>1178</v>
      </c>
      <c r="G244" s="194" t="s">
        <v>146</v>
      </c>
      <c r="H244" s="193" t="s">
        <v>22</v>
      </c>
      <c r="I244" s="193" t="s">
        <v>22</v>
      </c>
      <c r="J244" s="194"/>
      <c r="K244" s="120"/>
      <c r="L244" s="120"/>
      <c r="M244" s="195">
        <v>15995215850</v>
      </c>
      <c r="N244" s="196" t="s">
        <v>1119</v>
      </c>
      <c r="O244" s="120" t="s">
        <v>529</v>
      </c>
    </row>
    <row r="245" spans="1:15" x14ac:dyDescent="0.15">
      <c r="A245" s="193" t="s">
        <v>1120</v>
      </c>
      <c r="B245" s="193" t="s">
        <v>225</v>
      </c>
      <c r="C245" s="193" t="s">
        <v>312</v>
      </c>
      <c r="D245" s="193" t="s">
        <v>312</v>
      </c>
      <c r="E245" s="193" t="s">
        <v>312</v>
      </c>
      <c r="F245" s="193"/>
      <c r="G245" s="194" t="s">
        <v>146</v>
      </c>
      <c r="H245" s="193" t="s">
        <v>14</v>
      </c>
      <c r="I245" s="193" t="s">
        <v>14</v>
      </c>
      <c r="J245" s="194" t="s">
        <v>1134</v>
      </c>
      <c r="K245" s="120" t="s">
        <v>1135</v>
      </c>
      <c r="L245" s="120" t="s">
        <v>1135</v>
      </c>
      <c r="M245" s="195">
        <v>17602534624</v>
      </c>
      <c r="N245" s="196" t="s">
        <v>1121</v>
      </c>
      <c r="O245" s="120" t="s">
        <v>371</v>
      </c>
    </row>
    <row r="246" spans="1:15" x14ac:dyDescent="0.15">
      <c r="A246" s="193" t="s">
        <v>1122</v>
      </c>
      <c r="B246" s="193" t="s">
        <v>1123</v>
      </c>
      <c r="C246" s="193" t="s">
        <v>83</v>
      </c>
      <c r="D246" s="193" t="s">
        <v>83</v>
      </c>
      <c r="E246" s="193" t="s">
        <v>83</v>
      </c>
      <c r="F246" s="193"/>
      <c r="G246" s="194" t="s">
        <v>146</v>
      </c>
      <c r="H246" s="193" t="s">
        <v>83</v>
      </c>
      <c r="I246" s="193" t="s">
        <v>83</v>
      </c>
      <c r="J246" s="194"/>
      <c r="K246" s="137" t="s">
        <v>54</v>
      </c>
      <c r="L246" s="137" t="s">
        <v>54</v>
      </c>
      <c r="M246" s="195">
        <v>13501938275</v>
      </c>
      <c r="N246" s="196" t="s">
        <v>1124</v>
      </c>
      <c r="O246" s="120" t="s">
        <v>1125</v>
      </c>
    </row>
  </sheetData>
  <autoFilter ref="A1:O246" xr:uid="{4A57ABC5-0DDF-4562-A0D2-877C029D0786}"/>
  <phoneticPr fontId="27" type="noConversion"/>
  <hyperlinks>
    <hyperlink ref="N4" r:id="rId1" xr:uid="{00000000-0004-0000-0300-000000000000}"/>
    <hyperlink ref="N101" r:id="rId2" xr:uid="{00000000-0004-0000-0300-000001000000}"/>
    <hyperlink ref="N146" r:id="rId3" xr:uid="{00000000-0004-0000-0300-000002000000}"/>
    <hyperlink ref="N147" r:id="rId4" xr:uid="{00000000-0004-0000-0300-000003000000}"/>
    <hyperlink ref="N148" r:id="rId5" xr:uid="{00000000-0004-0000-0300-000004000000}"/>
    <hyperlink ref="N149" r:id="rId6" xr:uid="{00000000-0004-0000-0300-000005000000}"/>
    <hyperlink ref="N151" r:id="rId7" xr:uid="{00000000-0004-0000-0300-000006000000}"/>
    <hyperlink ref="N152" r:id="rId8" xr:uid="{00000000-0004-0000-0300-000007000000}"/>
    <hyperlink ref="N153" r:id="rId9" xr:uid="{00000000-0004-0000-0300-000008000000}"/>
    <hyperlink ref="N154" r:id="rId10" xr:uid="{00000000-0004-0000-0300-000009000000}"/>
    <hyperlink ref="N155" r:id="rId11" xr:uid="{00000000-0004-0000-0300-00000A000000}"/>
    <hyperlink ref="N157" r:id="rId12" xr:uid="{00000000-0004-0000-0300-00000B000000}"/>
    <hyperlink ref="N159" r:id="rId13" xr:uid="{00000000-0004-0000-0300-00000C000000}"/>
    <hyperlink ref="N161" r:id="rId14" xr:uid="{00000000-0004-0000-0300-00000D000000}"/>
    <hyperlink ref="N163" r:id="rId15" xr:uid="{00000000-0004-0000-0300-00000E000000}"/>
    <hyperlink ref="N165" r:id="rId16" xr:uid="{00000000-0004-0000-0300-00000F000000}"/>
    <hyperlink ref="N166" r:id="rId17" xr:uid="{00000000-0004-0000-0300-000010000000}"/>
    <hyperlink ref="N167" r:id="rId18" xr:uid="{00000000-0004-0000-0300-000011000000}"/>
    <hyperlink ref="N168" r:id="rId19" xr:uid="{00000000-0004-0000-0300-000012000000}"/>
    <hyperlink ref="N169" r:id="rId20" xr:uid="{00000000-0004-0000-0300-000013000000}"/>
    <hyperlink ref="N170" r:id="rId21" xr:uid="{00000000-0004-0000-0300-000014000000}"/>
    <hyperlink ref="N172" r:id="rId22" xr:uid="{00000000-0004-0000-0300-000015000000}"/>
    <hyperlink ref="N173" r:id="rId23" xr:uid="{00000000-0004-0000-0300-000016000000}"/>
    <hyperlink ref="N211" r:id="rId24" xr:uid="{00000000-0004-0000-0300-000017000000}"/>
    <hyperlink ref="N212" r:id="rId25" xr:uid="{00000000-0004-0000-0300-000018000000}"/>
    <hyperlink ref="N213" r:id="rId26" xr:uid="{00000000-0004-0000-0300-000019000000}"/>
    <hyperlink ref="N209" r:id="rId27" xr:uid="{00000000-0004-0000-0300-00001A000000}"/>
    <hyperlink ref="N210" r:id="rId28" tooltip="mailto:luchaoli@kingkz.com" xr:uid="{00000000-0004-0000-0300-00001B000000}"/>
    <hyperlink ref="N208" r:id="rId29" xr:uid="{00000000-0004-0000-0300-00001C000000}"/>
    <hyperlink ref="N135" r:id="rId30" xr:uid="{00000000-0004-0000-0300-00001D000000}"/>
    <hyperlink ref="N218" r:id="rId31" xr:uid="{00000000-0004-0000-0300-00001E000000}"/>
    <hyperlink ref="N219" r:id="rId32" xr:uid="{00000000-0004-0000-0300-00001F000000}"/>
    <hyperlink ref="N221" r:id="rId33" xr:uid="{00000000-0004-0000-0300-000020000000}"/>
    <hyperlink ref="N220" r:id="rId34" xr:uid="{00000000-0004-0000-0300-000021000000}"/>
    <hyperlink ref="N162" r:id="rId35" xr:uid="{00000000-0004-0000-0300-000022000000}"/>
    <hyperlink ref="N156" r:id="rId36" xr:uid="{00000000-0004-0000-0300-000023000000}"/>
    <hyperlink ref="N158" r:id="rId37" xr:uid="{00000000-0004-0000-0300-000024000000}"/>
    <hyperlink ref="N160" r:id="rId38" xr:uid="{00000000-0004-0000-0300-000025000000}"/>
    <hyperlink ref="N222" r:id="rId39" xr:uid="{00000000-0004-0000-0300-000026000000}"/>
    <hyperlink ref="N223" r:id="rId40" xr:uid="{00000000-0004-0000-0300-000027000000}"/>
    <hyperlink ref="N226" r:id="rId41" xr:uid="{00000000-0004-0000-0300-000028000000}"/>
    <hyperlink ref="N225" r:id="rId42" xr:uid="{00000000-0004-0000-0300-000029000000}"/>
    <hyperlink ref="N224" r:id="rId43" xr:uid="{00000000-0004-0000-0300-00002A000000}"/>
    <hyperlink ref="N232" r:id="rId44" xr:uid="{00000000-0004-0000-0300-00002B000000}"/>
    <hyperlink ref="N233" r:id="rId45" xr:uid="{00000000-0004-0000-0300-00002C000000}"/>
    <hyperlink ref="N239" r:id="rId46" xr:uid="{00000000-0004-0000-0300-00002D000000}"/>
    <hyperlink ref="N234" r:id="rId47" xr:uid="{00000000-0004-0000-0300-00002E000000}"/>
    <hyperlink ref="N235" r:id="rId48" xr:uid="{00000000-0004-0000-0300-00002F000000}"/>
    <hyperlink ref="N238" r:id="rId49" xr:uid="{00000000-0004-0000-0300-000030000000}"/>
    <hyperlink ref="N236" r:id="rId50" xr:uid="{00000000-0004-0000-0300-000031000000}"/>
    <hyperlink ref="N237" r:id="rId51" xr:uid="{00000000-0004-0000-0300-000032000000}"/>
    <hyperlink ref="N229" r:id="rId52" xr:uid="{00000000-0004-0000-0300-000033000000}"/>
    <hyperlink ref="N230" r:id="rId53" xr:uid="{00000000-0004-0000-0300-000034000000}"/>
    <hyperlink ref="N243" r:id="rId54" xr:uid="{00000000-0004-0000-0300-000035000000}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G124"/>
  <sheetViews>
    <sheetView showGridLines="0" zoomScaleNormal="100" workbookViewId="0">
      <pane ySplit="1" topLeftCell="A2" activePane="bottomLeft" state="frozen"/>
      <selection pane="bottomLeft" activeCell="A5" sqref="A4:XFD5"/>
    </sheetView>
  </sheetViews>
  <sheetFormatPr defaultColWidth="9" defaultRowHeight="14.25" x14ac:dyDescent="0.15"/>
  <cols>
    <col min="1" max="1" width="11.125" customWidth="1"/>
    <col min="2" max="2" width="31.875" customWidth="1"/>
    <col min="3" max="7" width="11.125" customWidth="1"/>
    <col min="8" max="8" width="11.75" customWidth="1"/>
    <col min="9" max="9" width="12" customWidth="1"/>
    <col min="10" max="10" width="10.75" customWidth="1"/>
    <col min="11" max="11" width="11.125" customWidth="1"/>
    <col min="12" max="12" width="11.875" customWidth="1"/>
    <col min="13" max="13" width="9.5" customWidth="1"/>
    <col min="14" max="14" width="15.25" customWidth="1"/>
    <col min="15" max="15" width="20.375" style="13" customWidth="1"/>
    <col min="16" max="16" width="19.625" style="13" customWidth="1"/>
    <col min="17" max="17" width="15.75" style="14" customWidth="1"/>
    <col min="18" max="18" width="15" customWidth="1"/>
    <col min="19" max="20" width="13.25" style="15" customWidth="1"/>
    <col min="21" max="22" width="9.5" customWidth="1"/>
    <col min="23" max="23" width="19.125" customWidth="1"/>
    <col min="24" max="24" width="13.75" customWidth="1"/>
    <col min="25" max="25" width="14" customWidth="1"/>
    <col min="26" max="26" width="11.5" customWidth="1"/>
    <col min="27" max="27" width="14.25" style="13" customWidth="1"/>
    <col min="28" max="28" width="13.75" style="13" customWidth="1"/>
    <col min="29" max="29" width="13.625" style="16" customWidth="1"/>
    <col min="30" max="30" width="13.5" customWidth="1"/>
    <col min="31" max="31" width="9.875" customWidth="1"/>
  </cols>
  <sheetData>
    <row r="1" spans="1:33" ht="15.75" x14ac:dyDescent="0.15">
      <c r="A1" s="17" t="s">
        <v>874</v>
      </c>
      <c r="B1" s="17" t="s">
        <v>875</v>
      </c>
      <c r="C1" s="17" t="s">
        <v>876</v>
      </c>
      <c r="D1" s="17" t="s">
        <v>122</v>
      </c>
      <c r="E1" s="17" t="s">
        <v>877</v>
      </c>
      <c r="F1" s="17" t="s">
        <v>878</v>
      </c>
      <c r="G1" s="17" t="s">
        <v>1077</v>
      </c>
      <c r="H1" s="17" t="s">
        <v>879</v>
      </c>
      <c r="I1" s="17" t="s">
        <v>880</v>
      </c>
      <c r="J1" s="17" t="s">
        <v>881</v>
      </c>
      <c r="K1" s="17" t="s">
        <v>882</v>
      </c>
      <c r="L1" s="17" t="s">
        <v>883</v>
      </c>
      <c r="M1" s="17" t="s">
        <v>884</v>
      </c>
      <c r="N1" s="17" t="s">
        <v>885</v>
      </c>
      <c r="O1" s="22" t="s">
        <v>886</v>
      </c>
      <c r="P1" s="22" t="s">
        <v>887</v>
      </c>
      <c r="Q1" s="19" t="s">
        <v>888</v>
      </c>
      <c r="R1" s="17" t="s">
        <v>889</v>
      </c>
      <c r="S1" s="24" t="s">
        <v>890</v>
      </c>
      <c r="T1" s="24" t="s">
        <v>891</v>
      </c>
      <c r="U1" s="17" t="s">
        <v>892</v>
      </c>
      <c r="V1" s="17" t="s">
        <v>893</v>
      </c>
      <c r="W1" s="17" t="s">
        <v>894</v>
      </c>
      <c r="X1" s="18">
        <v>44166</v>
      </c>
      <c r="Y1" s="17" t="s">
        <v>174</v>
      </c>
      <c r="Z1" s="17" t="s">
        <v>174</v>
      </c>
      <c r="AA1" s="17" t="s">
        <v>174</v>
      </c>
      <c r="AB1" s="17" t="s">
        <v>1186</v>
      </c>
      <c r="AC1" s="22" t="s">
        <v>895</v>
      </c>
      <c r="AD1" s="22" t="s">
        <v>887</v>
      </c>
      <c r="AE1" s="25" t="s">
        <v>896</v>
      </c>
      <c r="AF1" s="17" t="s">
        <v>897</v>
      </c>
      <c r="AG1" s="26" t="s">
        <v>898</v>
      </c>
    </row>
    <row r="2" spans="1:33" ht="15.75" x14ac:dyDescent="0.15">
      <c r="A2" s="17" t="s">
        <v>215</v>
      </c>
      <c r="B2" s="17" t="s">
        <v>1185</v>
      </c>
      <c r="C2" s="17" t="s">
        <v>1081</v>
      </c>
      <c r="D2" s="17" t="s">
        <v>135</v>
      </c>
      <c r="E2" s="17" t="s">
        <v>1042</v>
      </c>
      <c r="F2" s="17"/>
      <c r="G2" s="17"/>
      <c r="H2" s="17" t="s">
        <v>1081</v>
      </c>
      <c r="I2" s="17"/>
      <c r="J2" s="17"/>
      <c r="K2" s="23">
        <f t="shared" ref="K2:K8" si="0">L2/42</f>
        <v>0.61904761904761907</v>
      </c>
      <c r="L2" s="17">
        <v>26</v>
      </c>
      <c r="M2" s="18">
        <v>44321</v>
      </c>
      <c r="N2" s="18">
        <v>44333</v>
      </c>
      <c r="O2" s="22">
        <f t="shared" ref="O2:O3" ca="1" si="1">IF(S2&lt;0,0,S2/U2*L2)</f>
        <v>26</v>
      </c>
      <c r="P2" s="22">
        <f t="shared" ref="P2:P3" ca="1" si="2">(N2-R2)/U2*L2</f>
        <v>0</v>
      </c>
      <c r="Q2" s="19">
        <f t="shared" ref="Q2:Q3" si="3">IF(M2&lt;$X$1,$X$1,M2)</f>
        <v>44321</v>
      </c>
      <c r="R2" s="19">
        <f t="shared" ref="R2:R3" ca="1" si="4">IF(N2&lt;Q2,Q2-1,IF(TODAY()&gt;N2,N2,TODAY()))</f>
        <v>44333</v>
      </c>
      <c r="S2" s="24">
        <f t="shared" ref="S2:S3" ca="1" si="5">IF(R2-Q2+1&lt;0,0,R2-Q2+1)</f>
        <v>13</v>
      </c>
      <c r="T2" s="24">
        <f t="shared" ref="T2:T3" ca="1" si="6">IF(R2&gt;N2,0,N2-R2)</f>
        <v>0</v>
      </c>
      <c r="U2" s="17">
        <f t="shared" ref="U2:U3" si="7">N2-M2+1</f>
        <v>13</v>
      </c>
      <c r="V2" s="17">
        <v>1</v>
      </c>
      <c r="W2" s="17" t="s">
        <v>901</v>
      </c>
      <c r="X2" s="17">
        <v>45</v>
      </c>
      <c r="Y2" s="17" t="str">
        <f>VLOOKUP(Z2,$X$77:$AB$96,5,FALSE)</f>
        <v>吕欣冉-0/2/0</v>
      </c>
      <c r="Z2" s="17" t="s">
        <v>84</v>
      </c>
      <c r="AA2" s="17" t="str">
        <f>VLOOKUP(Z2,$X$77:$AB$96,5,FALSE)</f>
        <v>吕欣冉-0/2/0</v>
      </c>
      <c r="AB2" s="22">
        <f>SUMIFS(O:O,A:A,Z2,C:C,"奖励")</f>
        <v>0</v>
      </c>
      <c r="AC2" s="22">
        <f t="shared" ref="AC2:AC19" ca="1" si="8">SUMIFS(O:O,A:A,Z2,C:C,"&lt;&gt;奖励")-AG2</f>
        <v>52.571428571428243</v>
      </c>
      <c r="AD2" s="22">
        <f t="shared" ref="AD2:AD19" ca="1" si="9">SUMIFS(P:P,A:A,Z2)</f>
        <v>0</v>
      </c>
      <c r="AE2" s="22">
        <f ca="1">IF((AF2-AC2-AD2-AB2)&gt;=0,AF2-AC2-AD2-AB2,0)</f>
        <v>59.928571428571757</v>
      </c>
      <c r="AF2" s="22">
        <f t="shared" ref="AF2:AF18" si="10">CWHC*2.5</f>
        <v>112.5</v>
      </c>
      <c r="AG2" s="27">
        <v>145.721814671815</v>
      </c>
    </row>
    <row r="3" spans="1:33" ht="15.75" x14ac:dyDescent="0.15">
      <c r="A3" s="17" t="s">
        <v>215</v>
      </c>
      <c r="B3" s="17" t="s">
        <v>1184</v>
      </c>
      <c r="C3" s="17" t="s">
        <v>910</v>
      </c>
      <c r="D3" s="17" t="s">
        <v>135</v>
      </c>
      <c r="E3" s="17" t="s">
        <v>1042</v>
      </c>
      <c r="F3" s="17"/>
      <c r="G3" s="17"/>
      <c r="H3" s="17" t="s">
        <v>911</v>
      </c>
      <c r="I3" s="18">
        <v>44309</v>
      </c>
      <c r="J3" s="17">
        <v>0</v>
      </c>
      <c r="K3" s="23">
        <f t="shared" si="0"/>
        <v>9.5238095238095233E-2</v>
      </c>
      <c r="L3" s="17">
        <v>4</v>
      </c>
      <c r="M3" s="18">
        <v>44305</v>
      </c>
      <c r="N3" s="18">
        <v>44309</v>
      </c>
      <c r="O3" s="22">
        <f t="shared" ca="1" si="1"/>
        <v>4</v>
      </c>
      <c r="P3" s="22">
        <f t="shared" ca="1" si="2"/>
        <v>0</v>
      </c>
      <c r="Q3" s="19">
        <f t="shared" si="3"/>
        <v>44305</v>
      </c>
      <c r="R3" s="19">
        <f t="shared" ca="1" si="4"/>
        <v>44309</v>
      </c>
      <c r="S3" s="24">
        <f t="shared" ca="1" si="5"/>
        <v>5</v>
      </c>
      <c r="T3" s="24">
        <f t="shared" ca="1" si="6"/>
        <v>0</v>
      </c>
      <c r="U3" s="17">
        <f t="shared" si="7"/>
        <v>5</v>
      </c>
      <c r="V3" s="17">
        <v>1</v>
      </c>
      <c r="W3" s="17" t="s">
        <v>903</v>
      </c>
      <c r="X3" s="17">
        <v>2</v>
      </c>
      <c r="Y3" s="17" t="str">
        <f t="shared" ref="Y3:Y12" si="11">VLOOKUP(Z3,$X$77:$AB$96,5,FALSE)</f>
        <v>李云毅-0/1/1</v>
      </c>
      <c r="Z3" s="17" t="s">
        <v>519</v>
      </c>
      <c r="AA3" s="17" t="str">
        <f t="shared" ref="AA3:AA19" si="12">VLOOKUP(Z3,$X$77:$AB$96,5,FALSE)</f>
        <v>李云毅-0/1/1</v>
      </c>
      <c r="AB3" s="22">
        <f t="shared" ref="AB3:AB19" si="13">SUMIFS(O:O,A:A,Z3,C:C,"奖励")</f>
        <v>8</v>
      </c>
      <c r="AC3" s="22">
        <f t="shared" ca="1" si="8"/>
        <v>111</v>
      </c>
      <c r="AD3" s="22">
        <f t="shared" ca="1" si="9"/>
        <v>21</v>
      </c>
      <c r="AE3" s="22">
        <f t="shared" ref="AE3:AE19" ca="1" si="14">IF((AF3-AC3-AD3-AB3)&gt;=0,AF3-AC3-AD3-AB3,0)</f>
        <v>0</v>
      </c>
      <c r="AF3" s="22">
        <f t="shared" si="10"/>
        <v>112.5</v>
      </c>
      <c r="AG3" s="27">
        <v>133.05600000000001</v>
      </c>
    </row>
    <row r="4" spans="1:33" ht="15.75" x14ac:dyDescent="0.15">
      <c r="A4" s="17" t="s">
        <v>211</v>
      </c>
      <c r="B4" s="17" t="s">
        <v>1183</v>
      </c>
      <c r="C4" s="17" t="s">
        <v>910</v>
      </c>
      <c r="D4" s="17" t="s">
        <v>135</v>
      </c>
      <c r="E4" s="17" t="s">
        <v>1042</v>
      </c>
      <c r="F4" s="17"/>
      <c r="G4" s="17"/>
      <c r="H4" s="17" t="s">
        <v>1081</v>
      </c>
      <c r="I4" s="17"/>
      <c r="J4" s="17"/>
      <c r="K4" s="23">
        <f t="shared" si="0"/>
        <v>0.47619047619047616</v>
      </c>
      <c r="L4" s="17">
        <v>20</v>
      </c>
      <c r="M4" s="18">
        <v>44321</v>
      </c>
      <c r="N4" s="18">
        <v>44333</v>
      </c>
      <c r="O4" s="22">
        <f t="shared" ref="O4:O7" ca="1" si="15">IF(S4&lt;0,0,S4/U4*L4)</f>
        <v>20</v>
      </c>
      <c r="P4" s="22">
        <f t="shared" ref="P4:P7" ca="1" si="16">(N4-R4)/U4*L4</f>
        <v>0</v>
      </c>
      <c r="Q4" s="19">
        <f t="shared" ref="Q4:Q7" si="17">IF(M4&lt;$X$1,$X$1,M4)</f>
        <v>44321</v>
      </c>
      <c r="R4" s="19">
        <f t="shared" ref="R4:R7" ca="1" si="18">IF(N4&lt;Q4,Q4-1,IF(TODAY()&gt;N4,N4,TODAY()))</f>
        <v>44333</v>
      </c>
      <c r="S4" s="24">
        <f t="shared" ref="S4:S7" ca="1" si="19">IF(R4-Q4+1&lt;0,0,R4-Q4+1)</f>
        <v>13</v>
      </c>
      <c r="T4" s="24">
        <f t="shared" ref="T4:T7" ca="1" si="20">IF(R4&gt;N4,0,N4-R4)</f>
        <v>0</v>
      </c>
      <c r="U4" s="17">
        <f t="shared" ref="U4:U7" si="21">N4-M4+1</f>
        <v>13</v>
      </c>
      <c r="V4" s="17">
        <v>1</v>
      </c>
      <c r="W4" s="17"/>
      <c r="X4" s="17"/>
      <c r="Y4" s="17" t="str">
        <f t="shared" si="11"/>
        <v>姚文心-0/1/1</v>
      </c>
      <c r="Z4" s="17" t="s">
        <v>524</v>
      </c>
      <c r="AA4" s="17" t="str">
        <f t="shared" si="12"/>
        <v>姚文心-0/1/1</v>
      </c>
      <c r="AB4" s="22">
        <f t="shared" si="13"/>
        <v>0</v>
      </c>
      <c r="AC4" s="22">
        <f t="shared" ca="1" si="8"/>
        <v>100</v>
      </c>
      <c r="AD4" s="22">
        <f t="shared" ca="1" si="9"/>
        <v>4</v>
      </c>
      <c r="AE4" s="22">
        <f t="shared" ca="1" si="14"/>
        <v>8.5</v>
      </c>
      <c r="AF4" s="22">
        <f t="shared" si="10"/>
        <v>112.5</v>
      </c>
      <c r="AG4" s="27">
        <v>160</v>
      </c>
    </row>
    <row r="5" spans="1:33" ht="15.75" x14ac:dyDescent="0.15">
      <c r="A5" s="17" t="s">
        <v>423</v>
      </c>
      <c r="B5" s="17" t="s">
        <v>1183</v>
      </c>
      <c r="C5" s="17" t="s">
        <v>910</v>
      </c>
      <c r="D5" s="17" t="s">
        <v>135</v>
      </c>
      <c r="E5" s="17" t="s">
        <v>1042</v>
      </c>
      <c r="F5" s="17"/>
      <c r="G5" s="17"/>
      <c r="H5" s="17" t="s">
        <v>1081</v>
      </c>
      <c r="I5" s="17"/>
      <c r="J5" s="17"/>
      <c r="K5" s="23">
        <f t="shared" si="0"/>
        <v>0.47619047619047616</v>
      </c>
      <c r="L5" s="17">
        <v>20</v>
      </c>
      <c r="M5" s="18">
        <v>44321</v>
      </c>
      <c r="N5" s="18">
        <v>44333</v>
      </c>
      <c r="O5" s="22">
        <f t="shared" ca="1" si="15"/>
        <v>20</v>
      </c>
      <c r="P5" s="22">
        <f t="shared" ca="1" si="16"/>
        <v>0</v>
      </c>
      <c r="Q5" s="19">
        <f t="shared" si="17"/>
        <v>44321</v>
      </c>
      <c r="R5" s="19">
        <f t="shared" ca="1" si="18"/>
        <v>44333</v>
      </c>
      <c r="S5" s="24">
        <f t="shared" ca="1" si="19"/>
        <v>13</v>
      </c>
      <c r="T5" s="24">
        <f t="shared" ca="1" si="20"/>
        <v>0</v>
      </c>
      <c r="U5" s="17">
        <f t="shared" si="21"/>
        <v>13</v>
      </c>
      <c r="V5" s="17">
        <v>0</v>
      </c>
      <c r="W5" s="17"/>
      <c r="X5" s="17"/>
      <c r="Y5" s="17" t="str">
        <f t="shared" si="11"/>
        <v>赵晓韵-0/3/2</v>
      </c>
      <c r="Z5" s="17" t="s">
        <v>361</v>
      </c>
      <c r="AA5" s="17" t="str">
        <f t="shared" si="12"/>
        <v>赵晓韵-0/3/2</v>
      </c>
      <c r="AB5" s="22">
        <f t="shared" si="13"/>
        <v>8</v>
      </c>
      <c r="AC5" s="22">
        <f t="shared" ca="1" si="8"/>
        <v>132.7327188940092</v>
      </c>
      <c r="AD5" s="22">
        <f t="shared" ca="1" si="9"/>
        <v>3.4285714285714284</v>
      </c>
      <c r="AE5" s="22">
        <f t="shared" ca="1" si="14"/>
        <v>0</v>
      </c>
      <c r="AF5" s="22">
        <f t="shared" si="10"/>
        <v>112.5</v>
      </c>
      <c r="AG5" s="27">
        <v>99.881952920662599</v>
      </c>
    </row>
    <row r="6" spans="1:33" ht="15.75" x14ac:dyDescent="0.15">
      <c r="A6" s="17" t="s">
        <v>1170</v>
      </c>
      <c r="B6" s="17" t="s">
        <v>1171</v>
      </c>
      <c r="C6" s="17" t="s">
        <v>1081</v>
      </c>
      <c r="D6" s="17" t="s">
        <v>1174</v>
      </c>
      <c r="E6" s="17"/>
      <c r="F6" s="17"/>
      <c r="G6" s="17"/>
      <c r="H6" s="17" t="s">
        <v>1081</v>
      </c>
      <c r="I6" s="19"/>
      <c r="J6" s="17"/>
      <c r="K6" s="23">
        <f t="shared" si="0"/>
        <v>0.21428571428571427</v>
      </c>
      <c r="L6" s="17">
        <v>9</v>
      </c>
      <c r="M6" s="18">
        <v>44334</v>
      </c>
      <c r="N6" s="18">
        <v>44342</v>
      </c>
      <c r="O6" s="22">
        <f t="shared" ca="1" si="15"/>
        <v>7</v>
      </c>
      <c r="P6" s="22">
        <f t="shared" ca="1" si="16"/>
        <v>2</v>
      </c>
      <c r="Q6" s="19">
        <f t="shared" si="17"/>
        <v>44334</v>
      </c>
      <c r="R6" s="19">
        <f t="shared" ca="1" si="18"/>
        <v>44340</v>
      </c>
      <c r="S6" s="24">
        <f t="shared" ca="1" si="19"/>
        <v>7</v>
      </c>
      <c r="T6" s="24">
        <f t="shared" ca="1" si="20"/>
        <v>2</v>
      </c>
      <c r="U6" s="17">
        <f t="shared" si="21"/>
        <v>9</v>
      </c>
      <c r="V6" s="17">
        <v>0</v>
      </c>
      <c r="W6" s="17"/>
      <c r="X6" s="17"/>
      <c r="Y6" s="17" t="str">
        <f t="shared" si="11"/>
        <v>魏渐俊-0/0/1</v>
      </c>
      <c r="Z6" s="17" t="s">
        <v>393</v>
      </c>
      <c r="AA6" s="17" t="str">
        <f t="shared" si="12"/>
        <v>魏渐俊-0/0/1</v>
      </c>
      <c r="AB6" s="22">
        <f t="shared" si="13"/>
        <v>0</v>
      </c>
      <c r="AC6" s="22">
        <f t="shared" ca="1" si="8"/>
        <v>98.571428571428555</v>
      </c>
      <c r="AD6" s="22">
        <f t="shared" ca="1" si="9"/>
        <v>3.4285714285714284</v>
      </c>
      <c r="AE6" s="22">
        <f t="shared" ca="1" si="14"/>
        <v>10.500000000000016</v>
      </c>
      <c r="AF6" s="22">
        <f t="shared" si="10"/>
        <v>112.5</v>
      </c>
      <c r="AG6" s="27">
        <v>36</v>
      </c>
    </row>
    <row r="7" spans="1:33" ht="15.75" x14ac:dyDescent="0.15">
      <c r="A7" s="17" t="s">
        <v>1170</v>
      </c>
      <c r="B7" s="17" t="s">
        <v>1172</v>
      </c>
      <c r="C7" s="17" t="s">
        <v>910</v>
      </c>
      <c r="D7" s="17" t="s">
        <v>1174</v>
      </c>
      <c r="E7" s="17"/>
      <c r="F7" s="17"/>
      <c r="G7" s="17"/>
      <c r="H7" s="17" t="s">
        <v>911</v>
      </c>
      <c r="I7" s="19">
        <v>44331</v>
      </c>
      <c r="J7" s="17">
        <v>0</v>
      </c>
      <c r="K7" s="23">
        <f t="shared" si="0"/>
        <v>0.14285714285714285</v>
      </c>
      <c r="L7" s="17">
        <v>6</v>
      </c>
      <c r="M7" s="18">
        <v>44314</v>
      </c>
      <c r="N7" s="18">
        <v>44331</v>
      </c>
      <c r="O7" s="22">
        <f t="shared" ca="1" si="15"/>
        <v>6</v>
      </c>
      <c r="P7" s="22">
        <f t="shared" ca="1" si="16"/>
        <v>0</v>
      </c>
      <c r="Q7" s="19">
        <f t="shared" si="17"/>
        <v>44314</v>
      </c>
      <c r="R7" s="19">
        <f t="shared" ca="1" si="18"/>
        <v>44331</v>
      </c>
      <c r="S7" s="24">
        <f t="shared" ca="1" si="19"/>
        <v>18</v>
      </c>
      <c r="T7" s="24">
        <f t="shared" ca="1" si="20"/>
        <v>0</v>
      </c>
      <c r="U7" s="17">
        <f t="shared" si="21"/>
        <v>18</v>
      </c>
      <c r="V7" s="17">
        <v>0</v>
      </c>
      <c r="W7" s="17"/>
      <c r="X7" s="17"/>
      <c r="Y7" s="17" t="str">
        <f t="shared" si="11"/>
        <v>董炎彦-0/1/1</v>
      </c>
      <c r="Z7" s="17" t="s">
        <v>727</v>
      </c>
      <c r="AA7" s="17" t="str">
        <f t="shared" si="12"/>
        <v>董炎彦-0/1/1</v>
      </c>
      <c r="AB7" s="22">
        <f t="shared" si="13"/>
        <v>8</v>
      </c>
      <c r="AC7" s="22">
        <f t="shared" ca="1" si="8"/>
        <v>98.1</v>
      </c>
      <c r="AD7" s="22">
        <f t="shared" ca="1" si="9"/>
        <v>5.3999999999999995</v>
      </c>
      <c r="AE7" s="22">
        <f t="shared" ca="1" si="14"/>
        <v>1.0000000000000071</v>
      </c>
      <c r="AF7" s="22">
        <f t="shared" si="10"/>
        <v>112.5</v>
      </c>
      <c r="AG7" s="27">
        <f>60.75-4.5</f>
        <v>56.25</v>
      </c>
    </row>
    <row r="8" spans="1:33" ht="15.75" x14ac:dyDescent="0.15">
      <c r="A8" s="17" t="s">
        <v>1164</v>
      </c>
      <c r="B8" s="17" t="s">
        <v>1173</v>
      </c>
      <c r="C8" s="17" t="s">
        <v>1081</v>
      </c>
      <c r="D8" s="17" t="s">
        <v>1174</v>
      </c>
      <c r="E8" s="17"/>
      <c r="F8" s="17"/>
      <c r="G8" s="17"/>
      <c r="H8" s="17" t="s">
        <v>1081</v>
      </c>
      <c r="I8" s="19"/>
      <c r="J8" s="17"/>
      <c r="K8" s="23">
        <f t="shared" si="0"/>
        <v>0.14285714285714285</v>
      </c>
      <c r="L8" s="17">
        <v>6</v>
      </c>
      <c r="M8" s="18">
        <v>44338</v>
      </c>
      <c r="N8" s="18">
        <v>44344</v>
      </c>
      <c r="O8" s="22">
        <f t="shared" ref="O8" ca="1" si="22">IF(S8&lt;0,0,S8/U8*L8)</f>
        <v>2.5714285714285712</v>
      </c>
      <c r="P8" s="22">
        <f t="shared" ref="P8" ca="1" si="23">(N8-R8)/U8*L8</f>
        <v>3.4285714285714284</v>
      </c>
      <c r="Q8" s="19">
        <f t="shared" ref="Q8" si="24">IF(M8&lt;$X$1,$X$1,M8)</f>
        <v>44338</v>
      </c>
      <c r="R8" s="19">
        <f t="shared" ref="R8" ca="1" si="25">IF(N8&lt;Q8,Q8-1,IF(TODAY()&gt;N8,N8,TODAY()))</f>
        <v>44340</v>
      </c>
      <c r="S8" s="24">
        <f t="shared" ref="S8" ca="1" si="26">IF(R8-Q8+1&lt;0,0,R8-Q8+1)</f>
        <v>3</v>
      </c>
      <c r="T8" s="24">
        <f t="shared" ref="T8" ca="1" si="27">IF(R8&gt;N8,0,N8-R8)</f>
        <v>4</v>
      </c>
      <c r="U8" s="17">
        <f t="shared" ref="U8" si="28">N8-M8+1</f>
        <v>7</v>
      </c>
      <c r="V8" s="17">
        <v>0</v>
      </c>
      <c r="W8" s="17"/>
      <c r="X8" s="17"/>
      <c r="Y8" s="17" t="str">
        <f t="shared" si="11"/>
        <v>陈嘉伟-0/1/2</v>
      </c>
      <c r="Z8" s="17" t="s">
        <v>406</v>
      </c>
      <c r="AA8" s="17" t="str">
        <f t="shared" si="12"/>
        <v>陈嘉伟-0/1/2</v>
      </c>
      <c r="AB8" s="22">
        <f t="shared" si="13"/>
        <v>0</v>
      </c>
      <c r="AC8" s="22">
        <f t="shared" ca="1" si="8"/>
        <v>137.91769316909316</v>
      </c>
      <c r="AD8" s="22">
        <f t="shared" ca="1" si="9"/>
        <v>13.263157894736841</v>
      </c>
      <c r="AE8" s="22">
        <f t="shared" ca="1" si="14"/>
        <v>0</v>
      </c>
      <c r="AF8" s="22">
        <f t="shared" si="10"/>
        <v>112.5</v>
      </c>
      <c r="AG8" s="27">
        <v>105.81914893617</v>
      </c>
    </row>
    <row r="9" spans="1:33" ht="15.75" x14ac:dyDescent="0.15">
      <c r="A9" s="17" t="s">
        <v>1166</v>
      </c>
      <c r="B9" s="17" t="s">
        <v>1169</v>
      </c>
      <c r="C9" s="17" t="s">
        <v>910</v>
      </c>
      <c r="D9" s="17" t="s">
        <v>1168</v>
      </c>
      <c r="E9" s="17"/>
      <c r="F9" s="17"/>
      <c r="G9" s="17"/>
      <c r="H9" s="17" t="s">
        <v>911</v>
      </c>
      <c r="I9" s="19">
        <v>44335</v>
      </c>
      <c r="J9" s="17">
        <v>0</v>
      </c>
      <c r="K9" s="23">
        <f t="shared" ref="K9:K15" si="29">L9/42</f>
        <v>0.21428571428571427</v>
      </c>
      <c r="L9" s="17">
        <v>9</v>
      </c>
      <c r="M9" s="18">
        <v>44301</v>
      </c>
      <c r="N9" s="18">
        <v>44323</v>
      </c>
      <c r="O9" s="22">
        <f t="shared" ref="O9" ca="1" si="30">IF(S9&lt;0,0,S9/U9*L9)</f>
        <v>9</v>
      </c>
      <c r="P9" s="22">
        <f t="shared" ref="P9" ca="1" si="31">(N9-R9)/U9*L9</f>
        <v>0</v>
      </c>
      <c r="Q9" s="19">
        <f t="shared" ref="Q9" si="32">IF(M9&lt;$X$1,$X$1,M9)</f>
        <v>44301</v>
      </c>
      <c r="R9" s="19">
        <f t="shared" ref="R9" ca="1" si="33">IF(N9&lt;Q9,Q9-1,IF(TODAY()&gt;N9,N9,TODAY()))</f>
        <v>44323</v>
      </c>
      <c r="S9" s="24">
        <f t="shared" ref="S9" ca="1" si="34">IF(R9-Q9+1&lt;0,0,R9-Q9+1)</f>
        <v>23</v>
      </c>
      <c r="T9" s="24">
        <f t="shared" ref="T9" ca="1" si="35">IF(R9&gt;N9,0,N9-R9)</f>
        <v>0</v>
      </c>
      <c r="U9" s="17">
        <f t="shared" ref="U9" si="36">N9-M9+1</f>
        <v>23</v>
      </c>
      <c r="V9" s="17">
        <v>0</v>
      </c>
      <c r="W9" s="17"/>
      <c r="X9" s="17"/>
      <c r="Y9" s="17" t="str">
        <f t="shared" si="11"/>
        <v>邱媛媛-0/1/2</v>
      </c>
      <c r="Z9" s="17" t="s">
        <v>423</v>
      </c>
      <c r="AA9" s="17" t="str">
        <f t="shared" si="12"/>
        <v>邱媛媛-0/1/2</v>
      </c>
      <c r="AB9" s="22">
        <f t="shared" si="13"/>
        <v>0</v>
      </c>
      <c r="AC9" s="22">
        <f t="shared" ca="1" si="8"/>
        <v>101.77272727272731</v>
      </c>
      <c r="AD9" s="22">
        <f t="shared" ca="1" si="9"/>
        <v>0</v>
      </c>
      <c r="AE9" s="22">
        <f t="shared" ca="1" si="14"/>
        <v>10.727272727272691</v>
      </c>
      <c r="AF9" s="22">
        <f t="shared" si="10"/>
        <v>112.5</v>
      </c>
      <c r="AG9" s="27">
        <v>62.283272727272703</v>
      </c>
    </row>
    <row r="10" spans="1:33" ht="16.149999999999999" customHeight="1" x14ac:dyDescent="0.15">
      <c r="A10" s="17" t="s">
        <v>1065</v>
      </c>
      <c r="B10" s="17" t="s">
        <v>1167</v>
      </c>
      <c r="C10" s="17" t="s">
        <v>910</v>
      </c>
      <c r="D10" s="17" t="s">
        <v>1168</v>
      </c>
      <c r="E10" s="17"/>
      <c r="F10" s="17"/>
      <c r="G10" s="17"/>
      <c r="H10" s="17" t="s">
        <v>911</v>
      </c>
      <c r="I10" s="19">
        <v>44323</v>
      </c>
      <c r="J10" s="17">
        <v>0</v>
      </c>
      <c r="K10" s="23">
        <f t="shared" si="29"/>
        <v>0.21428571428571427</v>
      </c>
      <c r="L10" s="17">
        <v>9</v>
      </c>
      <c r="M10" s="18">
        <v>44306</v>
      </c>
      <c r="N10" s="18">
        <v>44323</v>
      </c>
      <c r="O10" s="22">
        <f t="shared" ref="O10" ca="1" si="37">IF(S10&lt;0,0,S10/U10*L10)</f>
        <v>9</v>
      </c>
      <c r="P10" s="22">
        <f t="shared" ref="P10" ca="1" si="38">(N10-R10)/U10*L10</f>
        <v>0</v>
      </c>
      <c r="Q10" s="19">
        <f t="shared" ref="Q10" si="39">IF(M10&lt;$X$1,$X$1,M10)</f>
        <v>44306</v>
      </c>
      <c r="R10" s="19">
        <f t="shared" ref="R10" ca="1" si="40">IF(N10&lt;Q10,Q10-1,IF(TODAY()&gt;N10,N10,TODAY()))</f>
        <v>44323</v>
      </c>
      <c r="S10" s="24">
        <f t="shared" ref="S10" ca="1" si="41">IF(R10-Q10+1&lt;0,0,R10-Q10+1)</f>
        <v>18</v>
      </c>
      <c r="T10" s="24">
        <f t="shared" ref="T10" ca="1" si="42">IF(R10&gt;N10,0,N10-R10)</f>
        <v>0</v>
      </c>
      <c r="U10" s="17">
        <f t="shared" ref="U10" si="43">N10-M10+1</f>
        <v>18</v>
      </c>
      <c r="V10" s="17">
        <v>0</v>
      </c>
      <c r="W10" s="17"/>
      <c r="X10" s="17"/>
      <c r="Y10" s="17" t="str">
        <f t="shared" si="11"/>
        <v>陈杰樱-0/1/1</v>
      </c>
      <c r="Z10" s="17" t="s">
        <v>242</v>
      </c>
      <c r="AA10" s="17" t="str">
        <f t="shared" si="12"/>
        <v>陈杰樱-0/1/1</v>
      </c>
      <c r="AB10" s="22">
        <f t="shared" si="13"/>
        <v>0</v>
      </c>
      <c r="AC10" s="22">
        <f t="shared" ca="1" si="8"/>
        <v>90.971428571428561</v>
      </c>
      <c r="AD10" s="22">
        <f t="shared" ca="1" si="9"/>
        <v>15.428571428571427</v>
      </c>
      <c r="AE10" s="22">
        <f t="shared" ca="1" si="14"/>
        <v>6.1000000000000121</v>
      </c>
      <c r="AF10" s="22">
        <f t="shared" si="10"/>
        <v>112.5</v>
      </c>
      <c r="AG10" s="27">
        <v>106</v>
      </c>
    </row>
    <row r="11" spans="1:33" ht="15.75" x14ac:dyDescent="0.15">
      <c r="A11" s="17" t="s">
        <v>1162</v>
      </c>
      <c r="B11" s="17" t="s">
        <v>1161</v>
      </c>
      <c r="C11" s="17" t="s">
        <v>1187</v>
      </c>
      <c r="D11" s="17" t="s">
        <v>124</v>
      </c>
      <c r="E11" s="17"/>
      <c r="F11" s="17"/>
      <c r="G11" s="17"/>
      <c r="H11" s="17" t="s">
        <v>911</v>
      </c>
      <c r="I11" s="19"/>
      <c r="J11" s="17">
        <v>0</v>
      </c>
      <c r="K11" s="23">
        <f t="shared" si="29"/>
        <v>0.19047619047619047</v>
      </c>
      <c r="L11" s="17">
        <v>8</v>
      </c>
      <c r="M11" s="17"/>
      <c r="N11" s="17"/>
      <c r="O11" s="22">
        <v>8</v>
      </c>
      <c r="P11" s="22"/>
      <c r="Q11" s="19"/>
      <c r="R11" s="17"/>
      <c r="S11" s="24"/>
      <c r="T11" s="24"/>
      <c r="U11" s="17"/>
      <c r="V11" s="17">
        <v>0</v>
      </c>
      <c r="W11" s="17"/>
      <c r="X11" s="17"/>
      <c r="Y11" s="17" t="str">
        <f t="shared" si="11"/>
        <v>苏雷皓-0/0/2</v>
      </c>
      <c r="Z11" s="17" t="s">
        <v>382</v>
      </c>
      <c r="AA11" s="17" t="str">
        <f t="shared" si="12"/>
        <v>苏雷皓-0/0/2</v>
      </c>
      <c r="AB11" s="22">
        <f t="shared" si="13"/>
        <v>0</v>
      </c>
      <c r="AC11" s="22">
        <f t="shared" ca="1" si="8"/>
        <v>52.043478260869591</v>
      </c>
      <c r="AD11" s="22">
        <f t="shared" ca="1" si="9"/>
        <v>0</v>
      </c>
      <c r="AE11" s="22">
        <f t="shared" ca="1" si="14"/>
        <v>60.456521739130409</v>
      </c>
      <c r="AF11" s="22">
        <f t="shared" si="10"/>
        <v>112.5</v>
      </c>
      <c r="AG11" s="27">
        <v>72.012521739130406</v>
      </c>
    </row>
    <row r="12" spans="1:33" ht="15.75" x14ac:dyDescent="0.15">
      <c r="A12" s="17" t="s">
        <v>1163</v>
      </c>
      <c r="B12" s="17" t="s">
        <v>1161</v>
      </c>
      <c r="C12" s="17" t="s">
        <v>1187</v>
      </c>
      <c r="D12" s="17" t="s">
        <v>124</v>
      </c>
      <c r="E12" s="17"/>
      <c r="F12" s="17"/>
      <c r="G12" s="17"/>
      <c r="H12" s="17" t="s">
        <v>911</v>
      </c>
      <c r="I12" s="19"/>
      <c r="J12" s="17">
        <v>0</v>
      </c>
      <c r="K12" s="23">
        <f t="shared" si="29"/>
        <v>0.19047619047619047</v>
      </c>
      <c r="L12" s="17">
        <v>8</v>
      </c>
      <c r="M12" s="17"/>
      <c r="N12" s="17"/>
      <c r="O12" s="22">
        <v>8</v>
      </c>
      <c r="P12" s="22"/>
      <c r="Q12" s="19"/>
      <c r="R12" s="17"/>
      <c r="S12" s="24"/>
      <c r="T12" s="24"/>
      <c r="U12" s="17"/>
      <c r="V12" s="17">
        <v>0</v>
      </c>
      <c r="W12" s="17"/>
      <c r="X12" s="17"/>
      <c r="Y12" s="17" t="str">
        <f t="shared" si="11"/>
        <v>章群燕-0/2/1</v>
      </c>
      <c r="Z12" s="17" t="s">
        <v>299</v>
      </c>
      <c r="AA12" s="17" t="str">
        <f t="shared" si="12"/>
        <v>章群燕-0/2/1</v>
      </c>
      <c r="AB12" s="22">
        <f t="shared" si="13"/>
        <v>0</v>
      </c>
      <c r="AC12" s="22">
        <f t="shared" ca="1" si="8"/>
        <v>92.680851063830005</v>
      </c>
      <c r="AD12" s="22">
        <f t="shared" ca="1" si="9"/>
        <v>0</v>
      </c>
      <c r="AE12" s="22">
        <f t="shared" ca="1" si="14"/>
        <v>19.819148936169995</v>
      </c>
      <c r="AF12" s="22">
        <f t="shared" si="10"/>
        <v>112.5</v>
      </c>
      <c r="AG12" s="27">
        <v>157.37514893617001</v>
      </c>
    </row>
    <row r="13" spans="1:33" ht="15.75" x14ac:dyDescent="0.15">
      <c r="A13" s="17" t="s">
        <v>1164</v>
      </c>
      <c r="B13" s="17" t="s">
        <v>1161</v>
      </c>
      <c r="C13" s="17" t="s">
        <v>1187</v>
      </c>
      <c r="D13" s="17" t="s">
        <v>124</v>
      </c>
      <c r="E13" s="17"/>
      <c r="F13" s="17"/>
      <c r="G13" s="17"/>
      <c r="H13" s="17" t="s">
        <v>911</v>
      </c>
      <c r="I13" s="19"/>
      <c r="J13" s="17">
        <v>0</v>
      </c>
      <c r="K13" s="23">
        <f t="shared" si="29"/>
        <v>0.19047619047619047</v>
      </c>
      <c r="L13" s="17">
        <v>8</v>
      </c>
      <c r="M13" s="17"/>
      <c r="N13" s="17"/>
      <c r="O13" s="22">
        <v>8</v>
      </c>
      <c r="P13" s="22"/>
      <c r="Q13" s="19"/>
      <c r="R13" s="17"/>
      <c r="S13" s="24"/>
      <c r="T13" s="24"/>
      <c r="U13" s="17"/>
      <c r="V13" s="17">
        <v>0</v>
      </c>
      <c r="W13" s="17"/>
      <c r="X13" s="17"/>
      <c r="Y13" s="17" t="str">
        <f t="shared" ref="Y13:Y19" si="44">VLOOKUP(Z13,$X$77:$AB$96,5,FALSE)</f>
        <v>沈一筹-0/1/2</v>
      </c>
      <c r="Z13" s="17" t="s">
        <v>502</v>
      </c>
      <c r="AA13" s="17" t="str">
        <f t="shared" si="12"/>
        <v>沈一筹-0/1/2</v>
      </c>
      <c r="AB13" s="22">
        <f t="shared" si="13"/>
        <v>3</v>
      </c>
      <c r="AC13" s="22">
        <f t="shared" ca="1" si="8"/>
        <v>45</v>
      </c>
      <c r="AD13" s="22">
        <f t="shared" ca="1" si="9"/>
        <v>0</v>
      </c>
      <c r="AE13" s="22">
        <f t="shared" ca="1" si="14"/>
        <v>64.5</v>
      </c>
      <c r="AF13" s="22">
        <f t="shared" si="10"/>
        <v>112.5</v>
      </c>
      <c r="AG13" s="27">
        <v>49.5</v>
      </c>
    </row>
    <row r="14" spans="1:33" ht="15.75" x14ac:dyDescent="0.15">
      <c r="A14" s="17" t="s">
        <v>1165</v>
      </c>
      <c r="B14" s="17" t="s">
        <v>1161</v>
      </c>
      <c r="C14" s="17" t="s">
        <v>1187</v>
      </c>
      <c r="D14" s="17" t="s">
        <v>124</v>
      </c>
      <c r="E14" s="17"/>
      <c r="F14" s="17"/>
      <c r="G14" s="17"/>
      <c r="H14" s="17" t="s">
        <v>911</v>
      </c>
      <c r="I14" s="19"/>
      <c r="J14" s="17">
        <v>0</v>
      </c>
      <c r="K14" s="23">
        <f t="shared" si="29"/>
        <v>9.5238095238095233E-2</v>
      </c>
      <c r="L14" s="17">
        <v>4</v>
      </c>
      <c r="M14" s="17"/>
      <c r="N14" s="17"/>
      <c r="O14" s="22">
        <v>4</v>
      </c>
      <c r="P14" s="22"/>
      <c r="Q14" s="19"/>
      <c r="R14" s="17"/>
      <c r="S14" s="24"/>
      <c r="T14" s="24"/>
      <c r="U14" s="17"/>
      <c r="V14" s="17">
        <v>0</v>
      </c>
      <c r="W14" s="17"/>
      <c r="X14" s="17"/>
      <c r="Y14" s="17" t="str">
        <f t="shared" si="44"/>
        <v>商月-0/1/3</v>
      </c>
      <c r="Z14" s="17" t="s">
        <v>450</v>
      </c>
      <c r="AA14" s="17" t="str">
        <f t="shared" si="12"/>
        <v>商月-0/1/3</v>
      </c>
      <c r="AB14" s="22">
        <f t="shared" si="13"/>
        <v>4</v>
      </c>
      <c r="AC14" s="22">
        <f t="shared" ca="1" si="8"/>
        <v>46.000000000000043</v>
      </c>
      <c r="AD14" s="22">
        <f t="shared" ca="1" si="9"/>
        <v>0</v>
      </c>
      <c r="AE14" s="22">
        <f t="shared" ca="1" si="14"/>
        <v>62.499999999999957</v>
      </c>
      <c r="AF14" s="22">
        <f t="shared" si="10"/>
        <v>112.5</v>
      </c>
      <c r="AG14" s="27">
        <v>96.543243243243197</v>
      </c>
    </row>
    <row r="15" spans="1:33" ht="15.75" x14ac:dyDescent="0.15">
      <c r="A15" s="17" t="s">
        <v>1166</v>
      </c>
      <c r="B15" s="17" t="s">
        <v>1161</v>
      </c>
      <c r="C15" s="17" t="s">
        <v>1187</v>
      </c>
      <c r="D15" s="17" t="s">
        <v>124</v>
      </c>
      <c r="E15" s="17"/>
      <c r="F15" s="17"/>
      <c r="G15" s="17"/>
      <c r="H15" s="17" t="s">
        <v>911</v>
      </c>
      <c r="I15" s="19"/>
      <c r="J15" s="17">
        <v>0</v>
      </c>
      <c r="K15" s="23">
        <f t="shared" si="29"/>
        <v>7.1428571428571425E-2</v>
      </c>
      <c r="L15" s="17">
        <v>3</v>
      </c>
      <c r="M15" s="17"/>
      <c r="N15" s="17"/>
      <c r="O15" s="22">
        <v>3</v>
      </c>
      <c r="P15" s="22"/>
      <c r="Q15" s="19"/>
      <c r="R15" s="17"/>
      <c r="S15" s="24"/>
      <c r="T15" s="24"/>
      <c r="U15" s="17"/>
      <c r="V15" s="17">
        <v>0</v>
      </c>
      <c r="W15" s="17"/>
      <c r="X15" s="17"/>
      <c r="Y15" s="17" t="str">
        <f t="shared" si="44"/>
        <v>陈鹤-0/2/1</v>
      </c>
      <c r="Z15" s="17" t="s">
        <v>739</v>
      </c>
      <c r="AA15" s="17" t="str">
        <f t="shared" si="12"/>
        <v>陈鹤-0/2/1</v>
      </c>
      <c r="AB15" s="22">
        <f t="shared" si="13"/>
        <v>0</v>
      </c>
      <c r="AC15" s="22">
        <f t="shared" ca="1" si="8"/>
        <v>102.96724137931041</v>
      </c>
      <c r="AD15" s="22">
        <f t="shared" ca="1" si="9"/>
        <v>0</v>
      </c>
      <c r="AE15" s="22">
        <f t="shared" ca="1" si="14"/>
        <v>9.5327586206895916</v>
      </c>
      <c r="AF15" s="22">
        <f t="shared" si="10"/>
        <v>112.5</v>
      </c>
      <c r="AG15" s="27">
        <v>69.932758620689597</v>
      </c>
    </row>
    <row r="16" spans="1:33" ht="15.75" x14ac:dyDescent="0.15">
      <c r="A16" s="17" t="s">
        <v>361</v>
      </c>
      <c r="B16" s="17" t="s">
        <v>1154</v>
      </c>
      <c r="C16" s="17" t="s">
        <v>1138</v>
      </c>
      <c r="D16" s="17" t="s">
        <v>1155</v>
      </c>
      <c r="E16" s="17" t="s">
        <v>1156</v>
      </c>
      <c r="F16" s="17"/>
      <c r="G16" s="17"/>
      <c r="H16" s="17" t="s">
        <v>1175</v>
      </c>
      <c r="I16" s="19">
        <v>44338</v>
      </c>
      <c r="J16" s="17">
        <v>0</v>
      </c>
      <c r="K16" s="23">
        <f>L16/42</f>
        <v>0.16666666666666666</v>
      </c>
      <c r="L16" s="17">
        <v>7</v>
      </c>
      <c r="M16" s="18">
        <v>44334</v>
      </c>
      <c r="N16" s="18">
        <v>44338</v>
      </c>
      <c r="O16" s="22">
        <f t="shared" ref="O16" ca="1" si="45">IF(S16&lt;0,0,S16/U16*L16)</f>
        <v>7</v>
      </c>
      <c r="P16" s="22">
        <f t="shared" ref="P16" ca="1" si="46">(N16-R16)/U16*L16</f>
        <v>0</v>
      </c>
      <c r="Q16" s="19">
        <f t="shared" ref="Q16" si="47">IF(M16&lt;$X$1,$X$1,M16)</f>
        <v>44334</v>
      </c>
      <c r="R16" s="19">
        <f t="shared" ref="R16:R19" ca="1" si="48">IF(N16&lt;Q16,Q16-1,IF(TODAY()&gt;N16,N16,TODAY()))</f>
        <v>44338</v>
      </c>
      <c r="S16" s="24">
        <f t="shared" ref="S16" ca="1" si="49">IF(R16-Q16+1&lt;0,0,R16-Q16+1)</f>
        <v>5</v>
      </c>
      <c r="T16" s="24">
        <f t="shared" ref="T16" ca="1" si="50">IF(R16&gt;N16,0,N16-R16)</f>
        <v>0</v>
      </c>
      <c r="U16" s="17">
        <f t="shared" ref="U16" si="51">N16-M16+1</f>
        <v>5</v>
      </c>
      <c r="V16" s="17">
        <v>1</v>
      </c>
      <c r="W16" s="17"/>
      <c r="X16" s="17"/>
      <c r="Y16" s="17" t="str">
        <f t="shared" si="44"/>
        <v>李靖民-0/2/2</v>
      </c>
      <c r="Z16" s="17" t="s">
        <v>215</v>
      </c>
      <c r="AA16" s="17" t="str">
        <f t="shared" si="12"/>
        <v>李靖民-0/2/2</v>
      </c>
      <c r="AB16" s="22">
        <f t="shared" si="13"/>
        <v>0</v>
      </c>
      <c r="AC16" s="22">
        <f t="shared" ca="1" si="8"/>
        <v>121.2258064516129</v>
      </c>
      <c r="AD16" s="22">
        <f t="shared" ca="1" si="9"/>
        <v>0</v>
      </c>
      <c r="AE16" s="22">
        <f t="shared" ca="1" si="14"/>
        <v>0</v>
      </c>
      <c r="AF16" s="22">
        <f t="shared" si="10"/>
        <v>112.5</v>
      </c>
      <c r="AG16" s="27">
        <v>89.274193548387103</v>
      </c>
    </row>
    <row r="17" spans="1:33" ht="15.75" x14ac:dyDescent="0.15">
      <c r="A17" s="17" t="s">
        <v>727</v>
      </c>
      <c r="B17" s="17" t="s">
        <v>1080</v>
      </c>
      <c r="C17" s="17" t="s">
        <v>1081</v>
      </c>
      <c r="D17" s="17" t="s">
        <v>1062</v>
      </c>
      <c r="E17" s="17" t="s">
        <v>1079</v>
      </c>
      <c r="F17" s="17"/>
      <c r="G17" s="17"/>
      <c r="H17" s="17" t="s">
        <v>1081</v>
      </c>
      <c r="I17" s="19"/>
      <c r="J17" s="17"/>
      <c r="K17" s="23">
        <f>L17/42</f>
        <v>0.21428571428571427</v>
      </c>
      <c r="L17" s="17">
        <v>9</v>
      </c>
      <c r="M17" s="18">
        <v>44333</v>
      </c>
      <c r="N17" s="18">
        <v>44352</v>
      </c>
      <c r="O17" s="22">
        <f t="shared" ref="O17:O19" ca="1" si="52">IF(S17&lt;0,0,S17/U17*L17)</f>
        <v>3.6</v>
      </c>
      <c r="P17" s="22">
        <f t="shared" ref="P17:P19" ca="1" si="53">(N17-R17)/U17*L17</f>
        <v>5.3999999999999995</v>
      </c>
      <c r="Q17" s="19">
        <f t="shared" ref="Q17:Q19" si="54">IF(M17&lt;$X$1,$X$1,M17)</f>
        <v>44333</v>
      </c>
      <c r="R17" s="19">
        <f t="shared" ca="1" si="48"/>
        <v>44340</v>
      </c>
      <c r="S17" s="24">
        <f t="shared" ref="S17:S19" ca="1" si="55">IF(R17-Q17+1&lt;0,0,R17-Q17+1)</f>
        <v>8</v>
      </c>
      <c r="T17" s="24">
        <f t="shared" ref="T17:T19" ca="1" si="56">IF(R17&gt;N17,0,N17-R17)</f>
        <v>12</v>
      </c>
      <c r="U17" s="17">
        <f t="shared" ref="U17:U19" si="57">N17-M17+1</f>
        <v>20</v>
      </c>
      <c r="V17" s="17">
        <v>1</v>
      </c>
      <c r="W17" s="17"/>
      <c r="X17" s="17"/>
      <c r="Y17" s="17" t="str">
        <f t="shared" si="44"/>
        <v>杨子玉-0/6/1</v>
      </c>
      <c r="Z17" s="17" t="s">
        <v>202</v>
      </c>
      <c r="AA17" s="17" t="str">
        <f t="shared" si="12"/>
        <v>杨子玉-0/6/1</v>
      </c>
      <c r="AB17" s="22">
        <f t="shared" si="13"/>
        <v>0</v>
      </c>
      <c r="AC17" s="22">
        <f t="shared" ca="1" si="8"/>
        <v>109.85000000000001</v>
      </c>
      <c r="AD17" s="22">
        <f t="shared" ca="1" si="9"/>
        <v>2</v>
      </c>
      <c r="AE17" s="22">
        <f t="shared" ca="1" si="14"/>
        <v>0.64999999999999147</v>
      </c>
      <c r="AF17" s="22">
        <f t="shared" si="10"/>
        <v>112.5</v>
      </c>
      <c r="AG17" s="27">
        <v>34.549999999999997</v>
      </c>
    </row>
    <row r="18" spans="1:33" ht="15.75" x14ac:dyDescent="0.15">
      <c r="A18" s="17" t="s">
        <v>1074</v>
      </c>
      <c r="B18" s="17" t="s">
        <v>1073</v>
      </c>
      <c r="C18" s="17" t="s">
        <v>900</v>
      </c>
      <c r="D18" s="17" t="s">
        <v>136</v>
      </c>
      <c r="E18" s="17" t="s">
        <v>1075</v>
      </c>
      <c r="F18" s="17" t="s">
        <v>1076</v>
      </c>
      <c r="G18" s="17" t="s">
        <v>1078</v>
      </c>
      <c r="H18" s="17" t="s">
        <v>900</v>
      </c>
      <c r="I18" s="19"/>
      <c r="J18" s="17"/>
      <c r="K18" s="23">
        <f t="shared" ref="K18:K21" si="58">L18/42</f>
        <v>1</v>
      </c>
      <c r="L18" s="17">
        <v>42</v>
      </c>
      <c r="M18" s="18">
        <v>44330</v>
      </c>
      <c r="N18" s="18">
        <v>44351</v>
      </c>
      <c r="O18" s="22">
        <f t="shared" ca="1" si="52"/>
        <v>21</v>
      </c>
      <c r="P18" s="22">
        <f t="shared" ca="1" si="53"/>
        <v>21</v>
      </c>
      <c r="Q18" s="19">
        <f t="shared" si="54"/>
        <v>44330</v>
      </c>
      <c r="R18" s="19">
        <f t="shared" ca="1" si="48"/>
        <v>44340</v>
      </c>
      <c r="S18" s="24">
        <f t="shared" ca="1" si="55"/>
        <v>11</v>
      </c>
      <c r="T18" s="24">
        <f t="shared" ca="1" si="56"/>
        <v>11</v>
      </c>
      <c r="U18" s="17">
        <f t="shared" si="57"/>
        <v>22</v>
      </c>
      <c r="V18" s="17">
        <v>1</v>
      </c>
      <c r="W18" s="17"/>
      <c r="X18" s="17"/>
      <c r="Y18" s="17" t="str">
        <f t="shared" si="44"/>
        <v>孙道伟-0/1/2</v>
      </c>
      <c r="Z18" s="17" t="s">
        <v>211</v>
      </c>
      <c r="AA18" s="17" t="str">
        <f t="shared" si="12"/>
        <v>孙道伟-0/1/2</v>
      </c>
      <c r="AB18" s="22">
        <f t="shared" si="13"/>
        <v>0</v>
      </c>
      <c r="AC18" s="22">
        <f t="shared" ca="1" si="8"/>
        <v>66.999999999999986</v>
      </c>
      <c r="AD18" s="22">
        <f t="shared" ca="1" si="9"/>
        <v>0</v>
      </c>
      <c r="AE18" s="22">
        <f t="shared" ca="1" si="14"/>
        <v>45.500000000000014</v>
      </c>
      <c r="AF18" s="22">
        <f t="shared" si="10"/>
        <v>112.5</v>
      </c>
      <c r="AG18" s="27">
        <v>80.683783783783795</v>
      </c>
    </row>
    <row r="19" spans="1:33" ht="15.75" x14ac:dyDescent="0.15">
      <c r="A19" s="17" t="s">
        <v>1072</v>
      </c>
      <c r="B19" s="17" t="s">
        <v>1067</v>
      </c>
      <c r="C19" s="17" t="s">
        <v>900</v>
      </c>
      <c r="D19" s="17" t="s">
        <v>136</v>
      </c>
      <c r="E19" s="17" t="s">
        <v>19</v>
      </c>
      <c r="F19" s="17"/>
      <c r="G19" s="17"/>
      <c r="H19" s="17" t="s">
        <v>900</v>
      </c>
      <c r="I19" s="19"/>
      <c r="J19" s="17"/>
      <c r="K19" s="23">
        <f t="shared" si="58"/>
        <v>0.8571428571428571</v>
      </c>
      <c r="L19" s="17">
        <v>36</v>
      </c>
      <c r="M19" s="18">
        <v>44329</v>
      </c>
      <c r="N19" s="18">
        <v>44347</v>
      </c>
      <c r="O19" s="22">
        <f t="shared" ca="1" si="52"/>
        <v>22.736842105263158</v>
      </c>
      <c r="P19" s="22">
        <f t="shared" ca="1" si="53"/>
        <v>13.263157894736841</v>
      </c>
      <c r="Q19" s="19">
        <f t="shared" si="54"/>
        <v>44329</v>
      </c>
      <c r="R19" s="19">
        <f t="shared" ca="1" si="48"/>
        <v>44340</v>
      </c>
      <c r="S19" s="24">
        <f t="shared" ca="1" si="55"/>
        <v>12</v>
      </c>
      <c r="T19" s="24">
        <f t="shared" ca="1" si="56"/>
        <v>7</v>
      </c>
      <c r="U19" s="17">
        <f t="shared" si="57"/>
        <v>19</v>
      </c>
      <c r="V19" s="17">
        <v>1</v>
      </c>
      <c r="W19" s="17"/>
      <c r="X19" s="17"/>
      <c r="Y19" s="17" t="str">
        <f t="shared" si="44"/>
        <v>周功平-0/2/0</v>
      </c>
      <c r="Z19" s="17" t="s">
        <v>482</v>
      </c>
      <c r="AA19" s="17" t="str">
        <f t="shared" si="12"/>
        <v>周功平-0/2/0</v>
      </c>
      <c r="AB19" s="22">
        <f t="shared" si="13"/>
        <v>0</v>
      </c>
      <c r="AC19" s="22">
        <f t="shared" ca="1" si="8"/>
        <v>38</v>
      </c>
      <c r="AD19" s="22">
        <f t="shared" ca="1" si="9"/>
        <v>0</v>
      </c>
      <c r="AE19" s="22">
        <f t="shared" ca="1" si="14"/>
        <v>29.5</v>
      </c>
      <c r="AF19" s="22">
        <v>67.5</v>
      </c>
      <c r="AG19" s="27">
        <v>46.5</v>
      </c>
    </row>
    <row r="20" spans="1:33" ht="15.75" x14ac:dyDescent="0.15">
      <c r="A20" s="17" t="s">
        <v>1070</v>
      </c>
      <c r="B20" s="17" t="s">
        <v>1069</v>
      </c>
      <c r="C20" s="17" t="s">
        <v>900</v>
      </c>
      <c r="D20" s="17" t="s">
        <v>136</v>
      </c>
      <c r="E20" s="17" t="s">
        <v>1075</v>
      </c>
      <c r="F20" s="17" t="s">
        <v>1071</v>
      </c>
      <c r="G20" s="17"/>
      <c r="H20" s="17" t="s">
        <v>900</v>
      </c>
      <c r="I20" s="19"/>
      <c r="J20" s="17"/>
      <c r="K20" s="23">
        <f t="shared" si="58"/>
        <v>0.8571428571428571</v>
      </c>
      <c r="L20" s="17">
        <v>36</v>
      </c>
      <c r="M20" s="18">
        <v>44329</v>
      </c>
      <c r="N20" s="18">
        <v>44349</v>
      </c>
      <c r="O20" s="22">
        <f t="shared" ref="O20" ca="1" si="59">IF(S20&lt;0,0,S20/U20*L20)</f>
        <v>20.571428571428569</v>
      </c>
      <c r="P20" s="22">
        <f t="shared" ref="P20" ca="1" si="60">(N20-R20)/U20*L20</f>
        <v>15.428571428571427</v>
      </c>
      <c r="Q20" s="19">
        <f t="shared" ref="Q20" si="61">IF(M20&lt;$X$1,$X$1,M20)</f>
        <v>44329</v>
      </c>
      <c r="R20" s="19">
        <f t="shared" ref="R20" ca="1" si="62">IF(N20&lt;Q20,Q20-1,IF(TODAY()&gt;N20,N20,TODAY()))</f>
        <v>44340</v>
      </c>
      <c r="S20" s="24">
        <f t="shared" ref="S20" ca="1" si="63">IF(R20-Q20+1&lt;0,0,R20-Q20+1)</f>
        <v>12</v>
      </c>
      <c r="T20" s="24">
        <f t="shared" ref="T20" ca="1" si="64">IF(R20&gt;N20,0,N20-R20)</f>
        <v>9</v>
      </c>
      <c r="U20" s="17">
        <f t="shared" ref="U20" si="65">N20-M20+1</f>
        <v>21</v>
      </c>
      <c r="V20" s="17">
        <v>1</v>
      </c>
      <c r="W20" s="17"/>
      <c r="X20" s="17"/>
    </row>
    <row r="21" spans="1:33" ht="15.75" x14ac:dyDescent="0.15">
      <c r="A21" s="17" t="s">
        <v>1065</v>
      </c>
      <c r="B21" s="17" t="s">
        <v>1064</v>
      </c>
      <c r="C21" s="17" t="s">
        <v>900</v>
      </c>
      <c r="D21" s="17" t="s">
        <v>135</v>
      </c>
      <c r="E21" s="17" t="s">
        <v>1042</v>
      </c>
      <c r="F21" s="17"/>
      <c r="G21" s="17"/>
      <c r="H21" s="17" t="s">
        <v>900</v>
      </c>
      <c r="I21" s="19"/>
      <c r="J21" s="17"/>
      <c r="K21" s="23">
        <f t="shared" si="58"/>
        <v>0.47619047619047616</v>
      </c>
      <c r="L21" s="17">
        <v>20</v>
      </c>
      <c r="M21" s="18">
        <v>44322</v>
      </c>
      <c r="N21" s="18">
        <v>44333</v>
      </c>
      <c r="O21" s="22">
        <f t="shared" ref="O21:O22" ca="1" si="66">IF(S21&lt;0,0,S21/U21*L21)</f>
        <v>20</v>
      </c>
      <c r="P21" s="22">
        <f t="shared" ref="P21:P22" ca="1" si="67">(N21-R21)/U21*L21</f>
        <v>0</v>
      </c>
      <c r="Q21" s="19">
        <f t="shared" ref="Q21:Q22" si="68">IF(M21&lt;$X$1,$X$1,M21)</f>
        <v>44322</v>
      </c>
      <c r="R21" s="19">
        <f t="shared" ref="R21:R22" ca="1" si="69">IF(N21&lt;Q21,Q21-1,IF(TODAY()&gt;N21,N21,TODAY()))</f>
        <v>44333</v>
      </c>
      <c r="S21" s="24">
        <f t="shared" ref="S21:S22" ca="1" si="70">IF(R21-Q21+1&lt;0,0,R21-Q21+1)</f>
        <v>12</v>
      </c>
      <c r="T21" s="24">
        <f t="shared" ref="T21:T22" ca="1" si="71">IF(R21&gt;N21,0,N21-R21)</f>
        <v>0</v>
      </c>
      <c r="U21" s="17">
        <f t="shared" ref="U21:U22" si="72">N21-M21+1</f>
        <v>12</v>
      </c>
      <c r="V21" s="17">
        <v>1</v>
      </c>
      <c r="W21" s="17"/>
      <c r="X21" s="17"/>
      <c r="AA21" s="22"/>
      <c r="AB21" s="22"/>
    </row>
    <row r="22" spans="1:33" ht="15.75" x14ac:dyDescent="0.15">
      <c r="A22" s="17" t="s">
        <v>1066</v>
      </c>
      <c r="B22" s="17" t="s">
        <v>1064</v>
      </c>
      <c r="C22" s="17" t="s">
        <v>900</v>
      </c>
      <c r="D22" s="17" t="s">
        <v>135</v>
      </c>
      <c r="E22" s="17" t="s">
        <v>1042</v>
      </c>
      <c r="F22" s="17"/>
      <c r="G22" s="17"/>
      <c r="H22" s="17" t="s">
        <v>900</v>
      </c>
      <c r="I22" s="17"/>
      <c r="J22" s="17"/>
      <c r="K22" s="23">
        <f t="shared" ref="K22:K31" si="73">L22/42</f>
        <v>0.47619047619047616</v>
      </c>
      <c r="L22" s="17">
        <v>20</v>
      </c>
      <c r="M22" s="18">
        <v>44322</v>
      </c>
      <c r="N22" s="18">
        <v>44333</v>
      </c>
      <c r="O22" s="22">
        <f t="shared" ca="1" si="66"/>
        <v>20</v>
      </c>
      <c r="P22" s="22">
        <f t="shared" ca="1" si="67"/>
        <v>0</v>
      </c>
      <c r="Q22" s="19">
        <f t="shared" si="68"/>
        <v>44322</v>
      </c>
      <c r="R22" s="19">
        <f t="shared" ca="1" si="69"/>
        <v>44333</v>
      </c>
      <c r="S22" s="24">
        <f t="shared" ca="1" si="70"/>
        <v>12</v>
      </c>
      <c r="T22" s="24">
        <f t="shared" ca="1" si="71"/>
        <v>0</v>
      </c>
      <c r="U22" s="17">
        <f t="shared" si="72"/>
        <v>12</v>
      </c>
      <c r="V22" s="17">
        <v>0</v>
      </c>
      <c r="W22" s="17"/>
      <c r="AB22" s="22"/>
    </row>
    <row r="23" spans="1:33" ht="15.75" x14ac:dyDescent="0.15">
      <c r="A23" s="17" t="s">
        <v>393</v>
      </c>
      <c r="B23" s="17" t="s">
        <v>1044</v>
      </c>
      <c r="C23" s="17" t="s">
        <v>900</v>
      </c>
      <c r="D23" s="17" t="s">
        <v>136</v>
      </c>
      <c r="E23" s="17" t="s">
        <v>1045</v>
      </c>
      <c r="F23" s="17"/>
      <c r="G23" s="17"/>
      <c r="H23" s="17" t="s">
        <v>900</v>
      </c>
      <c r="I23" s="17"/>
      <c r="J23" s="17"/>
      <c r="K23" s="23">
        <f t="shared" si="73"/>
        <v>0.5714285714285714</v>
      </c>
      <c r="L23" s="17">
        <v>24</v>
      </c>
      <c r="M23" s="18">
        <v>44323</v>
      </c>
      <c r="N23" s="18">
        <v>44343</v>
      </c>
      <c r="O23" s="22">
        <f t="shared" ref="O23" ca="1" si="74">IF(S23&lt;0,0,S23/U23*L23)</f>
        <v>20.571428571428569</v>
      </c>
      <c r="P23" s="22">
        <f t="shared" ref="P23" ca="1" si="75">(N23-R23)/U23*L23</f>
        <v>3.4285714285714284</v>
      </c>
      <c r="Q23" s="19">
        <f t="shared" ref="Q23" si="76">IF(M23&lt;$X$1,$X$1,M23)</f>
        <v>44323</v>
      </c>
      <c r="R23" s="19">
        <f t="shared" ref="R23" ca="1" si="77">IF(N23&lt;Q23,Q23-1,IF(TODAY()&gt;N23,N23,TODAY()))</f>
        <v>44340</v>
      </c>
      <c r="S23" s="24">
        <f t="shared" ref="S23" ca="1" si="78">IF(R23-Q23+1&lt;0,0,R23-Q23+1)</f>
        <v>18</v>
      </c>
      <c r="T23" s="24">
        <f t="shared" ref="T23" ca="1" si="79">IF(R23&gt;N23,0,N23-R23)</f>
        <v>3</v>
      </c>
      <c r="U23" s="17">
        <f t="shared" ref="U23" si="80">N23-M23+1</f>
        <v>21</v>
      </c>
      <c r="V23" s="17">
        <v>1</v>
      </c>
      <c r="W23" s="17"/>
      <c r="AB23" s="22"/>
    </row>
    <row r="24" spans="1:33" ht="15.75" x14ac:dyDescent="0.15">
      <c r="A24" s="17" t="s">
        <v>482</v>
      </c>
      <c r="B24" s="17" t="s">
        <v>1043</v>
      </c>
      <c r="C24" s="17" t="s">
        <v>900</v>
      </c>
      <c r="D24" s="17" t="s">
        <v>135</v>
      </c>
      <c r="E24" s="17" t="s">
        <v>84</v>
      </c>
      <c r="F24" s="17"/>
      <c r="G24" s="17"/>
      <c r="H24" s="17" t="s">
        <v>900</v>
      </c>
      <c r="I24" s="17"/>
      <c r="J24" s="17"/>
      <c r="K24" s="23">
        <f t="shared" si="73"/>
        <v>0.16666666666666666</v>
      </c>
      <c r="L24" s="17">
        <v>7</v>
      </c>
      <c r="M24" s="18">
        <v>44321</v>
      </c>
      <c r="N24" s="18">
        <v>44333</v>
      </c>
      <c r="O24" s="22">
        <f t="shared" ref="O24" ca="1" si="81">IF(S24&lt;0,0,S24/U24*L24)</f>
        <v>7</v>
      </c>
      <c r="P24" s="22">
        <f t="shared" ref="P24" ca="1" si="82">(N24-R24)/U24*L24</f>
        <v>0</v>
      </c>
      <c r="Q24" s="19">
        <f t="shared" ref="Q24" si="83">IF(M24&lt;$X$1,$X$1,M24)</f>
        <v>44321</v>
      </c>
      <c r="R24" s="19">
        <f t="shared" ref="R24" ca="1" si="84">IF(N24&lt;Q24,Q24-1,IF(TODAY()&gt;N24,N24,TODAY()))</f>
        <v>44333</v>
      </c>
      <c r="S24" s="24">
        <f t="shared" ref="S24" ca="1" si="85">IF(R24-Q24+1&lt;0,0,R24-Q24+1)</f>
        <v>13</v>
      </c>
      <c r="T24" s="24">
        <f t="shared" ref="T24" ca="1" si="86">IF(R24&gt;N24,0,N24-R24)</f>
        <v>0</v>
      </c>
      <c r="U24" s="17">
        <f t="shared" ref="U24" si="87">N24-M24+1</f>
        <v>13</v>
      </c>
      <c r="V24" s="17">
        <v>1</v>
      </c>
      <c r="W24" s="17"/>
      <c r="AB24" s="22"/>
    </row>
    <row r="25" spans="1:33" ht="15.75" x14ac:dyDescent="0.15">
      <c r="A25" s="17" t="s">
        <v>524</v>
      </c>
      <c r="B25" s="17" t="s">
        <v>899</v>
      </c>
      <c r="C25" s="17" t="s">
        <v>900</v>
      </c>
      <c r="D25" s="17" t="s">
        <v>136</v>
      </c>
      <c r="E25" s="17" t="s">
        <v>19</v>
      </c>
      <c r="F25" s="17"/>
      <c r="G25" s="17"/>
      <c r="H25" s="17" t="s">
        <v>900</v>
      </c>
      <c r="I25" s="17"/>
      <c r="J25" s="17"/>
      <c r="K25" s="23">
        <f t="shared" si="73"/>
        <v>1</v>
      </c>
      <c r="L25" s="17">
        <v>42</v>
      </c>
      <c r="M25" s="18">
        <v>44322</v>
      </c>
      <c r="N25" s="18">
        <v>44342</v>
      </c>
      <c r="O25" s="22">
        <f t="shared" ref="O25" ca="1" si="88">IF(S25&lt;0,0,S25/U25*L25)</f>
        <v>38</v>
      </c>
      <c r="P25" s="22">
        <f t="shared" ref="P25" ca="1" si="89">(N25-R25)/U25*L25</f>
        <v>4</v>
      </c>
      <c r="Q25" s="19">
        <f t="shared" ref="Q25" si="90">IF(M25&lt;$X$1,$X$1,M25)</f>
        <v>44322</v>
      </c>
      <c r="R25" s="19">
        <f t="shared" ref="R25" ca="1" si="91">IF(N25&lt;Q25,Q25-1,IF(TODAY()&gt;N25,N25,TODAY()))</f>
        <v>44340</v>
      </c>
      <c r="S25" s="24">
        <f t="shared" ref="S25" ca="1" si="92">IF(R25-Q25+1&lt;0,0,R25-Q25+1)</f>
        <v>19</v>
      </c>
      <c r="T25" s="24">
        <f t="shared" ref="T25" ca="1" si="93">IF(R25&gt;N25,0,N25-R25)</f>
        <v>2</v>
      </c>
      <c r="U25" s="17">
        <f t="shared" ref="U25" si="94">N25-M25+1</f>
        <v>21</v>
      </c>
      <c r="V25" s="17">
        <v>1</v>
      </c>
      <c r="W25" s="17"/>
      <c r="X25" s="17"/>
      <c r="Y25" s="17"/>
      <c r="Z25" s="17"/>
      <c r="AA25" s="22"/>
      <c r="AB25" s="17"/>
      <c r="AC25"/>
      <c r="AD25" s="22"/>
    </row>
    <row r="26" spans="1:33" ht="15.75" x14ac:dyDescent="0.15">
      <c r="A26" s="17" t="s">
        <v>450</v>
      </c>
      <c r="B26" s="17" t="s">
        <v>902</v>
      </c>
      <c r="C26" s="17" t="s">
        <v>900</v>
      </c>
      <c r="D26" s="17" t="s">
        <v>135</v>
      </c>
      <c r="E26" s="17" t="s">
        <v>1042</v>
      </c>
      <c r="F26" s="17"/>
      <c r="G26" s="17"/>
      <c r="H26" s="17" t="s">
        <v>1175</v>
      </c>
      <c r="I26" s="19">
        <v>44316</v>
      </c>
      <c r="J26" s="17">
        <v>0</v>
      </c>
      <c r="K26" s="23">
        <f t="shared" si="73"/>
        <v>4.7619047619047616E-2</v>
      </c>
      <c r="L26" s="17">
        <v>2</v>
      </c>
      <c r="M26" s="18">
        <v>44308</v>
      </c>
      <c r="N26" s="18">
        <v>44316</v>
      </c>
      <c r="O26" s="22">
        <f t="shared" ref="O26:O30" ca="1" si="95">IF(S26&lt;0,0,S26/U26*L26)</f>
        <v>2</v>
      </c>
      <c r="P26" s="22">
        <f t="shared" ref="P26:P30" ca="1" si="96">(N26-R26)/U26*L26</f>
        <v>0</v>
      </c>
      <c r="Q26" s="19">
        <f t="shared" ref="Q26:Q30" si="97">IF(M26&lt;$X$1,$X$1,M26)</f>
        <v>44308</v>
      </c>
      <c r="R26" s="19">
        <f t="shared" ref="R26:R30" ca="1" si="98">IF(N26&lt;Q26,Q26-1,IF(TODAY()&gt;N26,N26,TODAY()))</f>
        <v>44316</v>
      </c>
      <c r="S26" s="24">
        <f t="shared" ref="S26:S30" ca="1" si="99">IF(R26-Q26+1&lt;0,0,R26-Q26+1)</f>
        <v>9</v>
      </c>
      <c r="T26" s="24">
        <f t="shared" ref="T26:T30" ca="1" si="100">IF(R26&gt;N26,0,N26-R26)</f>
        <v>0</v>
      </c>
      <c r="U26" s="17">
        <f t="shared" ref="U26:U30" si="101">N26-M26+1</f>
        <v>9</v>
      </c>
      <c r="V26" s="17">
        <v>1</v>
      </c>
      <c r="AB26" s="17"/>
      <c r="AC26"/>
      <c r="AD26" s="22"/>
    </row>
    <row r="27" spans="1:33" ht="15.75" x14ac:dyDescent="0.15">
      <c r="A27" s="17" t="s">
        <v>211</v>
      </c>
      <c r="B27" s="17" t="s">
        <v>904</v>
      </c>
      <c r="C27" s="17" t="s">
        <v>910</v>
      </c>
      <c r="D27" s="17" t="s">
        <v>135</v>
      </c>
      <c r="E27" s="17" t="s">
        <v>1042</v>
      </c>
      <c r="F27" s="17"/>
      <c r="G27" s="17"/>
      <c r="H27" s="17" t="s">
        <v>911</v>
      </c>
      <c r="I27" s="19">
        <v>44316</v>
      </c>
      <c r="J27" s="17">
        <v>0</v>
      </c>
      <c r="K27" s="23">
        <f t="shared" si="73"/>
        <v>4.7619047619047616E-2</v>
      </c>
      <c r="L27" s="17">
        <v>2</v>
      </c>
      <c r="M27" s="18">
        <v>44314</v>
      </c>
      <c r="N27" s="18">
        <v>44316</v>
      </c>
      <c r="O27" s="22">
        <f t="shared" ca="1" si="95"/>
        <v>2</v>
      </c>
      <c r="P27" s="22">
        <f t="shared" ca="1" si="96"/>
        <v>0</v>
      </c>
      <c r="Q27" s="19">
        <f t="shared" si="97"/>
        <v>44314</v>
      </c>
      <c r="R27" s="19">
        <f t="shared" ca="1" si="98"/>
        <v>44316</v>
      </c>
      <c r="S27" s="24">
        <f t="shared" ca="1" si="99"/>
        <v>3</v>
      </c>
      <c r="T27" s="24">
        <f t="shared" ca="1" si="100"/>
        <v>0</v>
      </c>
      <c r="U27" s="17">
        <f t="shared" si="101"/>
        <v>3</v>
      </c>
      <c r="V27" s="17">
        <v>1</v>
      </c>
      <c r="AB27" s="17"/>
      <c r="AC27" s="17"/>
      <c r="AD27" s="22"/>
    </row>
    <row r="28" spans="1:33" ht="15.75" x14ac:dyDescent="0.15">
      <c r="A28" s="17" t="s">
        <v>423</v>
      </c>
      <c r="B28" s="17" t="s">
        <v>904</v>
      </c>
      <c r="C28" s="17" t="s">
        <v>910</v>
      </c>
      <c r="D28" s="17" t="s">
        <v>135</v>
      </c>
      <c r="E28" s="17" t="s">
        <v>1042</v>
      </c>
      <c r="F28" s="17"/>
      <c r="G28" s="17"/>
      <c r="H28" s="17" t="s">
        <v>911</v>
      </c>
      <c r="I28" s="19">
        <v>44316</v>
      </c>
      <c r="J28" s="17">
        <v>0</v>
      </c>
      <c r="K28" s="23">
        <f t="shared" si="73"/>
        <v>4.7619047619047616E-2</v>
      </c>
      <c r="L28" s="17">
        <v>2</v>
      </c>
      <c r="M28" s="18">
        <v>44314</v>
      </c>
      <c r="N28" s="18">
        <v>44316</v>
      </c>
      <c r="O28" s="22">
        <f t="shared" ca="1" si="95"/>
        <v>2</v>
      </c>
      <c r="P28" s="22">
        <f t="shared" ca="1" si="96"/>
        <v>0</v>
      </c>
      <c r="Q28" s="19">
        <f t="shared" si="97"/>
        <v>44314</v>
      </c>
      <c r="R28" s="19">
        <f t="shared" ca="1" si="98"/>
        <v>44316</v>
      </c>
      <c r="S28" s="24">
        <f t="shared" ca="1" si="99"/>
        <v>3</v>
      </c>
      <c r="T28" s="24">
        <f t="shared" ca="1" si="100"/>
        <v>0</v>
      </c>
      <c r="U28" s="17">
        <f t="shared" si="101"/>
        <v>3</v>
      </c>
      <c r="V28" s="17">
        <v>0</v>
      </c>
    </row>
    <row r="29" spans="1:33" ht="15.75" x14ac:dyDescent="0.15">
      <c r="A29" s="17" t="s">
        <v>202</v>
      </c>
      <c r="B29" s="17" t="s">
        <v>1041</v>
      </c>
      <c r="C29" s="17" t="s">
        <v>910</v>
      </c>
      <c r="D29" s="17" t="s">
        <v>135</v>
      </c>
      <c r="E29" s="17" t="s">
        <v>1042</v>
      </c>
      <c r="F29" s="17"/>
      <c r="G29" s="17"/>
      <c r="H29" s="17" t="s">
        <v>911</v>
      </c>
      <c r="I29" s="19">
        <v>44316</v>
      </c>
      <c r="J29" s="17">
        <v>0</v>
      </c>
      <c r="K29" s="23">
        <f t="shared" si="73"/>
        <v>0.14285714285714285</v>
      </c>
      <c r="L29" s="17">
        <v>6</v>
      </c>
      <c r="M29" s="18">
        <v>44314</v>
      </c>
      <c r="N29" s="18">
        <v>44316</v>
      </c>
      <c r="O29" s="22">
        <f t="shared" ca="1" si="95"/>
        <v>6</v>
      </c>
      <c r="P29" s="22">
        <f t="shared" ca="1" si="96"/>
        <v>0</v>
      </c>
      <c r="Q29" s="19">
        <f t="shared" si="97"/>
        <v>44314</v>
      </c>
      <c r="R29" s="19">
        <f t="shared" ca="1" si="98"/>
        <v>44316</v>
      </c>
      <c r="S29" s="24">
        <f t="shared" ca="1" si="99"/>
        <v>3</v>
      </c>
      <c r="T29" s="24">
        <f t="shared" ca="1" si="100"/>
        <v>0</v>
      </c>
      <c r="U29" s="17">
        <f t="shared" si="101"/>
        <v>3</v>
      </c>
      <c r="V29" s="17">
        <v>1</v>
      </c>
    </row>
    <row r="30" spans="1:33" ht="15.75" x14ac:dyDescent="0.15">
      <c r="A30" s="17" t="s">
        <v>482</v>
      </c>
      <c r="B30" s="17" t="s">
        <v>905</v>
      </c>
      <c r="C30" s="17" t="s">
        <v>910</v>
      </c>
      <c r="D30" s="17" t="s">
        <v>135</v>
      </c>
      <c r="E30" s="17" t="s">
        <v>84</v>
      </c>
      <c r="F30" s="17"/>
      <c r="G30" s="17"/>
      <c r="H30" s="17" t="s">
        <v>911</v>
      </c>
      <c r="I30" s="19">
        <v>44316</v>
      </c>
      <c r="J30" s="17">
        <v>0</v>
      </c>
      <c r="K30" s="23">
        <f t="shared" si="73"/>
        <v>9.5238095238095233E-2</v>
      </c>
      <c r="L30" s="17">
        <v>4</v>
      </c>
      <c r="M30" s="18">
        <v>44305</v>
      </c>
      <c r="N30" s="18">
        <v>44316</v>
      </c>
      <c r="O30" s="22">
        <f t="shared" ca="1" si="95"/>
        <v>4</v>
      </c>
      <c r="P30" s="22">
        <f t="shared" ca="1" si="96"/>
        <v>0</v>
      </c>
      <c r="Q30" s="19">
        <f t="shared" si="97"/>
        <v>44305</v>
      </c>
      <c r="R30" s="19">
        <f t="shared" ca="1" si="98"/>
        <v>44316</v>
      </c>
      <c r="S30" s="24">
        <f t="shared" ca="1" si="99"/>
        <v>12</v>
      </c>
      <c r="T30" s="24">
        <f t="shared" ca="1" si="100"/>
        <v>0</v>
      </c>
      <c r="U30" s="17">
        <f t="shared" si="101"/>
        <v>12</v>
      </c>
      <c r="V30" s="17">
        <v>1</v>
      </c>
    </row>
    <row r="31" spans="1:33" ht="15.75" x14ac:dyDescent="0.15">
      <c r="A31" s="17" t="s">
        <v>361</v>
      </c>
      <c r="B31" s="17" t="s">
        <v>906</v>
      </c>
      <c r="C31" s="17" t="s">
        <v>1138</v>
      </c>
      <c r="D31" s="17" t="s">
        <v>907</v>
      </c>
      <c r="E31" s="17" t="s">
        <v>14</v>
      </c>
      <c r="F31" s="17"/>
      <c r="G31" s="17"/>
      <c r="H31" s="17" t="s">
        <v>1082</v>
      </c>
      <c r="I31" s="19">
        <v>44330</v>
      </c>
      <c r="J31" s="17">
        <v>2</v>
      </c>
      <c r="K31" s="23">
        <f t="shared" si="73"/>
        <v>0.83333333333333337</v>
      </c>
      <c r="L31" s="17">
        <v>35</v>
      </c>
      <c r="M31" s="18">
        <v>44311</v>
      </c>
      <c r="N31" s="18">
        <v>44328</v>
      </c>
      <c r="O31" s="22">
        <f t="shared" ref="O31" ca="1" si="102">IF(S31&lt;0,0,S31/U31*L31)</f>
        <v>35</v>
      </c>
      <c r="P31" s="22">
        <f t="shared" ref="P31" ca="1" si="103">(N31-R31)/U31*L31</f>
        <v>0</v>
      </c>
      <c r="Q31" s="19">
        <f t="shared" ref="Q31" si="104">IF(M31&lt;$X$1,$X$1,M31)</f>
        <v>44311</v>
      </c>
      <c r="R31" s="19">
        <f t="shared" ref="R31" ca="1" si="105">IF(N31&lt;Q31,Q31-1,IF(TODAY()&gt;N31,N31,TODAY()))</f>
        <v>44328</v>
      </c>
      <c r="S31" s="24">
        <f t="shared" ref="S31" ca="1" si="106">IF(R31-Q31+1&lt;0,0,R31-Q31+1)</f>
        <v>18</v>
      </c>
      <c r="T31" s="24">
        <f t="shared" ref="T31" ca="1" si="107">IF(R31&gt;N31,0,N31-R31)</f>
        <v>0</v>
      </c>
      <c r="U31" s="17">
        <f t="shared" ref="U31" si="108">N31-M31+1</f>
        <v>18</v>
      </c>
      <c r="V31" s="17">
        <v>1</v>
      </c>
    </row>
    <row r="32" spans="1:33" ht="15.75" x14ac:dyDescent="0.15">
      <c r="A32" s="17" t="s">
        <v>299</v>
      </c>
      <c r="B32" s="17" t="s">
        <v>908</v>
      </c>
      <c r="C32" s="17" t="s">
        <v>910</v>
      </c>
      <c r="D32" s="17" t="s">
        <v>136</v>
      </c>
      <c r="E32" s="17" t="s">
        <v>19</v>
      </c>
      <c r="F32" s="17"/>
      <c r="G32" s="17"/>
      <c r="H32" s="17" t="s">
        <v>911</v>
      </c>
      <c r="I32" s="19">
        <v>44330</v>
      </c>
      <c r="J32" s="17">
        <v>0</v>
      </c>
      <c r="K32" s="17">
        <v>1</v>
      </c>
      <c r="L32" s="17">
        <v>42</v>
      </c>
      <c r="M32" s="18">
        <v>44307</v>
      </c>
      <c r="N32" s="18">
        <v>44330</v>
      </c>
      <c r="O32" s="22">
        <f t="shared" ref="O32:O33" ca="1" si="109">IF(S32&lt;0,0,S32/U32*L32)</f>
        <v>42</v>
      </c>
      <c r="P32" s="22">
        <f t="shared" ref="P32:P33" ca="1" si="110">(N32-R32)/U32*L32</f>
        <v>0</v>
      </c>
      <c r="Q32" s="19">
        <f t="shared" ref="Q32:Q33" si="111">IF(M32&lt;$X$1,$X$1,M32)</f>
        <v>44307</v>
      </c>
      <c r="R32" s="19">
        <f t="shared" ref="R32:R33" ca="1" si="112">IF(N32&lt;Q32,Q32-1,IF(TODAY()&gt;N32,N32,TODAY()))</f>
        <v>44330</v>
      </c>
      <c r="S32" s="24">
        <f t="shared" ref="S32:S33" ca="1" si="113">IF(R32-Q32+1&lt;0,0,R32-Q32+1)</f>
        <v>24</v>
      </c>
      <c r="T32" s="24">
        <f t="shared" ref="T32:T33" ca="1" si="114">IF(R32&gt;N32,0,N32-R32)</f>
        <v>0</v>
      </c>
      <c r="U32" s="17">
        <f t="shared" ref="U32:U33" si="115">N32-M32+1</f>
        <v>24</v>
      </c>
      <c r="V32" s="17">
        <v>1</v>
      </c>
    </row>
    <row r="33" spans="1:22" ht="15.75" x14ac:dyDescent="0.15">
      <c r="A33" s="17" t="s">
        <v>406</v>
      </c>
      <c r="B33" s="17" t="s">
        <v>160</v>
      </c>
      <c r="C33" s="17" t="s">
        <v>910</v>
      </c>
      <c r="D33" s="17" t="s">
        <v>136</v>
      </c>
      <c r="E33" s="17" t="s">
        <v>19</v>
      </c>
      <c r="F33" s="17"/>
      <c r="G33" s="17"/>
      <c r="H33" s="17" t="s">
        <v>913</v>
      </c>
      <c r="I33" s="19">
        <v>44329</v>
      </c>
      <c r="J33" s="17">
        <v>1</v>
      </c>
      <c r="K33" s="17">
        <v>1.1000000000000001</v>
      </c>
      <c r="L33" s="17">
        <v>45</v>
      </c>
      <c r="M33" s="18">
        <v>44305</v>
      </c>
      <c r="N33" s="18">
        <v>44328</v>
      </c>
      <c r="O33" s="22">
        <f t="shared" ca="1" si="109"/>
        <v>45</v>
      </c>
      <c r="P33" s="22">
        <f t="shared" ca="1" si="110"/>
        <v>0</v>
      </c>
      <c r="Q33" s="19">
        <f t="shared" si="111"/>
        <v>44305</v>
      </c>
      <c r="R33" s="19">
        <f t="shared" ca="1" si="112"/>
        <v>44328</v>
      </c>
      <c r="S33" s="24">
        <f t="shared" ca="1" si="113"/>
        <v>24</v>
      </c>
      <c r="T33" s="24">
        <f t="shared" ca="1" si="114"/>
        <v>0</v>
      </c>
      <c r="U33" s="17">
        <f t="shared" si="115"/>
        <v>24</v>
      </c>
      <c r="V33" s="17">
        <v>1</v>
      </c>
    </row>
    <row r="34" spans="1:22" ht="15.75" x14ac:dyDescent="0.15">
      <c r="A34" s="17" t="s">
        <v>215</v>
      </c>
      <c r="B34" s="17" t="s">
        <v>909</v>
      </c>
      <c r="C34" s="17" t="s">
        <v>910</v>
      </c>
      <c r="D34" s="17" t="s">
        <v>135</v>
      </c>
      <c r="E34" s="17" t="s">
        <v>1042</v>
      </c>
      <c r="F34" s="17"/>
      <c r="G34" s="17"/>
      <c r="H34" s="17" t="s">
        <v>911</v>
      </c>
      <c r="I34" s="19">
        <v>44311</v>
      </c>
      <c r="J34" s="17">
        <v>0</v>
      </c>
      <c r="K34" s="23">
        <f>L34/42</f>
        <v>0.19047619047619047</v>
      </c>
      <c r="L34" s="17">
        <v>8</v>
      </c>
      <c r="M34" s="18">
        <v>44298</v>
      </c>
      <c r="N34" s="18">
        <v>44311</v>
      </c>
      <c r="O34" s="22">
        <f t="shared" ref="O34" ca="1" si="116">IF(S34&lt;0,0,S34/U34*L34)</f>
        <v>8</v>
      </c>
      <c r="P34" s="22">
        <f t="shared" ref="P34" ca="1" si="117">(N34-R34)/U34*L34</f>
        <v>0</v>
      </c>
      <c r="Q34" s="19">
        <f t="shared" ref="Q34" si="118">IF(M34&lt;$X$1,$X$1,M34)</f>
        <v>44298</v>
      </c>
      <c r="R34" s="19">
        <f t="shared" ref="R34" ca="1" si="119">IF(N34&lt;Q34,Q34-1,IF(TODAY()&gt;N34,N34,TODAY()))</f>
        <v>44311</v>
      </c>
      <c r="S34" s="24">
        <f t="shared" ref="S34" ca="1" si="120">IF(R34-Q34+1&lt;0,0,R34-Q34+1)</f>
        <v>14</v>
      </c>
      <c r="T34" s="24">
        <f t="shared" ref="T34" ca="1" si="121">IF(R34&gt;N34,0,N34-R34)</f>
        <v>0</v>
      </c>
      <c r="U34" s="17">
        <f t="shared" ref="U34" si="122">N34-M34+1</f>
        <v>14</v>
      </c>
      <c r="V34" s="17">
        <v>1</v>
      </c>
    </row>
    <row r="35" spans="1:22" ht="15.75" x14ac:dyDescent="0.15">
      <c r="A35" s="17" t="s">
        <v>450</v>
      </c>
      <c r="B35" s="17" t="s">
        <v>912</v>
      </c>
      <c r="C35" s="17" t="s">
        <v>910</v>
      </c>
      <c r="D35" s="17" t="s">
        <v>135</v>
      </c>
      <c r="E35" s="17" t="s">
        <v>84</v>
      </c>
      <c r="F35" s="17"/>
      <c r="G35" s="17"/>
      <c r="H35" s="17" t="s">
        <v>913</v>
      </c>
      <c r="I35" s="19">
        <v>44322</v>
      </c>
      <c r="J35" s="17">
        <v>11</v>
      </c>
      <c r="K35" s="23">
        <f>L35/42</f>
        <v>7.1428571428571425E-2</v>
      </c>
      <c r="L35" s="17">
        <v>3</v>
      </c>
      <c r="M35" s="18">
        <v>44298</v>
      </c>
      <c r="N35" s="18">
        <v>44305</v>
      </c>
      <c r="O35" s="22">
        <f t="shared" ref="O35" ca="1" si="123">IF(S35&lt;0,0,S35/U35*L35)</f>
        <v>3</v>
      </c>
      <c r="P35" s="22">
        <f t="shared" ref="P35" ca="1" si="124">(N35-R35)/U35*L35</f>
        <v>0</v>
      </c>
      <c r="Q35" s="19">
        <f t="shared" ref="Q35" si="125">IF(M35&lt;$X$1,$X$1,M35)</f>
        <v>44298</v>
      </c>
      <c r="R35" s="19">
        <f t="shared" ref="R35" ca="1" si="126">IF(N35&lt;Q35,Q35-1,IF(TODAY()&gt;N35,N35,TODAY()))</f>
        <v>44305</v>
      </c>
      <c r="S35" s="24">
        <f t="shared" ref="S35" ca="1" si="127">IF(R35-Q35+1&lt;0,0,R35-Q35+1)</f>
        <v>8</v>
      </c>
      <c r="T35" s="24">
        <f t="shared" ref="T35" ca="1" si="128">IF(R35&gt;N35,0,N35-R35)</f>
        <v>0</v>
      </c>
      <c r="U35" s="17">
        <f t="shared" ref="U35" si="129">N35-M35+1</f>
        <v>8</v>
      </c>
      <c r="V35" s="17">
        <v>1</v>
      </c>
    </row>
    <row r="36" spans="1:22" ht="15.75" x14ac:dyDescent="0.15">
      <c r="A36" s="17" t="s">
        <v>524</v>
      </c>
      <c r="B36" s="17" t="s">
        <v>158</v>
      </c>
      <c r="C36" s="17" t="s">
        <v>910</v>
      </c>
      <c r="D36" s="17" t="s">
        <v>136</v>
      </c>
      <c r="E36" s="17" t="s">
        <v>19</v>
      </c>
      <c r="F36" s="17"/>
      <c r="G36" s="17"/>
      <c r="H36" s="17" t="s">
        <v>913</v>
      </c>
      <c r="I36" s="19">
        <v>44316</v>
      </c>
      <c r="J36" s="17">
        <v>1</v>
      </c>
      <c r="K36" s="17">
        <v>1</v>
      </c>
      <c r="L36" s="17">
        <f>K36*42</f>
        <v>42</v>
      </c>
      <c r="M36" s="18">
        <v>44295</v>
      </c>
      <c r="N36" s="18">
        <v>44315</v>
      </c>
      <c r="O36" s="22">
        <f t="shared" ref="O36:O39" ca="1" si="130">IF(S36&lt;0,0,S36/U36*L36)</f>
        <v>42</v>
      </c>
      <c r="P36" s="22">
        <f t="shared" ref="P36:P39" ca="1" si="131">(N36-R36)/U36*L36</f>
        <v>0</v>
      </c>
      <c r="Q36" s="19">
        <f t="shared" ref="Q36" si="132">IF(M36&lt;$X$1,$X$1,M36)</f>
        <v>44295</v>
      </c>
      <c r="R36" s="19">
        <f t="shared" ref="R36" ca="1" si="133">IF(N36&lt;Q36,Q36-1,IF(TODAY()&gt;N36,N36,TODAY()))</f>
        <v>44315</v>
      </c>
      <c r="S36" s="24">
        <f t="shared" ref="S36" ca="1" si="134">IF(R36-Q36+1&lt;0,0,R36-Q36+1)</f>
        <v>21</v>
      </c>
      <c r="T36" s="24">
        <f t="shared" ref="T36" ca="1" si="135">IF(R36&gt;N36,0,N36-R36)</f>
        <v>0</v>
      </c>
      <c r="U36" s="17">
        <f t="shared" ref="U36" si="136">N36-M36+1</f>
        <v>21</v>
      </c>
      <c r="V36" s="17">
        <v>1</v>
      </c>
    </row>
    <row r="37" spans="1:22" ht="15.75" x14ac:dyDescent="0.15">
      <c r="A37" s="17" t="s">
        <v>242</v>
      </c>
      <c r="B37" s="17" t="s">
        <v>1068</v>
      </c>
      <c r="C37" s="17" t="s">
        <v>910</v>
      </c>
      <c r="D37" s="17" t="s">
        <v>135</v>
      </c>
      <c r="E37" s="17" t="s">
        <v>84</v>
      </c>
      <c r="F37" s="17"/>
      <c r="G37" s="17"/>
      <c r="H37" s="17" t="s">
        <v>913</v>
      </c>
      <c r="I37" s="19">
        <v>44328</v>
      </c>
      <c r="J37" s="17">
        <v>9</v>
      </c>
      <c r="K37" s="17">
        <v>1.2</v>
      </c>
      <c r="L37" s="17">
        <f>K37*42</f>
        <v>50.4</v>
      </c>
      <c r="M37" s="18">
        <v>44295</v>
      </c>
      <c r="N37" s="18">
        <v>44315</v>
      </c>
      <c r="O37" s="22">
        <f t="shared" ca="1" si="130"/>
        <v>50.4</v>
      </c>
      <c r="P37" s="22">
        <f t="shared" ca="1" si="131"/>
        <v>0</v>
      </c>
      <c r="Q37" s="19">
        <f t="shared" ref="Q37" si="137">IF(M37&lt;$X$1,$X$1,M37)</f>
        <v>44295</v>
      </c>
      <c r="R37" s="19">
        <f t="shared" ref="R37" ca="1" si="138">IF(N37&lt;Q37,Q37-1,IF(TODAY()&gt;N37,N37,TODAY()))</f>
        <v>44315</v>
      </c>
      <c r="S37" s="24">
        <f t="shared" ref="S37" ca="1" si="139">IF(R37-Q37+1&lt;0,0,R37-Q37+1)</f>
        <v>21</v>
      </c>
      <c r="T37" s="24">
        <f t="shared" ref="T37" ca="1" si="140">IF(R37&gt;N37,0,N37-R37)</f>
        <v>0</v>
      </c>
      <c r="U37" s="17">
        <f t="shared" ref="U37" si="141">N37-M37+1</f>
        <v>21</v>
      </c>
      <c r="V37" s="17">
        <v>1</v>
      </c>
    </row>
    <row r="38" spans="1:22" ht="15.75" x14ac:dyDescent="0.15">
      <c r="A38" s="17" t="s">
        <v>739</v>
      </c>
      <c r="B38" s="17" t="s">
        <v>914</v>
      </c>
      <c r="C38" s="17" t="s">
        <v>910</v>
      </c>
      <c r="D38" s="17" t="s">
        <v>135</v>
      </c>
      <c r="E38" s="17" t="s">
        <v>84</v>
      </c>
      <c r="F38" s="17"/>
      <c r="G38" s="17"/>
      <c r="H38" s="17" t="s">
        <v>913</v>
      </c>
      <c r="I38" s="19">
        <v>44328</v>
      </c>
      <c r="J38" s="17">
        <v>9</v>
      </c>
      <c r="K38" s="17">
        <v>1.2</v>
      </c>
      <c r="L38" s="17">
        <f>K38*42</f>
        <v>50.4</v>
      </c>
      <c r="M38" s="18">
        <v>44295</v>
      </c>
      <c r="N38" s="18">
        <v>44315</v>
      </c>
      <c r="O38" s="22">
        <f t="shared" ref="O38" ca="1" si="142">IF(S38&lt;0,0,S38/U38*L38)</f>
        <v>50.4</v>
      </c>
      <c r="P38" s="22">
        <f t="shared" ref="P38" ca="1" si="143">(N38-R38)/U38*L38</f>
        <v>0</v>
      </c>
      <c r="Q38" s="19">
        <f t="shared" ref="Q38" si="144">IF(M38&lt;$X$1,$X$1,M38)</f>
        <v>44295</v>
      </c>
      <c r="R38" s="19">
        <f t="shared" ref="R38" ca="1" si="145">IF(N38&lt;Q38,Q38-1,IF(TODAY()&gt;N38,N38,TODAY()))</f>
        <v>44315</v>
      </c>
      <c r="S38" s="24">
        <f t="shared" ref="S38" ca="1" si="146">IF(R38-Q38+1&lt;0,0,R38-Q38+1)</f>
        <v>21</v>
      </c>
      <c r="T38" s="24">
        <f t="shared" ref="T38" ca="1" si="147">IF(R38&gt;N38,0,N38-R38)</f>
        <v>0</v>
      </c>
      <c r="U38" s="17">
        <f t="shared" ref="U38" si="148">N38-M38+1</f>
        <v>21</v>
      </c>
      <c r="V38" s="17">
        <v>0</v>
      </c>
    </row>
    <row r="39" spans="1:22" ht="15.75" x14ac:dyDescent="0.15">
      <c r="A39" s="17" t="s">
        <v>482</v>
      </c>
      <c r="B39" s="17" t="s">
        <v>915</v>
      </c>
      <c r="C39" s="17" t="s">
        <v>910</v>
      </c>
      <c r="D39" s="17" t="s">
        <v>124</v>
      </c>
      <c r="E39" s="17" t="s">
        <v>84</v>
      </c>
      <c r="F39" s="17"/>
      <c r="G39" s="17"/>
      <c r="H39" s="17" t="s">
        <v>911</v>
      </c>
      <c r="I39" s="19">
        <v>44307</v>
      </c>
      <c r="J39" s="17">
        <v>0</v>
      </c>
      <c r="K39" s="17">
        <v>0.6</v>
      </c>
      <c r="L39" s="17">
        <f>K39*45</f>
        <v>27</v>
      </c>
      <c r="M39" s="18">
        <v>44280</v>
      </c>
      <c r="N39" s="18">
        <v>44307</v>
      </c>
      <c r="O39" s="22">
        <f t="shared" ca="1" si="130"/>
        <v>27</v>
      </c>
      <c r="P39" s="22">
        <f t="shared" ca="1" si="131"/>
        <v>0</v>
      </c>
      <c r="Q39" s="19">
        <f t="shared" ref="Q39" si="149">IF(M39&lt;$X$1,$X$1,M39)</f>
        <v>44280</v>
      </c>
      <c r="R39" s="19">
        <f t="shared" ref="R39" ca="1" si="150">IF(N39&lt;Q39,Q39-1,IF(TODAY()&gt;N39,N39,TODAY()))</f>
        <v>44307</v>
      </c>
      <c r="S39" s="24">
        <f t="shared" ref="S39" ca="1" si="151">IF(R39-Q39+1&lt;0,0,R39-Q39+1)</f>
        <v>28</v>
      </c>
      <c r="T39" s="24">
        <f t="shared" ref="T39" ca="1" si="152">IF(R39&gt;N39,0,N39-R39)</f>
        <v>0</v>
      </c>
      <c r="U39" s="17">
        <f t="shared" ref="U39" si="153">N39-M39+1</f>
        <v>28</v>
      </c>
      <c r="V39" s="17">
        <v>1</v>
      </c>
    </row>
    <row r="40" spans="1:22" ht="15.75" x14ac:dyDescent="0.15">
      <c r="A40" s="17" t="s">
        <v>361</v>
      </c>
      <c r="B40" s="17" t="s">
        <v>916</v>
      </c>
      <c r="C40" s="17" t="s">
        <v>910</v>
      </c>
      <c r="D40" s="17" t="s">
        <v>135</v>
      </c>
      <c r="E40" s="17" t="s">
        <v>30</v>
      </c>
      <c r="F40" s="17" t="s">
        <v>14</v>
      </c>
      <c r="G40" s="17"/>
      <c r="H40" s="17" t="s">
        <v>913</v>
      </c>
      <c r="I40" s="19">
        <v>44307</v>
      </c>
      <c r="J40" s="17">
        <v>2</v>
      </c>
      <c r="K40" s="23">
        <f t="shared" ref="K40:K46" si="154">L40/45</f>
        <v>1</v>
      </c>
      <c r="L40" s="17">
        <v>45</v>
      </c>
      <c r="M40" s="18">
        <v>44284</v>
      </c>
      <c r="N40" s="18">
        <v>44303</v>
      </c>
      <c r="O40" s="22">
        <f t="shared" ref="O40:O42" ca="1" si="155">IF(S40&lt;0,0,S40/U40*L40)</f>
        <v>45</v>
      </c>
      <c r="P40" s="22">
        <f t="shared" ref="P40:P41" ca="1" si="156">(N40-R40)/U40*L40</f>
        <v>0</v>
      </c>
      <c r="Q40" s="19">
        <f t="shared" ref="Q40:Q41" si="157">IF(M40&lt;$X$1,$X$1,M40)</f>
        <v>44284</v>
      </c>
      <c r="R40" s="19">
        <f t="shared" ref="R40:R43" ca="1" si="158">IF(N40&lt;Q40,Q40-1,IF(TODAY()&gt;N40,N40,TODAY()))</f>
        <v>44303</v>
      </c>
      <c r="S40" s="24">
        <f t="shared" ref="S40:S41" ca="1" si="159">IF(R40-Q40+1&lt;0,0,R40-Q40+1)</f>
        <v>20</v>
      </c>
      <c r="T40" s="24">
        <f t="shared" ref="T40:T43" ca="1" si="160">IF(R40&gt;N40,0,N40-R40)</f>
        <v>0</v>
      </c>
      <c r="U40" s="17">
        <f t="shared" ref="U40:U43" si="161">N40-M40+1</f>
        <v>20</v>
      </c>
      <c r="V40" s="17">
        <v>1</v>
      </c>
    </row>
    <row r="41" spans="1:22" ht="15.75" x14ac:dyDescent="0.15">
      <c r="A41" s="17" t="s">
        <v>382</v>
      </c>
      <c r="B41" s="17" t="s">
        <v>916</v>
      </c>
      <c r="C41" s="17" t="s">
        <v>910</v>
      </c>
      <c r="D41" s="17" t="s">
        <v>135</v>
      </c>
      <c r="E41" s="17" t="s">
        <v>30</v>
      </c>
      <c r="F41" s="17" t="s">
        <v>14</v>
      </c>
      <c r="G41" s="17"/>
      <c r="H41" s="17" t="s">
        <v>913</v>
      </c>
      <c r="I41" s="19">
        <v>44307</v>
      </c>
      <c r="J41" s="17">
        <v>2</v>
      </c>
      <c r="K41" s="23">
        <f t="shared" si="154"/>
        <v>1</v>
      </c>
      <c r="L41" s="17">
        <v>45</v>
      </c>
      <c r="M41" s="18">
        <v>44284</v>
      </c>
      <c r="N41" s="18">
        <v>44303</v>
      </c>
      <c r="O41" s="22">
        <f t="shared" ca="1" si="155"/>
        <v>45</v>
      </c>
      <c r="P41" s="22">
        <f t="shared" ca="1" si="156"/>
        <v>0</v>
      </c>
      <c r="Q41" s="19">
        <f t="shared" si="157"/>
        <v>44284</v>
      </c>
      <c r="R41" s="19">
        <f t="shared" ca="1" si="158"/>
        <v>44303</v>
      </c>
      <c r="S41" s="24">
        <f t="shared" ca="1" si="159"/>
        <v>20</v>
      </c>
      <c r="T41" s="24">
        <f t="shared" ca="1" si="160"/>
        <v>0</v>
      </c>
      <c r="U41" s="17">
        <f t="shared" si="161"/>
        <v>20</v>
      </c>
      <c r="V41" s="17">
        <v>0</v>
      </c>
    </row>
    <row r="42" spans="1:22" ht="15.75" x14ac:dyDescent="0.15">
      <c r="A42" s="17" t="s">
        <v>202</v>
      </c>
      <c r="B42" s="17" t="s">
        <v>917</v>
      </c>
      <c r="C42" s="17" t="s">
        <v>910</v>
      </c>
      <c r="D42" s="17" t="s">
        <v>124</v>
      </c>
      <c r="E42" s="17"/>
      <c r="F42" s="17"/>
      <c r="G42" s="17"/>
      <c r="H42" s="17" t="s">
        <v>911</v>
      </c>
      <c r="I42" s="19">
        <v>44274</v>
      </c>
      <c r="J42" s="17">
        <v>0</v>
      </c>
      <c r="K42" s="23">
        <v>0.2</v>
      </c>
      <c r="L42" s="20">
        <f>K42*CWHC</f>
        <v>9</v>
      </c>
      <c r="M42" s="18">
        <v>44270</v>
      </c>
      <c r="N42" s="18">
        <v>44274</v>
      </c>
      <c r="O42" s="22">
        <f t="shared" ca="1" si="155"/>
        <v>9</v>
      </c>
      <c r="P42" s="22">
        <v>0</v>
      </c>
      <c r="Q42" s="19">
        <f>IF(M42&lt;$X$1,$X$1,M42)</f>
        <v>44270</v>
      </c>
      <c r="R42" s="19">
        <f t="shared" ca="1" si="158"/>
        <v>44274</v>
      </c>
      <c r="S42" s="24">
        <f ca="1">R42-Q42+1</f>
        <v>5</v>
      </c>
      <c r="T42" s="24">
        <f t="shared" ca="1" si="160"/>
        <v>0</v>
      </c>
      <c r="U42" s="17">
        <f t="shared" si="161"/>
        <v>5</v>
      </c>
      <c r="V42" s="17">
        <v>1</v>
      </c>
    </row>
    <row r="43" spans="1:22" ht="15.75" x14ac:dyDescent="0.15">
      <c r="A43" s="17" t="s">
        <v>202</v>
      </c>
      <c r="B43" s="17" t="s">
        <v>320</v>
      </c>
      <c r="C43" s="17" t="s">
        <v>910</v>
      </c>
      <c r="D43" s="17" t="s">
        <v>124</v>
      </c>
      <c r="H43" s="17" t="s">
        <v>913</v>
      </c>
      <c r="I43" s="19">
        <v>44306</v>
      </c>
      <c r="J43" s="17">
        <v>5</v>
      </c>
      <c r="K43" s="20">
        <v>0.95</v>
      </c>
      <c r="L43" s="20">
        <f>K43*CWHC</f>
        <v>42.75</v>
      </c>
      <c r="M43" s="18">
        <v>44277</v>
      </c>
      <c r="N43" s="18">
        <v>44299</v>
      </c>
      <c r="O43" s="22">
        <f t="shared" ref="O43" ca="1" si="162">IF(S43&lt;0,0,S43/U43*L43)</f>
        <v>42.75</v>
      </c>
      <c r="P43" s="22">
        <f t="shared" ref="P43" ca="1" si="163">(N43-R43)/U43*L43</f>
        <v>0</v>
      </c>
      <c r="Q43" s="19">
        <f>IF(M43&lt;$X$1,$X$1,M43)</f>
        <v>44277</v>
      </c>
      <c r="R43" s="19">
        <f t="shared" ca="1" si="158"/>
        <v>44299</v>
      </c>
      <c r="S43" s="24">
        <f ca="1">R43-Q43+1</f>
        <v>23</v>
      </c>
      <c r="T43" s="24">
        <f t="shared" ca="1" si="160"/>
        <v>0</v>
      </c>
      <c r="U43" s="17">
        <f t="shared" si="161"/>
        <v>23</v>
      </c>
      <c r="V43" s="17">
        <v>1</v>
      </c>
    </row>
    <row r="44" spans="1:22" ht="15.75" x14ac:dyDescent="0.15">
      <c r="A44" s="17" t="s">
        <v>406</v>
      </c>
      <c r="B44" s="17" t="s">
        <v>918</v>
      </c>
      <c r="C44" s="17" t="s">
        <v>910</v>
      </c>
      <c r="D44" s="17" t="s">
        <v>136</v>
      </c>
      <c r="E44" s="17" t="s">
        <v>19</v>
      </c>
      <c r="F44" s="17" t="s">
        <v>32</v>
      </c>
      <c r="G44" s="17"/>
      <c r="H44" s="17" t="s">
        <v>913</v>
      </c>
      <c r="I44" s="19">
        <v>44302</v>
      </c>
      <c r="J44" s="17">
        <v>2</v>
      </c>
      <c r="K44" s="23">
        <f t="shared" si="154"/>
        <v>1.1000000000000001</v>
      </c>
      <c r="L44" s="17">
        <v>49.5</v>
      </c>
      <c r="M44" s="18">
        <v>44279</v>
      </c>
      <c r="N44" s="18">
        <v>44300</v>
      </c>
      <c r="O44" s="22">
        <f t="shared" ref="O44" ca="1" si="164">IF(S44&lt;0,0,S44/U44*L44)</f>
        <v>49.5</v>
      </c>
      <c r="P44" s="22">
        <f t="shared" ref="P44" ca="1" si="165">(N44-R44)/U44*L44</f>
        <v>0</v>
      </c>
      <c r="Q44" s="19">
        <f t="shared" ref="Q44" si="166">IF(M44&lt;$X$1,$X$1,M44)</f>
        <v>44279</v>
      </c>
      <c r="R44" s="19">
        <f t="shared" ref="R44" ca="1" si="167">IF(N44&lt;Q44,Q44-1,IF(TODAY()&gt;N44,N44,TODAY()))</f>
        <v>44300</v>
      </c>
      <c r="S44" s="24">
        <f t="shared" ref="S44" ca="1" si="168">IF(R44-Q44+1&lt;0,0,R44-Q44+1)</f>
        <v>22</v>
      </c>
      <c r="T44" s="24">
        <f t="shared" ref="T44" ca="1" si="169">IF(R44&gt;N44,0,N44-R44)</f>
        <v>0</v>
      </c>
      <c r="U44" s="17">
        <f t="shared" ref="U44" si="170">N44-M44+1</f>
        <v>22</v>
      </c>
      <c r="V44" s="17">
        <v>1</v>
      </c>
    </row>
    <row r="45" spans="1:22" ht="15.75" x14ac:dyDescent="0.15">
      <c r="A45" s="17" t="s">
        <v>299</v>
      </c>
      <c r="B45" s="17" t="s">
        <v>919</v>
      </c>
      <c r="C45" s="17" t="s">
        <v>910</v>
      </c>
      <c r="D45" s="17" t="s">
        <v>135</v>
      </c>
      <c r="E45" s="17" t="s">
        <v>77</v>
      </c>
      <c r="F45" s="17"/>
      <c r="G45" s="17"/>
      <c r="H45" s="17" t="s">
        <v>913</v>
      </c>
      <c r="I45" s="19">
        <v>44301</v>
      </c>
      <c r="J45" s="17">
        <v>1</v>
      </c>
      <c r="K45" s="23">
        <f t="shared" si="154"/>
        <v>0.66666666666666663</v>
      </c>
      <c r="L45" s="17">
        <v>30</v>
      </c>
      <c r="M45" s="18">
        <v>44277</v>
      </c>
      <c r="N45" s="18">
        <v>44300</v>
      </c>
      <c r="O45" s="22">
        <f t="shared" ref="O45" ca="1" si="171">IF(S45&lt;0,0,S45/U45*L45)</f>
        <v>30</v>
      </c>
      <c r="P45" s="22">
        <f t="shared" ref="P45" ca="1" si="172">(N45-R45)/U45*L45</f>
        <v>0</v>
      </c>
      <c r="Q45" s="19">
        <f t="shared" ref="Q45" si="173">IF(M45&lt;$X$1,$X$1,M45)</f>
        <v>44277</v>
      </c>
      <c r="R45" s="19">
        <f t="shared" ref="R45" ca="1" si="174">IF(N45&lt;Q45,Q45-1,IF(TODAY()&gt;N45,N45,TODAY()))</f>
        <v>44300</v>
      </c>
      <c r="S45" s="24">
        <f t="shared" ref="S45" ca="1" si="175">IF(R45-Q45+1&lt;0,0,R45-Q45+1)</f>
        <v>24</v>
      </c>
      <c r="T45" s="24">
        <f t="shared" ref="T45" ca="1" si="176">IF(R45&gt;N45,0,N45-R45)</f>
        <v>0</v>
      </c>
      <c r="U45" s="17">
        <f t="shared" ref="U45" si="177">N45-M45+1</f>
        <v>24</v>
      </c>
      <c r="V45" s="17">
        <v>1</v>
      </c>
    </row>
    <row r="46" spans="1:22" ht="15.75" x14ac:dyDescent="0.15">
      <c r="A46" s="17" t="s">
        <v>211</v>
      </c>
      <c r="B46" s="17" t="s">
        <v>920</v>
      </c>
      <c r="C46" s="17" t="s">
        <v>910</v>
      </c>
      <c r="D46" s="17" t="s">
        <v>135</v>
      </c>
      <c r="E46" s="17" t="s">
        <v>84</v>
      </c>
      <c r="F46" s="17"/>
      <c r="G46" s="17"/>
      <c r="H46" s="17" t="s">
        <v>913</v>
      </c>
      <c r="I46" s="19">
        <v>44323</v>
      </c>
      <c r="J46" s="17">
        <v>16</v>
      </c>
      <c r="K46" s="23">
        <f t="shared" si="154"/>
        <v>1</v>
      </c>
      <c r="L46" s="17">
        <v>45</v>
      </c>
      <c r="M46" s="18">
        <v>44275</v>
      </c>
      <c r="N46" s="18">
        <v>44298</v>
      </c>
      <c r="O46" s="22">
        <f t="shared" ref="O46" ca="1" si="178">IF(S46&lt;0,0,S46/U46*L46)</f>
        <v>45</v>
      </c>
      <c r="P46" s="22">
        <f t="shared" ref="P46" ca="1" si="179">(N46-R46)/U46*L46</f>
        <v>0</v>
      </c>
      <c r="Q46" s="19">
        <f t="shared" ref="Q46" si="180">IF(M46&lt;$X$1,$X$1,M46)</f>
        <v>44275</v>
      </c>
      <c r="R46" s="19">
        <f t="shared" ref="R46" ca="1" si="181">IF(N46&lt;Q46,Q46-1,IF(TODAY()&gt;N46,N46,TODAY()))</f>
        <v>44298</v>
      </c>
      <c r="S46" s="24">
        <f t="shared" ref="S46" ca="1" si="182">IF(R46-Q46+1&lt;0,0,R46-Q46+1)</f>
        <v>24</v>
      </c>
      <c r="T46" s="24">
        <f t="shared" ref="T46" ca="1" si="183">IF(R46&gt;N46,0,N46-R46)</f>
        <v>0</v>
      </c>
      <c r="U46" s="17">
        <f t="shared" ref="U46" si="184">N46-M46+1</f>
        <v>24</v>
      </c>
      <c r="V46" s="17">
        <v>0</v>
      </c>
    </row>
    <row r="47" spans="1:22" ht="15.75" x14ac:dyDescent="0.15">
      <c r="A47" s="17" t="s">
        <v>423</v>
      </c>
      <c r="B47" s="17" t="s">
        <v>920</v>
      </c>
      <c r="C47" s="17" t="s">
        <v>910</v>
      </c>
      <c r="D47" s="17" t="s">
        <v>135</v>
      </c>
      <c r="E47" s="17" t="s">
        <v>84</v>
      </c>
      <c r="F47" s="17"/>
      <c r="G47" s="17"/>
      <c r="H47" s="17" t="s">
        <v>913</v>
      </c>
      <c r="I47" s="19">
        <v>44323</v>
      </c>
      <c r="J47" s="17">
        <v>16</v>
      </c>
      <c r="K47" s="23">
        <f t="shared" ref="K47:K54" si="185">L47/45</f>
        <v>1</v>
      </c>
      <c r="L47" s="17">
        <v>45</v>
      </c>
      <c r="M47" s="18">
        <v>44275</v>
      </c>
      <c r="N47" s="18">
        <v>44298</v>
      </c>
      <c r="O47" s="22">
        <f t="shared" ref="O47" ca="1" si="186">IF(S47&lt;0,0,S47/U47*L47)</f>
        <v>45</v>
      </c>
      <c r="P47" s="22">
        <f t="shared" ref="P47" ca="1" si="187">(N47-R47)/U47*L47</f>
        <v>0</v>
      </c>
      <c r="Q47" s="19">
        <f t="shared" ref="Q47" si="188">IF(M47&lt;$X$1,$X$1,M47)</f>
        <v>44275</v>
      </c>
      <c r="R47" s="19">
        <f t="shared" ref="R47" ca="1" si="189">IF(N47&lt;Q47,Q47-1,IF(TODAY()&gt;N47,N47,TODAY()))</f>
        <v>44298</v>
      </c>
      <c r="S47" s="24">
        <f t="shared" ref="S47" ca="1" si="190">IF(R47-Q47+1&lt;0,0,R47-Q47+1)</f>
        <v>24</v>
      </c>
      <c r="T47" s="24">
        <f t="shared" ref="T47" ca="1" si="191">IF(R47&gt;N47,0,N47-R47)</f>
        <v>0</v>
      </c>
      <c r="U47" s="17">
        <f t="shared" ref="U47" si="192">N47-M47+1</f>
        <v>24</v>
      </c>
      <c r="V47" s="17">
        <v>1</v>
      </c>
    </row>
    <row r="48" spans="1:22" ht="15.75" x14ac:dyDescent="0.15">
      <c r="A48" s="17" t="s">
        <v>450</v>
      </c>
      <c r="B48" s="17" t="s">
        <v>921</v>
      </c>
      <c r="C48" s="17" t="s">
        <v>910</v>
      </c>
      <c r="D48" s="17" t="s">
        <v>135</v>
      </c>
      <c r="E48" s="17" t="s">
        <v>84</v>
      </c>
      <c r="F48" s="17"/>
      <c r="G48" s="17"/>
      <c r="H48" s="17" t="s">
        <v>913</v>
      </c>
      <c r="I48" s="19">
        <v>44294</v>
      </c>
      <c r="J48" s="17">
        <v>2</v>
      </c>
      <c r="K48" s="23">
        <f t="shared" si="185"/>
        <v>0.46666666666666667</v>
      </c>
      <c r="L48" s="17">
        <v>21</v>
      </c>
      <c r="M48" s="18">
        <v>44270</v>
      </c>
      <c r="N48" s="18">
        <v>44292</v>
      </c>
      <c r="O48" s="22">
        <f t="shared" ref="O48" ca="1" si="193">IF(S48&lt;0,0,S48/U48*L48)</f>
        <v>21</v>
      </c>
      <c r="P48" s="22">
        <f t="shared" ref="P48" ca="1" si="194">(N48-R48)/U48*L48</f>
        <v>0</v>
      </c>
      <c r="Q48" s="19">
        <f t="shared" ref="Q48" si="195">IF(M48&lt;$X$1,$X$1,M48)</f>
        <v>44270</v>
      </c>
      <c r="R48" s="19">
        <f t="shared" ref="R48" ca="1" si="196">IF(N48&lt;Q48,Q48-1,IF(TODAY()&gt;N48,N48,TODAY()))</f>
        <v>44292</v>
      </c>
      <c r="S48" s="24">
        <f t="shared" ref="S48" ca="1" si="197">IF(R48-Q48+1&lt;0,0,R48-Q48+1)</f>
        <v>23</v>
      </c>
      <c r="T48" s="24">
        <f t="shared" ref="T48" ca="1" si="198">IF(R48&gt;N48,0,N48-R48)</f>
        <v>0</v>
      </c>
      <c r="U48" s="17">
        <f t="shared" ref="U48" si="199">N48-M48+1</f>
        <v>23</v>
      </c>
      <c r="V48" s="17">
        <v>1</v>
      </c>
    </row>
    <row r="49" spans="1:22" ht="15.75" x14ac:dyDescent="0.15">
      <c r="A49" s="17" t="s">
        <v>215</v>
      </c>
      <c r="B49" s="17" t="s">
        <v>922</v>
      </c>
      <c r="C49" s="17" t="s">
        <v>910</v>
      </c>
      <c r="D49" s="17" t="s">
        <v>124</v>
      </c>
      <c r="E49" s="17" t="s">
        <v>195</v>
      </c>
      <c r="F49" s="17"/>
      <c r="G49" s="17"/>
      <c r="H49" s="17" t="s">
        <v>913</v>
      </c>
      <c r="I49" s="19">
        <v>44307</v>
      </c>
      <c r="J49" s="17">
        <v>0</v>
      </c>
      <c r="K49" s="23">
        <f t="shared" si="185"/>
        <v>1.7333333333333334</v>
      </c>
      <c r="L49" s="17">
        <v>78</v>
      </c>
      <c r="M49" s="18">
        <v>44267</v>
      </c>
      <c r="N49" s="18">
        <v>44307</v>
      </c>
      <c r="O49" s="22">
        <f t="shared" ref="O49:O52" ca="1" si="200">IF(S49&lt;0,0,S49/U49*L49)</f>
        <v>78</v>
      </c>
      <c r="P49" s="22">
        <f t="shared" ref="P49:P52" ca="1" si="201">(N49-R49)/U49*L49</f>
        <v>0</v>
      </c>
      <c r="Q49" s="19">
        <f t="shared" ref="Q49:Q52" si="202">IF(M49&lt;$X$1,$X$1,M49)</f>
        <v>44267</v>
      </c>
      <c r="R49" s="19">
        <f t="shared" ref="R49:R52" ca="1" si="203">IF(N49&lt;Q49,Q49-1,IF(TODAY()&gt;N49,N49,TODAY()))</f>
        <v>44307</v>
      </c>
      <c r="S49" s="24">
        <f t="shared" ref="S49:S52" ca="1" si="204">IF(R49-Q49+1&lt;0,0,R49-Q49+1)</f>
        <v>41</v>
      </c>
      <c r="T49" s="24">
        <f t="shared" ref="T49:T52" ca="1" si="205">IF(R49&gt;N49,0,N49-R49)</f>
        <v>0</v>
      </c>
      <c r="U49" s="17">
        <f t="shared" ref="U49:U52" si="206">N49-M49+1</f>
        <v>41</v>
      </c>
      <c r="V49" s="17">
        <v>1</v>
      </c>
    </row>
    <row r="50" spans="1:22" ht="15.75" x14ac:dyDescent="0.15">
      <c r="A50" s="17" t="s">
        <v>393</v>
      </c>
      <c r="B50" s="17" t="s">
        <v>922</v>
      </c>
      <c r="C50" s="17" t="s">
        <v>910</v>
      </c>
      <c r="D50" s="17" t="s">
        <v>124</v>
      </c>
      <c r="E50" s="17" t="s">
        <v>195</v>
      </c>
      <c r="F50" s="17"/>
      <c r="G50" s="17"/>
      <c r="H50" s="17" t="s">
        <v>913</v>
      </c>
      <c r="I50" s="19">
        <v>44307</v>
      </c>
      <c r="J50" s="17">
        <v>0</v>
      </c>
      <c r="K50" s="23">
        <f t="shared" si="185"/>
        <v>1.7333333333333334</v>
      </c>
      <c r="L50" s="17">
        <v>78</v>
      </c>
      <c r="M50" s="18">
        <v>44267</v>
      </c>
      <c r="N50" s="18">
        <v>44307</v>
      </c>
      <c r="O50" s="22">
        <f t="shared" ca="1" si="200"/>
        <v>78</v>
      </c>
      <c r="P50" s="22">
        <f t="shared" ca="1" si="201"/>
        <v>0</v>
      </c>
      <c r="Q50" s="19">
        <f t="shared" si="202"/>
        <v>44267</v>
      </c>
      <c r="R50" s="19">
        <f t="shared" ca="1" si="203"/>
        <v>44307</v>
      </c>
      <c r="S50" s="24">
        <f t="shared" ca="1" si="204"/>
        <v>41</v>
      </c>
      <c r="T50" s="24">
        <f t="shared" ca="1" si="205"/>
        <v>0</v>
      </c>
      <c r="U50" s="17">
        <f t="shared" si="206"/>
        <v>41</v>
      </c>
      <c r="V50" s="17">
        <v>0</v>
      </c>
    </row>
    <row r="51" spans="1:22" ht="15.75" x14ac:dyDescent="0.15">
      <c r="A51" s="17" t="s">
        <v>727</v>
      </c>
      <c r="B51" s="17" t="s">
        <v>131</v>
      </c>
      <c r="C51" s="17" t="s">
        <v>910</v>
      </c>
      <c r="D51" s="17" t="s">
        <v>124</v>
      </c>
      <c r="E51" s="17" t="s">
        <v>195</v>
      </c>
      <c r="F51" s="17"/>
      <c r="G51" s="17"/>
      <c r="H51" s="17" t="s">
        <v>911</v>
      </c>
      <c r="I51" s="19">
        <v>44307</v>
      </c>
      <c r="J51" s="17">
        <v>0</v>
      </c>
      <c r="K51" s="23">
        <f t="shared" si="185"/>
        <v>2</v>
      </c>
      <c r="L51" s="17">
        <v>90</v>
      </c>
      <c r="M51" s="18">
        <v>44260</v>
      </c>
      <c r="N51" s="18">
        <v>44307</v>
      </c>
      <c r="O51" s="22">
        <f t="shared" ca="1" si="200"/>
        <v>90</v>
      </c>
      <c r="P51" s="22">
        <f t="shared" ca="1" si="201"/>
        <v>0</v>
      </c>
      <c r="Q51" s="19">
        <f t="shared" si="202"/>
        <v>44260</v>
      </c>
      <c r="R51" s="19">
        <f t="shared" ca="1" si="203"/>
        <v>44307</v>
      </c>
      <c r="S51" s="24">
        <f t="shared" ca="1" si="204"/>
        <v>48</v>
      </c>
      <c r="T51" s="24">
        <f t="shared" ca="1" si="205"/>
        <v>0</v>
      </c>
      <c r="U51" s="17">
        <f t="shared" si="206"/>
        <v>48</v>
      </c>
      <c r="V51" s="17">
        <v>1</v>
      </c>
    </row>
    <row r="52" spans="1:22" ht="15.75" x14ac:dyDescent="0.15">
      <c r="A52" s="17" t="s">
        <v>519</v>
      </c>
      <c r="B52" s="17" t="s">
        <v>131</v>
      </c>
      <c r="C52" s="17" t="s">
        <v>910</v>
      </c>
      <c r="D52" s="17" t="s">
        <v>124</v>
      </c>
      <c r="E52" s="17" t="s">
        <v>195</v>
      </c>
      <c r="F52" s="17"/>
      <c r="G52" s="17"/>
      <c r="H52" s="17" t="s">
        <v>911</v>
      </c>
      <c r="I52" s="19">
        <v>44307</v>
      </c>
      <c r="J52" s="17">
        <v>0</v>
      </c>
      <c r="K52" s="23">
        <f t="shared" si="185"/>
        <v>2</v>
      </c>
      <c r="L52" s="17">
        <v>90</v>
      </c>
      <c r="M52" s="18">
        <v>44260</v>
      </c>
      <c r="N52" s="18">
        <v>44307</v>
      </c>
      <c r="O52" s="22">
        <f t="shared" ca="1" si="200"/>
        <v>90</v>
      </c>
      <c r="P52" s="22">
        <f t="shared" ca="1" si="201"/>
        <v>0</v>
      </c>
      <c r="Q52" s="19">
        <f t="shared" si="202"/>
        <v>44260</v>
      </c>
      <c r="R52" s="19">
        <f t="shared" ca="1" si="203"/>
        <v>44307</v>
      </c>
      <c r="S52" s="24">
        <f t="shared" ca="1" si="204"/>
        <v>48</v>
      </c>
      <c r="T52" s="24">
        <f t="shared" ca="1" si="205"/>
        <v>0</v>
      </c>
      <c r="U52" s="17">
        <f t="shared" si="206"/>
        <v>48</v>
      </c>
      <c r="V52" s="17">
        <v>0</v>
      </c>
    </row>
    <row r="53" spans="1:22" ht="15.75" x14ac:dyDescent="0.15">
      <c r="A53" s="17" t="s">
        <v>739</v>
      </c>
      <c r="B53" s="17" t="s">
        <v>923</v>
      </c>
      <c r="C53" s="17" t="s">
        <v>910</v>
      </c>
      <c r="D53" s="17" t="s">
        <v>135</v>
      </c>
      <c r="E53" s="17" t="s">
        <v>14</v>
      </c>
      <c r="F53" s="17"/>
      <c r="G53" s="17"/>
      <c r="H53" s="17" t="s">
        <v>911</v>
      </c>
      <c r="I53" s="19">
        <v>44286</v>
      </c>
      <c r="J53" s="17">
        <v>0</v>
      </c>
      <c r="K53" s="23">
        <f t="shared" si="185"/>
        <v>0.91111111111111109</v>
      </c>
      <c r="L53" s="17">
        <v>41</v>
      </c>
      <c r="M53" s="18">
        <v>44265</v>
      </c>
      <c r="N53" s="18">
        <v>44286</v>
      </c>
      <c r="O53" s="22">
        <f t="shared" ref="O53:O56" ca="1" si="207">IF(S53&lt;0,0,S53/U53*L53)</f>
        <v>41</v>
      </c>
      <c r="P53" s="22">
        <f t="shared" ref="P53:P57" ca="1" si="208">(N53-R53)/U53*L53</f>
        <v>0</v>
      </c>
      <c r="Q53" s="19">
        <f t="shared" ref="Q53" si="209">IF(M53&lt;$X$1,$X$1,M53)</f>
        <v>44265</v>
      </c>
      <c r="R53" s="19">
        <f t="shared" ref="R53" ca="1" si="210">IF(N53&lt;Q53,Q53-1,IF(TODAY()&gt;N53,N53,TODAY()))</f>
        <v>44286</v>
      </c>
      <c r="S53" s="24">
        <f t="shared" ref="S53" ca="1" si="211">IF(R53-Q53+1&lt;0,0,R53-Q53+1)</f>
        <v>22</v>
      </c>
      <c r="T53" s="24">
        <f t="shared" ref="T53" ca="1" si="212">IF(R53&gt;N53,0,N53-R53)</f>
        <v>0</v>
      </c>
      <c r="U53" s="17">
        <f t="shared" ref="U53" si="213">N53-M53+1</f>
        <v>22</v>
      </c>
      <c r="V53" s="17">
        <v>1</v>
      </c>
    </row>
    <row r="54" spans="1:22" ht="15.75" x14ac:dyDescent="0.15">
      <c r="A54" s="17" t="s">
        <v>84</v>
      </c>
      <c r="B54" s="17" t="s">
        <v>923</v>
      </c>
      <c r="C54" s="17" t="s">
        <v>910</v>
      </c>
      <c r="D54" s="17" t="s">
        <v>135</v>
      </c>
      <c r="E54" s="17" t="s">
        <v>14</v>
      </c>
      <c r="F54" s="17"/>
      <c r="G54" s="17"/>
      <c r="H54" s="17" t="s">
        <v>911</v>
      </c>
      <c r="I54" s="19">
        <v>44286</v>
      </c>
      <c r="J54" s="17">
        <v>0</v>
      </c>
      <c r="K54" s="23">
        <f t="shared" si="185"/>
        <v>0.91111111111111109</v>
      </c>
      <c r="L54" s="17">
        <v>41</v>
      </c>
      <c r="M54" s="18">
        <v>44265</v>
      </c>
      <c r="N54" s="18">
        <v>44286</v>
      </c>
      <c r="O54" s="22">
        <f t="shared" ca="1" si="207"/>
        <v>41</v>
      </c>
      <c r="P54" s="22">
        <f t="shared" ca="1" si="208"/>
        <v>0</v>
      </c>
      <c r="Q54" s="19">
        <f t="shared" ref="Q54" si="214">IF(M54&lt;$X$1,$X$1,M54)</f>
        <v>44265</v>
      </c>
      <c r="R54" s="19">
        <f t="shared" ref="R54" ca="1" si="215">IF(N54&lt;Q54,Q54-1,IF(TODAY()&gt;N54,N54,TODAY()))</f>
        <v>44286</v>
      </c>
      <c r="S54" s="24">
        <f t="shared" ref="S54" ca="1" si="216">IF(R54-Q54+1&lt;0,0,R54-Q54+1)</f>
        <v>22</v>
      </c>
      <c r="T54" s="24">
        <f t="shared" ref="T54" ca="1" si="217">IF(R54&gt;N54,0,N54-R54)</f>
        <v>0</v>
      </c>
      <c r="U54" s="17">
        <f t="shared" ref="U54" si="218">N54-M54+1</f>
        <v>22</v>
      </c>
      <c r="V54" s="17">
        <v>0</v>
      </c>
    </row>
    <row r="55" spans="1:22" ht="15.75" x14ac:dyDescent="0.15">
      <c r="A55" s="17" t="s">
        <v>361</v>
      </c>
      <c r="B55" s="20" t="s">
        <v>924</v>
      </c>
      <c r="C55" s="17" t="s">
        <v>910</v>
      </c>
      <c r="D55" s="17" t="s">
        <v>135</v>
      </c>
      <c r="E55" s="17" t="s">
        <v>14</v>
      </c>
      <c r="F55" s="17"/>
      <c r="G55" s="17"/>
      <c r="H55" s="17" t="s">
        <v>911</v>
      </c>
      <c r="I55" s="19">
        <v>44281</v>
      </c>
      <c r="J55" s="17">
        <v>0</v>
      </c>
      <c r="K55" s="17">
        <v>0.93500000000000005</v>
      </c>
      <c r="L55" s="20">
        <v>42</v>
      </c>
      <c r="M55" s="18">
        <v>44260</v>
      </c>
      <c r="N55" s="18">
        <v>44281</v>
      </c>
      <c r="O55" s="22">
        <f t="shared" ca="1" si="207"/>
        <v>42</v>
      </c>
      <c r="P55" s="22">
        <f t="shared" ca="1" si="208"/>
        <v>0</v>
      </c>
      <c r="Q55" s="19">
        <f t="shared" ref="Q55:Q86" si="219">IF(M55&lt;$X$1,$X$1,M55)</f>
        <v>44260</v>
      </c>
      <c r="R55" s="19">
        <f t="shared" ref="R55:R86" ca="1" si="220">IF(N55&lt;Q55,Q55-1,IF(TODAY()&gt;N55,N55,TODAY()))</f>
        <v>44281</v>
      </c>
      <c r="S55" s="24">
        <f t="shared" ref="S55:S86" ca="1" si="221">IF(R55-Q55+1&lt;0,0,R55-Q55+1)</f>
        <v>22</v>
      </c>
      <c r="T55" s="24">
        <f t="shared" ref="T55:T86" ca="1" si="222">IF(R55&gt;N55,0,N55-R55)</f>
        <v>0</v>
      </c>
      <c r="U55" s="17">
        <f t="shared" ref="U55:U86" si="223">N55-M55+1</f>
        <v>22</v>
      </c>
      <c r="V55" s="17">
        <v>1</v>
      </c>
    </row>
    <row r="56" spans="1:22" ht="15.75" x14ac:dyDescent="0.15">
      <c r="A56" s="17" t="s">
        <v>502</v>
      </c>
      <c r="B56" s="20" t="s">
        <v>925</v>
      </c>
      <c r="C56" s="17" t="s">
        <v>910</v>
      </c>
      <c r="D56" s="17" t="s">
        <v>124</v>
      </c>
      <c r="E56" s="17" t="s">
        <v>19</v>
      </c>
      <c r="F56" s="17"/>
      <c r="G56" s="17"/>
      <c r="H56" s="17" t="s">
        <v>913</v>
      </c>
      <c r="I56" s="19">
        <v>44295</v>
      </c>
      <c r="J56" s="17">
        <v>12</v>
      </c>
      <c r="K56" s="17">
        <v>0.8</v>
      </c>
      <c r="L56" s="20">
        <f>K56*CWHC</f>
        <v>36</v>
      </c>
      <c r="M56" s="18">
        <v>44260</v>
      </c>
      <c r="N56" s="18">
        <v>44279</v>
      </c>
      <c r="O56" s="22">
        <f t="shared" ca="1" si="207"/>
        <v>36</v>
      </c>
      <c r="P56" s="22">
        <f t="shared" ca="1" si="208"/>
        <v>0</v>
      </c>
      <c r="Q56" s="19">
        <f t="shared" si="219"/>
        <v>44260</v>
      </c>
      <c r="R56" s="19">
        <f t="shared" ca="1" si="220"/>
        <v>44279</v>
      </c>
      <c r="S56" s="24">
        <f t="shared" ca="1" si="221"/>
        <v>20</v>
      </c>
      <c r="T56" s="24">
        <f t="shared" ca="1" si="222"/>
        <v>0</v>
      </c>
      <c r="U56" s="17">
        <f t="shared" si="223"/>
        <v>20</v>
      </c>
      <c r="V56" s="17">
        <v>1</v>
      </c>
    </row>
    <row r="57" spans="1:22" ht="15.75" x14ac:dyDescent="0.15">
      <c r="A57" s="17" t="s">
        <v>423</v>
      </c>
      <c r="B57" s="20" t="s">
        <v>926</v>
      </c>
      <c r="C57" s="17" t="s">
        <v>910</v>
      </c>
      <c r="D57" s="17" t="s">
        <v>135</v>
      </c>
      <c r="E57" s="17" t="s">
        <v>84</v>
      </c>
      <c r="F57" s="17"/>
      <c r="G57" s="17"/>
      <c r="H57" s="17" t="s">
        <v>913</v>
      </c>
      <c r="I57" s="19">
        <v>44274</v>
      </c>
      <c r="J57" s="17">
        <v>2</v>
      </c>
      <c r="K57" s="17">
        <v>1</v>
      </c>
      <c r="L57" s="20">
        <f>K57*CWHC</f>
        <v>45</v>
      </c>
      <c r="M57" s="18">
        <v>44251</v>
      </c>
      <c r="N57" s="18">
        <v>44272</v>
      </c>
      <c r="O57" s="22">
        <f t="shared" ref="O57:O88" ca="1" si="224">IF(S57&lt;0,0,S57/U57*L57)</f>
        <v>45</v>
      </c>
      <c r="P57" s="22">
        <f t="shared" ca="1" si="208"/>
        <v>0</v>
      </c>
      <c r="Q57" s="19">
        <f t="shared" si="219"/>
        <v>44251</v>
      </c>
      <c r="R57" s="19">
        <f t="shared" ca="1" si="220"/>
        <v>44272</v>
      </c>
      <c r="S57" s="24">
        <f t="shared" ca="1" si="221"/>
        <v>22</v>
      </c>
      <c r="T57" s="24">
        <f t="shared" ca="1" si="222"/>
        <v>0</v>
      </c>
      <c r="U57" s="17">
        <f t="shared" si="223"/>
        <v>22</v>
      </c>
      <c r="V57" s="17">
        <v>1</v>
      </c>
    </row>
    <row r="58" spans="1:22" ht="15.75" x14ac:dyDescent="0.15">
      <c r="A58" s="17" t="s">
        <v>465</v>
      </c>
      <c r="B58" s="20" t="s">
        <v>927</v>
      </c>
      <c r="C58" s="17" t="s">
        <v>910</v>
      </c>
      <c r="D58" s="17" t="s">
        <v>124</v>
      </c>
      <c r="E58" s="17" t="s">
        <v>195</v>
      </c>
      <c r="F58" s="17"/>
      <c r="G58" s="17"/>
      <c r="H58" s="17" t="s">
        <v>913</v>
      </c>
      <c r="I58" s="19">
        <v>44273</v>
      </c>
      <c r="J58" s="17">
        <v>4</v>
      </c>
      <c r="K58" s="17">
        <v>0.6</v>
      </c>
      <c r="L58" s="20">
        <f>K58*CWHC</f>
        <v>27</v>
      </c>
      <c r="M58" s="18">
        <v>44250</v>
      </c>
      <c r="N58" s="18">
        <v>44269</v>
      </c>
      <c r="O58" s="22">
        <f t="shared" ca="1" si="224"/>
        <v>27</v>
      </c>
      <c r="P58" s="22">
        <f t="shared" ref="P58:P88" ca="1" si="225">(N58-R58)/U58*L58</f>
        <v>0</v>
      </c>
      <c r="Q58" s="19">
        <f t="shared" si="219"/>
        <v>44250</v>
      </c>
      <c r="R58" s="19">
        <f t="shared" ca="1" si="220"/>
        <v>44269</v>
      </c>
      <c r="S58" s="24">
        <f t="shared" ca="1" si="221"/>
        <v>20</v>
      </c>
      <c r="T58" s="24">
        <f t="shared" ca="1" si="222"/>
        <v>0</v>
      </c>
      <c r="U58" s="17">
        <f t="shared" si="223"/>
        <v>20</v>
      </c>
      <c r="V58" s="17">
        <v>1</v>
      </c>
    </row>
    <row r="59" spans="1:22" ht="15.75" x14ac:dyDescent="0.15">
      <c r="A59" s="17" t="s">
        <v>202</v>
      </c>
      <c r="B59" s="20" t="s">
        <v>928</v>
      </c>
      <c r="C59" s="17" t="s">
        <v>910</v>
      </c>
      <c r="D59" s="17" t="s">
        <v>124</v>
      </c>
      <c r="H59" s="17" t="s">
        <v>911</v>
      </c>
      <c r="I59" s="19">
        <v>44267</v>
      </c>
      <c r="J59" s="17">
        <v>0</v>
      </c>
      <c r="K59" s="23">
        <f>L59/45</f>
        <v>0.18888888888888888</v>
      </c>
      <c r="L59" s="20">
        <v>8.5</v>
      </c>
      <c r="M59" s="18">
        <v>44260</v>
      </c>
      <c r="N59" s="18">
        <v>44267</v>
      </c>
      <c r="O59" s="22">
        <f t="shared" ca="1" si="224"/>
        <v>8.5</v>
      </c>
      <c r="P59" s="22">
        <f t="shared" ca="1" si="225"/>
        <v>0</v>
      </c>
      <c r="Q59" s="19">
        <f t="shared" si="219"/>
        <v>44260</v>
      </c>
      <c r="R59" s="19">
        <f t="shared" ca="1" si="220"/>
        <v>44267</v>
      </c>
      <c r="S59" s="24">
        <f t="shared" ca="1" si="221"/>
        <v>8</v>
      </c>
      <c r="T59" s="24">
        <f t="shared" ca="1" si="222"/>
        <v>0</v>
      </c>
      <c r="U59" s="17">
        <f t="shared" si="223"/>
        <v>8</v>
      </c>
      <c r="V59" s="17">
        <v>1</v>
      </c>
    </row>
    <row r="60" spans="1:22" ht="15.75" x14ac:dyDescent="0.15">
      <c r="A60" s="17" t="s">
        <v>929</v>
      </c>
      <c r="B60" s="20" t="s">
        <v>930</v>
      </c>
      <c r="C60" s="17" t="s">
        <v>910</v>
      </c>
      <c r="D60" s="17" t="s">
        <v>124</v>
      </c>
      <c r="E60" s="17" t="s">
        <v>13</v>
      </c>
      <c r="F60" s="17"/>
      <c r="G60" s="17"/>
      <c r="H60" s="17" t="s">
        <v>913</v>
      </c>
      <c r="I60" s="19">
        <v>44271</v>
      </c>
      <c r="J60" s="17">
        <v>3</v>
      </c>
      <c r="K60" s="17">
        <v>0.4</v>
      </c>
      <c r="L60" s="20">
        <f t="shared" ref="L60:L67" si="226">K60*CWHC</f>
        <v>18</v>
      </c>
      <c r="M60" s="18">
        <v>44251</v>
      </c>
      <c r="N60" s="18">
        <v>44267</v>
      </c>
      <c r="O60" s="22">
        <f t="shared" ca="1" si="224"/>
        <v>18</v>
      </c>
      <c r="P60" s="22">
        <f t="shared" ca="1" si="225"/>
        <v>0</v>
      </c>
      <c r="Q60" s="19">
        <f t="shared" si="219"/>
        <v>44251</v>
      </c>
      <c r="R60" s="19">
        <f t="shared" ca="1" si="220"/>
        <v>44267</v>
      </c>
      <c r="S60" s="24">
        <f t="shared" ca="1" si="221"/>
        <v>17</v>
      </c>
      <c r="T60" s="24">
        <f t="shared" ca="1" si="222"/>
        <v>0</v>
      </c>
      <c r="U60" s="17">
        <f t="shared" si="223"/>
        <v>17</v>
      </c>
      <c r="V60" s="17">
        <v>1</v>
      </c>
    </row>
    <row r="61" spans="1:22" ht="15.75" x14ac:dyDescent="0.15">
      <c r="A61" s="17" t="s">
        <v>382</v>
      </c>
      <c r="B61" s="20" t="s">
        <v>931</v>
      </c>
      <c r="C61" s="17" t="s">
        <v>910</v>
      </c>
      <c r="D61" s="17" t="s">
        <v>124</v>
      </c>
      <c r="E61" s="17" t="s">
        <v>30</v>
      </c>
      <c r="F61" s="17"/>
      <c r="G61" s="17"/>
      <c r="H61" s="17" t="s">
        <v>913</v>
      </c>
      <c r="I61" s="19">
        <v>44272</v>
      </c>
      <c r="J61" s="17">
        <v>4</v>
      </c>
      <c r="K61" s="17">
        <v>0.3</v>
      </c>
      <c r="L61" s="20">
        <f t="shared" si="226"/>
        <v>13.5</v>
      </c>
      <c r="M61" s="18">
        <v>44245</v>
      </c>
      <c r="N61" s="18">
        <v>44267</v>
      </c>
      <c r="O61" s="22">
        <f t="shared" ca="1" si="224"/>
        <v>13.5</v>
      </c>
      <c r="P61" s="22">
        <f t="shared" ca="1" si="225"/>
        <v>0</v>
      </c>
      <c r="Q61" s="19">
        <f t="shared" si="219"/>
        <v>44245</v>
      </c>
      <c r="R61" s="19">
        <f t="shared" ca="1" si="220"/>
        <v>44267</v>
      </c>
      <c r="S61" s="24">
        <f t="shared" ca="1" si="221"/>
        <v>23</v>
      </c>
      <c r="T61" s="24">
        <f t="shared" ca="1" si="222"/>
        <v>0</v>
      </c>
      <c r="U61" s="17">
        <f t="shared" si="223"/>
        <v>23</v>
      </c>
      <c r="V61" s="17">
        <v>1</v>
      </c>
    </row>
    <row r="62" spans="1:22" ht="15.75" x14ac:dyDescent="0.15">
      <c r="A62" s="17" t="s">
        <v>406</v>
      </c>
      <c r="B62" s="17" t="s">
        <v>932</v>
      </c>
      <c r="C62" s="17" t="s">
        <v>910</v>
      </c>
      <c r="D62" s="17" t="s">
        <v>129</v>
      </c>
      <c r="E62" s="17" t="s">
        <v>205</v>
      </c>
      <c r="F62" s="17"/>
      <c r="G62" s="17"/>
      <c r="H62" s="17" t="s">
        <v>911</v>
      </c>
      <c r="I62" s="19">
        <v>44267</v>
      </c>
      <c r="J62" s="17">
        <v>0</v>
      </c>
      <c r="K62" s="17">
        <v>1.8</v>
      </c>
      <c r="L62" s="20">
        <f t="shared" si="226"/>
        <v>81</v>
      </c>
      <c r="M62" s="18">
        <v>44221</v>
      </c>
      <c r="N62" s="18">
        <v>44267</v>
      </c>
      <c r="O62" s="22">
        <f t="shared" ca="1" si="224"/>
        <v>81</v>
      </c>
      <c r="P62" s="22">
        <f t="shared" ca="1" si="225"/>
        <v>0</v>
      </c>
      <c r="Q62" s="19">
        <f t="shared" si="219"/>
        <v>44221</v>
      </c>
      <c r="R62" s="19">
        <f t="shared" ca="1" si="220"/>
        <v>44267</v>
      </c>
      <c r="S62" s="24">
        <f t="shared" ca="1" si="221"/>
        <v>47</v>
      </c>
      <c r="T62" s="24">
        <f t="shared" ca="1" si="222"/>
        <v>0</v>
      </c>
      <c r="U62" s="17">
        <f t="shared" si="223"/>
        <v>47</v>
      </c>
      <c r="V62" s="17">
        <v>1</v>
      </c>
    </row>
    <row r="63" spans="1:22" ht="15.75" x14ac:dyDescent="0.15">
      <c r="A63" s="17" t="s">
        <v>299</v>
      </c>
      <c r="B63" s="17" t="s">
        <v>932</v>
      </c>
      <c r="C63" s="17" t="s">
        <v>910</v>
      </c>
      <c r="D63" s="17" t="s">
        <v>129</v>
      </c>
      <c r="E63" s="17" t="s">
        <v>205</v>
      </c>
      <c r="F63" s="17"/>
      <c r="G63" s="17"/>
      <c r="H63" s="17" t="s">
        <v>911</v>
      </c>
      <c r="I63" s="19">
        <v>44267</v>
      </c>
      <c r="J63" s="17">
        <v>0</v>
      </c>
      <c r="K63" s="17">
        <v>1.8</v>
      </c>
      <c r="L63" s="20">
        <f t="shared" si="226"/>
        <v>81</v>
      </c>
      <c r="M63" s="18">
        <v>44221</v>
      </c>
      <c r="N63" s="18">
        <v>44267</v>
      </c>
      <c r="O63" s="22">
        <f t="shared" ca="1" si="224"/>
        <v>81</v>
      </c>
      <c r="P63" s="22">
        <f t="shared" ca="1" si="225"/>
        <v>0</v>
      </c>
      <c r="Q63" s="19">
        <f t="shared" si="219"/>
        <v>44221</v>
      </c>
      <c r="R63" s="19">
        <f t="shared" ca="1" si="220"/>
        <v>44267</v>
      </c>
      <c r="S63" s="24">
        <f t="shared" ca="1" si="221"/>
        <v>47</v>
      </c>
      <c r="T63" s="24">
        <f t="shared" ca="1" si="222"/>
        <v>0</v>
      </c>
      <c r="U63" s="17">
        <f t="shared" si="223"/>
        <v>47</v>
      </c>
      <c r="V63" s="17">
        <v>0</v>
      </c>
    </row>
    <row r="64" spans="1:22" ht="15.75" x14ac:dyDescent="0.15">
      <c r="A64" s="17" t="s">
        <v>242</v>
      </c>
      <c r="B64" s="17" t="s">
        <v>933</v>
      </c>
      <c r="C64" s="17" t="s">
        <v>910</v>
      </c>
      <c r="D64" s="17" t="s">
        <v>129</v>
      </c>
      <c r="E64" s="17" t="s">
        <v>205</v>
      </c>
      <c r="F64" s="17"/>
      <c r="G64" s="17"/>
      <c r="H64" s="17" t="s">
        <v>911</v>
      </c>
      <c r="I64" s="19">
        <v>44267</v>
      </c>
      <c r="J64" s="17">
        <v>0</v>
      </c>
      <c r="K64" s="17">
        <v>2</v>
      </c>
      <c r="L64" s="20">
        <f t="shared" si="226"/>
        <v>90</v>
      </c>
      <c r="M64" s="18">
        <v>44214</v>
      </c>
      <c r="N64" s="18">
        <v>44267</v>
      </c>
      <c r="O64" s="22">
        <f t="shared" ca="1" si="224"/>
        <v>90</v>
      </c>
      <c r="P64" s="22">
        <f t="shared" ca="1" si="225"/>
        <v>0</v>
      </c>
      <c r="Q64" s="19">
        <f t="shared" si="219"/>
        <v>44214</v>
      </c>
      <c r="R64" s="19">
        <f t="shared" ca="1" si="220"/>
        <v>44267</v>
      </c>
      <c r="S64" s="24">
        <f t="shared" ca="1" si="221"/>
        <v>54</v>
      </c>
      <c r="T64" s="24">
        <f t="shared" ca="1" si="222"/>
        <v>0</v>
      </c>
      <c r="U64" s="17">
        <f t="shared" si="223"/>
        <v>54</v>
      </c>
      <c r="V64" s="17">
        <v>1</v>
      </c>
    </row>
    <row r="65" spans="1:29" ht="15.75" x14ac:dyDescent="0.15">
      <c r="A65" s="17" t="s">
        <v>524</v>
      </c>
      <c r="B65" s="17" t="s">
        <v>933</v>
      </c>
      <c r="C65" s="17" t="s">
        <v>910</v>
      </c>
      <c r="D65" s="17" t="s">
        <v>129</v>
      </c>
      <c r="E65" s="17" t="s">
        <v>205</v>
      </c>
      <c r="F65" s="17"/>
      <c r="G65" s="17"/>
      <c r="H65" s="17" t="s">
        <v>911</v>
      </c>
      <c r="I65" s="19">
        <v>44267</v>
      </c>
      <c r="J65" s="17">
        <v>0</v>
      </c>
      <c r="K65" s="17">
        <v>2</v>
      </c>
      <c r="L65" s="20">
        <f t="shared" si="226"/>
        <v>90</v>
      </c>
      <c r="M65" s="18">
        <v>44214</v>
      </c>
      <c r="N65" s="18">
        <v>44267</v>
      </c>
      <c r="O65" s="22">
        <f t="shared" ca="1" si="224"/>
        <v>90</v>
      </c>
      <c r="P65" s="22">
        <f t="shared" ca="1" si="225"/>
        <v>0</v>
      </c>
      <c r="Q65" s="19">
        <f t="shared" si="219"/>
        <v>44214</v>
      </c>
      <c r="R65" s="19">
        <f t="shared" ca="1" si="220"/>
        <v>44267</v>
      </c>
      <c r="S65" s="24">
        <f t="shared" ca="1" si="221"/>
        <v>54</v>
      </c>
      <c r="T65" s="24">
        <f t="shared" ca="1" si="222"/>
        <v>0</v>
      </c>
      <c r="U65" s="17">
        <f t="shared" si="223"/>
        <v>54</v>
      </c>
      <c r="V65" s="17">
        <v>0</v>
      </c>
    </row>
    <row r="66" spans="1:29" ht="15.75" x14ac:dyDescent="0.15">
      <c r="A66" s="17" t="s">
        <v>739</v>
      </c>
      <c r="B66" s="17" t="s">
        <v>934</v>
      </c>
      <c r="C66" s="17" t="s">
        <v>910</v>
      </c>
      <c r="D66" s="17" t="s">
        <v>135</v>
      </c>
      <c r="E66" s="17" t="s">
        <v>14</v>
      </c>
      <c r="F66" s="17"/>
      <c r="G66" s="17"/>
      <c r="H66" s="17" t="s">
        <v>911</v>
      </c>
      <c r="I66" s="19">
        <v>44264</v>
      </c>
      <c r="J66" s="17">
        <v>0</v>
      </c>
      <c r="K66" s="17">
        <v>1</v>
      </c>
      <c r="L66" s="20">
        <f t="shared" si="226"/>
        <v>45</v>
      </c>
      <c r="M66" s="18">
        <v>44230</v>
      </c>
      <c r="N66" s="18">
        <v>44264</v>
      </c>
      <c r="O66" s="22">
        <f t="shared" ca="1" si="224"/>
        <v>45</v>
      </c>
      <c r="P66" s="22">
        <f t="shared" ca="1" si="225"/>
        <v>0</v>
      </c>
      <c r="Q66" s="19">
        <f t="shared" si="219"/>
        <v>44230</v>
      </c>
      <c r="R66" s="19">
        <f t="shared" ca="1" si="220"/>
        <v>44264</v>
      </c>
      <c r="S66" s="24">
        <f t="shared" ca="1" si="221"/>
        <v>35</v>
      </c>
      <c r="T66" s="24">
        <f t="shared" ca="1" si="222"/>
        <v>0</v>
      </c>
      <c r="U66" s="17">
        <f t="shared" si="223"/>
        <v>35</v>
      </c>
      <c r="V66" s="17">
        <v>0</v>
      </c>
    </row>
    <row r="67" spans="1:29" ht="15.75" x14ac:dyDescent="0.15">
      <c r="A67" s="17" t="s">
        <v>84</v>
      </c>
      <c r="B67" s="17" t="s">
        <v>935</v>
      </c>
      <c r="C67" s="17" t="s">
        <v>910</v>
      </c>
      <c r="D67" s="17" t="s">
        <v>135</v>
      </c>
      <c r="E67" s="17" t="s">
        <v>14</v>
      </c>
      <c r="F67" s="17"/>
      <c r="G67" s="17"/>
      <c r="H67" s="17" t="s">
        <v>911</v>
      </c>
      <c r="I67" s="19">
        <v>44264</v>
      </c>
      <c r="J67" s="17">
        <v>0</v>
      </c>
      <c r="K67" s="17">
        <v>1</v>
      </c>
      <c r="L67" s="20">
        <f t="shared" si="226"/>
        <v>45</v>
      </c>
      <c r="M67" s="18">
        <v>44230</v>
      </c>
      <c r="N67" s="18">
        <v>44264</v>
      </c>
      <c r="O67" s="22">
        <f t="shared" ca="1" si="224"/>
        <v>45</v>
      </c>
      <c r="P67" s="22">
        <f t="shared" ca="1" si="225"/>
        <v>0</v>
      </c>
      <c r="Q67" s="19">
        <f t="shared" si="219"/>
        <v>44230</v>
      </c>
      <c r="R67" s="19">
        <f t="shared" ca="1" si="220"/>
        <v>44264</v>
      </c>
      <c r="S67" s="24">
        <f t="shared" ca="1" si="221"/>
        <v>35</v>
      </c>
      <c r="T67" s="24">
        <f t="shared" ca="1" si="222"/>
        <v>0</v>
      </c>
      <c r="U67" s="17">
        <f t="shared" si="223"/>
        <v>35</v>
      </c>
      <c r="V67" s="17">
        <v>1</v>
      </c>
    </row>
    <row r="68" spans="1:29" ht="17.25" x14ac:dyDescent="0.15">
      <c r="A68" s="17" t="s">
        <v>202</v>
      </c>
      <c r="B68" s="17" t="s">
        <v>936</v>
      </c>
      <c r="C68" s="17" t="s">
        <v>910</v>
      </c>
      <c r="D68" s="17" t="s">
        <v>124</v>
      </c>
      <c r="H68" s="17" t="s">
        <v>911</v>
      </c>
      <c r="I68" s="19">
        <v>44259</v>
      </c>
      <c r="J68" s="17">
        <v>0</v>
      </c>
      <c r="K68" s="17">
        <v>1.3</v>
      </c>
      <c r="L68" s="20">
        <v>6</v>
      </c>
      <c r="M68" s="18">
        <v>44245</v>
      </c>
      <c r="N68" s="18">
        <v>44259</v>
      </c>
      <c r="O68" s="22">
        <f t="shared" ca="1" si="224"/>
        <v>6</v>
      </c>
      <c r="P68" s="22">
        <f t="shared" ca="1" si="225"/>
        <v>0</v>
      </c>
      <c r="Q68" s="19">
        <f t="shared" si="219"/>
        <v>44245</v>
      </c>
      <c r="R68" s="19">
        <f t="shared" ca="1" si="220"/>
        <v>44259</v>
      </c>
      <c r="S68" s="24">
        <f t="shared" ca="1" si="221"/>
        <v>15</v>
      </c>
      <c r="T68" s="24">
        <f t="shared" ca="1" si="222"/>
        <v>0</v>
      </c>
      <c r="U68" s="17">
        <f t="shared" si="223"/>
        <v>15</v>
      </c>
      <c r="V68" s="17">
        <v>1</v>
      </c>
      <c r="X68" s="28" t="s">
        <v>957</v>
      </c>
      <c r="Y68" s="29"/>
      <c r="Z68" s="38"/>
      <c r="AA68" s="39"/>
      <c r="AB68" s="39"/>
      <c r="AC68" s="40"/>
    </row>
    <row r="69" spans="1:29" ht="17.25" x14ac:dyDescent="0.15">
      <c r="A69" s="17" t="s">
        <v>361</v>
      </c>
      <c r="B69" s="17" t="s">
        <v>937</v>
      </c>
      <c r="C69" s="17" t="s">
        <v>910</v>
      </c>
      <c r="D69" s="17" t="s">
        <v>135</v>
      </c>
      <c r="E69" s="17" t="s">
        <v>19</v>
      </c>
      <c r="F69" s="17"/>
      <c r="G69" s="17"/>
      <c r="H69" s="17" t="s">
        <v>911</v>
      </c>
      <c r="I69" s="19">
        <v>44259</v>
      </c>
      <c r="J69" s="17">
        <v>0</v>
      </c>
      <c r="K69" s="17">
        <v>0.2</v>
      </c>
      <c r="L69" s="20">
        <f>K69*CWHC</f>
        <v>9</v>
      </c>
      <c r="M69" s="18">
        <v>44229</v>
      </c>
      <c r="N69" s="18">
        <v>44259</v>
      </c>
      <c r="O69" s="22">
        <f t="shared" ca="1" si="224"/>
        <v>9</v>
      </c>
      <c r="P69" s="22">
        <f t="shared" ca="1" si="225"/>
        <v>0</v>
      </c>
      <c r="Q69" s="19">
        <f t="shared" si="219"/>
        <v>44229</v>
      </c>
      <c r="R69" s="19">
        <f t="shared" ca="1" si="220"/>
        <v>44259</v>
      </c>
      <c r="S69" s="24">
        <f t="shared" ca="1" si="221"/>
        <v>31</v>
      </c>
      <c r="T69" s="24">
        <f t="shared" ca="1" si="222"/>
        <v>0</v>
      </c>
      <c r="U69" s="17">
        <f t="shared" si="223"/>
        <v>31</v>
      </c>
      <c r="V69" s="17">
        <v>1</v>
      </c>
      <c r="X69" s="28" t="s">
        <v>959</v>
      </c>
      <c r="Y69" s="29"/>
      <c r="Z69" s="38"/>
      <c r="AA69" s="39"/>
      <c r="AB69" s="39"/>
      <c r="AC69" s="40"/>
    </row>
    <row r="70" spans="1:29" ht="17.25" x14ac:dyDescent="0.15">
      <c r="A70" s="17" t="s">
        <v>215</v>
      </c>
      <c r="B70" s="17" t="s">
        <v>938</v>
      </c>
      <c r="C70" s="17" t="s">
        <v>910</v>
      </c>
      <c r="D70" s="17" t="s">
        <v>129</v>
      </c>
      <c r="H70" s="17" t="s">
        <v>913</v>
      </c>
      <c r="I70" s="19">
        <v>44265</v>
      </c>
      <c r="J70" s="17">
        <v>6</v>
      </c>
      <c r="K70" s="17">
        <v>1.2</v>
      </c>
      <c r="L70" s="20">
        <f>K70*CWHC</f>
        <v>54</v>
      </c>
      <c r="M70" s="18">
        <v>44228</v>
      </c>
      <c r="N70" s="18">
        <v>44258</v>
      </c>
      <c r="O70" s="22">
        <f t="shared" ca="1" si="224"/>
        <v>54</v>
      </c>
      <c r="P70" s="22">
        <f t="shared" ca="1" si="225"/>
        <v>0</v>
      </c>
      <c r="Q70" s="19">
        <f t="shared" si="219"/>
        <v>44228</v>
      </c>
      <c r="R70" s="19">
        <f t="shared" ca="1" si="220"/>
        <v>44258</v>
      </c>
      <c r="S70" s="24">
        <f t="shared" ca="1" si="221"/>
        <v>31</v>
      </c>
      <c r="T70" s="24">
        <f t="shared" ca="1" si="222"/>
        <v>0</v>
      </c>
      <c r="U70" s="17">
        <f t="shared" si="223"/>
        <v>31</v>
      </c>
      <c r="V70" s="17">
        <v>1</v>
      </c>
      <c r="X70" s="28" t="s">
        <v>961</v>
      </c>
      <c r="Y70" s="29"/>
      <c r="Z70" s="38"/>
      <c r="AA70" s="39"/>
      <c r="AB70" s="39"/>
      <c r="AC70" s="40"/>
    </row>
    <row r="71" spans="1:29" ht="17.25" x14ac:dyDescent="0.15">
      <c r="A71" s="17" t="s">
        <v>727</v>
      </c>
      <c r="B71" s="17" t="s">
        <v>939</v>
      </c>
      <c r="C71" s="17" t="s">
        <v>910</v>
      </c>
      <c r="D71" s="17" t="s">
        <v>124</v>
      </c>
      <c r="E71" s="17" t="s">
        <v>84</v>
      </c>
      <c r="F71" s="17"/>
      <c r="G71" s="17"/>
      <c r="H71" s="17" t="s">
        <v>913</v>
      </c>
      <c r="I71" s="19">
        <v>44263</v>
      </c>
      <c r="J71" s="17">
        <v>5</v>
      </c>
      <c r="K71" s="17">
        <v>0.7</v>
      </c>
      <c r="L71" s="20">
        <f>K71*CWHC</f>
        <v>31.499999999999996</v>
      </c>
      <c r="M71" s="18">
        <v>44229</v>
      </c>
      <c r="N71" s="18">
        <v>44257</v>
      </c>
      <c r="O71" s="22">
        <f t="shared" ca="1" si="224"/>
        <v>31.499999999999996</v>
      </c>
      <c r="P71" s="22">
        <f t="shared" ca="1" si="225"/>
        <v>0</v>
      </c>
      <c r="Q71" s="19">
        <f t="shared" si="219"/>
        <v>44229</v>
      </c>
      <c r="R71" s="19">
        <f t="shared" ca="1" si="220"/>
        <v>44257</v>
      </c>
      <c r="S71" s="24">
        <f t="shared" ca="1" si="221"/>
        <v>29</v>
      </c>
      <c r="T71" s="24">
        <f t="shared" ca="1" si="222"/>
        <v>0</v>
      </c>
      <c r="U71" s="17">
        <f t="shared" si="223"/>
        <v>29</v>
      </c>
      <c r="V71" s="17">
        <v>1</v>
      </c>
      <c r="X71" s="28" t="s">
        <v>963</v>
      </c>
      <c r="Y71" s="29"/>
      <c r="Z71" s="38"/>
      <c r="AA71" s="39"/>
      <c r="AB71" s="39"/>
      <c r="AC71" s="40"/>
    </row>
    <row r="72" spans="1:29" ht="17.25" x14ac:dyDescent="0.15">
      <c r="A72" s="17" t="s">
        <v>482</v>
      </c>
      <c r="B72" s="17" t="s">
        <v>940</v>
      </c>
      <c r="C72" s="17" t="s">
        <v>910</v>
      </c>
      <c r="D72" s="17" t="s">
        <v>129</v>
      </c>
      <c r="E72" s="17" t="s">
        <v>84</v>
      </c>
      <c r="F72" s="17"/>
      <c r="G72" s="17"/>
      <c r="H72" s="17" t="s">
        <v>911</v>
      </c>
      <c r="I72" s="19">
        <v>44255</v>
      </c>
      <c r="J72" s="17">
        <v>0</v>
      </c>
      <c r="K72" s="17">
        <v>0.53</v>
      </c>
      <c r="L72" s="20">
        <v>24</v>
      </c>
      <c r="M72" s="18">
        <v>44221</v>
      </c>
      <c r="N72" s="18">
        <v>44255</v>
      </c>
      <c r="O72" s="22">
        <f t="shared" ca="1" si="224"/>
        <v>24</v>
      </c>
      <c r="P72" s="22">
        <f t="shared" ca="1" si="225"/>
        <v>0</v>
      </c>
      <c r="Q72" s="19">
        <f t="shared" si="219"/>
        <v>44221</v>
      </c>
      <c r="R72" s="19">
        <f t="shared" ca="1" si="220"/>
        <v>44255</v>
      </c>
      <c r="S72" s="24">
        <f t="shared" ca="1" si="221"/>
        <v>35</v>
      </c>
      <c r="T72" s="24">
        <f t="shared" ca="1" si="222"/>
        <v>0</v>
      </c>
      <c r="U72" s="17">
        <f t="shared" si="223"/>
        <v>35</v>
      </c>
      <c r="V72" s="17">
        <v>1</v>
      </c>
      <c r="X72" s="28" t="s">
        <v>966</v>
      </c>
      <c r="Y72" s="29"/>
      <c r="Z72" s="38"/>
      <c r="AA72" s="39"/>
      <c r="AB72" s="39"/>
      <c r="AC72" s="40"/>
    </row>
    <row r="73" spans="1:29" ht="17.25" x14ac:dyDescent="0.15">
      <c r="A73" s="17" t="s">
        <v>32</v>
      </c>
      <c r="B73" s="17" t="s">
        <v>941</v>
      </c>
      <c r="C73" s="17" t="s">
        <v>910</v>
      </c>
      <c r="D73" s="17" t="s">
        <v>129</v>
      </c>
      <c r="E73" s="17" t="s">
        <v>32</v>
      </c>
      <c r="F73" s="17"/>
      <c r="G73" s="17"/>
      <c r="H73" s="17" t="s">
        <v>913</v>
      </c>
      <c r="I73" s="19">
        <v>44254</v>
      </c>
      <c r="J73" s="17">
        <v>1</v>
      </c>
      <c r="K73" s="17">
        <v>0.1</v>
      </c>
      <c r="L73" s="20">
        <f t="shared" ref="L73:L86" si="227">K73*CWHC</f>
        <v>4.5</v>
      </c>
      <c r="M73" s="18">
        <v>44245</v>
      </c>
      <c r="N73" s="18">
        <v>44253</v>
      </c>
      <c r="O73" s="22">
        <f t="shared" ca="1" si="224"/>
        <v>4.5</v>
      </c>
      <c r="P73" s="22">
        <f t="shared" ca="1" si="225"/>
        <v>0</v>
      </c>
      <c r="Q73" s="19">
        <f t="shared" si="219"/>
        <v>44245</v>
      </c>
      <c r="R73" s="19">
        <f t="shared" ca="1" si="220"/>
        <v>44253</v>
      </c>
      <c r="S73" s="24">
        <f t="shared" ca="1" si="221"/>
        <v>9</v>
      </c>
      <c r="T73" s="24">
        <f t="shared" ca="1" si="222"/>
        <v>0</v>
      </c>
      <c r="U73" s="17">
        <f t="shared" si="223"/>
        <v>9</v>
      </c>
      <c r="V73" s="17">
        <v>1</v>
      </c>
      <c r="X73" s="197" t="s">
        <v>968</v>
      </c>
      <c r="Y73" s="29"/>
      <c r="Z73" s="41"/>
      <c r="AA73" s="39"/>
      <c r="AB73" s="39"/>
      <c r="AC73" s="40"/>
    </row>
    <row r="74" spans="1:29" ht="17.25" x14ac:dyDescent="0.15">
      <c r="A74" s="17" t="s">
        <v>83</v>
      </c>
      <c r="B74" s="17" t="s">
        <v>942</v>
      </c>
      <c r="C74" s="17" t="s">
        <v>910</v>
      </c>
      <c r="D74" s="17" t="s">
        <v>124</v>
      </c>
      <c r="E74" s="17" t="s">
        <v>13</v>
      </c>
      <c r="F74" s="17"/>
      <c r="G74" s="17"/>
      <c r="H74" s="17" t="s">
        <v>911</v>
      </c>
      <c r="I74" s="19">
        <v>44253</v>
      </c>
      <c r="J74" s="17">
        <v>0</v>
      </c>
      <c r="K74" s="17">
        <v>0.45</v>
      </c>
      <c r="L74" s="20">
        <f t="shared" si="227"/>
        <v>20.25</v>
      </c>
      <c r="M74" s="18">
        <v>44229</v>
      </c>
      <c r="N74" s="18">
        <v>44253</v>
      </c>
      <c r="O74" s="22">
        <f t="shared" ca="1" si="224"/>
        <v>20.25</v>
      </c>
      <c r="P74" s="22">
        <f t="shared" ca="1" si="225"/>
        <v>0</v>
      </c>
      <c r="Q74" s="19">
        <f t="shared" si="219"/>
        <v>44229</v>
      </c>
      <c r="R74" s="19">
        <f t="shared" ca="1" si="220"/>
        <v>44253</v>
      </c>
      <c r="S74" s="24">
        <f t="shared" ca="1" si="221"/>
        <v>25</v>
      </c>
      <c r="T74" s="24">
        <f t="shared" ca="1" si="222"/>
        <v>0</v>
      </c>
      <c r="U74" s="17">
        <f t="shared" si="223"/>
        <v>25</v>
      </c>
      <c r="V74" s="17">
        <v>1</v>
      </c>
      <c r="X74" s="30" t="s">
        <v>1188</v>
      </c>
    </row>
    <row r="75" spans="1:29" ht="15.75" x14ac:dyDescent="0.15">
      <c r="A75" s="17" t="s">
        <v>519</v>
      </c>
      <c r="B75" s="17" t="s">
        <v>943</v>
      </c>
      <c r="C75" s="17" t="s">
        <v>910</v>
      </c>
      <c r="D75" s="17" t="s">
        <v>124</v>
      </c>
      <c r="E75" s="17" t="s">
        <v>13</v>
      </c>
      <c r="F75" s="17"/>
      <c r="G75" s="17"/>
      <c r="H75" s="17" t="s">
        <v>913</v>
      </c>
      <c r="I75" s="21">
        <v>44257</v>
      </c>
      <c r="J75" s="17">
        <v>4</v>
      </c>
      <c r="K75" s="17">
        <v>1</v>
      </c>
      <c r="L75" s="20">
        <f t="shared" si="227"/>
        <v>45</v>
      </c>
      <c r="M75" s="18">
        <v>44224</v>
      </c>
      <c r="N75" s="18">
        <v>44252</v>
      </c>
      <c r="O75" s="22">
        <f t="shared" ca="1" si="224"/>
        <v>45</v>
      </c>
      <c r="P75" s="22">
        <f t="shared" ca="1" si="225"/>
        <v>0</v>
      </c>
      <c r="Q75" s="19">
        <f t="shared" si="219"/>
        <v>44224</v>
      </c>
      <c r="R75" s="19">
        <f t="shared" ca="1" si="220"/>
        <v>44252</v>
      </c>
      <c r="S75" s="24">
        <f t="shared" ca="1" si="221"/>
        <v>29</v>
      </c>
      <c r="T75" s="24">
        <f t="shared" ca="1" si="222"/>
        <v>0</v>
      </c>
      <c r="U75" s="17">
        <f t="shared" si="223"/>
        <v>29</v>
      </c>
      <c r="V75" s="17">
        <v>1</v>
      </c>
    </row>
    <row r="76" spans="1:29" ht="15.75" x14ac:dyDescent="0.15">
      <c r="A76" s="17" t="s">
        <v>211</v>
      </c>
      <c r="B76" s="17" t="s">
        <v>944</v>
      </c>
      <c r="C76" s="17" t="s">
        <v>910</v>
      </c>
      <c r="D76" s="17" t="s">
        <v>124</v>
      </c>
      <c r="E76" s="17" t="s">
        <v>14</v>
      </c>
      <c r="F76" s="17"/>
      <c r="G76" s="17"/>
      <c r="H76" s="17" t="s">
        <v>913</v>
      </c>
      <c r="I76" s="21">
        <v>44257</v>
      </c>
      <c r="J76" s="17">
        <v>4</v>
      </c>
      <c r="K76" s="17">
        <v>1</v>
      </c>
      <c r="L76" s="20">
        <f t="shared" si="227"/>
        <v>45</v>
      </c>
      <c r="M76" s="18">
        <v>44224</v>
      </c>
      <c r="N76" s="18">
        <v>44252</v>
      </c>
      <c r="O76" s="22">
        <f t="shared" ca="1" si="224"/>
        <v>45</v>
      </c>
      <c r="P76" s="22">
        <f t="shared" ca="1" si="225"/>
        <v>0</v>
      </c>
      <c r="Q76" s="19">
        <f t="shared" si="219"/>
        <v>44224</v>
      </c>
      <c r="R76" s="19">
        <f t="shared" ca="1" si="220"/>
        <v>44252</v>
      </c>
      <c r="S76" s="24">
        <f t="shared" ca="1" si="221"/>
        <v>29</v>
      </c>
      <c r="T76" s="24">
        <f t="shared" ca="1" si="222"/>
        <v>0</v>
      </c>
      <c r="U76" s="17">
        <f t="shared" si="223"/>
        <v>29</v>
      </c>
      <c r="V76" s="17">
        <v>1</v>
      </c>
      <c r="W76" s="31" t="s">
        <v>174</v>
      </c>
      <c r="X76" s="31" t="s">
        <v>174</v>
      </c>
      <c r="Y76" s="31" t="s">
        <v>950</v>
      </c>
      <c r="Z76" s="31" t="s">
        <v>911</v>
      </c>
      <c r="AA76" s="31" t="s">
        <v>913</v>
      </c>
      <c r="AB76" s="31" t="s">
        <v>174</v>
      </c>
    </row>
    <row r="77" spans="1:29" ht="15.75" x14ac:dyDescent="0.15">
      <c r="A77" s="17" t="s">
        <v>450</v>
      </c>
      <c r="B77" s="17" t="s">
        <v>944</v>
      </c>
      <c r="C77" s="17" t="s">
        <v>910</v>
      </c>
      <c r="D77" s="17" t="s">
        <v>124</v>
      </c>
      <c r="E77" s="17" t="s">
        <v>14</v>
      </c>
      <c r="F77" s="17"/>
      <c r="G77" s="17"/>
      <c r="H77" s="17" t="s">
        <v>913</v>
      </c>
      <c r="I77" s="21">
        <v>44257</v>
      </c>
      <c r="J77" s="17">
        <v>4</v>
      </c>
      <c r="K77" s="17">
        <v>1</v>
      </c>
      <c r="L77" s="20">
        <f t="shared" si="227"/>
        <v>45</v>
      </c>
      <c r="M77" s="18">
        <v>44224</v>
      </c>
      <c r="N77" s="18">
        <v>44252</v>
      </c>
      <c r="O77" s="22">
        <f t="shared" ca="1" si="224"/>
        <v>45</v>
      </c>
      <c r="P77" s="22">
        <f t="shared" ca="1" si="225"/>
        <v>0</v>
      </c>
      <c r="Q77" s="19">
        <f t="shared" si="219"/>
        <v>44224</v>
      </c>
      <c r="R77" s="19">
        <f t="shared" ca="1" si="220"/>
        <v>44252</v>
      </c>
      <c r="S77" s="24">
        <f t="shared" ca="1" si="221"/>
        <v>29</v>
      </c>
      <c r="T77" s="24">
        <f t="shared" ca="1" si="222"/>
        <v>0</v>
      </c>
      <c r="U77" s="17">
        <f t="shared" si="223"/>
        <v>29</v>
      </c>
      <c r="V77" s="17">
        <v>0</v>
      </c>
      <c r="W77" t="str">
        <f>X77&amp;"-"&amp;Y77&amp;"/"&amp;Z77&amp;"/"&amp;AA77</f>
        <v>吕欣冉-0/2/0</v>
      </c>
      <c r="X77" s="17" t="s">
        <v>84</v>
      </c>
      <c r="Y77">
        <f t="shared" ref="Y77:AA96" si="228">COUNTIFS($H:$H,Y$76,$A:$A,$X77,$I:$I,"&gt;2021-2-28")</f>
        <v>0</v>
      </c>
      <c r="Z77">
        <f t="shared" si="228"/>
        <v>2</v>
      </c>
      <c r="AA77">
        <f t="shared" si="228"/>
        <v>0</v>
      </c>
      <c r="AB77" t="str">
        <f>X77&amp;"-"&amp;Y77&amp;"/"&amp;Z77&amp;"/"&amp;AA77</f>
        <v>吕欣冉-0/2/0</v>
      </c>
    </row>
    <row r="78" spans="1:29" ht="15.75" x14ac:dyDescent="0.15">
      <c r="A78" s="17" t="s">
        <v>502</v>
      </c>
      <c r="B78" s="20" t="s">
        <v>945</v>
      </c>
      <c r="C78" s="20" t="s">
        <v>910</v>
      </c>
      <c r="D78" s="20" t="s">
        <v>129</v>
      </c>
      <c r="E78" s="20" t="s">
        <v>22</v>
      </c>
      <c r="F78" s="20"/>
      <c r="G78" s="20"/>
      <c r="H78" s="17" t="s">
        <v>913</v>
      </c>
      <c r="I78" s="21">
        <v>44257</v>
      </c>
      <c r="J78" s="20">
        <v>8</v>
      </c>
      <c r="K78" s="20">
        <v>0.3</v>
      </c>
      <c r="L78" s="20">
        <f t="shared" si="227"/>
        <v>13.5</v>
      </c>
      <c r="M78" s="18">
        <v>44223</v>
      </c>
      <c r="N78" s="18">
        <v>44247</v>
      </c>
      <c r="O78" s="22">
        <f t="shared" ca="1" si="224"/>
        <v>13.5</v>
      </c>
      <c r="P78" s="22">
        <f t="shared" ca="1" si="225"/>
        <v>0</v>
      </c>
      <c r="Q78" s="19">
        <f t="shared" si="219"/>
        <v>44223</v>
      </c>
      <c r="R78" s="19">
        <f t="shared" ca="1" si="220"/>
        <v>44247</v>
      </c>
      <c r="S78" s="24">
        <f t="shared" ca="1" si="221"/>
        <v>25</v>
      </c>
      <c r="T78" s="24">
        <f t="shared" ca="1" si="222"/>
        <v>0</v>
      </c>
      <c r="U78" s="17">
        <f t="shared" si="223"/>
        <v>25</v>
      </c>
      <c r="V78" s="17">
        <v>1</v>
      </c>
      <c r="W78" t="str">
        <f t="shared" ref="W78:W96" si="229">X78&amp;"-"&amp;Y78&amp;"/"&amp;Z78&amp;"/"&amp;AA78</f>
        <v>李云毅-0/1/1</v>
      </c>
      <c r="X78" s="17" t="s">
        <v>519</v>
      </c>
      <c r="Y78">
        <f t="shared" si="228"/>
        <v>0</v>
      </c>
      <c r="Z78">
        <f t="shared" si="228"/>
        <v>1</v>
      </c>
      <c r="AA78">
        <f t="shared" si="228"/>
        <v>1</v>
      </c>
      <c r="AB78" t="str">
        <f t="shared" ref="AB78:AB96" si="230">X78&amp;"-"&amp;Y78&amp;"/"&amp;Z78&amp;"/"&amp;AA78</f>
        <v>李云毅-0/1/1</v>
      </c>
    </row>
    <row r="79" spans="1:29" ht="15.75" x14ac:dyDescent="0.15">
      <c r="A79" s="17" t="s">
        <v>502</v>
      </c>
      <c r="B79" s="17" t="s">
        <v>946</v>
      </c>
      <c r="C79" s="17" t="s">
        <v>910</v>
      </c>
      <c r="D79" s="17" t="s">
        <v>129</v>
      </c>
      <c r="E79" s="20" t="s">
        <v>22</v>
      </c>
      <c r="F79" s="20"/>
      <c r="G79" s="20"/>
      <c r="H79" s="17" t="s">
        <v>911</v>
      </c>
      <c r="I79" s="21">
        <v>44247</v>
      </c>
      <c r="J79" s="20">
        <v>0</v>
      </c>
      <c r="K79" s="20">
        <v>0.2</v>
      </c>
      <c r="L79" s="20">
        <f t="shared" si="227"/>
        <v>9</v>
      </c>
      <c r="M79" s="18">
        <v>44223</v>
      </c>
      <c r="N79" s="18">
        <v>44247</v>
      </c>
      <c r="O79" s="22">
        <f t="shared" ca="1" si="224"/>
        <v>9</v>
      </c>
      <c r="P79" s="22">
        <f t="shared" ca="1" si="225"/>
        <v>0</v>
      </c>
      <c r="Q79" s="19">
        <f t="shared" si="219"/>
        <v>44223</v>
      </c>
      <c r="R79" s="19">
        <f t="shared" ca="1" si="220"/>
        <v>44247</v>
      </c>
      <c r="S79" s="24">
        <f t="shared" ca="1" si="221"/>
        <v>25</v>
      </c>
      <c r="T79" s="24">
        <f t="shared" ca="1" si="222"/>
        <v>0</v>
      </c>
      <c r="U79" s="17">
        <f t="shared" si="223"/>
        <v>25</v>
      </c>
      <c r="V79" s="17">
        <v>1</v>
      </c>
      <c r="W79" t="str">
        <f t="shared" si="229"/>
        <v>姚文心-0/1/1</v>
      </c>
      <c r="X79" s="17" t="s">
        <v>524</v>
      </c>
      <c r="Y79">
        <f t="shared" si="228"/>
        <v>0</v>
      </c>
      <c r="Z79">
        <f t="shared" si="228"/>
        <v>1</v>
      </c>
      <c r="AA79">
        <f t="shared" si="228"/>
        <v>1</v>
      </c>
      <c r="AB79" t="str">
        <f t="shared" si="230"/>
        <v>姚文心-0/1/1</v>
      </c>
    </row>
    <row r="80" spans="1:29" ht="15.75" x14ac:dyDescent="0.15">
      <c r="A80" s="17" t="s">
        <v>215</v>
      </c>
      <c r="B80" s="17" t="s">
        <v>946</v>
      </c>
      <c r="C80" s="17" t="s">
        <v>910</v>
      </c>
      <c r="D80" s="17" t="s">
        <v>129</v>
      </c>
      <c r="E80" s="20" t="s">
        <v>22</v>
      </c>
      <c r="F80" s="20"/>
      <c r="G80" s="20"/>
      <c r="H80" s="17" t="s">
        <v>911</v>
      </c>
      <c r="I80" s="21">
        <v>44247</v>
      </c>
      <c r="J80" s="20">
        <v>0</v>
      </c>
      <c r="K80" s="20">
        <v>0.2</v>
      </c>
      <c r="L80" s="20">
        <f t="shared" si="227"/>
        <v>9</v>
      </c>
      <c r="M80" s="18">
        <v>44223</v>
      </c>
      <c r="N80" s="18">
        <v>44247</v>
      </c>
      <c r="O80" s="22">
        <f t="shared" ca="1" si="224"/>
        <v>9</v>
      </c>
      <c r="P80" s="22">
        <f t="shared" ca="1" si="225"/>
        <v>0</v>
      </c>
      <c r="Q80" s="19">
        <f t="shared" si="219"/>
        <v>44223</v>
      </c>
      <c r="R80" s="19">
        <f t="shared" ca="1" si="220"/>
        <v>44247</v>
      </c>
      <c r="S80" s="24">
        <f t="shared" ca="1" si="221"/>
        <v>25</v>
      </c>
      <c r="T80" s="24">
        <f t="shared" ca="1" si="222"/>
        <v>0</v>
      </c>
      <c r="U80" s="17">
        <f t="shared" si="223"/>
        <v>25</v>
      </c>
      <c r="V80" s="17">
        <v>0</v>
      </c>
      <c r="W80" t="str">
        <f t="shared" si="229"/>
        <v>赵晓韵-0/3/2</v>
      </c>
      <c r="X80" s="17" t="s">
        <v>361</v>
      </c>
      <c r="Y80">
        <f t="shared" si="228"/>
        <v>0</v>
      </c>
      <c r="Z80">
        <f t="shared" si="228"/>
        <v>3</v>
      </c>
      <c r="AA80">
        <f t="shared" si="228"/>
        <v>2</v>
      </c>
      <c r="AB80" t="str">
        <f t="shared" si="230"/>
        <v>赵晓韵-0/3/2</v>
      </c>
    </row>
    <row r="81" spans="1:28" ht="15.75" x14ac:dyDescent="0.15">
      <c r="A81" s="17" t="s">
        <v>423</v>
      </c>
      <c r="B81" s="17" t="s">
        <v>947</v>
      </c>
      <c r="C81" s="17" t="s">
        <v>910</v>
      </c>
      <c r="D81" s="17" t="s">
        <v>135</v>
      </c>
      <c r="E81" s="17" t="s">
        <v>14</v>
      </c>
      <c r="F81" s="17"/>
      <c r="G81" s="17"/>
      <c r="H81" s="17" t="s">
        <v>913</v>
      </c>
      <c r="I81" s="19">
        <v>44235</v>
      </c>
      <c r="J81" s="17">
        <v>2</v>
      </c>
      <c r="K81" s="17">
        <v>0.5</v>
      </c>
      <c r="L81" s="20">
        <f t="shared" si="227"/>
        <v>22.5</v>
      </c>
      <c r="M81" s="18">
        <v>44221</v>
      </c>
      <c r="N81" s="18">
        <v>44233</v>
      </c>
      <c r="O81" s="22">
        <f t="shared" ca="1" si="224"/>
        <v>22.5</v>
      </c>
      <c r="P81" s="22">
        <f t="shared" ca="1" si="225"/>
        <v>0</v>
      </c>
      <c r="Q81" s="19">
        <f t="shared" si="219"/>
        <v>44221</v>
      </c>
      <c r="R81" s="19">
        <f t="shared" ca="1" si="220"/>
        <v>44233</v>
      </c>
      <c r="S81" s="24">
        <f t="shared" ca="1" si="221"/>
        <v>13</v>
      </c>
      <c r="T81" s="24">
        <f t="shared" ca="1" si="222"/>
        <v>0</v>
      </c>
      <c r="U81" s="17">
        <f t="shared" si="223"/>
        <v>13</v>
      </c>
      <c r="V81" s="17">
        <v>1</v>
      </c>
      <c r="W81" t="str">
        <f t="shared" si="229"/>
        <v>魏渐俊-0/0/1</v>
      </c>
      <c r="X81" s="17" t="s">
        <v>393</v>
      </c>
      <c r="Y81">
        <f t="shared" si="228"/>
        <v>0</v>
      </c>
      <c r="Z81">
        <f t="shared" si="228"/>
        <v>0</v>
      </c>
      <c r="AA81">
        <f t="shared" si="228"/>
        <v>1</v>
      </c>
      <c r="AB81" t="str">
        <f t="shared" si="230"/>
        <v>魏渐俊-0/0/1</v>
      </c>
    </row>
    <row r="82" spans="1:28" ht="15.75" x14ac:dyDescent="0.15">
      <c r="A82" s="17" t="s">
        <v>393</v>
      </c>
      <c r="B82" s="17" t="s">
        <v>948</v>
      </c>
      <c r="C82" s="17" t="s">
        <v>910</v>
      </c>
      <c r="D82" s="17" t="s">
        <v>124</v>
      </c>
      <c r="E82" s="17" t="s">
        <v>84</v>
      </c>
      <c r="F82" s="17"/>
      <c r="G82" s="17"/>
      <c r="H82" s="17" t="s">
        <v>913</v>
      </c>
      <c r="I82" s="19">
        <v>44234</v>
      </c>
      <c r="J82" s="17">
        <v>1</v>
      </c>
      <c r="K82" s="17">
        <v>0.8</v>
      </c>
      <c r="L82" s="20">
        <f t="shared" si="227"/>
        <v>36</v>
      </c>
      <c r="M82" s="18">
        <v>44210</v>
      </c>
      <c r="N82" s="18">
        <v>44232</v>
      </c>
      <c r="O82" s="22">
        <f t="shared" ca="1" si="224"/>
        <v>36</v>
      </c>
      <c r="P82" s="22">
        <f t="shared" ca="1" si="225"/>
        <v>0</v>
      </c>
      <c r="Q82" s="19">
        <f t="shared" si="219"/>
        <v>44210</v>
      </c>
      <c r="R82" s="19">
        <f t="shared" ca="1" si="220"/>
        <v>44232</v>
      </c>
      <c r="S82" s="24">
        <f t="shared" ca="1" si="221"/>
        <v>23</v>
      </c>
      <c r="T82" s="24">
        <f t="shared" ca="1" si="222"/>
        <v>0</v>
      </c>
      <c r="U82" s="17">
        <f t="shared" si="223"/>
        <v>23</v>
      </c>
      <c r="V82" s="17">
        <v>1</v>
      </c>
      <c r="W82" t="str">
        <f t="shared" si="229"/>
        <v>张薇-0/0/0</v>
      </c>
      <c r="X82" s="17" t="s">
        <v>964</v>
      </c>
      <c r="Y82">
        <f t="shared" si="228"/>
        <v>0</v>
      </c>
      <c r="Z82">
        <f t="shared" si="228"/>
        <v>0</v>
      </c>
      <c r="AA82">
        <f t="shared" si="228"/>
        <v>0</v>
      </c>
      <c r="AB82" t="str">
        <f t="shared" si="230"/>
        <v>张薇-0/0/0</v>
      </c>
    </row>
    <row r="83" spans="1:28" ht="15.75" x14ac:dyDescent="0.15">
      <c r="A83" s="17" t="s">
        <v>382</v>
      </c>
      <c r="B83" s="17" t="s">
        <v>948</v>
      </c>
      <c r="C83" s="17" t="s">
        <v>910</v>
      </c>
      <c r="D83" s="17" t="s">
        <v>124</v>
      </c>
      <c r="E83" s="17" t="s">
        <v>84</v>
      </c>
      <c r="F83" s="17"/>
      <c r="G83" s="17"/>
      <c r="H83" s="17" t="s">
        <v>913</v>
      </c>
      <c r="I83" s="19">
        <v>44234</v>
      </c>
      <c r="J83" s="17">
        <v>1</v>
      </c>
      <c r="K83" s="17">
        <v>0.8</v>
      </c>
      <c r="L83" s="20">
        <f t="shared" si="227"/>
        <v>36</v>
      </c>
      <c r="M83" s="18">
        <v>44210</v>
      </c>
      <c r="N83" s="18">
        <v>44232</v>
      </c>
      <c r="O83" s="22">
        <f t="shared" ca="1" si="224"/>
        <v>36</v>
      </c>
      <c r="P83" s="22">
        <f t="shared" ca="1" si="225"/>
        <v>0</v>
      </c>
      <c r="Q83" s="19">
        <f t="shared" si="219"/>
        <v>44210</v>
      </c>
      <c r="R83" s="19">
        <f t="shared" ca="1" si="220"/>
        <v>44232</v>
      </c>
      <c r="S83" s="24">
        <f t="shared" ca="1" si="221"/>
        <v>23</v>
      </c>
      <c r="T83" s="24">
        <f t="shared" ca="1" si="222"/>
        <v>0</v>
      </c>
      <c r="U83" s="17">
        <f t="shared" si="223"/>
        <v>23</v>
      </c>
      <c r="V83" s="17">
        <v>0</v>
      </c>
      <c r="W83" t="str">
        <f t="shared" si="229"/>
        <v>陈嘉伟-0/1/2</v>
      </c>
      <c r="X83" s="17" t="s">
        <v>406</v>
      </c>
      <c r="Y83">
        <f t="shared" si="228"/>
        <v>0</v>
      </c>
      <c r="Z83">
        <f t="shared" si="228"/>
        <v>1</v>
      </c>
      <c r="AA83">
        <f t="shared" si="228"/>
        <v>2</v>
      </c>
      <c r="AB83" t="str">
        <f t="shared" si="230"/>
        <v>陈嘉伟-0/1/2</v>
      </c>
    </row>
    <row r="84" spans="1:28" ht="15.75" x14ac:dyDescent="0.15">
      <c r="A84" s="17" t="s">
        <v>361</v>
      </c>
      <c r="B84" s="17" t="s">
        <v>949</v>
      </c>
      <c r="C84" s="17" t="s">
        <v>910</v>
      </c>
      <c r="D84" s="17" t="s">
        <v>124</v>
      </c>
      <c r="E84" s="17" t="s">
        <v>13</v>
      </c>
      <c r="F84" s="17"/>
      <c r="G84" s="17"/>
      <c r="H84" s="19" t="s">
        <v>950</v>
      </c>
      <c r="I84" s="19">
        <v>44228</v>
      </c>
      <c r="J84" s="17">
        <v>-1</v>
      </c>
      <c r="K84" s="17">
        <v>0.6</v>
      </c>
      <c r="L84" s="20">
        <f t="shared" si="227"/>
        <v>27</v>
      </c>
      <c r="M84" s="18">
        <v>44209</v>
      </c>
      <c r="N84" s="18">
        <v>44229</v>
      </c>
      <c r="O84" s="22">
        <f t="shared" ca="1" si="224"/>
        <v>27</v>
      </c>
      <c r="P84" s="22">
        <f t="shared" ca="1" si="225"/>
        <v>0</v>
      </c>
      <c r="Q84" s="19">
        <f t="shared" si="219"/>
        <v>44209</v>
      </c>
      <c r="R84" s="19">
        <f t="shared" ca="1" si="220"/>
        <v>44229</v>
      </c>
      <c r="S84" s="24">
        <f t="shared" ca="1" si="221"/>
        <v>21</v>
      </c>
      <c r="T84" s="24">
        <f t="shared" ca="1" si="222"/>
        <v>0</v>
      </c>
      <c r="U84" s="17">
        <f t="shared" si="223"/>
        <v>21</v>
      </c>
      <c r="V84" s="17">
        <v>1</v>
      </c>
      <c r="W84" t="str">
        <f t="shared" si="229"/>
        <v>邱媛媛-0/1/2</v>
      </c>
      <c r="X84" s="17" t="s">
        <v>423</v>
      </c>
      <c r="Y84">
        <f t="shared" si="228"/>
        <v>0</v>
      </c>
      <c r="Z84">
        <f t="shared" si="228"/>
        <v>1</v>
      </c>
      <c r="AA84">
        <f t="shared" si="228"/>
        <v>2</v>
      </c>
      <c r="AB84" t="str">
        <f t="shared" si="230"/>
        <v>邱媛媛-0/1/2</v>
      </c>
    </row>
    <row r="85" spans="1:28" ht="15.75" x14ac:dyDescent="0.15">
      <c r="A85" s="17" t="s">
        <v>215</v>
      </c>
      <c r="B85" s="17" t="s">
        <v>951</v>
      </c>
      <c r="C85" s="17" t="s">
        <v>910</v>
      </c>
      <c r="D85" s="17" t="s">
        <v>129</v>
      </c>
      <c r="E85" s="17"/>
      <c r="F85" s="17"/>
      <c r="G85" s="17"/>
      <c r="H85" s="17" t="s">
        <v>911</v>
      </c>
      <c r="I85" s="19">
        <v>44225</v>
      </c>
      <c r="J85" s="17">
        <v>0</v>
      </c>
      <c r="K85" s="17">
        <v>0.4</v>
      </c>
      <c r="L85" s="20">
        <f t="shared" si="227"/>
        <v>18</v>
      </c>
      <c r="M85" s="18">
        <v>44208</v>
      </c>
      <c r="N85" s="18">
        <v>44225</v>
      </c>
      <c r="O85" s="22">
        <f t="shared" ca="1" si="224"/>
        <v>18</v>
      </c>
      <c r="P85" s="22">
        <f t="shared" ca="1" si="225"/>
        <v>0</v>
      </c>
      <c r="Q85" s="19">
        <f t="shared" si="219"/>
        <v>44208</v>
      </c>
      <c r="R85" s="19">
        <f t="shared" ca="1" si="220"/>
        <v>44225</v>
      </c>
      <c r="S85" s="24">
        <f t="shared" ca="1" si="221"/>
        <v>18</v>
      </c>
      <c r="T85" s="24">
        <f t="shared" ca="1" si="222"/>
        <v>0</v>
      </c>
      <c r="U85" s="17">
        <f t="shared" si="223"/>
        <v>18</v>
      </c>
      <c r="V85" s="17">
        <v>0</v>
      </c>
      <c r="W85" t="str">
        <f t="shared" si="229"/>
        <v>陈杰樱-0/1/1</v>
      </c>
      <c r="X85" s="17" t="s">
        <v>242</v>
      </c>
      <c r="Y85">
        <f t="shared" si="228"/>
        <v>0</v>
      </c>
      <c r="Z85">
        <f t="shared" si="228"/>
        <v>1</v>
      </c>
      <c r="AA85">
        <f t="shared" si="228"/>
        <v>1</v>
      </c>
      <c r="AB85" t="str">
        <f t="shared" si="230"/>
        <v>陈杰樱-0/1/1</v>
      </c>
    </row>
    <row r="86" spans="1:28" ht="15.75" x14ac:dyDescent="0.15">
      <c r="A86" s="17" t="s">
        <v>361</v>
      </c>
      <c r="B86" s="17" t="s">
        <v>952</v>
      </c>
      <c r="C86" s="17" t="s">
        <v>910</v>
      </c>
      <c r="D86" s="17" t="s">
        <v>124</v>
      </c>
      <c r="E86" s="17" t="s">
        <v>19</v>
      </c>
      <c r="F86" s="17"/>
      <c r="G86" s="17"/>
      <c r="H86" s="17" t="s">
        <v>911</v>
      </c>
      <c r="I86" s="19">
        <v>44225</v>
      </c>
      <c r="J86" s="17">
        <v>0</v>
      </c>
      <c r="K86" s="17">
        <v>0.2</v>
      </c>
      <c r="L86" s="20">
        <f t="shared" si="227"/>
        <v>9</v>
      </c>
      <c r="M86" s="18">
        <v>44204</v>
      </c>
      <c r="N86" s="18">
        <v>44225</v>
      </c>
      <c r="O86" s="22">
        <f t="shared" ca="1" si="224"/>
        <v>9</v>
      </c>
      <c r="P86" s="22">
        <f t="shared" ca="1" si="225"/>
        <v>0</v>
      </c>
      <c r="Q86" s="19">
        <f t="shared" si="219"/>
        <v>44204</v>
      </c>
      <c r="R86" s="19">
        <f t="shared" ca="1" si="220"/>
        <v>44225</v>
      </c>
      <c r="S86" s="24">
        <f t="shared" ca="1" si="221"/>
        <v>22</v>
      </c>
      <c r="T86" s="24">
        <f t="shared" ca="1" si="222"/>
        <v>0</v>
      </c>
      <c r="U86" s="17">
        <f t="shared" si="223"/>
        <v>22</v>
      </c>
      <c r="V86" s="17">
        <v>1</v>
      </c>
      <c r="W86" t="str">
        <f t="shared" si="229"/>
        <v>苏雷皓-0/0/2</v>
      </c>
      <c r="X86" s="17" t="s">
        <v>382</v>
      </c>
      <c r="Y86">
        <f t="shared" si="228"/>
        <v>0</v>
      </c>
      <c r="Z86">
        <f t="shared" si="228"/>
        <v>0</v>
      </c>
      <c r="AA86">
        <f t="shared" si="228"/>
        <v>2</v>
      </c>
      <c r="AB86" t="str">
        <f t="shared" si="230"/>
        <v>苏雷皓-0/0/2</v>
      </c>
    </row>
    <row r="87" spans="1:28" ht="15.75" x14ac:dyDescent="0.15">
      <c r="A87" s="17" t="s">
        <v>739</v>
      </c>
      <c r="B87" s="17" t="s">
        <v>953</v>
      </c>
      <c r="C87" s="17" t="s">
        <v>910</v>
      </c>
      <c r="D87" s="17" t="s">
        <v>135</v>
      </c>
      <c r="E87" s="17" t="s">
        <v>77</v>
      </c>
      <c r="F87" s="17"/>
      <c r="G87" s="17"/>
      <c r="H87" s="17" t="s">
        <v>913</v>
      </c>
      <c r="I87" s="19">
        <v>44225</v>
      </c>
      <c r="J87" s="17">
        <v>2</v>
      </c>
      <c r="K87" s="17">
        <v>0.3</v>
      </c>
      <c r="L87">
        <v>14</v>
      </c>
      <c r="M87" s="18">
        <v>44209</v>
      </c>
      <c r="N87" s="18">
        <v>44223</v>
      </c>
      <c r="O87" s="22">
        <f t="shared" ca="1" si="224"/>
        <v>14</v>
      </c>
      <c r="P87" s="22">
        <f t="shared" ca="1" si="225"/>
        <v>0</v>
      </c>
      <c r="Q87" s="19">
        <f t="shared" ref="Q87:Q114" si="231">IF(M87&lt;$X$1,$X$1,M87)</f>
        <v>44209</v>
      </c>
      <c r="R87" s="19">
        <f t="shared" ref="R87:R118" ca="1" si="232">IF(N87&lt;Q87,Q87-1,IF(TODAY()&gt;N87,N87,TODAY()))</f>
        <v>44223</v>
      </c>
      <c r="S87" s="24">
        <f t="shared" ref="S87:S118" ca="1" si="233">IF(R87-Q87+1&lt;0,0,R87-Q87+1)</f>
        <v>15</v>
      </c>
      <c r="T87" s="24">
        <f t="shared" ref="T87:T118" ca="1" si="234">IF(R87&gt;N87,0,N87-R87)</f>
        <v>0</v>
      </c>
      <c r="U87" s="17">
        <f t="shared" ref="U87:U118" si="235">N87-M87+1</f>
        <v>15</v>
      </c>
      <c r="V87" s="17">
        <v>1</v>
      </c>
      <c r="W87" t="str">
        <f t="shared" si="229"/>
        <v>章群燕-0/2/1</v>
      </c>
      <c r="X87" s="17" t="s">
        <v>299</v>
      </c>
      <c r="Y87">
        <f t="shared" si="228"/>
        <v>0</v>
      </c>
      <c r="Z87">
        <f t="shared" si="228"/>
        <v>2</v>
      </c>
      <c r="AA87">
        <f t="shared" si="228"/>
        <v>1</v>
      </c>
      <c r="AB87" t="str">
        <f t="shared" si="230"/>
        <v>章群燕-0/2/1</v>
      </c>
    </row>
    <row r="88" spans="1:28" ht="15.75" x14ac:dyDescent="0.15">
      <c r="A88" s="17" t="s">
        <v>727</v>
      </c>
      <c r="B88" s="17" t="s">
        <v>954</v>
      </c>
      <c r="C88" s="17" t="s">
        <v>910</v>
      </c>
      <c r="D88" s="17" t="s">
        <v>124</v>
      </c>
      <c r="E88" s="17" t="s">
        <v>13</v>
      </c>
      <c r="F88" s="17"/>
      <c r="G88" s="17"/>
      <c r="H88" s="17" t="s">
        <v>911</v>
      </c>
      <c r="I88" s="19">
        <v>44223</v>
      </c>
      <c r="J88" s="17">
        <v>0</v>
      </c>
      <c r="K88" s="17">
        <v>0.15</v>
      </c>
      <c r="L88" s="20">
        <f>K88*CWHC</f>
        <v>6.75</v>
      </c>
      <c r="M88" s="18">
        <v>44207</v>
      </c>
      <c r="N88" s="18">
        <v>44223</v>
      </c>
      <c r="O88" s="22">
        <f t="shared" ca="1" si="224"/>
        <v>6.75</v>
      </c>
      <c r="P88" s="22">
        <f t="shared" ca="1" si="225"/>
        <v>0</v>
      </c>
      <c r="Q88" s="19">
        <f t="shared" si="231"/>
        <v>44207</v>
      </c>
      <c r="R88" s="19">
        <f t="shared" ca="1" si="232"/>
        <v>44223</v>
      </c>
      <c r="S88" s="24">
        <f t="shared" ca="1" si="233"/>
        <v>17</v>
      </c>
      <c r="T88" s="24">
        <f t="shared" ca="1" si="234"/>
        <v>0</v>
      </c>
      <c r="U88" s="17">
        <f t="shared" si="235"/>
        <v>17</v>
      </c>
      <c r="V88" s="17">
        <v>1</v>
      </c>
      <c r="W88" t="str">
        <f t="shared" si="229"/>
        <v>刁望庆-0/0/0</v>
      </c>
      <c r="X88" s="17" t="s">
        <v>83</v>
      </c>
      <c r="Y88">
        <f t="shared" si="228"/>
        <v>0</v>
      </c>
      <c r="Z88">
        <f t="shared" si="228"/>
        <v>0</v>
      </c>
      <c r="AA88">
        <f t="shared" si="228"/>
        <v>0</v>
      </c>
      <c r="AB88" t="str">
        <f t="shared" si="230"/>
        <v>刁望庆-0/0/0</v>
      </c>
    </row>
    <row r="89" spans="1:28" ht="15.75" x14ac:dyDescent="0.15">
      <c r="A89" s="17" t="s">
        <v>519</v>
      </c>
      <c r="B89" s="17" t="s">
        <v>955</v>
      </c>
      <c r="C89" s="17" t="s">
        <v>910</v>
      </c>
      <c r="D89" s="17" t="s">
        <v>124</v>
      </c>
      <c r="E89" s="17" t="s">
        <v>13</v>
      </c>
      <c r="F89" s="17"/>
      <c r="G89" s="17"/>
      <c r="H89" s="17" t="s">
        <v>911</v>
      </c>
      <c r="I89" s="19">
        <v>44223</v>
      </c>
      <c r="J89" s="17">
        <v>0</v>
      </c>
      <c r="K89" s="17">
        <v>1</v>
      </c>
      <c r="L89" s="20">
        <f>K89*CWHC</f>
        <v>45</v>
      </c>
      <c r="M89" s="18">
        <v>44202</v>
      </c>
      <c r="N89" s="18">
        <v>44223</v>
      </c>
      <c r="O89" s="22">
        <f t="shared" ref="O89:O124" ca="1" si="236">IF(S89&lt;0,0,S89/U89*L89)</f>
        <v>45</v>
      </c>
      <c r="P89" s="22">
        <f t="shared" ref="P89:P119" ca="1" si="237">(N89-R89)/U89*L89</f>
        <v>0</v>
      </c>
      <c r="Q89" s="19">
        <f t="shared" si="231"/>
        <v>44202</v>
      </c>
      <c r="R89" s="19">
        <f t="shared" ca="1" si="232"/>
        <v>44223</v>
      </c>
      <c r="S89" s="24">
        <f t="shared" ca="1" si="233"/>
        <v>22</v>
      </c>
      <c r="T89" s="24">
        <f t="shared" ca="1" si="234"/>
        <v>0</v>
      </c>
      <c r="U89" s="17">
        <f t="shared" si="235"/>
        <v>22</v>
      </c>
      <c r="V89" s="17">
        <v>1</v>
      </c>
      <c r="W89" t="str">
        <f t="shared" si="229"/>
        <v>沈一筹-0/1/2</v>
      </c>
      <c r="X89" s="17" t="s">
        <v>502</v>
      </c>
      <c r="Y89">
        <f t="shared" si="228"/>
        <v>0</v>
      </c>
      <c r="Z89">
        <f t="shared" si="228"/>
        <v>1</v>
      </c>
      <c r="AA89">
        <f t="shared" si="228"/>
        <v>2</v>
      </c>
      <c r="AB89" t="str">
        <f t="shared" si="230"/>
        <v>沈一筹-0/1/2</v>
      </c>
    </row>
    <row r="90" spans="1:28" ht="15.75" x14ac:dyDescent="0.15">
      <c r="A90" s="17" t="s">
        <v>83</v>
      </c>
      <c r="B90" s="17" t="s">
        <v>956</v>
      </c>
      <c r="C90" s="17" t="s">
        <v>910</v>
      </c>
      <c r="D90" s="17" t="s">
        <v>129</v>
      </c>
      <c r="E90" s="17" t="s">
        <v>14</v>
      </c>
      <c r="F90" s="17"/>
      <c r="G90" s="17"/>
      <c r="H90" s="19" t="s">
        <v>950</v>
      </c>
      <c r="I90" s="19">
        <v>44221</v>
      </c>
      <c r="J90" s="17">
        <v>-1</v>
      </c>
      <c r="K90" s="17">
        <v>0.55000000000000004</v>
      </c>
      <c r="L90" s="20">
        <f>K90*CWHC</f>
        <v>24.750000000000004</v>
      </c>
      <c r="M90" s="18">
        <v>44207</v>
      </c>
      <c r="N90" s="18">
        <v>44222</v>
      </c>
      <c r="O90" s="22">
        <f t="shared" ca="1" si="236"/>
        <v>24.750000000000004</v>
      </c>
      <c r="P90" s="22">
        <f t="shared" ca="1" si="237"/>
        <v>0</v>
      </c>
      <c r="Q90" s="19">
        <f t="shared" si="231"/>
        <v>44207</v>
      </c>
      <c r="R90" s="19">
        <f t="shared" ca="1" si="232"/>
        <v>44222</v>
      </c>
      <c r="S90" s="24">
        <f t="shared" ca="1" si="233"/>
        <v>16</v>
      </c>
      <c r="T90" s="24">
        <f t="shared" ca="1" si="234"/>
        <v>0</v>
      </c>
      <c r="U90" s="17">
        <f t="shared" si="235"/>
        <v>16</v>
      </c>
      <c r="V90" s="17">
        <v>1</v>
      </c>
      <c r="W90" t="str">
        <f t="shared" si="229"/>
        <v>商月-0/1/3</v>
      </c>
      <c r="X90" s="17" t="s">
        <v>450</v>
      </c>
      <c r="Y90">
        <f t="shared" si="228"/>
        <v>0</v>
      </c>
      <c r="Z90">
        <f t="shared" si="228"/>
        <v>1</v>
      </c>
      <c r="AA90">
        <f t="shared" si="228"/>
        <v>3</v>
      </c>
      <c r="AB90" t="str">
        <f t="shared" si="230"/>
        <v>商月-0/1/3</v>
      </c>
    </row>
    <row r="91" spans="1:28" ht="15.75" x14ac:dyDescent="0.15">
      <c r="A91" s="17" t="s">
        <v>84</v>
      </c>
      <c r="B91" s="17" t="s">
        <v>956</v>
      </c>
      <c r="C91" s="17" t="s">
        <v>910</v>
      </c>
      <c r="D91" s="17" t="s">
        <v>129</v>
      </c>
      <c r="E91" s="17" t="s">
        <v>14</v>
      </c>
      <c r="F91" s="17"/>
      <c r="G91" s="17"/>
      <c r="H91" s="19" t="s">
        <v>950</v>
      </c>
      <c r="I91" s="19">
        <v>44221</v>
      </c>
      <c r="J91" s="17">
        <v>-1</v>
      </c>
      <c r="K91" s="17">
        <v>0.55000000000000004</v>
      </c>
      <c r="L91" s="20">
        <f>K91*CWHC</f>
        <v>24.750000000000004</v>
      </c>
      <c r="M91" s="18">
        <v>44207</v>
      </c>
      <c r="N91" s="18">
        <v>44222</v>
      </c>
      <c r="O91" s="22">
        <f t="shared" ca="1" si="236"/>
        <v>24.750000000000004</v>
      </c>
      <c r="P91" s="22">
        <f t="shared" ca="1" si="237"/>
        <v>0</v>
      </c>
      <c r="Q91" s="19">
        <f t="shared" si="231"/>
        <v>44207</v>
      </c>
      <c r="R91" s="19">
        <f t="shared" ca="1" si="232"/>
        <v>44222</v>
      </c>
      <c r="S91" s="24">
        <f t="shared" ca="1" si="233"/>
        <v>16</v>
      </c>
      <c r="T91" s="24">
        <f t="shared" ca="1" si="234"/>
        <v>0</v>
      </c>
      <c r="U91" s="17">
        <f t="shared" si="235"/>
        <v>16</v>
      </c>
      <c r="V91" s="17">
        <v>0</v>
      </c>
      <c r="W91" t="str">
        <f t="shared" si="229"/>
        <v>陈鹤-0/2/1</v>
      </c>
      <c r="X91" s="17" t="s">
        <v>739</v>
      </c>
      <c r="Y91">
        <f t="shared" si="228"/>
        <v>0</v>
      </c>
      <c r="Z91">
        <f t="shared" si="228"/>
        <v>2</v>
      </c>
      <c r="AA91">
        <f t="shared" si="228"/>
        <v>1</v>
      </c>
      <c r="AB91" t="str">
        <f t="shared" si="230"/>
        <v>陈鹤-0/2/1</v>
      </c>
    </row>
    <row r="92" spans="1:28" ht="15.75" x14ac:dyDescent="0.15">
      <c r="A92" s="17" t="s">
        <v>406</v>
      </c>
      <c r="B92" s="17" t="s">
        <v>958</v>
      </c>
      <c r="C92" s="17" t="s">
        <v>910</v>
      </c>
      <c r="D92" s="17" t="s">
        <v>129</v>
      </c>
      <c r="E92" s="17" t="s">
        <v>19</v>
      </c>
      <c r="F92" s="17"/>
      <c r="G92" s="17"/>
      <c r="H92" s="17" t="s">
        <v>911</v>
      </c>
      <c r="I92" s="19">
        <v>44221</v>
      </c>
      <c r="J92" s="17">
        <v>0</v>
      </c>
      <c r="K92" s="17">
        <v>0.4</v>
      </c>
      <c r="L92" s="20">
        <v>18.5</v>
      </c>
      <c r="M92" s="18">
        <v>44207</v>
      </c>
      <c r="N92" s="18">
        <v>44221</v>
      </c>
      <c r="O92" s="22">
        <f t="shared" ca="1" si="236"/>
        <v>18.5</v>
      </c>
      <c r="P92" s="22">
        <f t="shared" ca="1" si="237"/>
        <v>0</v>
      </c>
      <c r="Q92" s="19">
        <f t="shared" si="231"/>
        <v>44207</v>
      </c>
      <c r="R92" s="19">
        <f t="shared" ca="1" si="232"/>
        <v>44221</v>
      </c>
      <c r="S92" s="24">
        <f t="shared" ca="1" si="233"/>
        <v>15</v>
      </c>
      <c r="T92" s="24">
        <f t="shared" ca="1" si="234"/>
        <v>0</v>
      </c>
      <c r="U92" s="17">
        <f t="shared" si="235"/>
        <v>15</v>
      </c>
      <c r="V92" s="17">
        <v>1</v>
      </c>
      <c r="W92" t="str">
        <f t="shared" si="229"/>
        <v>李靖民-0/2/2</v>
      </c>
      <c r="X92" s="17" t="s">
        <v>215</v>
      </c>
      <c r="Y92">
        <f t="shared" si="228"/>
        <v>0</v>
      </c>
      <c r="Z92">
        <f t="shared" si="228"/>
        <v>2</v>
      </c>
      <c r="AA92">
        <f t="shared" si="228"/>
        <v>2</v>
      </c>
      <c r="AB92" t="str">
        <f t="shared" si="230"/>
        <v>李靖民-0/2/2</v>
      </c>
    </row>
    <row r="93" spans="1:28" ht="15.75" x14ac:dyDescent="0.15">
      <c r="A93" s="17" t="s">
        <v>299</v>
      </c>
      <c r="B93" s="17" t="s">
        <v>960</v>
      </c>
      <c r="C93" s="17" t="s">
        <v>910</v>
      </c>
      <c r="D93" s="17" t="s">
        <v>129</v>
      </c>
      <c r="E93" s="17" t="s">
        <v>13</v>
      </c>
      <c r="F93" s="17"/>
      <c r="G93" s="17"/>
      <c r="H93" s="17" t="s">
        <v>913</v>
      </c>
      <c r="I93" s="19">
        <v>44219</v>
      </c>
      <c r="J93" s="17">
        <v>2</v>
      </c>
      <c r="K93" s="17">
        <v>1</v>
      </c>
      <c r="L93" s="20">
        <f t="shared" ref="L93:L124" si="238">K93*CWHC</f>
        <v>45</v>
      </c>
      <c r="M93" s="18">
        <v>44201</v>
      </c>
      <c r="N93" s="18">
        <v>44217</v>
      </c>
      <c r="O93" s="22">
        <f t="shared" ca="1" si="236"/>
        <v>45</v>
      </c>
      <c r="P93" s="22">
        <f t="shared" ca="1" si="237"/>
        <v>0</v>
      </c>
      <c r="Q93" s="19">
        <f t="shared" si="231"/>
        <v>44201</v>
      </c>
      <c r="R93" s="19">
        <f t="shared" ca="1" si="232"/>
        <v>44217</v>
      </c>
      <c r="S93" s="24">
        <f t="shared" ca="1" si="233"/>
        <v>17</v>
      </c>
      <c r="T93" s="24">
        <f t="shared" ca="1" si="234"/>
        <v>0</v>
      </c>
      <c r="U93" s="17">
        <f t="shared" si="235"/>
        <v>17</v>
      </c>
      <c r="V93" s="17">
        <v>1</v>
      </c>
      <c r="W93" t="str">
        <f t="shared" si="229"/>
        <v>杨子玉-0/6/1</v>
      </c>
      <c r="X93" s="17" t="s">
        <v>202</v>
      </c>
      <c r="Y93">
        <f t="shared" si="228"/>
        <v>0</v>
      </c>
      <c r="Z93">
        <f t="shared" si="228"/>
        <v>6</v>
      </c>
      <c r="AA93">
        <f t="shared" si="228"/>
        <v>1</v>
      </c>
      <c r="AB93" t="str">
        <f t="shared" si="230"/>
        <v>杨子玉-0/6/1</v>
      </c>
    </row>
    <row r="94" spans="1:28" ht="15.75" x14ac:dyDescent="0.15">
      <c r="A94" s="17" t="s">
        <v>524</v>
      </c>
      <c r="B94" s="17" t="s">
        <v>962</v>
      </c>
      <c r="C94" s="17" t="s">
        <v>910</v>
      </c>
      <c r="D94" s="17" t="s">
        <v>129</v>
      </c>
      <c r="E94" s="17" t="s">
        <v>13</v>
      </c>
      <c r="F94" s="17"/>
      <c r="G94" s="17"/>
      <c r="H94" s="17" t="s">
        <v>913</v>
      </c>
      <c r="I94" s="19">
        <v>44219</v>
      </c>
      <c r="J94" s="17">
        <v>2</v>
      </c>
      <c r="K94" s="17">
        <v>1</v>
      </c>
      <c r="L94" s="20">
        <f t="shared" si="238"/>
        <v>45</v>
      </c>
      <c r="M94" s="18">
        <v>44201</v>
      </c>
      <c r="N94" s="18">
        <v>44217</v>
      </c>
      <c r="O94" s="22">
        <f t="shared" ca="1" si="236"/>
        <v>45</v>
      </c>
      <c r="P94" s="22">
        <f t="shared" ca="1" si="237"/>
        <v>0</v>
      </c>
      <c r="Q94" s="19">
        <f t="shared" si="231"/>
        <v>44201</v>
      </c>
      <c r="R94" s="19">
        <f t="shared" ca="1" si="232"/>
        <v>44217</v>
      </c>
      <c r="S94" s="24">
        <f t="shared" ca="1" si="233"/>
        <v>17</v>
      </c>
      <c r="T94" s="24">
        <f t="shared" ca="1" si="234"/>
        <v>0</v>
      </c>
      <c r="U94" s="17">
        <f t="shared" si="235"/>
        <v>17</v>
      </c>
      <c r="V94" s="17">
        <v>1</v>
      </c>
      <c r="W94" t="str">
        <f t="shared" si="229"/>
        <v>孙道伟-0/1/2</v>
      </c>
      <c r="X94" s="17" t="s">
        <v>211</v>
      </c>
      <c r="Y94">
        <f t="shared" si="228"/>
        <v>0</v>
      </c>
      <c r="Z94">
        <f t="shared" si="228"/>
        <v>1</v>
      </c>
      <c r="AA94">
        <f t="shared" si="228"/>
        <v>2</v>
      </c>
      <c r="AB94" t="str">
        <f t="shared" si="230"/>
        <v>孙道伟-0/1/2</v>
      </c>
    </row>
    <row r="95" spans="1:28" ht="15.75" x14ac:dyDescent="0.15">
      <c r="A95" s="17" t="s">
        <v>964</v>
      </c>
      <c r="B95" s="17" t="s">
        <v>965</v>
      </c>
      <c r="C95" s="17" t="s">
        <v>910</v>
      </c>
      <c r="D95" s="17" t="s">
        <v>129</v>
      </c>
      <c r="E95" s="17" t="s">
        <v>81</v>
      </c>
      <c r="F95" s="17"/>
      <c r="G95" s="17"/>
      <c r="H95" s="17" t="s">
        <v>911</v>
      </c>
      <c r="I95" s="19">
        <v>44216</v>
      </c>
      <c r="J95" s="17">
        <v>0</v>
      </c>
      <c r="K95" s="17">
        <v>0.4</v>
      </c>
      <c r="L95" s="20">
        <f t="shared" si="238"/>
        <v>18</v>
      </c>
      <c r="M95" s="18">
        <v>44196</v>
      </c>
      <c r="N95" s="18">
        <v>44216</v>
      </c>
      <c r="O95" s="22">
        <f t="shared" ca="1" si="236"/>
        <v>18</v>
      </c>
      <c r="P95" s="22">
        <f t="shared" ca="1" si="237"/>
        <v>0</v>
      </c>
      <c r="Q95" s="19">
        <f t="shared" si="231"/>
        <v>44196</v>
      </c>
      <c r="R95" s="19">
        <f t="shared" ca="1" si="232"/>
        <v>44216</v>
      </c>
      <c r="S95" s="24">
        <f t="shared" ca="1" si="233"/>
        <v>21</v>
      </c>
      <c r="T95" s="24">
        <f t="shared" ca="1" si="234"/>
        <v>0</v>
      </c>
      <c r="U95" s="17">
        <f t="shared" si="235"/>
        <v>21</v>
      </c>
      <c r="V95" s="17">
        <v>1</v>
      </c>
      <c r="W95" t="str">
        <f t="shared" si="229"/>
        <v>周功平-0/2/0</v>
      </c>
      <c r="X95" s="17" t="s">
        <v>482</v>
      </c>
      <c r="Y95">
        <f t="shared" si="228"/>
        <v>0</v>
      </c>
      <c r="Z95">
        <f t="shared" si="228"/>
        <v>2</v>
      </c>
      <c r="AA95">
        <f t="shared" si="228"/>
        <v>0</v>
      </c>
      <c r="AB95" t="str">
        <f t="shared" si="230"/>
        <v>周功平-0/2/0</v>
      </c>
    </row>
    <row r="96" spans="1:28" ht="15.75" x14ac:dyDescent="0.15">
      <c r="A96" s="17" t="s">
        <v>502</v>
      </c>
      <c r="B96" s="17" t="s">
        <v>967</v>
      </c>
      <c r="C96" s="17" t="s">
        <v>910</v>
      </c>
      <c r="D96" s="17" t="s">
        <v>129</v>
      </c>
      <c r="E96" s="17" t="s">
        <v>22</v>
      </c>
      <c r="F96" s="17"/>
      <c r="G96" s="17"/>
      <c r="H96" s="17" t="s">
        <v>913</v>
      </c>
      <c r="I96" s="19">
        <v>44216</v>
      </c>
      <c r="J96" s="17">
        <v>2</v>
      </c>
      <c r="K96" s="17">
        <v>0.6</v>
      </c>
      <c r="L96" s="20">
        <f t="shared" si="238"/>
        <v>27</v>
      </c>
      <c r="M96" s="18">
        <v>44195</v>
      </c>
      <c r="N96" s="18">
        <v>44214</v>
      </c>
      <c r="O96" s="22">
        <f t="shared" ca="1" si="236"/>
        <v>27</v>
      </c>
      <c r="P96" s="22">
        <f t="shared" ca="1" si="237"/>
        <v>0</v>
      </c>
      <c r="Q96" s="19">
        <f t="shared" si="231"/>
        <v>44195</v>
      </c>
      <c r="R96" s="19">
        <f t="shared" ca="1" si="232"/>
        <v>44214</v>
      </c>
      <c r="S96" s="24">
        <f t="shared" ca="1" si="233"/>
        <v>20</v>
      </c>
      <c r="T96" s="24">
        <f t="shared" ca="1" si="234"/>
        <v>0</v>
      </c>
      <c r="U96" s="17">
        <f t="shared" si="235"/>
        <v>20</v>
      </c>
      <c r="V96" s="17">
        <v>1</v>
      </c>
      <c r="W96" t="str">
        <f t="shared" si="229"/>
        <v>董炎彦-0/1/1</v>
      </c>
      <c r="X96" s="17" t="s">
        <v>727</v>
      </c>
      <c r="Y96">
        <f t="shared" si="228"/>
        <v>0</v>
      </c>
      <c r="Z96">
        <f t="shared" si="228"/>
        <v>1</v>
      </c>
      <c r="AA96">
        <f t="shared" si="228"/>
        <v>1</v>
      </c>
      <c r="AB96" t="str">
        <f t="shared" si="230"/>
        <v>董炎彦-0/1/1</v>
      </c>
    </row>
    <row r="97" spans="1:30" ht="15.75" x14ac:dyDescent="0.15">
      <c r="A97" s="17" t="s">
        <v>83</v>
      </c>
      <c r="B97" s="17" t="s">
        <v>969</v>
      </c>
      <c r="C97" s="17" t="s">
        <v>910</v>
      </c>
      <c r="D97" s="17" t="s">
        <v>129</v>
      </c>
      <c r="E97" s="17" t="s">
        <v>14</v>
      </c>
      <c r="F97" s="17"/>
      <c r="G97" s="17"/>
      <c r="H97" s="19" t="s">
        <v>950</v>
      </c>
      <c r="I97" s="19">
        <v>44207</v>
      </c>
      <c r="J97" s="17">
        <v>-1</v>
      </c>
      <c r="K97" s="17">
        <v>0.8</v>
      </c>
      <c r="L97" s="20">
        <f t="shared" si="238"/>
        <v>36</v>
      </c>
      <c r="M97" s="18">
        <v>44195</v>
      </c>
      <c r="N97" s="18">
        <v>44208</v>
      </c>
      <c r="O97" s="22">
        <f t="shared" ca="1" si="236"/>
        <v>36</v>
      </c>
      <c r="P97" s="22">
        <f t="shared" ca="1" si="237"/>
        <v>0</v>
      </c>
      <c r="Q97" s="19">
        <f t="shared" si="231"/>
        <v>44195</v>
      </c>
      <c r="R97" s="19">
        <f t="shared" ca="1" si="232"/>
        <v>44208</v>
      </c>
      <c r="S97" s="24">
        <f t="shared" ca="1" si="233"/>
        <v>14</v>
      </c>
      <c r="T97" s="24">
        <f t="shared" ca="1" si="234"/>
        <v>0</v>
      </c>
      <c r="U97" s="17">
        <f t="shared" si="235"/>
        <v>14</v>
      </c>
      <c r="V97" s="17">
        <v>1</v>
      </c>
      <c r="X97" s="17"/>
      <c r="AA97"/>
      <c r="AB97"/>
    </row>
    <row r="98" spans="1:30" ht="15.75" x14ac:dyDescent="0.15">
      <c r="A98" s="17" t="s">
        <v>84</v>
      </c>
      <c r="B98" s="17" t="s">
        <v>969</v>
      </c>
      <c r="C98" s="17" t="s">
        <v>910</v>
      </c>
      <c r="D98" s="17" t="s">
        <v>129</v>
      </c>
      <c r="E98" s="17" t="s">
        <v>14</v>
      </c>
      <c r="F98" s="17"/>
      <c r="G98" s="17"/>
      <c r="H98" s="19" t="s">
        <v>950</v>
      </c>
      <c r="I98" s="19">
        <v>44207</v>
      </c>
      <c r="J98" s="17">
        <v>-1</v>
      </c>
      <c r="K98" s="17">
        <v>0.8</v>
      </c>
      <c r="L98" s="20">
        <f t="shared" si="238"/>
        <v>36</v>
      </c>
      <c r="M98" s="18">
        <v>44195</v>
      </c>
      <c r="N98" s="18">
        <v>44208</v>
      </c>
      <c r="O98" s="22">
        <f t="shared" ca="1" si="236"/>
        <v>36</v>
      </c>
      <c r="P98" s="22">
        <f t="shared" ca="1" si="237"/>
        <v>0</v>
      </c>
      <c r="Q98" s="19">
        <f t="shared" si="231"/>
        <v>44195</v>
      </c>
      <c r="R98" s="19">
        <f t="shared" ca="1" si="232"/>
        <v>44208</v>
      </c>
      <c r="S98" s="24">
        <f t="shared" ca="1" si="233"/>
        <v>14</v>
      </c>
      <c r="T98" s="24">
        <f t="shared" ca="1" si="234"/>
        <v>0</v>
      </c>
      <c r="U98" s="17">
        <f t="shared" si="235"/>
        <v>14</v>
      </c>
      <c r="V98" s="17">
        <v>0</v>
      </c>
      <c r="W98" s="32" t="s">
        <v>988</v>
      </c>
      <c r="X98" s="31" t="s">
        <v>174</v>
      </c>
      <c r="Y98" s="33" t="s">
        <v>950</v>
      </c>
      <c r="Z98" s="33" t="s">
        <v>911</v>
      </c>
      <c r="AA98" s="33" t="s">
        <v>913</v>
      </c>
      <c r="AD98" s="34"/>
    </row>
    <row r="99" spans="1:30" ht="15.75" x14ac:dyDescent="0.15">
      <c r="A99" s="17" t="s">
        <v>361</v>
      </c>
      <c r="B99" s="17" t="s">
        <v>970</v>
      </c>
      <c r="C99" s="17" t="s">
        <v>910</v>
      </c>
      <c r="D99" s="17" t="s">
        <v>124</v>
      </c>
      <c r="E99" s="17" t="s">
        <v>14</v>
      </c>
      <c r="F99" s="17"/>
      <c r="G99" s="17"/>
      <c r="H99" s="17" t="s">
        <v>911</v>
      </c>
      <c r="I99" s="19">
        <v>44208</v>
      </c>
      <c r="J99" s="17">
        <v>0</v>
      </c>
      <c r="K99" s="17">
        <v>0.1</v>
      </c>
      <c r="L99" s="20">
        <f t="shared" si="238"/>
        <v>4.5</v>
      </c>
      <c r="M99" s="18">
        <v>44201</v>
      </c>
      <c r="N99" s="18">
        <v>44207</v>
      </c>
      <c r="O99" s="22">
        <f t="shared" ca="1" si="236"/>
        <v>4.5</v>
      </c>
      <c r="P99" s="22">
        <f t="shared" ca="1" si="237"/>
        <v>0</v>
      </c>
      <c r="Q99" s="19">
        <f t="shared" si="231"/>
        <v>44201</v>
      </c>
      <c r="R99" s="19">
        <f t="shared" ca="1" si="232"/>
        <v>44207</v>
      </c>
      <c r="S99" s="24">
        <f t="shared" ca="1" si="233"/>
        <v>7</v>
      </c>
      <c r="T99" s="24">
        <f t="shared" ca="1" si="234"/>
        <v>0</v>
      </c>
      <c r="U99" s="17">
        <f t="shared" si="235"/>
        <v>7</v>
      </c>
      <c r="V99" s="17">
        <v>1</v>
      </c>
      <c r="W99" t="str">
        <f t="shared" ref="W99:W109" si="239">X99&amp;"-"&amp;Y99&amp;"/"&amp;Z99&amp;"/"&amp;AA99</f>
        <v>顾静洁-0/4/3</v>
      </c>
      <c r="X99" s="34" t="s">
        <v>14</v>
      </c>
      <c r="Y99" s="15">
        <f t="shared" ref="Y99:AA108" si="240">COUNTIFS($H:$H,Y$98,$E:$E,$X99,$V:$V,"1",$I:$I,"&gt;2021-2-28")+COUNTIFS($H:$H,Y$98,$F:$F,$X99,$V:$V,"1",$I:$I,"&gt;2021-2-28")+COUNTIFS($H:$H,Y$98,$G:$G,$X99,$V:$V,"1",$I:$I,"&gt;2021-2-28")</f>
        <v>0</v>
      </c>
      <c r="Z99" s="15">
        <f t="shared" si="240"/>
        <v>4</v>
      </c>
      <c r="AA99" s="15">
        <f t="shared" si="240"/>
        <v>3</v>
      </c>
      <c r="AB99" s="15"/>
      <c r="AD99" s="34"/>
    </row>
    <row r="100" spans="1:30" ht="15.75" x14ac:dyDescent="0.15">
      <c r="A100" s="17" t="s">
        <v>215</v>
      </c>
      <c r="B100" s="17" t="s">
        <v>971</v>
      </c>
      <c r="C100" s="17" t="s">
        <v>910</v>
      </c>
      <c r="D100" s="17" t="s">
        <v>129</v>
      </c>
      <c r="E100" s="17"/>
      <c r="F100" s="17"/>
      <c r="G100" s="17"/>
      <c r="H100" s="17" t="s">
        <v>911</v>
      </c>
      <c r="I100" s="19">
        <v>44207</v>
      </c>
      <c r="J100" s="17">
        <v>0</v>
      </c>
      <c r="K100" s="17">
        <v>0.3</v>
      </c>
      <c r="L100" s="20">
        <f t="shared" si="238"/>
        <v>13.5</v>
      </c>
      <c r="M100" s="18">
        <v>44200</v>
      </c>
      <c r="N100" s="18">
        <v>44207</v>
      </c>
      <c r="O100" s="22">
        <f t="shared" ca="1" si="236"/>
        <v>13.5</v>
      </c>
      <c r="P100" s="22">
        <f t="shared" ca="1" si="237"/>
        <v>0</v>
      </c>
      <c r="Q100" s="19">
        <f t="shared" si="231"/>
        <v>44200</v>
      </c>
      <c r="R100" s="19">
        <f t="shared" ca="1" si="232"/>
        <v>44207</v>
      </c>
      <c r="S100" s="24">
        <f t="shared" ca="1" si="233"/>
        <v>8</v>
      </c>
      <c r="T100" s="24">
        <f t="shared" ca="1" si="234"/>
        <v>0</v>
      </c>
      <c r="U100" s="17">
        <f t="shared" si="235"/>
        <v>8</v>
      </c>
      <c r="V100" s="17">
        <v>0</v>
      </c>
      <c r="W100" t="str">
        <f t="shared" si="239"/>
        <v>吕欣冉-0/2/6</v>
      </c>
      <c r="X100" s="35" t="s">
        <v>84</v>
      </c>
      <c r="Y100" s="15">
        <f t="shared" si="240"/>
        <v>0</v>
      </c>
      <c r="Z100" s="15">
        <f t="shared" si="240"/>
        <v>2</v>
      </c>
      <c r="AA100" s="15">
        <f t="shared" si="240"/>
        <v>6</v>
      </c>
      <c r="AB100" s="15"/>
      <c r="AD100" s="34"/>
    </row>
    <row r="101" spans="1:30" ht="15.75" x14ac:dyDescent="0.15">
      <c r="A101" s="17" t="s">
        <v>242</v>
      </c>
      <c r="B101" s="17" t="s">
        <v>972</v>
      </c>
      <c r="C101" s="17" t="s">
        <v>910</v>
      </c>
      <c r="D101" s="17" t="s">
        <v>129</v>
      </c>
      <c r="E101" s="17" t="s">
        <v>13</v>
      </c>
      <c r="F101" s="17"/>
      <c r="G101" s="17"/>
      <c r="H101" s="17" t="s">
        <v>911</v>
      </c>
      <c r="I101" s="19">
        <v>44207</v>
      </c>
      <c r="J101" s="17">
        <v>0</v>
      </c>
      <c r="K101" s="17">
        <v>0.3</v>
      </c>
      <c r="L101" s="20">
        <f t="shared" si="238"/>
        <v>13.5</v>
      </c>
      <c r="M101" s="18">
        <v>44193</v>
      </c>
      <c r="N101" s="18">
        <v>44207</v>
      </c>
      <c r="O101" s="22">
        <f t="shared" ca="1" si="236"/>
        <v>13.5</v>
      </c>
      <c r="P101" s="22">
        <f t="shared" ca="1" si="237"/>
        <v>0</v>
      </c>
      <c r="Q101" s="19">
        <f t="shared" si="231"/>
        <v>44193</v>
      </c>
      <c r="R101" s="19">
        <f t="shared" ca="1" si="232"/>
        <v>44207</v>
      </c>
      <c r="S101" s="24">
        <f t="shared" ca="1" si="233"/>
        <v>15</v>
      </c>
      <c r="T101" s="24">
        <f t="shared" ca="1" si="234"/>
        <v>0</v>
      </c>
      <c r="U101" s="17">
        <f t="shared" si="235"/>
        <v>15</v>
      </c>
      <c r="V101" s="17">
        <v>1</v>
      </c>
      <c r="W101" t="str">
        <f t="shared" si="239"/>
        <v>刘倩-0/2/4</v>
      </c>
      <c r="X101" s="34" t="s">
        <v>19</v>
      </c>
      <c r="Y101" s="15">
        <f t="shared" si="240"/>
        <v>0</v>
      </c>
      <c r="Z101" s="15">
        <f t="shared" si="240"/>
        <v>2</v>
      </c>
      <c r="AA101" s="15">
        <f t="shared" si="240"/>
        <v>4</v>
      </c>
      <c r="AB101" s="15"/>
      <c r="AD101" s="34"/>
    </row>
    <row r="102" spans="1:30" ht="15.75" x14ac:dyDescent="0.15">
      <c r="A102" s="17" t="s">
        <v>727</v>
      </c>
      <c r="B102" s="17" t="s">
        <v>973</v>
      </c>
      <c r="C102" s="17" t="s">
        <v>910</v>
      </c>
      <c r="D102" s="17" t="s">
        <v>124</v>
      </c>
      <c r="E102" s="17" t="s">
        <v>84</v>
      </c>
      <c r="F102" s="17"/>
      <c r="G102" s="17"/>
      <c r="H102" s="17" t="s">
        <v>911</v>
      </c>
      <c r="I102" s="19">
        <v>44207</v>
      </c>
      <c r="J102" s="17">
        <v>0</v>
      </c>
      <c r="K102" s="17">
        <v>0.5</v>
      </c>
      <c r="L102" s="20">
        <f t="shared" si="238"/>
        <v>22.5</v>
      </c>
      <c r="M102" s="18">
        <v>44193</v>
      </c>
      <c r="N102" s="18">
        <v>44207</v>
      </c>
      <c r="O102" s="22">
        <f t="shared" ca="1" si="236"/>
        <v>22.5</v>
      </c>
      <c r="P102" s="22">
        <f t="shared" ca="1" si="237"/>
        <v>0</v>
      </c>
      <c r="Q102" s="19">
        <f t="shared" si="231"/>
        <v>44193</v>
      </c>
      <c r="R102" s="19">
        <f t="shared" ca="1" si="232"/>
        <v>44207</v>
      </c>
      <c r="S102" s="24">
        <f t="shared" ca="1" si="233"/>
        <v>15</v>
      </c>
      <c r="T102" s="24">
        <f t="shared" ca="1" si="234"/>
        <v>0</v>
      </c>
      <c r="U102" s="17">
        <f t="shared" si="235"/>
        <v>15</v>
      </c>
      <c r="V102" s="17">
        <v>1</v>
      </c>
      <c r="W102" t="str">
        <f t="shared" si="239"/>
        <v>徐慧鹏-0/0/1</v>
      </c>
      <c r="X102" s="34" t="s">
        <v>22</v>
      </c>
      <c r="Y102" s="15">
        <f t="shared" si="240"/>
        <v>0</v>
      </c>
      <c r="Z102" s="15">
        <f t="shared" si="240"/>
        <v>0</v>
      </c>
      <c r="AA102" s="15">
        <f t="shared" si="240"/>
        <v>1</v>
      </c>
      <c r="AB102" s="15"/>
      <c r="AD102" s="34"/>
    </row>
    <row r="103" spans="1:30" ht="15.75" x14ac:dyDescent="0.15">
      <c r="A103" s="17" t="s">
        <v>423</v>
      </c>
      <c r="B103" s="17" t="s">
        <v>974</v>
      </c>
      <c r="C103" s="17" t="s">
        <v>910</v>
      </c>
      <c r="D103" s="17" t="s">
        <v>124</v>
      </c>
      <c r="E103" s="17" t="s">
        <v>14</v>
      </c>
      <c r="F103" s="17"/>
      <c r="G103" s="17"/>
      <c r="H103" s="17" t="s">
        <v>913</v>
      </c>
      <c r="I103" s="19">
        <v>44212</v>
      </c>
      <c r="J103" s="17">
        <v>6</v>
      </c>
      <c r="K103" s="17">
        <v>0.5</v>
      </c>
      <c r="L103" s="20">
        <f t="shared" si="238"/>
        <v>22.5</v>
      </c>
      <c r="M103" s="18">
        <v>44189</v>
      </c>
      <c r="N103" s="18">
        <v>44207</v>
      </c>
      <c r="O103" s="22">
        <f t="shared" ca="1" si="236"/>
        <v>22.5</v>
      </c>
      <c r="P103" s="22">
        <f t="shared" ca="1" si="237"/>
        <v>0</v>
      </c>
      <c r="Q103" s="19">
        <f t="shared" si="231"/>
        <v>44189</v>
      </c>
      <c r="R103" s="19">
        <f t="shared" ca="1" si="232"/>
        <v>44207</v>
      </c>
      <c r="S103" s="24">
        <f t="shared" ca="1" si="233"/>
        <v>19</v>
      </c>
      <c r="T103" s="24">
        <f t="shared" ca="1" si="234"/>
        <v>0</v>
      </c>
      <c r="U103" s="17">
        <f t="shared" si="235"/>
        <v>19</v>
      </c>
      <c r="V103" s="17">
        <v>1</v>
      </c>
      <c r="W103" t="str">
        <f t="shared" si="239"/>
        <v>张洋弘-0/0/1</v>
      </c>
      <c r="X103" s="34" t="s">
        <v>77</v>
      </c>
      <c r="Y103" s="15">
        <f t="shared" si="240"/>
        <v>0</v>
      </c>
      <c r="Z103" s="15">
        <f t="shared" si="240"/>
        <v>0</v>
      </c>
      <c r="AA103" s="15">
        <f t="shared" si="240"/>
        <v>1</v>
      </c>
      <c r="AB103" s="15"/>
      <c r="AD103" s="34"/>
    </row>
    <row r="104" spans="1:30" ht="15.75" x14ac:dyDescent="0.15">
      <c r="A104" s="17" t="s">
        <v>382</v>
      </c>
      <c r="B104" s="17" t="s">
        <v>974</v>
      </c>
      <c r="C104" s="17" t="s">
        <v>910</v>
      </c>
      <c r="D104" s="17" t="s">
        <v>124</v>
      </c>
      <c r="E104" s="17" t="s">
        <v>14</v>
      </c>
      <c r="F104" s="17"/>
      <c r="G104" s="17"/>
      <c r="H104" s="17" t="s">
        <v>913</v>
      </c>
      <c r="I104" s="19">
        <v>44212</v>
      </c>
      <c r="J104" s="17">
        <v>6</v>
      </c>
      <c r="K104" s="17">
        <v>0.5</v>
      </c>
      <c r="L104" s="20">
        <f t="shared" si="238"/>
        <v>22.5</v>
      </c>
      <c r="M104" s="18">
        <v>44189</v>
      </c>
      <c r="N104" s="18">
        <v>44207</v>
      </c>
      <c r="O104" s="22">
        <f t="shared" ca="1" si="236"/>
        <v>22.5</v>
      </c>
      <c r="P104" s="22">
        <f t="shared" ca="1" si="237"/>
        <v>0</v>
      </c>
      <c r="Q104" s="19">
        <f t="shared" si="231"/>
        <v>44189</v>
      </c>
      <c r="R104" s="19">
        <f t="shared" ca="1" si="232"/>
        <v>44207</v>
      </c>
      <c r="S104" s="24">
        <f t="shared" ca="1" si="233"/>
        <v>19</v>
      </c>
      <c r="T104" s="24">
        <f t="shared" ca="1" si="234"/>
        <v>0</v>
      </c>
      <c r="U104" s="17">
        <f t="shared" si="235"/>
        <v>19</v>
      </c>
      <c r="V104" s="17">
        <v>0</v>
      </c>
      <c r="W104" t="str">
        <f t="shared" si="239"/>
        <v>郑安如-0/0/2</v>
      </c>
      <c r="X104" s="34" t="s">
        <v>13</v>
      </c>
      <c r="Y104" s="15">
        <f t="shared" si="240"/>
        <v>0</v>
      </c>
      <c r="Z104" s="15">
        <f t="shared" si="240"/>
        <v>0</v>
      </c>
      <c r="AA104" s="15">
        <f t="shared" si="240"/>
        <v>2</v>
      </c>
      <c r="AB104" s="15"/>
      <c r="AD104" s="34"/>
    </row>
    <row r="105" spans="1:30" ht="15.75" x14ac:dyDescent="0.15">
      <c r="A105" s="17" t="s">
        <v>406</v>
      </c>
      <c r="B105" s="17" t="s">
        <v>975</v>
      </c>
      <c r="C105" s="17" t="s">
        <v>910</v>
      </c>
      <c r="D105" s="17" t="s">
        <v>129</v>
      </c>
      <c r="E105" s="17" t="s">
        <v>19</v>
      </c>
      <c r="F105" s="17"/>
      <c r="G105" s="17"/>
      <c r="H105" s="19" t="s">
        <v>950</v>
      </c>
      <c r="I105" s="19">
        <v>44204</v>
      </c>
      <c r="J105" s="17">
        <v>-1</v>
      </c>
      <c r="K105" s="17">
        <v>0.6</v>
      </c>
      <c r="L105" s="20">
        <f t="shared" si="238"/>
        <v>27</v>
      </c>
      <c r="M105" s="18">
        <v>44190</v>
      </c>
      <c r="N105" s="18">
        <v>44205</v>
      </c>
      <c r="O105" s="22">
        <f t="shared" ca="1" si="236"/>
        <v>27</v>
      </c>
      <c r="P105" s="22">
        <f t="shared" ca="1" si="237"/>
        <v>0</v>
      </c>
      <c r="Q105" s="19">
        <f t="shared" si="231"/>
        <v>44190</v>
      </c>
      <c r="R105" s="19">
        <f t="shared" ca="1" si="232"/>
        <v>44205</v>
      </c>
      <c r="S105" s="24">
        <f t="shared" ca="1" si="233"/>
        <v>16</v>
      </c>
      <c r="T105" s="24">
        <f t="shared" ca="1" si="234"/>
        <v>0</v>
      </c>
      <c r="U105" s="17">
        <f t="shared" si="235"/>
        <v>16</v>
      </c>
      <c r="V105" s="17">
        <v>1</v>
      </c>
      <c r="W105" t="str">
        <f t="shared" si="239"/>
        <v>周德乐-0/0/0</v>
      </c>
      <c r="X105" s="34" t="s">
        <v>81</v>
      </c>
      <c r="Y105" s="15">
        <f t="shared" si="240"/>
        <v>0</v>
      </c>
      <c r="Z105" s="15">
        <f t="shared" si="240"/>
        <v>0</v>
      </c>
      <c r="AA105" s="15">
        <f t="shared" si="240"/>
        <v>0</v>
      </c>
      <c r="AB105" s="15"/>
    </row>
    <row r="106" spans="1:30" ht="15.75" x14ac:dyDescent="0.15">
      <c r="A106" s="17" t="s">
        <v>519</v>
      </c>
      <c r="B106" s="17" t="s">
        <v>976</v>
      </c>
      <c r="C106" s="17" t="s">
        <v>910</v>
      </c>
      <c r="D106" s="17" t="s">
        <v>129</v>
      </c>
      <c r="E106" s="17" t="s">
        <v>14</v>
      </c>
      <c r="F106" s="17"/>
      <c r="G106" s="17"/>
      <c r="H106" s="17" t="s">
        <v>911</v>
      </c>
      <c r="I106" s="19">
        <v>44196</v>
      </c>
      <c r="J106" s="17">
        <v>0</v>
      </c>
      <c r="K106" s="17">
        <v>0.8</v>
      </c>
      <c r="L106" s="20">
        <f t="shared" si="238"/>
        <v>36</v>
      </c>
      <c r="M106" s="18">
        <v>44176</v>
      </c>
      <c r="N106" s="18">
        <v>44196</v>
      </c>
      <c r="O106" s="22">
        <f t="shared" ca="1" si="236"/>
        <v>36</v>
      </c>
      <c r="P106" s="22">
        <f t="shared" ca="1" si="237"/>
        <v>0</v>
      </c>
      <c r="Q106" s="19">
        <f t="shared" si="231"/>
        <v>44176</v>
      </c>
      <c r="R106" s="19">
        <f t="shared" ca="1" si="232"/>
        <v>44196</v>
      </c>
      <c r="S106" s="24">
        <f t="shared" ca="1" si="233"/>
        <v>21</v>
      </c>
      <c r="T106" s="24">
        <f t="shared" ca="1" si="234"/>
        <v>0</v>
      </c>
      <c r="U106" s="17">
        <f t="shared" si="235"/>
        <v>21</v>
      </c>
      <c r="V106" s="17">
        <v>1</v>
      </c>
      <c r="W106" t="str">
        <f t="shared" si="239"/>
        <v>申冬东-0/0/1</v>
      </c>
      <c r="X106" t="s">
        <v>32</v>
      </c>
      <c r="Y106" s="15">
        <f t="shared" si="240"/>
        <v>0</v>
      </c>
      <c r="Z106" s="15">
        <f t="shared" si="240"/>
        <v>0</v>
      </c>
      <c r="AA106" s="15">
        <f t="shared" si="240"/>
        <v>1</v>
      </c>
      <c r="AB106" s="15"/>
    </row>
    <row r="107" spans="1:30" ht="15.75" x14ac:dyDescent="0.15">
      <c r="A107" s="17" t="s">
        <v>524</v>
      </c>
      <c r="B107" s="17" t="s">
        <v>977</v>
      </c>
      <c r="C107" s="17" t="s">
        <v>910</v>
      </c>
      <c r="D107" s="17" t="s">
        <v>129</v>
      </c>
      <c r="E107" s="17" t="s">
        <v>13</v>
      </c>
      <c r="F107" s="17"/>
      <c r="G107" s="17"/>
      <c r="H107" s="17" t="s">
        <v>913</v>
      </c>
      <c r="I107" s="19">
        <v>44200</v>
      </c>
      <c r="J107" s="17">
        <v>2</v>
      </c>
      <c r="K107" s="17">
        <v>1</v>
      </c>
      <c r="L107" s="20">
        <f t="shared" si="238"/>
        <v>45</v>
      </c>
      <c r="M107" s="18">
        <v>44175</v>
      </c>
      <c r="N107" s="18">
        <v>44195</v>
      </c>
      <c r="O107" s="22">
        <f t="shared" ca="1" si="236"/>
        <v>45</v>
      </c>
      <c r="P107" s="22">
        <f t="shared" ca="1" si="237"/>
        <v>0</v>
      </c>
      <c r="Q107" s="19">
        <f t="shared" si="231"/>
        <v>44175</v>
      </c>
      <c r="R107" s="19">
        <f t="shared" ca="1" si="232"/>
        <v>44195</v>
      </c>
      <c r="S107" s="24">
        <f t="shared" ca="1" si="233"/>
        <v>21</v>
      </c>
      <c r="T107" s="24">
        <f t="shared" ca="1" si="234"/>
        <v>0</v>
      </c>
      <c r="U107" s="17">
        <f t="shared" si="235"/>
        <v>21</v>
      </c>
      <c r="V107" s="17">
        <v>1</v>
      </c>
      <c r="W107" t="str">
        <f t="shared" si="239"/>
        <v>赵攀-0/1/2</v>
      </c>
      <c r="X107" t="s">
        <v>195</v>
      </c>
      <c r="Y107" s="15">
        <f t="shared" si="240"/>
        <v>0</v>
      </c>
      <c r="Z107" s="15">
        <f t="shared" si="240"/>
        <v>1</v>
      </c>
      <c r="AA107" s="15">
        <f t="shared" si="240"/>
        <v>2</v>
      </c>
    </row>
    <row r="108" spans="1:30" ht="15.75" x14ac:dyDescent="0.15">
      <c r="A108" s="17" t="s">
        <v>739</v>
      </c>
      <c r="B108" s="17" t="s">
        <v>978</v>
      </c>
      <c r="C108" s="17" t="s">
        <v>910</v>
      </c>
      <c r="D108" s="17" t="s">
        <v>124</v>
      </c>
      <c r="E108" s="17" t="s">
        <v>84</v>
      </c>
      <c r="F108" s="17"/>
      <c r="G108" s="17"/>
      <c r="H108" s="17" t="s">
        <v>911</v>
      </c>
      <c r="I108" s="19">
        <v>44193</v>
      </c>
      <c r="J108" s="17">
        <v>0</v>
      </c>
      <c r="K108" s="17">
        <v>0.5</v>
      </c>
      <c r="L108" s="20">
        <f t="shared" si="238"/>
        <v>22.5</v>
      </c>
      <c r="M108" s="18">
        <v>44186</v>
      </c>
      <c r="N108" s="18">
        <v>44193</v>
      </c>
      <c r="O108" s="22">
        <f t="shared" ca="1" si="236"/>
        <v>22.5</v>
      </c>
      <c r="P108" s="22">
        <f t="shared" ca="1" si="237"/>
        <v>0</v>
      </c>
      <c r="Q108" s="19">
        <f t="shared" si="231"/>
        <v>44186</v>
      </c>
      <c r="R108" s="19">
        <f t="shared" ca="1" si="232"/>
        <v>44193</v>
      </c>
      <c r="S108" s="24">
        <f t="shared" ca="1" si="233"/>
        <v>8</v>
      </c>
      <c r="T108" s="24">
        <f t="shared" ca="1" si="234"/>
        <v>0</v>
      </c>
      <c r="U108" s="17">
        <f t="shared" si="235"/>
        <v>8</v>
      </c>
      <c r="V108" s="17">
        <v>1</v>
      </c>
      <c r="W108" t="str">
        <f t="shared" si="239"/>
        <v>李戬-0/0/2</v>
      </c>
      <c r="X108" t="s">
        <v>30</v>
      </c>
      <c r="Y108" s="15">
        <f t="shared" si="240"/>
        <v>0</v>
      </c>
      <c r="Z108" s="15">
        <f t="shared" si="240"/>
        <v>0</v>
      </c>
      <c r="AA108" s="15">
        <f t="shared" si="240"/>
        <v>2</v>
      </c>
      <c r="AB108" s="15"/>
    </row>
    <row r="109" spans="1:30" ht="15.75" x14ac:dyDescent="0.15">
      <c r="A109" s="17" t="s">
        <v>299</v>
      </c>
      <c r="B109" s="17" t="s">
        <v>979</v>
      </c>
      <c r="C109" s="17" t="s">
        <v>910</v>
      </c>
      <c r="D109" s="17" t="s">
        <v>129</v>
      </c>
      <c r="E109" s="17" t="s">
        <v>13</v>
      </c>
      <c r="F109" s="17"/>
      <c r="G109" s="17"/>
      <c r="H109" s="17" t="s">
        <v>913</v>
      </c>
      <c r="I109" s="19">
        <v>44196</v>
      </c>
      <c r="J109" s="17">
        <v>3</v>
      </c>
      <c r="K109" s="17">
        <v>1</v>
      </c>
      <c r="L109" s="20">
        <f t="shared" si="238"/>
        <v>45</v>
      </c>
      <c r="M109" s="18">
        <v>44175</v>
      </c>
      <c r="N109" s="18">
        <v>44193</v>
      </c>
      <c r="O109" s="22">
        <f t="shared" ca="1" si="236"/>
        <v>45</v>
      </c>
      <c r="P109" s="22">
        <f t="shared" ca="1" si="237"/>
        <v>0</v>
      </c>
      <c r="Q109" s="19">
        <f t="shared" si="231"/>
        <v>44175</v>
      </c>
      <c r="R109" s="19">
        <f t="shared" ca="1" si="232"/>
        <v>44193</v>
      </c>
      <c r="S109" s="24">
        <f t="shared" ca="1" si="233"/>
        <v>19</v>
      </c>
      <c r="T109" s="24">
        <f t="shared" ca="1" si="234"/>
        <v>0</v>
      </c>
      <c r="U109" s="17">
        <f t="shared" si="235"/>
        <v>19</v>
      </c>
      <c r="V109" s="17">
        <v>1</v>
      </c>
      <c r="W109" t="str">
        <f t="shared" si="239"/>
        <v>合计-0/9/22</v>
      </c>
      <c r="X109" s="35" t="s">
        <v>991</v>
      </c>
      <c r="Y109" s="15">
        <f>SUM(Y99:Y108)</f>
        <v>0</v>
      </c>
      <c r="Z109" s="15">
        <f t="shared" ref="Z109:AA109" si="241">SUM(Z99:Z108)</f>
        <v>9</v>
      </c>
      <c r="AA109" s="15">
        <f t="shared" si="241"/>
        <v>22</v>
      </c>
      <c r="AB109" s="15"/>
    </row>
    <row r="110" spans="1:30" ht="15.75" x14ac:dyDescent="0.15">
      <c r="A110" s="17" t="s">
        <v>482</v>
      </c>
      <c r="B110" s="17" t="s">
        <v>980</v>
      </c>
      <c r="C110" s="17" t="s">
        <v>910</v>
      </c>
      <c r="D110" s="17" t="s">
        <v>127</v>
      </c>
      <c r="E110" s="17"/>
      <c r="F110" s="17"/>
      <c r="G110" s="17"/>
      <c r="H110" s="17"/>
      <c r="I110" s="17"/>
      <c r="J110" s="17"/>
      <c r="K110" s="17">
        <v>0.43</v>
      </c>
      <c r="L110" s="20">
        <f t="shared" si="238"/>
        <v>19.350000000000001</v>
      </c>
      <c r="M110" s="18">
        <v>44166</v>
      </c>
      <c r="N110" s="18">
        <v>44191</v>
      </c>
      <c r="O110" s="22">
        <f t="shared" ca="1" si="236"/>
        <v>19.350000000000001</v>
      </c>
      <c r="P110" s="22">
        <f t="shared" ca="1" si="237"/>
        <v>0</v>
      </c>
      <c r="Q110" s="19">
        <f t="shared" si="231"/>
        <v>44166</v>
      </c>
      <c r="R110" s="19">
        <f t="shared" ca="1" si="232"/>
        <v>44191</v>
      </c>
      <c r="S110" s="24">
        <f t="shared" ca="1" si="233"/>
        <v>26</v>
      </c>
      <c r="T110" s="24">
        <f t="shared" ca="1" si="234"/>
        <v>0</v>
      </c>
      <c r="U110" s="17">
        <f t="shared" si="235"/>
        <v>26</v>
      </c>
      <c r="V110" s="17">
        <v>1</v>
      </c>
      <c r="X110" s="35"/>
      <c r="Y110" s="15"/>
      <c r="Z110" s="15"/>
      <c r="AA110" s="15"/>
      <c r="AB110" s="42"/>
    </row>
    <row r="111" spans="1:30" ht="15.75" x14ac:dyDescent="0.15">
      <c r="A111" s="17" t="s">
        <v>450</v>
      </c>
      <c r="B111" s="17" t="s">
        <v>981</v>
      </c>
      <c r="C111" s="17" t="s">
        <v>910</v>
      </c>
      <c r="D111" s="17" t="s">
        <v>127</v>
      </c>
      <c r="E111" s="17"/>
      <c r="F111" s="17"/>
      <c r="G111" s="17"/>
      <c r="H111" s="17"/>
      <c r="I111" s="17"/>
      <c r="J111" s="17"/>
      <c r="K111" s="20">
        <v>1.63</v>
      </c>
      <c r="L111" s="20">
        <f t="shared" si="238"/>
        <v>73.349999999999994</v>
      </c>
      <c r="M111" s="18">
        <v>44155</v>
      </c>
      <c r="N111" s="18">
        <v>44191</v>
      </c>
      <c r="O111" s="22">
        <f t="shared" ca="1" si="236"/>
        <v>51.543243243243239</v>
      </c>
      <c r="P111" s="22">
        <f t="shared" ca="1" si="237"/>
        <v>0</v>
      </c>
      <c r="Q111" s="19">
        <f t="shared" si="231"/>
        <v>44166</v>
      </c>
      <c r="R111" s="19">
        <f t="shared" ca="1" si="232"/>
        <v>44191</v>
      </c>
      <c r="S111" s="24">
        <f t="shared" ca="1" si="233"/>
        <v>26</v>
      </c>
      <c r="T111" s="24">
        <f t="shared" ca="1" si="234"/>
        <v>0</v>
      </c>
      <c r="U111" s="17">
        <f t="shared" si="235"/>
        <v>37</v>
      </c>
      <c r="V111" s="17">
        <v>1</v>
      </c>
      <c r="X111" s="35"/>
      <c r="Y111" s="15"/>
      <c r="Z111" s="15"/>
      <c r="AA111" s="15"/>
    </row>
    <row r="112" spans="1:30" ht="15.75" x14ac:dyDescent="0.15">
      <c r="A112" s="17" t="s">
        <v>84</v>
      </c>
      <c r="B112" s="17" t="s">
        <v>981</v>
      </c>
      <c r="C112" s="17" t="s">
        <v>910</v>
      </c>
      <c r="D112" s="17" t="s">
        <v>127</v>
      </c>
      <c r="E112" s="17"/>
      <c r="F112" s="17"/>
      <c r="G112" s="17"/>
      <c r="H112" s="17"/>
      <c r="I112" s="17"/>
      <c r="J112" s="17"/>
      <c r="K112" s="20">
        <v>1.63</v>
      </c>
      <c r="L112" s="20">
        <f t="shared" si="238"/>
        <v>73.349999999999994</v>
      </c>
      <c r="M112" s="18">
        <v>44155</v>
      </c>
      <c r="N112" s="18">
        <v>44191</v>
      </c>
      <c r="O112" s="22">
        <f t="shared" ca="1" si="236"/>
        <v>51.543243243243239</v>
      </c>
      <c r="P112" s="22">
        <f t="shared" ca="1" si="237"/>
        <v>0</v>
      </c>
      <c r="Q112" s="19">
        <f t="shared" si="231"/>
        <v>44166</v>
      </c>
      <c r="R112" s="19">
        <f t="shared" ca="1" si="232"/>
        <v>44191</v>
      </c>
      <c r="S112" s="24">
        <f t="shared" ca="1" si="233"/>
        <v>26</v>
      </c>
      <c r="T112" s="24">
        <f t="shared" ca="1" si="234"/>
        <v>0</v>
      </c>
      <c r="U112" s="17">
        <f t="shared" si="235"/>
        <v>37</v>
      </c>
      <c r="V112" s="17">
        <v>0</v>
      </c>
    </row>
    <row r="113" spans="1:27" ht="15.75" x14ac:dyDescent="0.15">
      <c r="A113" s="17" t="s">
        <v>361</v>
      </c>
      <c r="B113" s="17" t="s">
        <v>982</v>
      </c>
      <c r="C113" s="17" t="s">
        <v>910</v>
      </c>
      <c r="D113" s="17" t="s">
        <v>127</v>
      </c>
      <c r="E113" s="17"/>
      <c r="F113" s="17"/>
      <c r="G113" s="17"/>
      <c r="H113" s="17"/>
      <c r="I113" s="17"/>
      <c r="J113" s="17"/>
      <c r="K113" s="20">
        <v>1.63</v>
      </c>
      <c r="L113" s="20">
        <f t="shared" si="238"/>
        <v>73.349999999999994</v>
      </c>
      <c r="M113" s="18">
        <v>44155</v>
      </c>
      <c r="N113" s="18">
        <v>44191</v>
      </c>
      <c r="O113" s="22">
        <f t="shared" ca="1" si="236"/>
        <v>51.543243243243239</v>
      </c>
      <c r="P113" s="22">
        <f t="shared" ca="1" si="237"/>
        <v>0</v>
      </c>
      <c r="Q113" s="19">
        <f t="shared" si="231"/>
        <v>44166</v>
      </c>
      <c r="R113" s="19">
        <f t="shared" ca="1" si="232"/>
        <v>44191</v>
      </c>
      <c r="S113" s="24">
        <f t="shared" ca="1" si="233"/>
        <v>26</v>
      </c>
      <c r="T113" s="24">
        <f t="shared" ca="1" si="234"/>
        <v>0</v>
      </c>
      <c r="U113" s="17">
        <f t="shared" si="235"/>
        <v>37</v>
      </c>
      <c r="V113" s="17">
        <v>1</v>
      </c>
      <c r="W113" s="32" t="s">
        <v>988</v>
      </c>
      <c r="X113" s="36" t="s">
        <v>174</v>
      </c>
      <c r="Y113" s="33" t="s">
        <v>950</v>
      </c>
      <c r="Z113" s="33" t="s">
        <v>911</v>
      </c>
      <c r="AA113" s="33" t="s">
        <v>913</v>
      </c>
    </row>
    <row r="114" spans="1:27" ht="15.75" x14ac:dyDescent="0.15">
      <c r="A114" s="17" t="s">
        <v>83</v>
      </c>
      <c r="B114" s="17" t="s">
        <v>982</v>
      </c>
      <c r="C114" s="17" t="s">
        <v>910</v>
      </c>
      <c r="D114" s="17" t="s">
        <v>127</v>
      </c>
      <c r="E114" s="17"/>
      <c r="F114" s="17"/>
      <c r="G114" s="17"/>
      <c r="H114" s="17"/>
      <c r="I114" s="17"/>
      <c r="J114" s="17"/>
      <c r="K114" s="20">
        <v>1.63</v>
      </c>
      <c r="L114" s="20">
        <f t="shared" si="238"/>
        <v>73.349999999999994</v>
      </c>
      <c r="M114" s="18">
        <v>44155</v>
      </c>
      <c r="N114" s="18">
        <v>44191</v>
      </c>
      <c r="O114" s="22">
        <f t="shared" ca="1" si="236"/>
        <v>51.543243243243239</v>
      </c>
      <c r="P114" s="22">
        <f t="shared" ca="1" si="237"/>
        <v>0</v>
      </c>
      <c r="Q114" s="19">
        <f t="shared" si="231"/>
        <v>44166</v>
      </c>
      <c r="R114" s="19">
        <f t="shared" ca="1" si="232"/>
        <v>44191</v>
      </c>
      <c r="S114" s="24">
        <f t="shared" ca="1" si="233"/>
        <v>26</v>
      </c>
      <c r="T114" s="24">
        <f t="shared" ca="1" si="234"/>
        <v>0</v>
      </c>
      <c r="U114" s="17">
        <f t="shared" si="235"/>
        <v>37</v>
      </c>
      <c r="V114" s="17">
        <v>0</v>
      </c>
      <c r="W114" t="str">
        <f t="shared" ref="W114:W117" si="242">X114&amp;"-"&amp;Y114&amp;"/"&amp;Z114&amp;"/"&amp;AA114</f>
        <v>V150-唐军敏-4/8/8</v>
      </c>
      <c r="X114" s="35" t="s">
        <v>992</v>
      </c>
      <c r="Y114" s="15">
        <f>COUNTIFS($H:$H,Y$113,$D:$D,"V150",$V:$V,"1")</f>
        <v>4</v>
      </c>
      <c r="Z114" s="15">
        <f>COUNTIFS($H:$H,Z$113,$D:$D,"V150",$V:$V,"1")</f>
        <v>8</v>
      </c>
      <c r="AA114" s="15">
        <f>COUNTIFS($H:$H,AA$113,$D:$D,"V150",$V:$V,"1")</f>
        <v>8</v>
      </c>
    </row>
    <row r="115" spans="1:27" ht="15.75" x14ac:dyDescent="0.15">
      <c r="A115" s="17" t="s">
        <v>211</v>
      </c>
      <c r="B115" s="17" t="s">
        <v>982</v>
      </c>
      <c r="C115" s="17" t="s">
        <v>910</v>
      </c>
      <c r="D115" s="17" t="s">
        <v>127</v>
      </c>
      <c r="E115" s="17"/>
      <c r="F115" s="17"/>
      <c r="G115" s="17"/>
      <c r="H115" s="17"/>
      <c r="I115" s="17"/>
      <c r="J115" s="17"/>
      <c r="K115" s="17">
        <v>1.63</v>
      </c>
      <c r="L115" s="20">
        <f t="shared" si="238"/>
        <v>73.349999999999994</v>
      </c>
      <c r="M115" s="18">
        <v>44155</v>
      </c>
      <c r="N115" s="18">
        <v>44191</v>
      </c>
      <c r="O115" s="22">
        <f t="shared" ca="1" si="236"/>
        <v>35.683783783783781</v>
      </c>
      <c r="P115" s="22">
        <f t="shared" ca="1" si="237"/>
        <v>0</v>
      </c>
      <c r="Q115" s="19">
        <v>44174</v>
      </c>
      <c r="R115" s="19">
        <f t="shared" ca="1" si="232"/>
        <v>44191</v>
      </c>
      <c r="S115" s="24">
        <f t="shared" ca="1" si="233"/>
        <v>18</v>
      </c>
      <c r="T115" s="24">
        <f t="shared" ca="1" si="234"/>
        <v>0</v>
      </c>
      <c r="U115" s="17">
        <f t="shared" si="235"/>
        <v>37</v>
      </c>
      <c r="V115" s="17">
        <v>0</v>
      </c>
      <c r="W115" t="str">
        <f t="shared" si="242"/>
        <v>V151-赵攀-1/12/11</v>
      </c>
      <c r="X115" s="35" t="s">
        <v>993</v>
      </c>
      <c r="Y115" s="15">
        <f>COUNTIFS($H:$H,Y$113,$D:$D,"V151",$V:$V,"1")</f>
        <v>1</v>
      </c>
      <c r="Z115" s="15">
        <f>COUNTIFS($H:$H,Z$113,$D:$D,"V151",$V:$V,"1")</f>
        <v>12</v>
      </c>
      <c r="AA115" s="15">
        <f>COUNTIFS($H:$H,AA$113,$D:$D,"V151",$V:$V,"1")</f>
        <v>11</v>
      </c>
    </row>
    <row r="116" spans="1:27" ht="15.75" x14ac:dyDescent="0.15">
      <c r="A116" s="17" t="s">
        <v>242</v>
      </c>
      <c r="B116" s="17" t="s">
        <v>983</v>
      </c>
      <c r="C116" s="17" t="s">
        <v>910</v>
      </c>
      <c r="D116" s="17" t="s">
        <v>129</v>
      </c>
      <c r="E116" s="17" t="s">
        <v>13</v>
      </c>
      <c r="F116" s="17"/>
      <c r="G116" s="17"/>
      <c r="H116" s="19" t="s">
        <v>950</v>
      </c>
      <c r="I116" s="19">
        <v>44187</v>
      </c>
      <c r="J116" s="17">
        <v>-1</v>
      </c>
      <c r="K116" s="17">
        <v>0.5</v>
      </c>
      <c r="L116" s="20">
        <f t="shared" si="238"/>
        <v>22.5</v>
      </c>
      <c r="M116" s="18">
        <v>44174</v>
      </c>
      <c r="N116" s="18">
        <v>44188</v>
      </c>
      <c r="O116" s="22">
        <f t="shared" ca="1" si="236"/>
        <v>22.5</v>
      </c>
      <c r="P116" s="22">
        <f t="shared" ca="1" si="237"/>
        <v>0</v>
      </c>
      <c r="Q116" s="19">
        <f t="shared" ref="Q116:Q124" si="243">IF(M116&lt;$X$1,$X$1,M116)</f>
        <v>44174</v>
      </c>
      <c r="R116" s="19">
        <f t="shared" ca="1" si="232"/>
        <v>44188</v>
      </c>
      <c r="S116" s="24">
        <f t="shared" ca="1" si="233"/>
        <v>15</v>
      </c>
      <c r="T116" s="24">
        <f t="shared" ca="1" si="234"/>
        <v>0</v>
      </c>
      <c r="U116" s="17">
        <f t="shared" si="235"/>
        <v>15</v>
      </c>
      <c r="V116" s="17">
        <v>1</v>
      </c>
      <c r="W116" t="str">
        <f t="shared" si="242"/>
        <v>V153-冉杨鋆-0/10/9</v>
      </c>
      <c r="X116" s="37" t="s">
        <v>994</v>
      </c>
      <c r="Y116" s="15">
        <f>COUNTIFS($H:$H,Y$113,$D:$D,"V153",$V:$V,"1")</f>
        <v>0</v>
      </c>
      <c r="Z116" s="15">
        <f>COUNTIFS($H:$H,Z$113,$D:$D,"V153",$V:$V,"1")</f>
        <v>10</v>
      </c>
      <c r="AA116" s="15">
        <f>COUNTIFS($H:$H,AA$113,$D:$D,"V153",$V:$V,"1")</f>
        <v>9</v>
      </c>
    </row>
    <row r="117" spans="1:27" ht="15.75" x14ac:dyDescent="0.15">
      <c r="A117" s="17" t="s">
        <v>964</v>
      </c>
      <c r="B117" s="17" t="s">
        <v>984</v>
      </c>
      <c r="C117" s="17" t="s">
        <v>910</v>
      </c>
      <c r="D117" s="17" t="s">
        <v>125</v>
      </c>
      <c r="E117" s="17"/>
      <c r="F117" s="17"/>
      <c r="G117" s="17"/>
      <c r="H117" s="17"/>
      <c r="I117" s="17"/>
      <c r="J117" s="17"/>
      <c r="K117" s="17">
        <v>0.3</v>
      </c>
      <c r="L117" s="20">
        <f t="shared" si="238"/>
        <v>13.5</v>
      </c>
      <c r="M117" s="18">
        <v>44176</v>
      </c>
      <c r="N117" s="18">
        <v>44184</v>
      </c>
      <c r="O117" s="22">
        <f t="shared" ca="1" si="236"/>
        <v>13.5</v>
      </c>
      <c r="P117" s="22">
        <f t="shared" ca="1" si="237"/>
        <v>0</v>
      </c>
      <c r="Q117" s="19">
        <f t="shared" si="243"/>
        <v>44176</v>
      </c>
      <c r="R117" s="19">
        <f t="shared" ca="1" si="232"/>
        <v>44184</v>
      </c>
      <c r="S117" s="24">
        <f t="shared" ca="1" si="233"/>
        <v>9</v>
      </c>
      <c r="T117" s="24">
        <f t="shared" ca="1" si="234"/>
        <v>0</v>
      </c>
      <c r="U117" s="17">
        <f t="shared" si="235"/>
        <v>9</v>
      </c>
      <c r="V117" s="17">
        <v>1</v>
      </c>
      <c r="W117" t="str">
        <f t="shared" si="242"/>
        <v>V160-唐军敏-0/1/3</v>
      </c>
      <c r="X117" s="37" t="s">
        <v>995</v>
      </c>
      <c r="Y117" s="15">
        <f>COUNTIFS($H:$H,Y$113,$D:$D,"V160",$V:$V,"1")</f>
        <v>0</v>
      </c>
      <c r="Z117" s="15">
        <f>COUNTIFS($H:$H,Z$113,$D:$D,"V160",$V:$V,"1")</f>
        <v>1</v>
      </c>
      <c r="AA117" s="15">
        <f>COUNTIFS($H:$H,AA$113,$D:$D,"V160",$V:$V,"1")</f>
        <v>3</v>
      </c>
    </row>
    <row r="118" spans="1:27" ht="15.75" x14ac:dyDescent="0.15">
      <c r="A118" s="17" t="s">
        <v>202</v>
      </c>
      <c r="B118" s="17" t="s">
        <v>985</v>
      </c>
      <c r="C118" s="17" t="s">
        <v>910</v>
      </c>
      <c r="D118" s="17" t="s">
        <v>127</v>
      </c>
      <c r="E118" s="17"/>
      <c r="F118" s="17"/>
      <c r="G118" s="17"/>
      <c r="H118" s="17"/>
      <c r="I118" s="17"/>
      <c r="J118" s="17"/>
      <c r="K118" s="20">
        <v>0.67</v>
      </c>
      <c r="L118" s="20">
        <f t="shared" si="238"/>
        <v>30.150000000000002</v>
      </c>
      <c r="M118" s="18">
        <v>44169</v>
      </c>
      <c r="N118" s="18">
        <v>44182</v>
      </c>
      <c r="O118" s="22">
        <f t="shared" ca="1" si="236"/>
        <v>30.150000000000002</v>
      </c>
      <c r="P118" s="22">
        <f t="shared" ca="1" si="237"/>
        <v>0</v>
      </c>
      <c r="Q118" s="19">
        <f t="shared" si="243"/>
        <v>44169</v>
      </c>
      <c r="R118" s="19">
        <f t="shared" ca="1" si="232"/>
        <v>44182</v>
      </c>
      <c r="S118" s="24">
        <f t="shared" ca="1" si="233"/>
        <v>14</v>
      </c>
      <c r="T118" s="24">
        <f t="shared" ca="1" si="234"/>
        <v>0</v>
      </c>
      <c r="U118" s="17">
        <f t="shared" si="235"/>
        <v>14</v>
      </c>
      <c r="V118" s="17">
        <v>1</v>
      </c>
    </row>
    <row r="119" spans="1:27" ht="15.75" x14ac:dyDescent="0.15">
      <c r="A119" s="17" t="s">
        <v>482</v>
      </c>
      <c r="B119" s="17" t="s">
        <v>986</v>
      </c>
      <c r="C119" s="17" t="s">
        <v>910</v>
      </c>
      <c r="D119" s="17" t="s">
        <v>125</v>
      </c>
      <c r="E119" s="17"/>
      <c r="F119" s="17"/>
      <c r="G119" s="17"/>
      <c r="H119" s="17"/>
      <c r="I119" s="17"/>
      <c r="J119" s="17"/>
      <c r="K119" s="17">
        <v>7.0000000000000007E-2</v>
      </c>
      <c r="L119" s="20">
        <f t="shared" si="238"/>
        <v>3.1500000000000004</v>
      </c>
      <c r="M119" s="18">
        <v>44166</v>
      </c>
      <c r="N119" s="18">
        <v>44172</v>
      </c>
      <c r="O119" s="22">
        <f t="shared" ca="1" si="236"/>
        <v>3.1500000000000004</v>
      </c>
      <c r="P119" s="22">
        <f t="shared" ca="1" si="237"/>
        <v>0</v>
      </c>
      <c r="Q119" s="19">
        <f t="shared" si="243"/>
        <v>44166</v>
      </c>
      <c r="R119" s="19">
        <f t="shared" ref="R119:R124" ca="1" si="244">IF(N119&lt;Q119,Q119-1,IF(TODAY()&gt;N119,N119,TODAY()))</f>
        <v>44172</v>
      </c>
      <c r="S119" s="24">
        <f t="shared" ref="S119:S123" ca="1" si="245">IF(R119-Q119+1&lt;0,0,R119-Q119+1)</f>
        <v>7</v>
      </c>
      <c r="T119" s="24">
        <f t="shared" ref="T119:T124" ca="1" si="246">IF(R119&gt;N119,0,N119-R119)</f>
        <v>0</v>
      </c>
      <c r="U119" s="17">
        <f t="shared" ref="U119:U124" si="247">N119-M119+1</f>
        <v>7</v>
      </c>
      <c r="V119" s="17">
        <v>1</v>
      </c>
    </row>
    <row r="120" spans="1:27" ht="15.75" x14ac:dyDescent="0.15">
      <c r="A120" s="17" t="s">
        <v>519</v>
      </c>
      <c r="B120" s="17" t="s">
        <v>987</v>
      </c>
      <c r="C120" s="17" t="s">
        <v>910</v>
      </c>
      <c r="D120" s="17" t="s">
        <v>125</v>
      </c>
      <c r="E120" s="17"/>
      <c r="F120" s="17"/>
      <c r="G120" s="17"/>
      <c r="H120" s="17"/>
      <c r="I120" s="17"/>
      <c r="J120" s="17"/>
      <c r="K120" s="20">
        <v>0.56000000000000005</v>
      </c>
      <c r="L120" s="20">
        <f t="shared" si="238"/>
        <v>25.200000000000003</v>
      </c>
      <c r="M120" s="18">
        <v>44148</v>
      </c>
      <c r="N120" s="18">
        <v>44172</v>
      </c>
      <c r="O120" s="22">
        <f t="shared" ca="1" si="236"/>
        <v>7.0560000000000018</v>
      </c>
      <c r="P120" s="22">
        <v>0</v>
      </c>
      <c r="Q120" s="19">
        <f t="shared" si="243"/>
        <v>44166</v>
      </c>
      <c r="R120" s="19">
        <f t="shared" ca="1" si="244"/>
        <v>44172</v>
      </c>
      <c r="S120" s="24">
        <f t="shared" ca="1" si="245"/>
        <v>7</v>
      </c>
      <c r="T120" s="24">
        <f t="shared" ca="1" si="246"/>
        <v>0</v>
      </c>
      <c r="U120" s="17">
        <f t="shared" si="247"/>
        <v>25</v>
      </c>
      <c r="V120" s="17">
        <v>1</v>
      </c>
    </row>
    <row r="121" spans="1:27" ht="15.75" x14ac:dyDescent="0.15">
      <c r="A121" s="17" t="s">
        <v>382</v>
      </c>
      <c r="B121" s="17" t="s">
        <v>987</v>
      </c>
      <c r="C121" s="17" t="s">
        <v>910</v>
      </c>
      <c r="D121" s="17" t="s">
        <v>125</v>
      </c>
      <c r="E121" s="17"/>
      <c r="F121" s="17"/>
      <c r="G121" s="17"/>
      <c r="H121" s="17"/>
      <c r="I121" s="17"/>
      <c r="J121" s="17"/>
      <c r="K121" s="20">
        <v>0.56000000000000005</v>
      </c>
      <c r="L121" s="20">
        <f t="shared" si="238"/>
        <v>25.200000000000003</v>
      </c>
      <c r="M121" s="18">
        <v>44148</v>
      </c>
      <c r="N121" s="18">
        <v>44172</v>
      </c>
      <c r="O121" s="22">
        <f t="shared" ca="1" si="236"/>
        <v>7.0560000000000018</v>
      </c>
      <c r="P121" s="22">
        <v>0</v>
      </c>
      <c r="Q121" s="19">
        <f t="shared" si="243"/>
        <v>44166</v>
      </c>
      <c r="R121" s="19">
        <f t="shared" ca="1" si="244"/>
        <v>44172</v>
      </c>
      <c r="S121" s="24">
        <f t="shared" ca="1" si="245"/>
        <v>7</v>
      </c>
      <c r="T121" s="24">
        <f t="shared" ca="1" si="246"/>
        <v>0</v>
      </c>
      <c r="U121" s="17">
        <f t="shared" si="247"/>
        <v>25</v>
      </c>
      <c r="V121" s="17">
        <v>0</v>
      </c>
    </row>
    <row r="122" spans="1:27" ht="15.75" x14ac:dyDescent="0.15">
      <c r="A122" s="17" t="s">
        <v>423</v>
      </c>
      <c r="B122" s="17" t="s">
        <v>989</v>
      </c>
      <c r="C122" s="17" t="s">
        <v>910</v>
      </c>
      <c r="D122" s="17" t="s">
        <v>125</v>
      </c>
      <c r="E122" s="17"/>
      <c r="F122" s="17"/>
      <c r="G122" s="17"/>
      <c r="H122" s="17"/>
      <c r="I122" s="17"/>
      <c r="J122" s="17"/>
      <c r="K122" s="20">
        <v>0.56000000000000005</v>
      </c>
      <c r="L122" s="20">
        <f t="shared" si="238"/>
        <v>25.200000000000003</v>
      </c>
      <c r="M122" s="18">
        <v>44148</v>
      </c>
      <c r="N122" s="18">
        <v>44172</v>
      </c>
      <c r="O122" s="22">
        <f t="shared" ca="1" si="236"/>
        <v>7.0560000000000018</v>
      </c>
      <c r="P122" s="22">
        <v>0</v>
      </c>
      <c r="Q122" s="19">
        <f t="shared" si="243"/>
        <v>44166</v>
      </c>
      <c r="R122" s="19">
        <f t="shared" ca="1" si="244"/>
        <v>44172</v>
      </c>
      <c r="S122" s="24">
        <f t="shared" ca="1" si="245"/>
        <v>7</v>
      </c>
      <c r="T122" s="24">
        <f t="shared" ca="1" si="246"/>
        <v>0</v>
      </c>
      <c r="U122" s="17">
        <f t="shared" si="247"/>
        <v>25</v>
      </c>
      <c r="V122" s="17">
        <v>1</v>
      </c>
    </row>
    <row r="123" spans="1:27" ht="15.75" x14ac:dyDescent="0.15">
      <c r="A123" s="17" t="s">
        <v>299</v>
      </c>
      <c r="B123" s="17" t="s">
        <v>989</v>
      </c>
      <c r="C123" s="17" t="s">
        <v>910</v>
      </c>
      <c r="D123" s="17" t="s">
        <v>125</v>
      </c>
      <c r="E123" s="17"/>
      <c r="F123" s="17"/>
      <c r="G123" s="17"/>
      <c r="H123" s="17"/>
      <c r="I123" s="17"/>
      <c r="J123" s="17"/>
      <c r="K123" s="20">
        <v>0.56000000000000005</v>
      </c>
      <c r="L123" s="20">
        <f t="shared" si="238"/>
        <v>25.200000000000003</v>
      </c>
      <c r="M123" s="18">
        <v>44148</v>
      </c>
      <c r="N123" s="18">
        <v>44172</v>
      </c>
      <c r="O123" s="22">
        <f t="shared" ca="1" si="236"/>
        <v>7.0560000000000018</v>
      </c>
      <c r="P123" s="22">
        <v>0</v>
      </c>
      <c r="Q123" s="19">
        <f t="shared" si="243"/>
        <v>44166</v>
      </c>
      <c r="R123" s="19">
        <f t="shared" ca="1" si="244"/>
        <v>44172</v>
      </c>
      <c r="S123" s="24">
        <f t="shared" ca="1" si="245"/>
        <v>7</v>
      </c>
      <c r="T123" s="24">
        <f t="shared" ca="1" si="246"/>
        <v>0</v>
      </c>
      <c r="U123" s="17">
        <f t="shared" si="247"/>
        <v>25</v>
      </c>
      <c r="V123" s="17">
        <v>0</v>
      </c>
    </row>
    <row r="124" spans="1:27" ht="15.75" x14ac:dyDescent="0.15">
      <c r="A124" s="17" t="s">
        <v>215</v>
      </c>
      <c r="B124" s="17" t="s">
        <v>990</v>
      </c>
      <c r="C124" s="17" t="s">
        <v>910</v>
      </c>
      <c r="D124" s="17" t="s">
        <v>125</v>
      </c>
      <c r="E124" s="17"/>
      <c r="F124" s="17"/>
      <c r="G124" s="17"/>
      <c r="H124" s="17"/>
      <c r="I124" s="17"/>
      <c r="J124" s="17"/>
      <c r="K124" s="20">
        <v>0.18</v>
      </c>
      <c r="L124" s="20">
        <f t="shared" si="238"/>
        <v>8.1</v>
      </c>
      <c r="M124" s="18">
        <v>44155</v>
      </c>
      <c r="N124" s="18">
        <v>44162</v>
      </c>
      <c r="O124" s="22">
        <f t="shared" ca="1" si="236"/>
        <v>0</v>
      </c>
      <c r="P124" s="22">
        <v>0</v>
      </c>
      <c r="Q124" s="19">
        <f t="shared" si="243"/>
        <v>44166</v>
      </c>
      <c r="R124" s="19">
        <f t="shared" ca="1" si="244"/>
        <v>44165</v>
      </c>
      <c r="S124" s="24">
        <f ca="1">R124-Q124+1</f>
        <v>0</v>
      </c>
      <c r="T124" s="24">
        <f t="shared" ca="1" si="246"/>
        <v>0</v>
      </c>
      <c r="U124" s="17">
        <f t="shared" si="247"/>
        <v>8</v>
      </c>
      <c r="V124" s="17">
        <v>1</v>
      </c>
    </row>
  </sheetData>
  <autoFilter ref="A1:V136" xr:uid="{00000000-0009-0000-0000-000004000000}"/>
  <phoneticPr fontId="27" type="noConversion"/>
  <conditionalFormatting sqref="AG2:AG19">
    <cfRule type="iconSet" priority="16">
      <iconSet>
        <cfvo type="percent" val="0"/>
        <cfvo type="num" val="75"/>
        <cfvo type="num" val="90"/>
      </iconSet>
    </cfRule>
  </conditionalFormatting>
  <conditionalFormatting sqref="AD98:AD107 X99:X105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6"/>
  <sheetViews>
    <sheetView workbookViewId="0">
      <selection activeCell="G1" sqref="G1"/>
    </sheetView>
  </sheetViews>
  <sheetFormatPr defaultColWidth="9" defaultRowHeight="14.25" x14ac:dyDescent="0.15"/>
  <cols>
    <col min="1" max="1" width="17.5" customWidth="1"/>
    <col min="2" max="2" width="21.875" customWidth="1"/>
    <col min="3" max="3" width="23" customWidth="1"/>
    <col min="4" max="4" width="30.5" customWidth="1"/>
    <col min="5" max="5" width="25" customWidth="1"/>
    <col min="6" max="6" width="11.25" customWidth="1"/>
    <col min="7" max="7" width="21.625" customWidth="1"/>
  </cols>
  <sheetData>
    <row r="1" spans="1:7" ht="16.5" x14ac:dyDescent="0.15">
      <c r="A1" s="1" t="s">
        <v>175</v>
      </c>
      <c r="B1" s="2" t="s">
        <v>996</v>
      </c>
      <c r="C1" s="2" t="s">
        <v>997</v>
      </c>
      <c r="D1" s="2" t="s">
        <v>183</v>
      </c>
      <c r="E1" s="3" t="s">
        <v>998</v>
      </c>
      <c r="F1" s="3" t="s">
        <v>999</v>
      </c>
      <c r="G1" s="4" t="s">
        <v>1000</v>
      </c>
    </row>
    <row r="2" spans="1:7" ht="16.5" x14ac:dyDescent="0.15">
      <c r="A2" s="5" t="s">
        <v>221</v>
      </c>
      <c r="B2" s="2" t="s">
        <v>1001</v>
      </c>
      <c r="C2" s="3">
        <v>15026550733</v>
      </c>
      <c r="D2" s="6" t="s">
        <v>1002</v>
      </c>
      <c r="E2" s="3"/>
      <c r="F2" s="7">
        <v>44226</v>
      </c>
      <c r="G2" s="8">
        <v>44229</v>
      </c>
    </row>
    <row r="3" spans="1:7" ht="16.5" x14ac:dyDescent="0.15">
      <c r="A3" s="9" t="s">
        <v>225</v>
      </c>
      <c r="B3" s="2" t="s">
        <v>1003</v>
      </c>
      <c r="C3" s="3">
        <v>18602153129</v>
      </c>
      <c r="D3" s="6" t="s">
        <v>1004</v>
      </c>
      <c r="E3" s="3"/>
      <c r="F3" s="7">
        <v>44226</v>
      </c>
      <c r="G3" s="8">
        <v>44229</v>
      </c>
    </row>
    <row r="4" spans="1:7" ht="16.5" x14ac:dyDescent="0.15">
      <c r="A4" s="9" t="s">
        <v>229</v>
      </c>
      <c r="B4" s="2" t="s">
        <v>1005</v>
      </c>
      <c r="C4" s="3">
        <v>13918252029</v>
      </c>
      <c r="D4" s="6" t="s">
        <v>1006</v>
      </c>
      <c r="E4" s="3"/>
      <c r="F4" s="7">
        <v>44226</v>
      </c>
      <c r="G4" s="8">
        <v>44229</v>
      </c>
    </row>
    <row r="5" spans="1:7" ht="16.5" x14ac:dyDescent="0.15">
      <c r="A5" s="9" t="s">
        <v>232</v>
      </c>
      <c r="B5" s="2" t="s">
        <v>1007</v>
      </c>
      <c r="C5" s="3">
        <v>13162366375</v>
      </c>
      <c r="D5" s="6" t="s">
        <v>1008</v>
      </c>
      <c r="E5" s="3" t="s">
        <v>1009</v>
      </c>
      <c r="F5" s="3"/>
      <c r="G5" s="8">
        <v>44229</v>
      </c>
    </row>
    <row r="6" spans="1:7" ht="16.5" x14ac:dyDescent="0.15">
      <c r="A6" s="10" t="s">
        <v>239</v>
      </c>
      <c r="B6" s="2" t="s">
        <v>1010</v>
      </c>
      <c r="C6" s="3">
        <v>18616559561</v>
      </c>
      <c r="D6" s="6" t="s">
        <v>1004</v>
      </c>
      <c r="E6" s="3"/>
      <c r="F6" s="7">
        <v>44226</v>
      </c>
      <c r="G6" s="3" t="s">
        <v>225</v>
      </c>
    </row>
    <row r="7" spans="1:7" ht="16.5" x14ac:dyDescent="0.15">
      <c r="A7" s="10" t="s">
        <v>257</v>
      </c>
      <c r="B7" s="2" t="s">
        <v>1011</v>
      </c>
      <c r="C7" s="3" t="s">
        <v>1012</v>
      </c>
      <c r="D7" s="6" t="s">
        <v>1013</v>
      </c>
      <c r="E7" s="3" t="s">
        <v>1014</v>
      </c>
      <c r="F7" s="3"/>
      <c r="G7" s="8">
        <v>44229</v>
      </c>
    </row>
    <row r="8" spans="1:7" ht="16.5" x14ac:dyDescent="0.15">
      <c r="A8" s="10" t="s">
        <v>261</v>
      </c>
      <c r="B8" s="2" t="s">
        <v>1015</v>
      </c>
      <c r="C8" s="3" t="s">
        <v>1016</v>
      </c>
      <c r="D8" s="6" t="s">
        <v>1017</v>
      </c>
      <c r="E8" s="3" t="s">
        <v>1018</v>
      </c>
      <c r="F8" s="7">
        <v>44226</v>
      </c>
      <c r="G8" s="8">
        <v>44229</v>
      </c>
    </row>
    <row r="9" spans="1:7" ht="16.5" x14ac:dyDescent="0.15">
      <c r="A9" s="11" t="s">
        <v>268</v>
      </c>
      <c r="B9" s="2" t="s">
        <v>326</v>
      </c>
      <c r="C9" s="3">
        <v>18621278768</v>
      </c>
      <c r="D9" s="6" t="s">
        <v>327</v>
      </c>
      <c r="E9" s="3"/>
      <c r="F9" s="3"/>
      <c r="G9" s="8">
        <v>44229</v>
      </c>
    </row>
    <row r="10" spans="1:7" ht="16.5" x14ac:dyDescent="0.15">
      <c r="A10" s="10" t="s">
        <v>291</v>
      </c>
      <c r="B10" s="2" t="s">
        <v>1019</v>
      </c>
      <c r="C10" s="3">
        <v>13951946170</v>
      </c>
      <c r="D10" s="6" t="s">
        <v>1020</v>
      </c>
      <c r="E10" s="3"/>
      <c r="F10" s="7">
        <v>44226</v>
      </c>
      <c r="G10" s="8">
        <v>44229</v>
      </c>
    </row>
    <row r="11" spans="1:7" ht="16.5" x14ac:dyDescent="0.15">
      <c r="A11" s="10" t="s">
        <v>319</v>
      </c>
      <c r="B11" s="2" t="s">
        <v>1021</v>
      </c>
      <c r="C11" s="3">
        <v>13917552119</v>
      </c>
      <c r="D11" s="6" t="s">
        <v>1022</v>
      </c>
      <c r="E11" s="3"/>
      <c r="F11" s="7">
        <v>44226</v>
      </c>
      <c r="G11" s="8">
        <v>44229</v>
      </c>
    </row>
    <row r="12" spans="1:7" ht="16.5" x14ac:dyDescent="0.15">
      <c r="A12" s="10" t="s">
        <v>332</v>
      </c>
      <c r="B12" s="2" t="s">
        <v>1023</v>
      </c>
      <c r="C12" s="3">
        <v>18717855835</v>
      </c>
      <c r="D12" s="12" t="s">
        <v>1024</v>
      </c>
      <c r="E12" s="3"/>
      <c r="F12" s="3" t="s">
        <v>1025</v>
      </c>
      <c r="G12" s="7" t="s">
        <v>1025</v>
      </c>
    </row>
    <row r="13" spans="1:7" ht="16.5" x14ac:dyDescent="0.15">
      <c r="A13" s="10" t="s">
        <v>307</v>
      </c>
      <c r="B13" s="2" t="s">
        <v>1026</v>
      </c>
      <c r="C13" s="3">
        <v>13764563188</v>
      </c>
      <c r="D13" s="6" t="s">
        <v>1027</v>
      </c>
      <c r="E13" s="3"/>
      <c r="F13" s="3"/>
      <c r="G13" s="8">
        <v>44229</v>
      </c>
    </row>
    <row r="14" spans="1:7" ht="16.5" x14ac:dyDescent="0.15">
      <c r="A14" s="10" t="s">
        <v>390</v>
      </c>
      <c r="B14" s="2" t="s">
        <v>1028</v>
      </c>
      <c r="C14" s="3">
        <v>18016037554</v>
      </c>
      <c r="D14" s="6" t="s">
        <v>1029</v>
      </c>
      <c r="E14" s="3"/>
      <c r="F14" s="3"/>
      <c r="G14" s="8">
        <v>44229</v>
      </c>
    </row>
    <row r="15" spans="1:7" ht="16.5" x14ac:dyDescent="0.15">
      <c r="A15" s="10" t="s">
        <v>401</v>
      </c>
      <c r="B15" s="2" t="s">
        <v>1030</v>
      </c>
      <c r="C15" s="3">
        <v>13345530630</v>
      </c>
      <c r="D15" s="6" t="s">
        <v>1031</v>
      </c>
      <c r="E15" s="3"/>
      <c r="F15" s="3"/>
      <c r="G15" s="8">
        <v>44229</v>
      </c>
    </row>
    <row r="16" spans="1:7" ht="16.5" x14ac:dyDescent="0.15">
      <c r="A16" s="10" t="s">
        <v>442</v>
      </c>
      <c r="B16" s="2" t="s">
        <v>1032</v>
      </c>
      <c r="C16" s="3">
        <v>18217216965</v>
      </c>
      <c r="D16" s="6" t="s">
        <v>1033</v>
      </c>
      <c r="E16" s="3"/>
      <c r="F16" s="3"/>
      <c r="G16" s="8">
        <v>44229</v>
      </c>
    </row>
  </sheetData>
  <phoneticPr fontId="27" type="noConversion"/>
  <hyperlinks>
    <hyperlink ref="D2" r:id="rId1" xr:uid="{00000000-0004-0000-0500-000000000000}"/>
    <hyperlink ref="D3" r:id="rId2" xr:uid="{00000000-0004-0000-0500-000001000000}"/>
    <hyperlink ref="D6" r:id="rId3" xr:uid="{00000000-0004-0000-0500-000002000000}"/>
    <hyperlink ref="D8" r:id="rId4" xr:uid="{00000000-0004-0000-0500-000003000000}"/>
    <hyperlink ref="D11" r:id="rId5" xr:uid="{00000000-0004-0000-0500-000004000000}"/>
    <hyperlink ref="D4" r:id="rId6" xr:uid="{00000000-0004-0000-0500-000005000000}"/>
    <hyperlink ref="D7" r:id="rId7" xr:uid="{00000000-0004-0000-0500-000006000000}"/>
    <hyperlink ref="D9" r:id="rId8" xr:uid="{00000000-0004-0000-0500-000007000000}"/>
    <hyperlink ref="D12" r:id="rId9" xr:uid="{00000000-0004-0000-0500-000008000000}"/>
    <hyperlink ref="D14" r:id="rId10" xr:uid="{00000000-0004-0000-05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统计1231</vt:lpstr>
      <vt:lpstr>统计0515</vt:lpstr>
      <vt:lpstr>按版本统计</vt:lpstr>
      <vt:lpstr>人员最新分组</vt:lpstr>
      <vt:lpstr>小项目情况汇总</vt:lpstr>
      <vt:lpstr>开发公司现场负责人</vt:lpstr>
      <vt:lpstr>CWHC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唐军敏</cp:lastModifiedBy>
  <dcterms:created xsi:type="dcterms:W3CDTF">2006-09-13T19:21:00Z</dcterms:created>
  <dcterms:modified xsi:type="dcterms:W3CDTF">2021-05-24T06:31:47Z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