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cdg/proj/novasbe_proj/git/novasbe/modeling/"/>
    </mc:Choice>
  </mc:AlternateContent>
  <xr:revisionPtr revIDLastSave="0" documentId="13_ncr:1_{52CBE356-6B5A-8D40-ACB3-24D3C6AF5F00}" xr6:coauthVersionLast="31" xr6:coauthVersionMax="31" xr10:uidLastSave="{00000000-0000-0000-0000-000000000000}"/>
  <bookViews>
    <workbookView xWindow="0" yWindow="460" windowWidth="28800" windowHeight="16640" activeTab="7" xr2:uid="{A4BC01EA-C98E-8041-A64C-A58C059A2942}"/>
  </bookViews>
  <sheets>
    <sheet name="fischel_equal" sheetId="1" r:id="rId1"/>
    <sheet name="Sensitivity Report 2" sheetId="17" r:id="rId2"/>
    <sheet name="Sensitivity Report 3" sheetId="19" r:id="rId3"/>
    <sheet name="myte_equal" sheetId="10" r:id="rId4"/>
    <sheet name="Sensitivity Report 1" sheetId="16" r:id="rId5"/>
    <sheet name="Sensitivity Report 4" sheetId="20" r:id="rId6"/>
    <sheet name="fischel_leq" sheetId="14" r:id="rId7"/>
    <sheet name="myte" sheetId="15" r:id="rId8"/>
    <sheet name="fischel" sheetId="18" r:id="rId9"/>
  </sheets>
  <definedNames>
    <definedName name="solver_adj" localSheetId="8" hidden="1">fischel!$C$4:$H$4</definedName>
    <definedName name="solver_adj" localSheetId="0" hidden="1">fischel_equal!$C$4:$H$4</definedName>
    <definedName name="solver_adj" localSheetId="6" hidden="1">fischel_leq!$C$4:$H$4</definedName>
    <definedName name="solver_adj" localSheetId="7" hidden="1">myte!$C$4:$H$4</definedName>
    <definedName name="solver_adj" localSheetId="3" hidden="1">myte_equal!$C$4:$H$4</definedName>
    <definedName name="solver_cvg" localSheetId="8" hidden="1">0.0001</definedName>
    <definedName name="solver_cvg" localSheetId="0" hidden="1">0.0001</definedName>
    <definedName name="solver_cvg" localSheetId="6" hidden="1">0.0001</definedName>
    <definedName name="solver_cvg" localSheetId="7" hidden="1">0.0001</definedName>
    <definedName name="solver_cvg" localSheetId="3" hidden="1">0.0001</definedName>
    <definedName name="solver_drv" localSheetId="8" hidden="1">1</definedName>
    <definedName name="solver_drv" localSheetId="0" hidden="1">1</definedName>
    <definedName name="solver_drv" localSheetId="6" hidden="1">1</definedName>
    <definedName name="solver_drv" localSheetId="7" hidden="1">1</definedName>
    <definedName name="solver_drv" localSheetId="3" hidden="1">1</definedName>
    <definedName name="solver_eng" localSheetId="8" hidden="1">2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ng" localSheetId="3" hidden="1">2</definedName>
    <definedName name="solver_itr" localSheetId="8" hidden="1">2147483647</definedName>
    <definedName name="solver_itr" localSheetId="0" hidden="1">2147483647</definedName>
    <definedName name="solver_itr" localSheetId="6" hidden="1">2147483647</definedName>
    <definedName name="solver_itr" localSheetId="7" hidden="1">2147483647</definedName>
    <definedName name="solver_itr" localSheetId="3" hidden="1">2147483647</definedName>
    <definedName name="solver_lhs1" localSheetId="8" hidden="1">fischel!$I$12:$I$13</definedName>
    <definedName name="solver_lhs1" localSheetId="0" hidden="1">fischel_equal!$I$11:$I$12</definedName>
    <definedName name="solver_lhs1" localSheetId="6" hidden="1">fischel_leq!$I$11:$I$12</definedName>
    <definedName name="solver_lhs1" localSheetId="7" hidden="1">myte!$I$11:$I$12</definedName>
    <definedName name="solver_lhs1" localSheetId="3" hidden="1">myte_equal!$I$11:$I$12</definedName>
    <definedName name="solver_lhs2" localSheetId="8" hidden="1">fischel!$I$14:$I$16</definedName>
    <definedName name="solver_lhs2" localSheetId="0" hidden="1">fischel_equal!$I$13:$I$14</definedName>
    <definedName name="solver_lhs2" localSheetId="6" hidden="1">fischel_leq!$I$13:$I$14</definedName>
    <definedName name="solver_lhs2" localSheetId="7" hidden="1">myte!$I$16:$I$17</definedName>
    <definedName name="solver_lhs2" localSheetId="3" hidden="1">myte_equal!$I$13:$I$14</definedName>
    <definedName name="solver_lhs3" localSheetId="8" hidden="1">fischel!$I$17:$I$18</definedName>
    <definedName name="solver_lhs3" localSheetId="0" hidden="1">fischel_equal!$I$15:$I$17</definedName>
    <definedName name="solver_lhs3" localSheetId="6" hidden="1">fischel_leq!$I$15:$I$17</definedName>
    <definedName name="solver_lhs3" localSheetId="7" hidden="1">myte!$I$13:$I$15</definedName>
    <definedName name="solver_lhs3" localSheetId="3" hidden="1">myte_equal!$I$15:$I$17</definedName>
    <definedName name="solver_lhs4" localSheetId="8" hidden="1">fischel!$I$19:$I$24</definedName>
    <definedName name="solver_lhs4" localSheetId="0" hidden="1">fischel_equal!$I$22:$I$27</definedName>
    <definedName name="solver_lhs4" localSheetId="6" hidden="1">fischel_leq!$I$22:$I$27</definedName>
    <definedName name="solver_lhs4" localSheetId="7" hidden="1">myte!$I$18:$I$23</definedName>
    <definedName name="solver_lhs4" localSheetId="3" hidden="1">myte_equal!$I$22:$I$27</definedName>
    <definedName name="solver_lhs5" localSheetId="0" hidden="1">fischel_equal!$I$22:$I$27</definedName>
    <definedName name="solver_lhs5" localSheetId="6" hidden="1">fischel_leq!$I$22:$I$27</definedName>
    <definedName name="solver_lin" localSheetId="8" hidden="1">1</definedName>
    <definedName name="solver_lin" localSheetId="0" hidden="1">1</definedName>
    <definedName name="solver_lin" localSheetId="6" hidden="1">1</definedName>
    <definedName name="solver_lin" localSheetId="7" hidden="1">1</definedName>
    <definedName name="solver_lin" localSheetId="3" hidden="1">1</definedName>
    <definedName name="solver_mip" localSheetId="8" hidden="1">2147483647</definedName>
    <definedName name="solver_mip" localSheetId="0" hidden="1">2147483647</definedName>
    <definedName name="solver_mip" localSheetId="6" hidden="1">2147483647</definedName>
    <definedName name="solver_mip" localSheetId="7" hidden="1">2147483647</definedName>
    <definedName name="solver_mip" localSheetId="3" hidden="1">2147483647</definedName>
    <definedName name="solver_mni" localSheetId="8" hidden="1">30</definedName>
    <definedName name="solver_mni" localSheetId="0" hidden="1">30</definedName>
    <definedName name="solver_mni" localSheetId="6" hidden="1">30</definedName>
    <definedName name="solver_mni" localSheetId="7" hidden="1">30</definedName>
    <definedName name="solver_mni" localSheetId="3" hidden="1">30</definedName>
    <definedName name="solver_mrt" localSheetId="8" hidden="1">0.075</definedName>
    <definedName name="solver_mrt" localSheetId="0" hidden="1">0.075</definedName>
    <definedName name="solver_mrt" localSheetId="6" hidden="1">0.075</definedName>
    <definedName name="solver_mrt" localSheetId="7" hidden="1">0.075</definedName>
    <definedName name="solver_mrt" localSheetId="3" hidden="1">0.075</definedName>
    <definedName name="solver_msl" localSheetId="8" hidden="1">2</definedName>
    <definedName name="solver_msl" localSheetId="0" hidden="1">2</definedName>
    <definedName name="solver_msl" localSheetId="6" hidden="1">2</definedName>
    <definedName name="solver_msl" localSheetId="7" hidden="1">2</definedName>
    <definedName name="solver_msl" localSheetId="3" hidden="1">2</definedName>
    <definedName name="solver_neg" localSheetId="8" hidden="1">1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3" hidden="1">1</definedName>
    <definedName name="solver_nod" localSheetId="8" hidden="1">2147483647</definedName>
    <definedName name="solver_nod" localSheetId="0" hidden="1">2147483647</definedName>
    <definedName name="solver_nod" localSheetId="6" hidden="1">2147483647</definedName>
    <definedName name="solver_nod" localSheetId="7" hidden="1">2147483647</definedName>
    <definedName name="solver_nod" localSheetId="3" hidden="1">2147483647</definedName>
    <definedName name="solver_num" localSheetId="8" hidden="1">4</definedName>
    <definedName name="solver_num" localSheetId="0" hidden="1">4</definedName>
    <definedName name="solver_num" localSheetId="6" hidden="1">4</definedName>
    <definedName name="solver_num" localSheetId="7" hidden="1">4</definedName>
    <definedName name="solver_num" localSheetId="3" hidden="1">4</definedName>
    <definedName name="solver_opt" localSheetId="8" hidden="1">fischel!$K$5</definedName>
    <definedName name="solver_opt" localSheetId="0" hidden="1">fischel_equal!$A$30</definedName>
    <definedName name="solver_opt" localSheetId="6" hidden="1">fischel_leq!$J$4</definedName>
    <definedName name="solver_opt" localSheetId="7" hidden="1">myte!$K$5</definedName>
    <definedName name="solver_opt" localSheetId="3" hidden="1">myte_equal!$A$30</definedName>
    <definedName name="solver_pre" localSheetId="8" hidden="1">0.000001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e" localSheetId="3" hidden="1">0.000001</definedName>
    <definedName name="solver_rbv" localSheetId="8" hidden="1">1</definedName>
    <definedName name="solver_rbv" localSheetId="0" hidden="1">1</definedName>
    <definedName name="solver_rbv" localSheetId="6" hidden="1">1</definedName>
    <definedName name="solver_rbv" localSheetId="7" hidden="1">1</definedName>
    <definedName name="solver_rbv" localSheetId="3" hidden="1">1</definedName>
    <definedName name="solver_rel1" localSheetId="8" hidden="1">1</definedName>
    <definedName name="solver_rel1" localSheetId="0" hidden="1">2</definedName>
    <definedName name="solver_rel1" localSheetId="6" hidden="1">1</definedName>
    <definedName name="solver_rel1" localSheetId="7" hidden="1">1</definedName>
    <definedName name="solver_rel1" localSheetId="3" hidden="1">2</definedName>
    <definedName name="solver_rel2" localSheetId="8" hidden="1">1</definedName>
    <definedName name="solver_rel2" localSheetId="0" hidden="1">3</definedName>
    <definedName name="solver_rel2" localSheetId="6" hidden="1">3</definedName>
    <definedName name="solver_rel2" localSheetId="7" hidden="1">3</definedName>
    <definedName name="solver_rel2" localSheetId="3" hidden="1">3</definedName>
    <definedName name="solver_rel3" localSheetId="8" hidden="1">3</definedName>
    <definedName name="solver_rel3" localSheetId="0" hidden="1">1</definedName>
    <definedName name="solver_rel3" localSheetId="6" hidden="1">1</definedName>
    <definedName name="solver_rel3" localSheetId="7" hidden="1">1</definedName>
    <definedName name="solver_rel3" localSheetId="3" hidden="1">1</definedName>
    <definedName name="solver_rel4" localSheetId="8" hidden="1">3</definedName>
    <definedName name="solver_rel4" localSheetId="0" hidden="1">3</definedName>
    <definedName name="solver_rel4" localSheetId="6" hidden="1">3</definedName>
    <definedName name="solver_rel4" localSheetId="7" hidden="1">3</definedName>
    <definedName name="solver_rel4" localSheetId="3" hidden="1">3</definedName>
    <definedName name="solver_rel5" localSheetId="0" hidden="1">3</definedName>
    <definedName name="solver_rel5" localSheetId="6" hidden="1">3</definedName>
    <definedName name="solver_rhs1" localSheetId="8" hidden="1">fischel!$K$12:$K$13</definedName>
    <definedName name="solver_rhs1" localSheetId="0" hidden="1">fischel_equal!$K$11:$K$12</definedName>
    <definedName name="solver_rhs1" localSheetId="6" hidden="1">fischel_leq!$K$11:$K$12</definedName>
    <definedName name="solver_rhs1" localSheetId="7" hidden="1">myte!$K$11:$K$12</definedName>
    <definedName name="solver_rhs1" localSheetId="3" hidden="1">myte_equal!$K$11:$K$12</definedName>
    <definedName name="solver_rhs2" localSheetId="8" hidden="1">fischel!$K$14:$K$16</definedName>
    <definedName name="solver_rhs2" localSheetId="0" hidden="1">fischel_equal!$K$13:$K$14</definedName>
    <definedName name="solver_rhs2" localSheetId="6" hidden="1">fischel_leq!$K$13:$K$14</definedName>
    <definedName name="solver_rhs2" localSheetId="7" hidden="1">myte!$K$16:$K$17</definedName>
    <definedName name="solver_rhs2" localSheetId="3" hidden="1">myte_equal!$K$13:$K$14</definedName>
    <definedName name="solver_rhs3" localSheetId="8" hidden="1">fischel!$K$17:$K$18</definedName>
    <definedName name="solver_rhs3" localSheetId="0" hidden="1">fischel_equal!$K$15:$K$17</definedName>
    <definedName name="solver_rhs3" localSheetId="6" hidden="1">fischel_leq!$K$15:$K$17</definedName>
    <definedName name="solver_rhs3" localSheetId="7" hidden="1">myte!$K$13:$K$15</definedName>
    <definedName name="solver_rhs3" localSheetId="3" hidden="1">myte_equal!$K$15:$K$17</definedName>
    <definedName name="solver_rhs4" localSheetId="8" hidden="1">fischel!$K$19:$K$24</definedName>
    <definedName name="solver_rhs4" localSheetId="0" hidden="1">fischel_equal!$K$22:$K$27</definedName>
    <definedName name="solver_rhs4" localSheetId="6" hidden="1">fischel_leq!$K$22:$K$27</definedName>
    <definedName name="solver_rhs4" localSheetId="7" hidden="1">myte!$K$18:$K$23</definedName>
    <definedName name="solver_rhs4" localSheetId="3" hidden="1">myte_equal!$K$22:$K$27</definedName>
    <definedName name="solver_rhs5" localSheetId="0" hidden="1">fischel_equal!$K$22:$K$27</definedName>
    <definedName name="solver_rhs5" localSheetId="6" hidden="1">fischel_leq!$K$22:$K$27</definedName>
    <definedName name="solver_rlx" localSheetId="8" hidden="1">2</definedName>
    <definedName name="solver_rlx" localSheetId="0" hidden="1">2</definedName>
    <definedName name="solver_rlx" localSheetId="6" hidden="1">2</definedName>
    <definedName name="solver_rlx" localSheetId="7" hidden="1">2</definedName>
    <definedName name="solver_rlx" localSheetId="3" hidden="1">2</definedName>
    <definedName name="solver_rsd" localSheetId="8" hidden="1">0</definedName>
    <definedName name="solver_rsd" localSheetId="0" hidden="1">0</definedName>
    <definedName name="solver_rsd" localSheetId="6" hidden="1">0</definedName>
    <definedName name="solver_rsd" localSheetId="7" hidden="1">0</definedName>
    <definedName name="solver_rsd" localSheetId="3" hidden="1">0</definedName>
    <definedName name="solver_scl" localSheetId="8" hidden="1">1</definedName>
    <definedName name="solver_scl" localSheetId="0" hidden="1">1</definedName>
    <definedName name="solver_scl" localSheetId="6" hidden="1">1</definedName>
    <definedName name="solver_scl" localSheetId="7" hidden="1">1</definedName>
    <definedName name="solver_scl" localSheetId="3" hidden="1">1</definedName>
    <definedName name="solver_sho" localSheetId="8" hidden="1">2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ho" localSheetId="3" hidden="1">2</definedName>
    <definedName name="solver_ssz" localSheetId="8" hidden="1">100</definedName>
    <definedName name="solver_ssz" localSheetId="0" hidden="1">100</definedName>
    <definedName name="solver_ssz" localSheetId="6" hidden="1">100</definedName>
    <definedName name="solver_ssz" localSheetId="7" hidden="1">100</definedName>
    <definedName name="solver_ssz" localSheetId="3" hidden="1">100</definedName>
    <definedName name="solver_tim" localSheetId="8" hidden="1">2147483647</definedName>
    <definedName name="solver_tim" localSheetId="0" hidden="1">2147483647</definedName>
    <definedName name="solver_tim" localSheetId="6" hidden="1">2147483647</definedName>
    <definedName name="solver_tim" localSheetId="7" hidden="1">2147483647</definedName>
    <definedName name="solver_tim" localSheetId="3" hidden="1">2147483647</definedName>
    <definedName name="solver_tol" localSheetId="8" hidden="1">0.01</definedName>
    <definedName name="solver_tol" localSheetId="0" hidden="1">0.01</definedName>
    <definedName name="solver_tol" localSheetId="6" hidden="1">0.01</definedName>
    <definedName name="solver_tol" localSheetId="7" hidden="1">0.01</definedName>
    <definedName name="solver_tol" localSheetId="3" hidden="1">0.01</definedName>
    <definedName name="solver_typ" localSheetId="8" hidden="1">1</definedName>
    <definedName name="solver_typ" localSheetId="0" hidden="1">1</definedName>
    <definedName name="solver_typ" localSheetId="6" hidden="1">1</definedName>
    <definedName name="solver_typ" localSheetId="7" hidden="1">1</definedName>
    <definedName name="solver_typ" localSheetId="3" hidden="1">1</definedName>
    <definedName name="solver_val" localSheetId="8" hidden="1">0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3" hidden="1">0</definedName>
    <definedName name="solver_ver" localSheetId="8" hidden="1">2</definedName>
    <definedName name="solver_ver" localSheetId="0" hidden="1">2</definedName>
    <definedName name="solver_ver" localSheetId="6" hidden="1">2</definedName>
    <definedName name="solver_ver" localSheetId="7" hidden="1">2</definedName>
    <definedName name="solver_ver" localSheetId="3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4" l="1"/>
  <c r="K11" i="14"/>
  <c r="A31" i="10"/>
  <c r="K11" i="10"/>
  <c r="I20" i="1"/>
  <c r="I19" i="1"/>
  <c r="I18" i="1"/>
  <c r="D5" i="18"/>
  <c r="E5" i="18"/>
  <c r="F5" i="18"/>
  <c r="G5" i="18"/>
  <c r="H5" i="18"/>
  <c r="C5" i="18"/>
  <c r="I24" i="18"/>
  <c r="I23" i="18"/>
  <c r="I22" i="18"/>
  <c r="I21" i="18"/>
  <c r="I20" i="18"/>
  <c r="I19" i="18"/>
  <c r="F18" i="18"/>
  <c r="I18" i="18" s="1"/>
  <c r="E18" i="18"/>
  <c r="D17" i="18"/>
  <c r="C17" i="18"/>
  <c r="I17" i="18" s="1"/>
  <c r="K16" i="18"/>
  <c r="I16" i="18"/>
  <c r="K15" i="18"/>
  <c r="I15" i="18"/>
  <c r="K14" i="18"/>
  <c r="I14" i="18"/>
  <c r="K13" i="18"/>
  <c r="I13" i="18"/>
  <c r="K12" i="18"/>
  <c r="I12" i="18"/>
  <c r="I18" i="14"/>
  <c r="I20" i="14"/>
  <c r="I19" i="14"/>
  <c r="H20" i="1"/>
  <c r="G20" i="1"/>
  <c r="F19" i="1"/>
  <c r="E19" i="1"/>
  <c r="I20" i="10"/>
  <c r="I19" i="10"/>
  <c r="I18" i="10"/>
  <c r="I17" i="1"/>
  <c r="L18" i="14"/>
  <c r="K35" i="14"/>
  <c r="H5" i="10"/>
  <c r="G5" i="10"/>
  <c r="F5" i="10"/>
  <c r="E5" i="10"/>
  <c r="D5" i="10"/>
  <c r="C5" i="10"/>
  <c r="I27" i="1"/>
  <c r="I26" i="1"/>
  <c r="I25" i="1"/>
  <c r="I24" i="1"/>
  <c r="I23" i="1"/>
  <c r="I22" i="1"/>
  <c r="I16" i="1"/>
  <c r="I15" i="1"/>
  <c r="I14" i="1"/>
  <c r="I13" i="1"/>
  <c r="I12" i="1"/>
  <c r="I11" i="1"/>
  <c r="H5" i="1"/>
  <c r="G5" i="1"/>
  <c r="F5" i="1"/>
  <c r="E5" i="1"/>
  <c r="D5" i="1"/>
  <c r="C5" i="1"/>
  <c r="H5" i="14"/>
  <c r="G5" i="14"/>
  <c r="F5" i="14"/>
  <c r="E5" i="14"/>
  <c r="D5" i="14"/>
  <c r="C5" i="14"/>
  <c r="H8" i="1"/>
  <c r="F8" i="1"/>
  <c r="D8" i="1"/>
  <c r="H5" i="15"/>
  <c r="G5" i="15"/>
  <c r="F5" i="15"/>
  <c r="E5" i="15"/>
  <c r="D5" i="15"/>
  <c r="C5" i="15"/>
  <c r="K5" i="18" l="1"/>
  <c r="K7" i="18" s="1"/>
  <c r="K5" i="15"/>
  <c r="K7" i="15" s="1"/>
  <c r="I23" i="15"/>
  <c r="I22" i="15"/>
  <c r="I21" i="15"/>
  <c r="I20" i="15"/>
  <c r="I19" i="15"/>
  <c r="I18" i="15"/>
  <c r="K15" i="15"/>
  <c r="I15" i="15"/>
  <c r="K14" i="15"/>
  <c r="I14" i="15"/>
  <c r="K13" i="15"/>
  <c r="I13" i="15"/>
  <c r="F17" i="15"/>
  <c r="E17" i="15"/>
  <c r="I17" i="15" s="1"/>
  <c r="D16" i="15"/>
  <c r="C16" i="15"/>
  <c r="K12" i="15"/>
  <c r="I12" i="15"/>
  <c r="K11" i="15"/>
  <c r="I11" i="15"/>
  <c r="I27" i="14"/>
  <c r="I26" i="14"/>
  <c r="I25" i="14"/>
  <c r="I24" i="14"/>
  <c r="I23" i="14"/>
  <c r="I22" i="14"/>
  <c r="H20" i="14"/>
  <c r="G20" i="14"/>
  <c r="F19" i="14"/>
  <c r="E19" i="14"/>
  <c r="D18" i="14"/>
  <c r="C18" i="14"/>
  <c r="K17" i="14"/>
  <c r="I17" i="14"/>
  <c r="K16" i="14"/>
  <c r="I16" i="14"/>
  <c r="K15" i="14"/>
  <c r="I15" i="14"/>
  <c r="F14" i="14"/>
  <c r="E14" i="14"/>
  <c r="D13" i="14"/>
  <c r="C13" i="14"/>
  <c r="K12" i="14"/>
  <c r="I12" i="14"/>
  <c r="I11" i="14"/>
  <c r="H8" i="14"/>
  <c r="F8" i="14"/>
  <c r="D8" i="14"/>
  <c r="I27" i="10"/>
  <c r="I26" i="10"/>
  <c r="I25" i="10"/>
  <c r="I24" i="10"/>
  <c r="I23" i="10"/>
  <c r="I22" i="10"/>
  <c r="H20" i="10"/>
  <c r="G20" i="10"/>
  <c r="F19" i="10"/>
  <c r="E19" i="10"/>
  <c r="D18" i="10"/>
  <c r="C18" i="10"/>
  <c r="K17" i="10"/>
  <c r="I17" i="10"/>
  <c r="K16" i="10"/>
  <c r="I16" i="10"/>
  <c r="K15" i="10"/>
  <c r="I15" i="10"/>
  <c r="F14" i="10"/>
  <c r="E14" i="10"/>
  <c r="I14" i="10" s="1"/>
  <c r="D13" i="10"/>
  <c r="C13" i="10"/>
  <c r="K12" i="10"/>
  <c r="I12" i="10"/>
  <c r="I11" i="10"/>
  <c r="A30" i="10"/>
  <c r="A32" i="10" s="1"/>
  <c r="K17" i="1"/>
  <c r="K16" i="1"/>
  <c r="K15" i="1"/>
  <c r="F14" i="1"/>
  <c r="E14" i="1"/>
  <c r="D13" i="1"/>
  <c r="C13" i="1"/>
  <c r="K12" i="1"/>
  <c r="K11" i="1"/>
  <c r="A30" i="1"/>
  <c r="A32" i="1" s="1"/>
  <c r="I16" i="15" l="1"/>
  <c r="I14" i="14"/>
  <c r="I13" i="14"/>
  <c r="I13" i="10"/>
  <c r="J4" i="14"/>
  <c r="J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50634C7E-0528-4046-AB85-782D1CE6B7CD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16EA9812-E65C-E84A-BF02-4E6B3F022189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DEEA8E90-0E2B-F24E-8AFE-341D2A0BA319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7CB717B4-E4DE-1740-91B4-BDA0A1B1DDE5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Manuel Cardoso Dias Gonçalves</author>
  </authors>
  <commentList>
    <comment ref="B5" authorId="0" shapeId="0" xr:uid="{4C2B9B12-699E-894A-B396-C4A0F25E8175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  <comment ref="B27" authorId="0" shapeId="0" xr:uid="{F60265BC-2AF0-184E-963F-A9C8883A3C11}">
      <text>
        <r>
          <rPr>
            <b/>
            <sz val="10"/>
            <color rgb="FF000000"/>
            <rFont val="Tahoma"/>
            <family val="2"/>
          </rPr>
          <t>Francisco Manuel Cardoso Dias Gonçalves: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excludes fruit cost = total estimated to be 180k, i.e. 3M * 6 cents</t>
        </r>
      </text>
    </comment>
  </commentList>
</comments>
</file>

<file path=xl/sharedStrings.xml><?xml version="1.0" encoding="utf-8"?>
<sst xmlns="http://schemas.openxmlformats.org/spreadsheetml/2006/main" count="440" uniqueCount="93">
  <si>
    <t>wA</t>
  </si>
  <si>
    <t>wB</t>
  </si>
  <si>
    <t>pA</t>
  </si>
  <si>
    <t>jA</t>
  </si>
  <si>
    <t>jB</t>
  </si>
  <si>
    <t>pB</t>
  </si>
  <si>
    <t>Net Profit</t>
  </si>
  <si>
    <t>Fruit Cost</t>
  </si>
  <si>
    <t>Contribution</t>
  </si>
  <si>
    <t>constraints</t>
  </si>
  <si>
    <t>=</t>
  </si>
  <si>
    <t>&gt;=</t>
  </si>
  <si>
    <t>&lt;=</t>
  </si>
  <si>
    <t>integrality</t>
  </si>
  <si>
    <t>max</t>
  </si>
  <si>
    <t>integers</t>
  </si>
  <si>
    <t>profit + fruit cost</t>
  </si>
  <si>
    <t>fruit cost</t>
  </si>
  <si>
    <t>net profit</t>
  </si>
  <si>
    <t>DECIMAL CASES</t>
  </si>
  <si>
    <t>pounds</t>
  </si>
  <si>
    <t>lbs per case</t>
  </si>
  <si>
    <t>U1</t>
  </si>
  <si>
    <t>U2</t>
  </si>
  <si>
    <t>Q1</t>
  </si>
  <si>
    <t>Q2</t>
  </si>
  <si>
    <t>D1</t>
  </si>
  <si>
    <t>D2</t>
  </si>
  <si>
    <t>D3</t>
  </si>
  <si>
    <t>Microsoft Excel 16.11 Sensitivity Report</t>
  </si>
  <si>
    <t>Worksheet: [gw1_modeling.xlsx]fischel_leq</t>
  </si>
  <si>
    <t>Report Created: 30/03/2018 20:32:33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</si>
  <si>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</si>
  <si>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</si>
  <si>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</si>
  <si>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</si>
  <si>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</si>
  <si>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</si>
  <si>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</si>
  <si>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</si>
  <si>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</si>
  <si>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</si>
  <si>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</si>
  <si>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</si>
  <si>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</si>
  <si>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</si>
  <si>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</si>
  <si>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</si>
  <si>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</si>
  <si>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$C$4</t>
  </si>
  <si>
    <t>pounds wA</t>
  </si>
  <si>
    <t>$D$4</t>
  </si>
  <si>
    <t>pounds wB</t>
  </si>
  <si>
    <t>$E$4</t>
  </si>
  <si>
    <t>pounds jA</t>
  </si>
  <si>
    <t>$F$4</t>
  </si>
  <si>
    <t>pounds jB</t>
  </si>
  <si>
    <t>$G$4</t>
  </si>
  <si>
    <t>pounds pA</t>
  </si>
  <si>
    <t>$H$4</t>
  </si>
  <si>
    <t>pounds pB</t>
  </si>
  <si>
    <t>$I$11</t>
  </si>
  <si>
    <t>$I$12</t>
  </si>
  <si>
    <t>$I$13</t>
  </si>
  <si>
    <t>$I$14</t>
  </si>
  <si>
    <t>$I$15</t>
  </si>
  <si>
    <t>$I$16</t>
  </si>
  <si>
    <t>$I$17</t>
  </si>
  <si>
    <t>$I$22</t>
  </si>
  <si>
    <t>$I$23</t>
  </si>
  <si>
    <t>$I$24</t>
  </si>
  <si>
    <t>$I$25</t>
  </si>
  <si>
    <t>$I$26</t>
  </si>
  <si>
    <t>$I$27</t>
  </si>
  <si>
    <t>Worksheet: [gw1_modeling.xlsx]myte_leq</t>
  </si>
  <si>
    <t>Report Created: 30/03/2018 20:33:43</t>
  </si>
  <si>
    <t>x1a</t>
  </si>
  <si>
    <t>x2a</t>
  </si>
  <si>
    <t>x1b</t>
  </si>
  <si>
    <t>x2b</t>
  </si>
  <si>
    <t>x3a</t>
  </si>
  <si>
    <t>x3b</t>
  </si>
  <si>
    <t>units in lbs.</t>
  </si>
  <si>
    <t>Non-Negativity</t>
  </si>
  <si>
    <t>MAX</t>
  </si>
  <si>
    <t>Gross Revenue</t>
  </si>
  <si>
    <t>CC</t>
  </si>
  <si>
    <t>Profit</t>
  </si>
  <si>
    <t>Fischel</t>
  </si>
  <si>
    <t>Myte</t>
  </si>
  <si>
    <t>Worksheet: [gw1_modeling.xlsx]myte_equal</t>
  </si>
  <si>
    <t>Report Created: 30/03/2018 22:02:45</t>
  </si>
  <si>
    <t>Report Created: 30/03/2018 22:05:08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</si>
</sst>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2" fontId="0" fillId="3" borderId="0" xfId="0" applyNumberForma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6" fillId="0" borderId="0" xfId="0" applyFont="1"/>
    <xf numFmtId="2" fontId="6" fillId="3" borderId="0" xfId="0" applyNumberFormat="1" applyFont="1" applyFill="1"/>
    <xf numFmtId="0" fontId="6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43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/>
    <xf numFmtId="43" fontId="4" fillId="0" borderId="0" xfId="1" applyFont="1"/>
    <xf numFmtId="165" fontId="4" fillId="0" borderId="0" xfId="1" applyNumberFormat="1" applyFont="1"/>
    <xf numFmtId="0" fontId="7" fillId="0" borderId="0" xfId="0" applyFont="1"/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4" fontId="0" fillId="0" borderId="0" xfId="1" applyNumberFormat="1" applyFont="1" applyAlignment="1">
      <alignment horizontal="left" vertical="center"/>
    </xf>
    <xf numFmtId="1" fontId="0" fillId="2" borderId="0" xfId="0" applyNumberFormat="1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NumberFormat="1" applyFont="1" applyAlignment="1">
      <alignment horizontal="center"/>
    </xf>
    <xf numFmtId="43" fontId="0" fillId="5" borderId="0" xfId="1" applyNumberFormat="1" applyFont="1" applyFill="1" applyBorder="1" applyAlignment="1">
      <alignment horizontal="center"/>
    </xf>
    <xf numFmtId="43" fontId="0" fillId="5" borderId="10" xfId="1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3" fontId="4" fillId="6" borderId="0" xfId="1" applyNumberFormat="1" applyFont="1" applyFill="1" applyBorder="1" applyAlignment="1">
      <alignment horizontal="center"/>
    </xf>
    <xf numFmtId="43" fontId="4" fillId="6" borderId="10" xfId="1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3" fontId="4" fillId="6" borderId="12" xfId="1" applyNumberFormat="1" applyFont="1" applyFill="1" applyBorder="1" applyAlignment="1">
      <alignment horizontal="center"/>
    </xf>
    <xf numFmtId="43" fontId="4" fillId="6" borderId="13" xfId="1" applyNumberFormat="1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8" borderId="6" xfId="1" applyNumberFormat="1" applyFont="1" applyFill="1" applyBorder="1" applyAlignment="1">
      <alignment horizontal="center" vertical="center"/>
    </xf>
    <xf numFmtId="43" fontId="0" fillId="8" borderId="7" xfId="1" applyNumberFormat="1" applyFont="1" applyFill="1" applyBorder="1" applyAlignment="1">
      <alignment horizontal="center" vertical="center"/>
    </xf>
    <xf numFmtId="43" fontId="0" fillId="8" borderId="8" xfId="1" applyNumberFormat="1" applyFont="1" applyFill="1" applyBorder="1" applyAlignment="1">
      <alignment horizontal="center" vertical="center"/>
    </xf>
    <xf numFmtId="43" fontId="0" fillId="8" borderId="9" xfId="1" applyNumberFormat="1" applyFont="1" applyFill="1" applyBorder="1" applyAlignment="1">
      <alignment horizontal="center" vertical="center"/>
    </xf>
    <xf numFmtId="43" fontId="0" fillId="8" borderId="0" xfId="1" applyNumberFormat="1" applyFont="1" applyFill="1" applyBorder="1" applyAlignment="1">
      <alignment horizontal="center" vertical="center"/>
    </xf>
    <xf numFmtId="43" fontId="0" fillId="8" borderId="10" xfId="1" applyNumberFormat="1" applyFont="1" applyFill="1" applyBorder="1" applyAlignment="1">
      <alignment horizontal="center" vertical="center"/>
    </xf>
    <xf numFmtId="43" fontId="0" fillId="5" borderId="9" xfId="1" applyNumberFormat="1" applyFont="1" applyFill="1" applyBorder="1" applyAlignment="1">
      <alignment horizontal="center" vertical="center"/>
    </xf>
    <xf numFmtId="43" fontId="0" fillId="5" borderId="0" xfId="1" applyNumberFormat="1" applyFont="1" applyFill="1" applyBorder="1" applyAlignment="1">
      <alignment horizontal="center" vertical="center"/>
    </xf>
    <xf numFmtId="43" fontId="0" fillId="5" borderId="10" xfId="1" applyNumberFormat="1" applyFont="1" applyFill="1" applyBorder="1" applyAlignment="1">
      <alignment horizontal="center" vertical="center"/>
    </xf>
    <xf numFmtId="43" fontId="0" fillId="5" borderId="11" xfId="1" applyNumberFormat="1" applyFont="1" applyFill="1" applyBorder="1" applyAlignment="1">
      <alignment horizontal="center" vertical="center"/>
    </xf>
    <xf numFmtId="43" fontId="0" fillId="5" borderId="12" xfId="1" applyNumberFormat="1" applyFont="1" applyFill="1" applyBorder="1" applyAlignment="1">
      <alignment horizontal="center" vertical="center"/>
    </xf>
    <xf numFmtId="43" fontId="0" fillId="5" borderId="13" xfId="1" applyNumberFormat="1" applyFont="1" applyFill="1" applyBorder="1" applyAlignment="1">
      <alignment horizontal="center" vertical="center"/>
    </xf>
    <xf numFmtId="43" fontId="0" fillId="0" borderId="10" xfId="1" applyNumberFormat="1" applyFont="1" applyFill="1" applyBorder="1" applyAlignment="1">
      <alignment horizontal="center"/>
    </xf>
    <xf numFmtId="43" fontId="0" fillId="0" borderId="9" xfId="1" applyNumberFormat="1" applyFont="1" applyFill="1" applyBorder="1" applyAlignment="1">
      <alignment horizontal="left"/>
    </xf>
    <xf numFmtId="43" fontId="0" fillId="5" borderId="16" xfId="1" applyNumberFormat="1" applyFont="1" applyFill="1" applyBorder="1" applyAlignment="1">
      <alignment horizontal="left"/>
    </xf>
    <xf numFmtId="43" fontId="0" fillId="5" borderId="17" xfId="1" applyNumberFormat="1" applyFont="1" applyFill="1" applyBorder="1" applyAlignment="1">
      <alignment horizontal="center"/>
    </xf>
    <xf numFmtId="43" fontId="0" fillId="0" borderId="5" xfId="1" applyNumberFormat="1" applyFont="1" applyBorder="1" applyAlignment="1">
      <alignment horizontal="center"/>
    </xf>
    <xf numFmtId="43" fontId="0" fillId="2" borderId="17" xfId="1" applyNumberFormat="1" applyFont="1" applyFill="1" applyBorder="1" applyAlignment="1">
      <alignment horizontal="center"/>
    </xf>
    <xf numFmtId="43" fontId="0" fillId="0" borderId="18" xfId="1" applyNumberFormat="1" applyFont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0" borderId="20" xfId="1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7" borderId="22" xfId="1" applyNumberFormat="1" applyFont="1" applyFill="1" applyBorder="1" applyAlignment="1">
      <alignment horizontal="center"/>
    </xf>
    <xf numFmtId="165" fontId="0" fillId="7" borderId="23" xfId="1" applyNumberFormat="1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 vertical="center" textRotation="90"/>
    </xf>
    <xf numFmtId="0" fontId="9" fillId="6" borderId="11" xfId="0" applyFont="1" applyFill="1" applyBorder="1" applyAlignment="1">
      <alignment horizontal="center" vertical="center" textRotation="90"/>
    </xf>
    <xf numFmtId="43" fontId="1" fillId="6" borderId="14" xfId="1" applyNumberFormat="1" applyFont="1" applyFill="1" applyBorder="1" applyAlignment="1">
      <alignment horizontal="center"/>
    </xf>
    <xf numFmtId="43" fontId="1" fillId="6" borderId="15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5109-F998-7B4F-BD3C-B5A595C7F79B}">
  <sheetPr>
    <tabColor theme="0" tint="-0.14999847407452621"/>
  </sheetPr>
  <dimension ref="A3:K35"/>
  <sheetViews>
    <sheetView workbookViewId="0">
      <selection activeCell="I20" sqref="I20"/>
    </sheetView>
  </sheetViews>
  <sheetFormatPr baseColWidth="10" defaultRowHeight="16"/>
  <cols>
    <col min="1" max="1" width="15.83203125" customWidth="1"/>
    <col min="3" max="4" width="14.6640625" bestFit="1" customWidth="1"/>
    <col min="5" max="5" width="13.6640625" bestFit="1" customWidth="1"/>
    <col min="6" max="6" width="14.6640625" bestFit="1" customWidth="1"/>
    <col min="7" max="7" width="15.83203125" customWidth="1"/>
    <col min="8" max="8" width="15.6640625" bestFit="1" customWidth="1"/>
    <col min="9" max="9" width="15.1640625" style="23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20</v>
      </c>
      <c r="C4" s="27">
        <v>525000</v>
      </c>
      <c r="D4" s="27">
        <v>175000</v>
      </c>
      <c r="E4" s="27">
        <v>74999.999999999971</v>
      </c>
      <c r="F4" s="27">
        <v>224999.99999999988</v>
      </c>
      <c r="G4" s="27">
        <v>0</v>
      </c>
      <c r="H4" s="27">
        <v>2000000</v>
      </c>
    </row>
    <row r="5" spans="1:11">
      <c r="B5" t="s">
        <v>8</v>
      </c>
      <c r="C5">
        <f>(C7+C8)/C6</f>
        <v>6.666666666666668E-2</v>
      </c>
      <c r="D5">
        <f t="shared" ref="D5:H5" si="0">(D7+D8)/D6</f>
        <v>6.666666666666668E-2</v>
      </c>
      <c r="E5">
        <f t="shared" si="0"/>
        <v>5.5499999999999994E-2</v>
      </c>
      <c r="F5">
        <f t="shared" si="0"/>
        <v>5.5499999999999994E-2</v>
      </c>
      <c r="G5">
        <f t="shared" si="0"/>
        <v>6.480000000000001E-2</v>
      </c>
      <c r="H5">
        <f t="shared" si="0"/>
        <v>6.480000000000001E-2</v>
      </c>
    </row>
    <row r="6" spans="1:11">
      <c r="B6" s="1" t="s">
        <v>21</v>
      </c>
      <c r="C6" s="1">
        <v>18</v>
      </c>
      <c r="D6" s="1">
        <v>18</v>
      </c>
      <c r="E6" s="1">
        <v>20</v>
      </c>
      <c r="F6" s="1">
        <v>20</v>
      </c>
      <c r="G6" s="1">
        <v>25</v>
      </c>
      <c r="H6" s="1">
        <v>25</v>
      </c>
    </row>
    <row r="7" spans="1:11">
      <c r="B7" s="1" t="s">
        <v>6</v>
      </c>
      <c r="C7" s="1">
        <v>0.12</v>
      </c>
      <c r="D7" s="1">
        <v>0.12</v>
      </c>
      <c r="E7" s="1">
        <v>-0.09</v>
      </c>
      <c r="F7" s="1">
        <v>-0.09</v>
      </c>
      <c r="G7" s="1">
        <v>0.12</v>
      </c>
      <c r="H7" s="1">
        <v>0.12</v>
      </c>
    </row>
    <row r="8" spans="1:11">
      <c r="B8" s="1" t="s">
        <v>7</v>
      </c>
      <c r="C8" s="1">
        <v>1.08</v>
      </c>
      <c r="D8" s="1">
        <f>C8</f>
        <v>1.08</v>
      </c>
      <c r="E8" s="1">
        <v>1.2</v>
      </c>
      <c r="F8" s="1">
        <f>E8</f>
        <v>1.2</v>
      </c>
      <c r="G8" s="1">
        <v>1.5</v>
      </c>
      <c r="H8" s="1">
        <f>G8</f>
        <v>1.5</v>
      </c>
    </row>
    <row r="9" spans="1:11">
      <c r="B9" s="1"/>
      <c r="C9" s="1"/>
      <c r="D9" s="1"/>
      <c r="E9" s="1"/>
      <c r="F9" s="1"/>
      <c r="G9" s="1"/>
      <c r="H9" s="1"/>
    </row>
    <row r="10" spans="1:11">
      <c r="C10" t="s">
        <v>0</v>
      </c>
      <c r="D10" t="s">
        <v>1</v>
      </c>
      <c r="E10" t="s">
        <v>3</v>
      </c>
      <c r="F10" t="s">
        <v>4</v>
      </c>
      <c r="G10" t="s">
        <v>2</v>
      </c>
      <c r="H10" t="s">
        <v>5</v>
      </c>
    </row>
    <row r="11" spans="1:11">
      <c r="A11" t="s">
        <v>9</v>
      </c>
      <c r="C11" s="3">
        <v>1</v>
      </c>
      <c r="D11" s="3"/>
      <c r="E11" s="3">
        <v>1</v>
      </c>
      <c r="F11" s="3"/>
      <c r="G11" s="3">
        <v>1</v>
      </c>
      <c r="H11" s="3"/>
      <c r="I11" s="14">
        <f t="shared" ref="I11:I20" si="1">SUMPRODUCT($C$4:$H$4,C11:H11)</f>
        <v>600000</v>
      </c>
      <c r="J11" s="5" t="s">
        <v>10</v>
      </c>
      <c r="K11" s="5">
        <f>3*10^6*(0.2)</f>
        <v>600000</v>
      </c>
    </row>
    <row r="12" spans="1:11">
      <c r="C12" s="3"/>
      <c r="D12" s="3">
        <v>1</v>
      </c>
      <c r="E12" s="3"/>
      <c r="F12" s="3">
        <v>1</v>
      </c>
      <c r="G12" s="3"/>
      <c r="H12" s="3">
        <v>1</v>
      </c>
      <c r="I12" s="14">
        <f t="shared" si="1"/>
        <v>2400000</v>
      </c>
      <c r="J12" s="5" t="s">
        <v>10</v>
      </c>
      <c r="K12" s="5">
        <f>3*10^6*(0.8)</f>
        <v>2400000</v>
      </c>
    </row>
    <row r="13" spans="1:11">
      <c r="C13" s="3">
        <f>9-8</f>
        <v>1</v>
      </c>
      <c r="D13" s="3">
        <f>5-8</f>
        <v>-3</v>
      </c>
      <c r="E13" s="3"/>
      <c r="F13" s="3"/>
      <c r="G13" s="3"/>
      <c r="H13" s="3"/>
      <c r="I13" s="14">
        <f t="shared" si="1"/>
        <v>0</v>
      </c>
      <c r="J13" s="5" t="s">
        <v>11</v>
      </c>
      <c r="K13" s="5">
        <v>0</v>
      </c>
    </row>
    <row r="14" spans="1:11">
      <c r="C14" s="3"/>
      <c r="D14" s="3"/>
      <c r="E14" s="3">
        <f>9-6</f>
        <v>3</v>
      </c>
      <c r="F14" s="3">
        <f>5-6</f>
        <v>-1</v>
      </c>
      <c r="G14" s="3"/>
      <c r="H14" s="3"/>
      <c r="I14" s="14">
        <f t="shared" si="1"/>
        <v>2.9103830456733704E-11</v>
      </c>
      <c r="J14" s="5" t="s">
        <v>11</v>
      </c>
      <c r="K14" s="5">
        <v>0</v>
      </c>
    </row>
    <row r="15" spans="1:11">
      <c r="C15" s="3">
        <v>1</v>
      </c>
      <c r="D15" s="3">
        <v>1</v>
      </c>
      <c r="E15" s="3"/>
      <c r="F15" s="3"/>
      <c r="G15" s="3"/>
      <c r="H15" s="3"/>
      <c r="I15" s="14">
        <f t="shared" si="1"/>
        <v>700000</v>
      </c>
      <c r="J15" s="5" t="s">
        <v>12</v>
      </c>
      <c r="K15" s="5">
        <f>0.8*10^6*18</f>
        <v>14400000</v>
      </c>
    </row>
    <row r="16" spans="1:11">
      <c r="C16" s="3"/>
      <c r="D16" s="3"/>
      <c r="E16" s="3">
        <v>1</v>
      </c>
      <c r="F16" s="3">
        <v>1</v>
      </c>
      <c r="G16" s="3"/>
      <c r="H16" s="3"/>
      <c r="I16" s="14">
        <f t="shared" si="1"/>
        <v>299999.99999999988</v>
      </c>
      <c r="J16" s="5" t="s">
        <v>12</v>
      </c>
      <c r="K16" s="5">
        <f>0.05*10^6*20</f>
        <v>1000000</v>
      </c>
    </row>
    <row r="17" spans="1:11">
      <c r="C17" s="3"/>
      <c r="D17" s="3"/>
      <c r="E17" s="3"/>
      <c r="F17" s="3"/>
      <c r="G17" s="3">
        <v>1</v>
      </c>
      <c r="H17" s="3">
        <v>1</v>
      </c>
      <c r="I17" s="14">
        <f t="shared" si="1"/>
        <v>2000000</v>
      </c>
      <c r="J17" s="5" t="s">
        <v>12</v>
      </c>
      <c r="K17" s="5">
        <f>0.08*10^6*25</f>
        <v>2000000</v>
      </c>
    </row>
    <row r="18" spans="1:11">
      <c r="A18" t="s">
        <v>15</v>
      </c>
      <c r="C18" s="12">
        <v>5.5555555555555552E-2</v>
      </c>
      <c r="D18" s="12">
        <v>5.5555555555555552E-2</v>
      </c>
      <c r="E18" s="12"/>
      <c r="F18" s="12"/>
      <c r="G18" s="12"/>
      <c r="H18" s="12"/>
      <c r="I18" s="24">
        <f t="shared" si="1"/>
        <v>38888.888888888883</v>
      </c>
      <c r="J18" s="13" t="s">
        <v>10</v>
      </c>
      <c r="K18" s="13">
        <v>0</v>
      </c>
    </row>
    <row r="19" spans="1:11">
      <c r="C19" s="12"/>
      <c r="D19" s="12"/>
      <c r="E19" s="12">
        <f>1/20</f>
        <v>0.05</v>
      </c>
      <c r="F19" s="12">
        <f>1/20</f>
        <v>0.05</v>
      </c>
      <c r="G19" s="12"/>
      <c r="H19" s="12"/>
      <c r="I19" s="24">
        <f t="shared" si="1"/>
        <v>14999.999999999993</v>
      </c>
      <c r="J19" s="13" t="s">
        <v>10</v>
      </c>
      <c r="K19" s="13">
        <v>0</v>
      </c>
    </row>
    <row r="20" spans="1:11">
      <c r="C20" s="12"/>
      <c r="D20" s="12"/>
      <c r="E20" s="12"/>
      <c r="F20" s="12"/>
      <c r="G20" s="12">
        <f>1/25</f>
        <v>0.04</v>
      </c>
      <c r="H20" s="12">
        <f>1/25</f>
        <v>0.04</v>
      </c>
      <c r="I20" s="24">
        <f t="shared" si="1"/>
        <v>80000</v>
      </c>
      <c r="J20" s="13" t="s">
        <v>10</v>
      </c>
      <c r="K20" s="13">
        <v>0</v>
      </c>
    </row>
    <row r="21" spans="1:11">
      <c r="I21" s="14"/>
      <c r="J21" s="5"/>
      <c r="K21" s="5"/>
    </row>
    <row r="22" spans="1:11">
      <c r="A22" t="s">
        <v>13</v>
      </c>
      <c r="C22" s="4">
        <v>1</v>
      </c>
      <c r="D22" s="4"/>
      <c r="E22" s="4"/>
      <c r="F22" s="4"/>
      <c r="G22" s="4"/>
      <c r="H22" s="4"/>
      <c r="I22" s="14">
        <f t="shared" ref="I22:I27" si="2">SUMPRODUCT($C$4:$H$4,C22:H22)</f>
        <v>525000</v>
      </c>
      <c r="J22" s="5" t="s">
        <v>11</v>
      </c>
      <c r="K22" s="5">
        <v>0</v>
      </c>
    </row>
    <row r="23" spans="1:11">
      <c r="C23" s="4"/>
      <c r="D23" s="4">
        <v>1</v>
      </c>
      <c r="E23" s="4"/>
      <c r="F23" s="4"/>
      <c r="G23" s="4"/>
      <c r="H23" s="4"/>
      <c r="I23" s="14">
        <f t="shared" si="2"/>
        <v>175000</v>
      </c>
      <c r="J23" s="5" t="s">
        <v>11</v>
      </c>
      <c r="K23" s="5">
        <v>0</v>
      </c>
    </row>
    <row r="24" spans="1:11">
      <c r="C24" s="4"/>
      <c r="D24" s="4"/>
      <c r="E24" s="4">
        <v>1</v>
      </c>
      <c r="F24" s="4"/>
      <c r="G24" s="4"/>
      <c r="H24" s="4"/>
      <c r="I24" s="14">
        <f t="shared" si="2"/>
        <v>74999.999999999971</v>
      </c>
      <c r="J24" s="5" t="s">
        <v>11</v>
      </c>
      <c r="K24" s="5">
        <v>0</v>
      </c>
    </row>
    <row r="25" spans="1:11">
      <c r="C25" s="4"/>
      <c r="D25" s="4"/>
      <c r="E25" s="4"/>
      <c r="F25" s="4">
        <v>1</v>
      </c>
      <c r="G25" s="4"/>
      <c r="H25" s="4"/>
      <c r="I25" s="14">
        <f t="shared" si="2"/>
        <v>224999.99999999988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>
        <v>1</v>
      </c>
      <c r="H26" s="4"/>
      <c r="I26" s="14">
        <f t="shared" si="2"/>
        <v>0</v>
      </c>
      <c r="J26" s="5" t="s">
        <v>11</v>
      </c>
      <c r="K26" s="5">
        <v>0</v>
      </c>
    </row>
    <row r="27" spans="1:11">
      <c r="C27" s="4"/>
      <c r="D27" s="4"/>
      <c r="E27" s="4"/>
      <c r="F27" s="4"/>
      <c r="G27" s="4"/>
      <c r="H27" s="4">
        <v>1</v>
      </c>
      <c r="I27" s="14">
        <f t="shared" si="2"/>
        <v>2000000</v>
      </c>
      <c r="J27" s="5" t="s">
        <v>11</v>
      </c>
      <c r="K27" s="5">
        <v>0</v>
      </c>
    </row>
    <row r="29" spans="1:11">
      <c r="A29" s="8" t="s">
        <v>14</v>
      </c>
    </row>
    <row r="30" spans="1:11">
      <c r="A30" s="18">
        <f>SUMPRODUCT(C4:H4,C5:H5)</f>
        <v>192916.66666666669</v>
      </c>
    </row>
    <row r="31" spans="1:11">
      <c r="A31" s="19">
        <v>-180000</v>
      </c>
    </row>
    <row r="32" spans="1:11">
      <c r="A32" s="19">
        <f>SUM(A30:A31)</f>
        <v>12916.666666666686</v>
      </c>
      <c r="E32" t="s">
        <v>19</v>
      </c>
    </row>
    <row r="33" spans="5:6">
      <c r="E33">
        <v>4413000</v>
      </c>
      <c r="F33" t="s">
        <v>16</v>
      </c>
    </row>
    <row r="34" spans="5:6">
      <c r="E34">
        <v>-180000</v>
      </c>
      <c r="F34" t="s">
        <v>17</v>
      </c>
    </row>
    <row r="35" spans="5:6">
      <c r="E35">
        <v>4233000</v>
      </c>
      <c r="F35" t="s">
        <v>18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85DF-B79A-3349-B562-2D07937B1AA9}">
  <dimension ref="A1:H31"/>
  <sheetViews>
    <sheetView showGridLines="0" workbookViewId="0">
      <selection activeCell="G19" sqref="G19"/>
    </sheetView>
  </sheetViews>
  <sheetFormatPr baseColWidth="10" defaultRowHeight="16"/>
  <cols>
    <col min="1" max="1" width="2.33203125" customWidth="1"/>
    <col min="2" max="2" width="5.6640625" bestFit="1" customWidth="1"/>
    <col min="3" max="3" width="10.1640625" bestFit="1" customWidth="1"/>
    <col min="4" max="4" width="8.1640625" bestFit="1" customWidth="1"/>
    <col min="5" max="5" width="12.83203125" bestFit="1" customWidth="1"/>
    <col min="6" max="8" width="12.1640625" bestFit="1" customWidth="1"/>
  </cols>
  <sheetData>
    <row r="1" spans="1:8">
      <c r="A1" s="28" t="s">
        <v>29</v>
      </c>
    </row>
    <row r="2" spans="1:8">
      <c r="A2" s="28" t="s">
        <v>74</v>
      </c>
    </row>
    <row r="3" spans="1:8">
      <c r="A3" s="28" t="s">
        <v>75</v>
      </c>
    </row>
    <row r="6" spans="1:8" ht="17" thickBot="1">
      <c r="A6" t="s">
        <v>32</v>
      </c>
    </row>
    <row r="7" spans="1:8">
      <c r="B7" s="31"/>
      <c r="C7" s="31"/>
      <c r="D7" s="31" t="s">
        <v>35</v>
      </c>
      <c r="E7" s="31" t="s">
        <v>37</v>
      </c>
      <c r="F7" s="31" t="s">
        <v>39</v>
      </c>
      <c r="G7" s="31" t="s">
        <v>41</v>
      </c>
      <c r="H7" s="31" t="s">
        <v>41</v>
      </c>
    </row>
    <row r="8" spans="1:8" ht="17" thickBot="1">
      <c r="B8" s="32" t="s">
        <v>33</v>
      </c>
      <c r="C8" s="32" t="s">
        <v>34</v>
      </c>
      <c r="D8" s="32" t="s">
        <v>36</v>
      </c>
      <c r="E8" s="32" t="s">
        <v>38</v>
      </c>
      <c r="F8" s="32" t="s">
        <v>40</v>
      </c>
      <c r="G8" s="32" t="s">
        <v>42</v>
      </c>
      <c r="H8" s="32" t="s">
        <v>43</v>
      </c>
    </row>
    <row r="9" spans="1:8">
      <c r="B9" s="29" t="s">
        <v>49</v>
      </c>
      <c r="C9" s="29" t="s">
        <v>50</v>
      </c>
      <c r="D9" s="29">
        <v>525000</v>
      </c>
      <c r="E9" s="29">
        <v>0</v>
      </c>
      <c r="F9" s="29">
        <v>8.2222222222222224E-2</v>
      </c>
      <c r="G9" s="29">
        <v>0.15437037037037038</v>
      </c>
      <c r="H9" s="29">
        <v>2.1629629629629627E-2</v>
      </c>
    </row>
    <row r="10" spans="1:8">
      <c r="B10" s="29" t="s">
        <v>51</v>
      </c>
      <c r="C10" s="29" t="s">
        <v>52</v>
      </c>
      <c r="D10" s="29">
        <v>175000</v>
      </c>
      <c r="E10" s="29">
        <v>0</v>
      </c>
      <c r="F10" s="29">
        <v>8.2222222222222224E-2</v>
      </c>
      <c r="G10" s="29">
        <v>0.46311111111111114</v>
      </c>
      <c r="H10" s="29">
        <v>2.1629629629629627E-2</v>
      </c>
    </row>
    <row r="11" spans="1:8">
      <c r="B11" s="29" t="s">
        <v>53</v>
      </c>
      <c r="C11" s="29" t="s">
        <v>54</v>
      </c>
      <c r="D11" s="29">
        <v>75000</v>
      </c>
      <c r="E11" s="29">
        <v>0</v>
      </c>
      <c r="F11" s="29">
        <v>6.6000000000000003E-2</v>
      </c>
      <c r="G11" s="29">
        <v>2.1629629629629627E-2</v>
      </c>
      <c r="H11" s="29">
        <v>0.15437037037037038</v>
      </c>
    </row>
    <row r="12" spans="1:8">
      <c r="B12" s="29" t="s">
        <v>55</v>
      </c>
      <c r="C12" s="29" t="s">
        <v>56</v>
      </c>
      <c r="D12" s="29">
        <v>225000</v>
      </c>
      <c r="E12" s="29">
        <v>0</v>
      </c>
      <c r="F12" s="29">
        <v>6.6000000000000003E-2</v>
      </c>
      <c r="G12" s="29">
        <v>1.4320987654320994E-2</v>
      </c>
      <c r="H12" s="29">
        <v>5.1456790123456796E-2</v>
      </c>
    </row>
    <row r="13" spans="1:8">
      <c r="B13" s="29" t="s">
        <v>57</v>
      </c>
      <c r="C13" s="29" t="s">
        <v>58</v>
      </c>
      <c r="D13" s="29">
        <v>0</v>
      </c>
      <c r="E13" s="29">
        <v>0</v>
      </c>
      <c r="F13" s="29">
        <v>7.400000000000001E-2</v>
      </c>
      <c r="G13" s="29">
        <v>3.2444444444444442E-2</v>
      </c>
      <c r="H13" s="29">
        <v>1E+30</v>
      </c>
    </row>
    <row r="14" spans="1:8" ht="17" thickBot="1">
      <c r="B14" s="30" t="s">
        <v>59</v>
      </c>
      <c r="C14" s="30" t="s">
        <v>60</v>
      </c>
      <c r="D14" s="30">
        <v>2000000</v>
      </c>
      <c r="E14" s="30">
        <v>0</v>
      </c>
      <c r="F14" s="30">
        <v>7.400000000000001E-2</v>
      </c>
      <c r="G14" s="30">
        <v>1E+30</v>
      </c>
      <c r="H14" s="30">
        <v>1.6111111111111118E-2</v>
      </c>
    </row>
    <row r="16" spans="1:8" ht="17" thickBot="1">
      <c r="A16" t="s">
        <v>44</v>
      </c>
    </row>
    <row r="17" spans="2:8">
      <c r="B17" s="31"/>
      <c r="C17" s="31"/>
      <c r="D17" s="31" t="s">
        <v>35</v>
      </c>
      <c r="E17" s="31" t="s">
        <v>45</v>
      </c>
      <c r="F17" s="31" t="s">
        <v>47</v>
      </c>
      <c r="G17" s="31" t="s">
        <v>41</v>
      </c>
      <c r="H17" s="31" t="s">
        <v>41</v>
      </c>
    </row>
    <row r="18" spans="2:8" ht="17" thickBot="1">
      <c r="B18" s="32" t="s">
        <v>33</v>
      </c>
      <c r="C18" s="32" t="s">
        <v>34</v>
      </c>
      <c r="D18" s="32" t="s">
        <v>36</v>
      </c>
      <c r="E18" s="32" t="s">
        <v>46</v>
      </c>
      <c r="F18" s="32" t="s">
        <v>48</v>
      </c>
      <c r="G18" s="32" t="s">
        <v>42</v>
      </c>
      <c r="H18" s="32" t="s">
        <v>43</v>
      </c>
    </row>
    <row r="19" spans="2:8">
      <c r="B19" s="29" t="s">
        <v>61</v>
      </c>
      <c r="C19" s="29" t="s">
        <v>9</v>
      </c>
      <c r="D19" s="29">
        <v>600000</v>
      </c>
      <c r="E19" s="29">
        <v>9.0333333333333335E-2</v>
      </c>
      <c r="F19" s="29">
        <v>600000</v>
      </c>
      <c r="G19" s="29">
        <v>600000</v>
      </c>
      <c r="H19" s="29">
        <v>466666.66666666669</v>
      </c>
    </row>
    <row r="20" spans="2:8">
      <c r="B20" s="29" t="s">
        <v>62</v>
      </c>
      <c r="C20" s="29"/>
      <c r="D20" s="29">
        <v>2400000</v>
      </c>
      <c r="E20" s="29">
        <v>5.7888888888888893E-2</v>
      </c>
      <c r="F20" s="29">
        <v>2400000</v>
      </c>
      <c r="G20" s="29">
        <v>466666.66666666669</v>
      </c>
      <c r="H20" s="29">
        <v>200000</v>
      </c>
    </row>
    <row r="21" spans="2:8">
      <c r="B21" s="29" t="s">
        <v>63</v>
      </c>
      <c r="C21" s="29"/>
      <c r="D21" s="29">
        <v>0</v>
      </c>
      <c r="E21" s="29">
        <v>-8.1111111111111106E-3</v>
      </c>
      <c r="F21" s="29">
        <v>0</v>
      </c>
      <c r="G21" s="29">
        <v>466666.66666666669</v>
      </c>
      <c r="H21" s="29">
        <v>600000</v>
      </c>
    </row>
    <row r="22" spans="2:8">
      <c r="B22" s="29" t="s">
        <v>64</v>
      </c>
      <c r="C22" s="29"/>
      <c r="D22" s="29">
        <v>0</v>
      </c>
      <c r="E22" s="29">
        <v>-8.1111111111111106E-3</v>
      </c>
      <c r="F22" s="29">
        <v>0</v>
      </c>
      <c r="G22" s="29">
        <v>1400000</v>
      </c>
      <c r="H22" s="29">
        <v>200000</v>
      </c>
    </row>
    <row r="23" spans="2:8">
      <c r="B23" s="29" t="s">
        <v>65</v>
      </c>
      <c r="C23" s="29"/>
      <c r="D23" s="29">
        <v>700000</v>
      </c>
      <c r="E23" s="29">
        <v>0</v>
      </c>
      <c r="F23" s="29">
        <v>14400000</v>
      </c>
      <c r="G23" s="29">
        <v>1E+30</v>
      </c>
      <c r="H23" s="29">
        <v>13700000</v>
      </c>
    </row>
    <row r="24" spans="2:8">
      <c r="B24" s="29" t="s">
        <v>66</v>
      </c>
      <c r="C24" s="29"/>
      <c r="D24" s="29">
        <v>300000</v>
      </c>
      <c r="E24" s="29">
        <v>0</v>
      </c>
      <c r="F24" s="29">
        <v>1000000</v>
      </c>
      <c r="G24" s="29">
        <v>1E+30</v>
      </c>
      <c r="H24" s="29">
        <v>700000</v>
      </c>
    </row>
    <row r="25" spans="2:8">
      <c r="B25" s="29" t="s">
        <v>67</v>
      </c>
      <c r="C25" s="29"/>
      <c r="D25" s="29">
        <v>2000000</v>
      </c>
      <c r="E25" s="29">
        <v>1.6111111111111118E-2</v>
      </c>
      <c r="F25" s="29">
        <v>2000000</v>
      </c>
      <c r="G25" s="29">
        <v>200000</v>
      </c>
      <c r="H25" s="29">
        <v>466666.66666666669</v>
      </c>
    </row>
    <row r="26" spans="2:8">
      <c r="B26" s="29" t="s">
        <v>68</v>
      </c>
      <c r="C26" s="29" t="s">
        <v>13</v>
      </c>
      <c r="D26" s="29">
        <v>525000</v>
      </c>
      <c r="E26" s="29">
        <v>0</v>
      </c>
      <c r="F26" s="29">
        <v>0</v>
      </c>
      <c r="G26" s="29">
        <v>525000</v>
      </c>
      <c r="H26" s="29">
        <v>1E+30</v>
      </c>
    </row>
    <row r="27" spans="2:8">
      <c r="B27" s="29" t="s">
        <v>69</v>
      </c>
      <c r="C27" s="29"/>
      <c r="D27" s="29">
        <v>175000</v>
      </c>
      <c r="E27" s="29">
        <v>0</v>
      </c>
      <c r="F27" s="29">
        <v>0</v>
      </c>
      <c r="G27" s="29">
        <v>175000</v>
      </c>
      <c r="H27" s="29">
        <v>1E+30</v>
      </c>
    </row>
    <row r="28" spans="2:8">
      <c r="B28" s="29" t="s">
        <v>70</v>
      </c>
      <c r="C28" s="29"/>
      <c r="D28" s="29">
        <v>75000</v>
      </c>
      <c r="E28" s="29">
        <v>0</v>
      </c>
      <c r="F28" s="29">
        <v>0</v>
      </c>
      <c r="G28" s="29">
        <v>75000</v>
      </c>
      <c r="H28" s="29">
        <v>1E+30</v>
      </c>
    </row>
    <row r="29" spans="2:8">
      <c r="B29" s="29" t="s">
        <v>71</v>
      </c>
      <c r="C29" s="29"/>
      <c r="D29" s="29">
        <v>225000</v>
      </c>
      <c r="E29" s="29">
        <v>0</v>
      </c>
      <c r="F29" s="29">
        <v>0</v>
      </c>
      <c r="G29" s="29">
        <v>225000</v>
      </c>
      <c r="H29" s="29">
        <v>1E+30</v>
      </c>
    </row>
    <row r="30" spans="2:8">
      <c r="B30" s="29" t="s">
        <v>72</v>
      </c>
      <c r="C30" s="29"/>
      <c r="D30" s="29">
        <v>0</v>
      </c>
      <c r="E30" s="29">
        <v>-3.2444444444444442E-2</v>
      </c>
      <c r="F30" s="29">
        <v>0</v>
      </c>
      <c r="G30" s="29">
        <v>350000</v>
      </c>
      <c r="H30" s="29">
        <v>0</v>
      </c>
    </row>
    <row r="31" spans="2:8" ht="17" thickBot="1">
      <c r="B31" s="30" t="s">
        <v>73</v>
      </c>
      <c r="C31" s="30"/>
      <c r="D31" s="30">
        <v>2000000</v>
      </c>
      <c r="E31" s="30">
        <v>0</v>
      </c>
      <c r="F31" s="30">
        <v>0</v>
      </c>
      <c r="G31" s="30">
        <v>2000000</v>
      </c>
      <c r="H31" s="30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9369-4E47-F64D-B711-17473DF754B6}">
  <dimension ref="A1:H31"/>
  <sheetViews>
    <sheetView showGridLines="0" workbookViewId="0">
      <selection activeCell="G19" sqref="G19"/>
    </sheetView>
  </sheetViews>
  <sheetFormatPr baseColWidth="10" defaultRowHeight="16"/>
  <cols>
    <col min="1" max="1" width="2.33203125" customWidth="1"/>
    <col min="2" max="2" width="5.6640625" bestFit="1" customWidth="1"/>
    <col min="3" max="3" width="10.1640625" bestFit="1" customWidth="1"/>
    <col min="4" max="5" width="12.83203125" bestFit="1" customWidth="1"/>
    <col min="6" max="8" width="12.1640625" bestFit="1" customWidth="1"/>
  </cols>
  <sheetData>
    <row r="1" spans="1:8">
      <c r="A1" s="28" t="s">
        <v>29</v>
      </c>
    </row>
    <row r="2" spans="1:8">
      <c r="A2" s="28" t="s">
        <v>90</v>
      </c>
    </row>
    <row r="3" spans="1:8">
      <c r="A3" s="28" t="s">
        <v>91</v>
      </c>
    </row>
    <row r="6" spans="1:8" ht="17" thickBot="1">
      <c r="A6" t="s">
        <v>32</v>
      </c>
    </row>
    <row r="7" spans="1:8">
      <c r="B7" s="31"/>
      <c r="C7" s="31"/>
      <c r="D7" s="31" t="s">
        <v>35</v>
      </c>
      <c r="E7" s="31" t="s">
        <v>37</v>
      </c>
      <c r="F7" s="31" t="s">
        <v>39</v>
      </c>
      <c r="G7" s="31" t="s">
        <v>41</v>
      </c>
      <c r="H7" s="31" t="s">
        <v>41</v>
      </c>
    </row>
    <row r="8" spans="1:8" ht="17" thickBot="1">
      <c r="B8" s="32" t="s">
        <v>33</v>
      </c>
      <c r="C8" s="32" t="s">
        <v>34</v>
      </c>
      <c r="D8" s="32" t="s">
        <v>36</v>
      </c>
      <c r="E8" s="32" t="s">
        <v>38</v>
      </c>
      <c r="F8" s="32" t="s">
        <v>40</v>
      </c>
      <c r="G8" s="32" t="s">
        <v>42</v>
      </c>
      <c r="H8" s="32" t="s">
        <v>43</v>
      </c>
    </row>
    <row r="9" spans="1:8">
      <c r="B9" s="29" t="s">
        <v>49</v>
      </c>
      <c r="C9" s="29" t="s">
        <v>50</v>
      </c>
      <c r="D9" s="29">
        <v>615000</v>
      </c>
      <c r="E9" s="29">
        <v>0</v>
      </c>
      <c r="F9" s="29">
        <v>8.2222222222222224E-2</v>
      </c>
      <c r="G9" s="29">
        <v>1E+30</v>
      </c>
      <c r="H9" s="29">
        <v>2.1629629629629627E-2</v>
      </c>
    </row>
    <row r="10" spans="1:8">
      <c r="B10" s="29" t="s">
        <v>51</v>
      </c>
      <c r="C10" s="29" t="s">
        <v>52</v>
      </c>
      <c r="D10" s="29">
        <v>204999.99999999997</v>
      </c>
      <c r="E10" s="29">
        <v>0</v>
      </c>
      <c r="F10" s="29">
        <v>8.2222222222222224E-2</v>
      </c>
      <c r="G10" s="29">
        <v>1E+30</v>
      </c>
      <c r="H10" s="29">
        <v>2.1629629629629627E-2</v>
      </c>
    </row>
    <row r="11" spans="1:8">
      <c r="B11" s="29" t="s">
        <v>53</v>
      </c>
      <c r="C11" s="29" t="s">
        <v>54</v>
      </c>
      <c r="D11" s="29">
        <v>65000.000000000029</v>
      </c>
      <c r="E11" s="29">
        <v>0</v>
      </c>
      <c r="F11" s="29">
        <v>6.6000000000000003E-2</v>
      </c>
      <c r="G11" s="29">
        <v>2.1629629629629627E-2</v>
      </c>
      <c r="H11" s="29">
        <v>1E+30</v>
      </c>
    </row>
    <row r="12" spans="1:8">
      <c r="B12" s="29" t="s">
        <v>55</v>
      </c>
      <c r="C12" s="29" t="s">
        <v>56</v>
      </c>
      <c r="D12" s="29">
        <v>195000.00000000012</v>
      </c>
      <c r="E12" s="29">
        <v>0</v>
      </c>
      <c r="F12" s="29">
        <v>6.6000000000000003E-2</v>
      </c>
      <c r="G12" s="29">
        <v>1.4320987654320994E-2</v>
      </c>
      <c r="H12" s="29">
        <v>1E+30</v>
      </c>
    </row>
    <row r="13" spans="1:8">
      <c r="B13" s="29" t="s">
        <v>57</v>
      </c>
      <c r="C13" s="29" t="s">
        <v>58</v>
      </c>
      <c r="D13" s="29">
        <v>0</v>
      </c>
      <c r="E13" s="29">
        <v>0</v>
      </c>
      <c r="F13" s="29">
        <v>7.400000000000001E-2</v>
      </c>
      <c r="G13" s="29">
        <v>3.2444444444444442E-2</v>
      </c>
      <c r="H13" s="29">
        <v>1E+30</v>
      </c>
    </row>
    <row r="14" spans="1:8" ht="17" thickBot="1">
      <c r="B14" s="30" t="s">
        <v>59</v>
      </c>
      <c r="C14" s="30" t="s">
        <v>60</v>
      </c>
      <c r="D14" s="30">
        <v>2000000</v>
      </c>
      <c r="E14" s="30">
        <v>0</v>
      </c>
      <c r="F14" s="30">
        <v>7.400000000000001E-2</v>
      </c>
      <c r="G14" s="30">
        <v>1E+30</v>
      </c>
      <c r="H14" s="30">
        <v>1.6111111111111118E-2</v>
      </c>
    </row>
    <row r="16" spans="1:8" ht="17" thickBot="1">
      <c r="A16" t="s">
        <v>44</v>
      </c>
    </row>
    <row r="17" spans="2:8">
      <c r="B17" s="31"/>
      <c r="C17" s="31"/>
      <c r="D17" s="31" t="s">
        <v>35</v>
      </c>
      <c r="E17" s="31" t="s">
        <v>45</v>
      </c>
      <c r="F17" s="31" t="s">
        <v>47</v>
      </c>
      <c r="G17" s="31" t="s">
        <v>41</v>
      </c>
      <c r="H17" s="31" t="s">
        <v>41</v>
      </c>
    </row>
    <row r="18" spans="2:8" ht="17" thickBot="1">
      <c r="B18" s="32" t="s">
        <v>33</v>
      </c>
      <c r="C18" s="32" t="s">
        <v>34</v>
      </c>
      <c r="D18" s="32" t="s">
        <v>36</v>
      </c>
      <c r="E18" s="32" t="s">
        <v>46</v>
      </c>
      <c r="F18" s="32" t="s">
        <v>48</v>
      </c>
      <c r="G18" s="32" t="s">
        <v>42</v>
      </c>
      <c r="H18" s="32" t="s">
        <v>43</v>
      </c>
    </row>
    <row r="19" spans="2:8">
      <c r="B19" s="29" t="s">
        <v>61</v>
      </c>
      <c r="C19" s="29" t="s">
        <v>9</v>
      </c>
      <c r="D19" s="29">
        <v>680000</v>
      </c>
      <c r="E19" s="29">
        <v>9.0333333333333335E-2</v>
      </c>
      <c r="F19" s="29">
        <v>680000</v>
      </c>
      <c r="G19" s="29">
        <v>520000.00000000023</v>
      </c>
      <c r="H19" s="29">
        <v>546666.66666666663</v>
      </c>
    </row>
    <row r="20" spans="2:8">
      <c r="B20" s="29" t="s">
        <v>62</v>
      </c>
      <c r="C20" s="29"/>
      <c r="D20" s="29">
        <v>2400000</v>
      </c>
      <c r="E20" s="29">
        <v>5.7888888888888893E-2</v>
      </c>
      <c r="F20" s="29">
        <v>2400000</v>
      </c>
      <c r="G20" s="29">
        <v>493333.33333333326</v>
      </c>
      <c r="H20" s="29">
        <v>173333.3333333334</v>
      </c>
    </row>
    <row r="21" spans="2:8">
      <c r="B21" s="29" t="s">
        <v>63</v>
      </c>
      <c r="C21" s="29"/>
      <c r="D21" s="29">
        <v>1.1641532182693481E-10</v>
      </c>
      <c r="E21" s="29">
        <v>-8.1111111111111106E-3</v>
      </c>
      <c r="F21" s="29">
        <v>0</v>
      </c>
      <c r="G21" s="29">
        <v>546666.66666666663</v>
      </c>
      <c r="H21" s="29">
        <v>520000.00000000023</v>
      </c>
    </row>
    <row r="22" spans="2:8">
      <c r="B22" s="29" t="s">
        <v>64</v>
      </c>
      <c r="C22" s="29"/>
      <c r="D22" s="29">
        <v>-2.9103830456733704E-11</v>
      </c>
      <c r="E22" s="29">
        <v>-8.1111111111111106E-3</v>
      </c>
      <c r="F22" s="29">
        <v>0</v>
      </c>
      <c r="G22" s="29">
        <v>1479999.9999999998</v>
      </c>
      <c r="H22" s="29">
        <v>173333.3333333334</v>
      </c>
    </row>
    <row r="23" spans="2:8">
      <c r="B23" s="29" t="s">
        <v>65</v>
      </c>
      <c r="C23" s="29"/>
      <c r="D23" s="29">
        <v>820000</v>
      </c>
      <c r="E23" s="29">
        <v>0</v>
      </c>
      <c r="F23" s="29">
        <v>14400000</v>
      </c>
      <c r="G23" s="29">
        <v>1E+30</v>
      </c>
      <c r="H23" s="29">
        <v>13580000</v>
      </c>
    </row>
    <row r="24" spans="2:8">
      <c r="B24" s="29" t="s">
        <v>66</v>
      </c>
      <c r="C24" s="29"/>
      <c r="D24" s="29">
        <v>260000.00000000015</v>
      </c>
      <c r="E24" s="29">
        <v>0</v>
      </c>
      <c r="F24" s="29">
        <v>1000000</v>
      </c>
      <c r="G24" s="29">
        <v>1E+30</v>
      </c>
      <c r="H24" s="29">
        <v>739999.99999999988</v>
      </c>
    </row>
    <row r="25" spans="2:8">
      <c r="B25" s="29" t="s">
        <v>67</v>
      </c>
      <c r="C25" s="29"/>
      <c r="D25" s="29">
        <v>2000000</v>
      </c>
      <c r="E25" s="29">
        <v>1.6111111111111118E-2</v>
      </c>
      <c r="F25" s="29">
        <v>2000000</v>
      </c>
      <c r="G25" s="29">
        <v>173333.3333333334</v>
      </c>
      <c r="H25" s="29">
        <v>493333.33333333326</v>
      </c>
    </row>
    <row r="26" spans="2:8">
      <c r="B26" s="29" t="s">
        <v>68</v>
      </c>
      <c r="C26" s="29" t="s">
        <v>13</v>
      </c>
      <c r="D26" s="29">
        <v>615000</v>
      </c>
      <c r="E26" s="29">
        <v>0</v>
      </c>
      <c r="F26" s="29">
        <v>0</v>
      </c>
      <c r="G26" s="29">
        <v>615000</v>
      </c>
      <c r="H26" s="29">
        <v>1E+30</v>
      </c>
    </row>
    <row r="27" spans="2:8">
      <c r="B27" s="29" t="s">
        <v>69</v>
      </c>
      <c r="C27" s="29"/>
      <c r="D27" s="29">
        <v>204999.99999999997</v>
      </c>
      <c r="E27" s="29">
        <v>0</v>
      </c>
      <c r="F27" s="29">
        <v>0</v>
      </c>
      <c r="G27" s="29">
        <v>204999.99999999997</v>
      </c>
      <c r="H27" s="29">
        <v>1E+30</v>
      </c>
    </row>
    <row r="28" spans="2:8">
      <c r="B28" s="29" t="s">
        <v>70</v>
      </c>
      <c r="C28" s="29"/>
      <c r="D28" s="29">
        <v>65000.000000000029</v>
      </c>
      <c r="E28" s="29">
        <v>0</v>
      </c>
      <c r="F28" s="29">
        <v>0</v>
      </c>
      <c r="G28" s="29">
        <v>65000.000000000029</v>
      </c>
      <c r="H28" s="29">
        <v>1E+30</v>
      </c>
    </row>
    <row r="29" spans="2:8">
      <c r="B29" s="29" t="s">
        <v>71</v>
      </c>
      <c r="C29" s="29"/>
      <c r="D29" s="29">
        <v>195000.00000000012</v>
      </c>
      <c r="E29" s="29">
        <v>0</v>
      </c>
      <c r="F29" s="29">
        <v>0</v>
      </c>
      <c r="G29" s="29">
        <v>195000.00000000012</v>
      </c>
      <c r="H29" s="29">
        <v>1E+30</v>
      </c>
    </row>
    <row r="30" spans="2:8">
      <c r="B30" s="29" t="s">
        <v>72</v>
      </c>
      <c r="C30" s="29"/>
      <c r="D30" s="29">
        <v>0</v>
      </c>
      <c r="E30" s="29">
        <v>-3.2444444444444442E-2</v>
      </c>
      <c r="F30" s="29">
        <v>0</v>
      </c>
      <c r="G30" s="29">
        <v>369999.99999999994</v>
      </c>
      <c r="H30" s="29">
        <v>0</v>
      </c>
    </row>
    <row r="31" spans="2:8" ht="17" thickBot="1">
      <c r="B31" s="30" t="s">
        <v>73</v>
      </c>
      <c r="C31" s="30"/>
      <c r="D31" s="30">
        <v>2000000</v>
      </c>
      <c r="E31" s="30">
        <v>0</v>
      </c>
      <c r="F31" s="30">
        <v>0</v>
      </c>
      <c r="G31" s="30">
        <v>2000000</v>
      </c>
      <c r="H31" s="30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00A8-2E2B-1148-BA6A-5D5543066B1D}">
  <sheetPr>
    <tabColor theme="0" tint="-0.14999847407452621"/>
  </sheetPr>
  <dimension ref="A3:K35"/>
  <sheetViews>
    <sheetView workbookViewId="0">
      <selection activeCell="A35" sqref="A35"/>
    </sheetView>
  </sheetViews>
  <sheetFormatPr baseColWidth="10" defaultRowHeight="16"/>
  <cols>
    <col min="1" max="1" width="15.83203125" customWidth="1"/>
    <col min="7" max="7" width="15.83203125" customWidth="1"/>
    <col min="9" max="9" width="15.1640625" style="23" customWidth="1"/>
  </cols>
  <sheetData>
    <row r="3" spans="1:11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</row>
    <row r="4" spans="1:11">
      <c r="B4" t="s">
        <v>20</v>
      </c>
      <c r="C4" s="2">
        <v>615000</v>
      </c>
      <c r="D4" s="2">
        <v>204999.99999999997</v>
      </c>
      <c r="E4" s="2">
        <v>65000.000000000029</v>
      </c>
      <c r="F4" s="2">
        <v>195000.00000000012</v>
      </c>
      <c r="G4" s="2">
        <v>0</v>
      </c>
      <c r="H4" s="2">
        <v>2000000</v>
      </c>
    </row>
    <row r="5" spans="1:11">
      <c r="B5" t="s">
        <v>8</v>
      </c>
      <c r="C5" s="17">
        <f>C7/C6</f>
        <v>8.2222222222222224E-2</v>
      </c>
      <c r="D5" s="17">
        <f t="shared" ref="D5:H5" si="0">D7/D6</f>
        <v>8.2222222222222224E-2</v>
      </c>
      <c r="E5" s="17">
        <f t="shared" si="0"/>
        <v>6.6000000000000003E-2</v>
      </c>
      <c r="F5" s="17">
        <f t="shared" si="0"/>
        <v>6.6000000000000003E-2</v>
      </c>
      <c r="G5" s="17">
        <f t="shared" si="0"/>
        <v>7.400000000000001E-2</v>
      </c>
      <c r="H5" s="17">
        <f t="shared" si="0"/>
        <v>7.400000000000001E-2</v>
      </c>
    </row>
    <row r="6" spans="1:11">
      <c r="B6" s="1" t="s">
        <v>21</v>
      </c>
      <c r="C6" s="21">
        <v>18</v>
      </c>
      <c r="D6" s="21">
        <v>18</v>
      </c>
      <c r="E6" s="21">
        <v>20</v>
      </c>
      <c r="F6" s="21">
        <v>20</v>
      </c>
      <c r="G6" s="21">
        <v>25</v>
      </c>
      <c r="H6" s="21">
        <v>25</v>
      </c>
    </row>
    <row r="7" spans="1:11">
      <c r="B7" s="1" t="s">
        <v>8</v>
      </c>
      <c r="C7" s="21">
        <v>1.48</v>
      </c>
      <c r="D7" s="21">
        <v>1.48</v>
      </c>
      <c r="E7" s="21">
        <v>1.32</v>
      </c>
      <c r="F7" s="21">
        <v>1.32</v>
      </c>
      <c r="G7" s="21">
        <v>1.85</v>
      </c>
      <c r="H7" s="21">
        <v>1.85</v>
      </c>
    </row>
    <row r="8" spans="1:11">
      <c r="B8" s="1"/>
      <c r="C8" s="1"/>
      <c r="D8" s="1"/>
      <c r="E8" s="1"/>
      <c r="F8" s="1"/>
      <c r="G8" s="1"/>
      <c r="H8" s="1"/>
    </row>
    <row r="10" spans="1:11">
      <c r="C10" t="s">
        <v>0</v>
      </c>
      <c r="D10" t="s">
        <v>1</v>
      </c>
      <c r="E10" t="s">
        <v>3</v>
      </c>
      <c r="F10" t="s">
        <v>4</v>
      </c>
      <c r="G10" t="s">
        <v>2</v>
      </c>
      <c r="H10" t="s">
        <v>5</v>
      </c>
    </row>
    <row r="11" spans="1:11">
      <c r="A11" t="s">
        <v>9</v>
      </c>
      <c r="C11" s="3">
        <v>1</v>
      </c>
      <c r="D11" s="3"/>
      <c r="E11" s="3">
        <v>1</v>
      </c>
      <c r="F11" s="3"/>
      <c r="G11" s="3">
        <v>1</v>
      </c>
      <c r="H11" s="3"/>
      <c r="I11" s="14">
        <f>SUMPRODUCT($C$4:$H$4,C11:H11)</f>
        <v>680000</v>
      </c>
      <c r="J11" s="5" t="s">
        <v>10</v>
      </c>
      <c r="K11" s="5">
        <f>3*10^6*(0.2)+80000</f>
        <v>680000</v>
      </c>
    </row>
    <row r="12" spans="1:11">
      <c r="C12" s="3"/>
      <c r="D12" s="3">
        <v>1</v>
      </c>
      <c r="E12" s="3"/>
      <c r="F12" s="3">
        <v>1</v>
      </c>
      <c r="G12" s="3"/>
      <c r="H12" s="3">
        <v>1</v>
      </c>
      <c r="I12" s="14">
        <f t="shared" ref="I12:I27" si="1">SUMPRODUCT($C$4:$H$4,C12:H12)</f>
        <v>2400000</v>
      </c>
      <c r="J12" s="5" t="s">
        <v>10</v>
      </c>
      <c r="K12" s="5">
        <f>3*10^6*(0.8)</f>
        <v>2400000</v>
      </c>
    </row>
    <row r="13" spans="1:11">
      <c r="C13" s="3">
        <f>9-8</f>
        <v>1</v>
      </c>
      <c r="D13" s="3">
        <f>5-8</f>
        <v>-3</v>
      </c>
      <c r="E13" s="3"/>
      <c r="F13" s="3"/>
      <c r="G13" s="3"/>
      <c r="H13" s="3"/>
      <c r="I13" s="14">
        <f t="shared" si="1"/>
        <v>1.1641532182693481E-10</v>
      </c>
      <c r="J13" s="5" t="s">
        <v>11</v>
      </c>
      <c r="K13" s="5">
        <v>0</v>
      </c>
    </row>
    <row r="14" spans="1:11">
      <c r="C14" s="3"/>
      <c r="D14" s="3"/>
      <c r="E14" s="3">
        <f>9-6</f>
        <v>3</v>
      </c>
      <c r="F14" s="3">
        <f>5-6</f>
        <v>-1</v>
      </c>
      <c r="G14" s="3"/>
      <c r="H14" s="3"/>
      <c r="I14" s="14">
        <f t="shared" si="1"/>
        <v>-2.9103830456733704E-11</v>
      </c>
      <c r="J14" s="5" t="s">
        <v>11</v>
      </c>
      <c r="K14" s="5">
        <v>0</v>
      </c>
    </row>
    <row r="15" spans="1:11">
      <c r="C15" s="3">
        <v>1</v>
      </c>
      <c r="D15" s="3">
        <v>1</v>
      </c>
      <c r="E15" s="3"/>
      <c r="F15" s="3"/>
      <c r="G15" s="3"/>
      <c r="H15" s="3"/>
      <c r="I15" s="14">
        <f t="shared" si="1"/>
        <v>820000</v>
      </c>
      <c r="J15" s="5" t="s">
        <v>12</v>
      </c>
      <c r="K15" s="5">
        <f>0.8*10^6*18</f>
        <v>14400000</v>
      </c>
    </row>
    <row r="16" spans="1:11">
      <c r="C16" s="3"/>
      <c r="D16" s="3"/>
      <c r="E16" s="3">
        <v>1</v>
      </c>
      <c r="F16" s="3">
        <v>1</v>
      </c>
      <c r="G16" s="3"/>
      <c r="H16" s="3"/>
      <c r="I16" s="14">
        <f t="shared" si="1"/>
        <v>260000.00000000015</v>
      </c>
      <c r="J16" s="5" t="s">
        <v>12</v>
      </c>
      <c r="K16" s="5">
        <f>0.05*10^6*20</f>
        <v>1000000</v>
      </c>
    </row>
    <row r="17" spans="1:11">
      <c r="C17" s="3"/>
      <c r="D17" s="3"/>
      <c r="E17" s="3"/>
      <c r="F17" s="3"/>
      <c r="G17" s="3">
        <v>1</v>
      </c>
      <c r="H17" s="3">
        <v>1</v>
      </c>
      <c r="I17" s="14">
        <f t="shared" si="1"/>
        <v>2000000</v>
      </c>
      <c r="J17" s="5" t="s">
        <v>12</v>
      </c>
      <c r="K17" s="5">
        <f>0.08*10^6*25</f>
        <v>2000000</v>
      </c>
    </row>
    <row r="18" spans="1:11">
      <c r="A18" t="s">
        <v>15</v>
      </c>
      <c r="C18" s="6">
        <f>1/18</f>
        <v>5.5555555555555552E-2</v>
      </c>
      <c r="D18" s="6">
        <f>1/18</f>
        <v>5.5555555555555552E-2</v>
      </c>
      <c r="E18" s="6"/>
      <c r="F18" s="6"/>
      <c r="G18" s="6"/>
      <c r="H18" s="6"/>
      <c r="I18" s="24">
        <f>MOD(SUMPRODUCT($C$4:$H$4,C18:H18),1)</f>
        <v>0.55555555554747116</v>
      </c>
      <c r="J18" s="13" t="s">
        <v>10</v>
      </c>
      <c r="K18" s="13">
        <v>0</v>
      </c>
    </row>
    <row r="19" spans="1:11">
      <c r="C19" s="6"/>
      <c r="D19" s="6"/>
      <c r="E19" s="6">
        <f>1/20</f>
        <v>0.05</v>
      </c>
      <c r="F19" s="6">
        <f>1/20</f>
        <v>0.05</v>
      </c>
      <c r="G19" s="6"/>
      <c r="H19" s="6"/>
      <c r="I19" s="24">
        <f>MOD(SUMPRODUCT($C$4:$H$4,C19:H19),1)</f>
        <v>7.2759576141834259E-12</v>
      </c>
      <c r="J19" s="13" t="s">
        <v>10</v>
      </c>
      <c r="K19" s="13">
        <v>0</v>
      </c>
    </row>
    <row r="20" spans="1:11">
      <c r="C20" s="6"/>
      <c r="D20" s="6"/>
      <c r="E20" s="6"/>
      <c r="F20" s="6"/>
      <c r="G20" s="6">
        <f>1/25</f>
        <v>0.04</v>
      </c>
      <c r="H20" s="6">
        <f>1/25</f>
        <v>0.04</v>
      </c>
      <c r="I20" s="24">
        <f>MOD(SUMPRODUCT($C$4:$H$4,C20:H20),1)</f>
        <v>0</v>
      </c>
      <c r="J20" s="13" t="s">
        <v>10</v>
      </c>
      <c r="K20" s="13">
        <v>0</v>
      </c>
    </row>
    <row r="21" spans="1:11">
      <c r="I21" s="14"/>
      <c r="J21" s="5"/>
      <c r="K21" s="5"/>
    </row>
    <row r="22" spans="1:11">
      <c r="A22" t="s">
        <v>13</v>
      </c>
      <c r="C22" s="4">
        <v>1</v>
      </c>
      <c r="D22" s="4"/>
      <c r="E22" s="4"/>
      <c r="F22" s="4"/>
      <c r="G22" s="4"/>
      <c r="H22" s="4"/>
      <c r="I22" s="14">
        <f t="shared" si="1"/>
        <v>615000</v>
      </c>
      <c r="J22" s="5" t="s">
        <v>11</v>
      </c>
      <c r="K22" s="5">
        <v>0</v>
      </c>
    </row>
    <row r="23" spans="1:11">
      <c r="C23" s="4"/>
      <c r="D23" s="4">
        <v>1</v>
      </c>
      <c r="E23" s="4"/>
      <c r="F23" s="4"/>
      <c r="G23" s="4"/>
      <c r="H23" s="4"/>
      <c r="I23" s="14">
        <f t="shared" si="1"/>
        <v>204999.99999999997</v>
      </c>
      <c r="J23" s="5" t="s">
        <v>11</v>
      </c>
      <c r="K23" s="5">
        <v>0</v>
      </c>
    </row>
    <row r="24" spans="1:11">
      <c r="C24" s="4"/>
      <c r="D24" s="4"/>
      <c r="E24" s="4">
        <v>1</v>
      </c>
      <c r="F24" s="4"/>
      <c r="G24" s="4"/>
      <c r="H24" s="4"/>
      <c r="I24" s="14">
        <f>SUMPRODUCT($C$4:$H$4,C24:H24)</f>
        <v>65000.000000000029</v>
      </c>
      <c r="J24" s="5" t="s">
        <v>11</v>
      </c>
      <c r="K24" s="5">
        <v>0</v>
      </c>
    </row>
    <row r="25" spans="1:11">
      <c r="C25" s="4"/>
      <c r="D25" s="4"/>
      <c r="E25" s="4"/>
      <c r="F25" s="4">
        <v>1</v>
      </c>
      <c r="G25" s="4"/>
      <c r="H25" s="4"/>
      <c r="I25" s="14">
        <f t="shared" si="1"/>
        <v>195000.00000000012</v>
      </c>
      <c r="J25" s="5" t="s">
        <v>11</v>
      </c>
      <c r="K25" s="5">
        <v>0</v>
      </c>
    </row>
    <row r="26" spans="1:11">
      <c r="C26" s="4"/>
      <c r="D26" s="4"/>
      <c r="E26" s="4"/>
      <c r="F26" s="4"/>
      <c r="G26" s="4">
        <v>1</v>
      </c>
      <c r="H26" s="4"/>
      <c r="I26" s="14">
        <f t="shared" si="1"/>
        <v>0</v>
      </c>
      <c r="J26" s="5" t="s">
        <v>11</v>
      </c>
      <c r="K26" s="5">
        <v>0</v>
      </c>
    </row>
    <row r="27" spans="1:11">
      <c r="C27" s="4"/>
      <c r="D27" s="4"/>
      <c r="E27" s="4"/>
      <c r="F27" s="4"/>
      <c r="G27" s="4"/>
      <c r="H27" s="4">
        <v>1</v>
      </c>
      <c r="I27" s="14">
        <f t="shared" si="1"/>
        <v>2000000</v>
      </c>
      <c r="J27" s="5" t="s">
        <v>11</v>
      </c>
      <c r="K27" s="5">
        <v>0</v>
      </c>
    </row>
    <row r="29" spans="1:11">
      <c r="A29" s="8" t="s">
        <v>14</v>
      </c>
    </row>
    <row r="30" spans="1:11">
      <c r="A30" s="15">
        <f>SUMPRODUCT(C4:H4,C5:H5)</f>
        <v>232582.22222222225</v>
      </c>
    </row>
    <row r="31" spans="1:11">
      <c r="A31" s="16">
        <f>-180000-80000*0.085</f>
        <v>-186800</v>
      </c>
    </row>
    <row r="32" spans="1:11">
      <c r="A32" s="16">
        <f>SUM(A30:A31)</f>
        <v>45782.222222222248</v>
      </c>
      <c r="E32" t="s">
        <v>19</v>
      </c>
    </row>
    <row r="33" spans="5:6">
      <c r="E33">
        <v>4413000</v>
      </c>
      <c r="F33" t="s">
        <v>16</v>
      </c>
    </row>
    <row r="34" spans="5:6">
      <c r="E34">
        <v>-180000</v>
      </c>
      <c r="F34" t="s">
        <v>17</v>
      </c>
    </row>
    <row r="35" spans="5:6">
      <c r="E35">
        <v>4233000</v>
      </c>
      <c r="F35" t="s">
        <v>18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5740-C026-A542-B176-ABB32A13E2B2}">
  <dimension ref="A1:H31"/>
  <sheetViews>
    <sheetView showGridLines="0" workbookViewId="0">
      <selection activeCell="G19" sqref="G19"/>
    </sheetView>
  </sheetViews>
  <sheetFormatPr baseColWidth="10" defaultRowHeight="16"/>
  <cols>
    <col min="1" max="1" width="2.33203125" customWidth="1"/>
    <col min="2" max="2" width="5.6640625" bestFit="1" customWidth="1"/>
    <col min="3" max="3" width="10.1640625" bestFit="1" customWidth="1"/>
    <col min="4" max="4" width="8.1640625" bestFit="1" customWidth="1"/>
    <col min="5" max="5" width="12.83203125" bestFit="1" customWidth="1"/>
    <col min="6" max="8" width="12.1640625" bestFit="1" customWidth="1"/>
  </cols>
  <sheetData>
    <row r="1" spans="1:8">
      <c r="A1" s="28" t="s">
        <v>29</v>
      </c>
    </row>
    <row r="2" spans="1:8">
      <c r="A2" s="28" t="s">
        <v>30</v>
      </c>
    </row>
    <row r="3" spans="1:8">
      <c r="A3" s="28" t="s">
        <v>31</v>
      </c>
    </row>
    <row r="6" spans="1:8" ht="17" thickBot="1">
      <c r="A6" t="s">
        <v>32</v>
      </c>
    </row>
    <row r="7" spans="1:8">
      <c r="B7" s="31"/>
      <c r="C7" s="31"/>
      <c r="D7" s="31" t="s">
        <v>35</v>
      </c>
      <c r="E7" s="31" t="s">
        <v>37</v>
      </c>
      <c r="F7" s="31" t="s">
        <v>39</v>
      </c>
      <c r="G7" s="31" t="s">
        <v>41</v>
      </c>
      <c r="H7" s="31" t="s">
        <v>41</v>
      </c>
    </row>
    <row r="8" spans="1:8" ht="17" thickBot="1">
      <c r="B8" s="32" t="s">
        <v>33</v>
      </c>
      <c r="C8" s="32" t="s">
        <v>34</v>
      </c>
      <c r="D8" s="32" t="s">
        <v>36</v>
      </c>
      <c r="E8" s="32" t="s">
        <v>38</v>
      </c>
      <c r="F8" s="32" t="s">
        <v>40</v>
      </c>
      <c r="G8" s="32" t="s">
        <v>42</v>
      </c>
      <c r="H8" s="32" t="s">
        <v>43</v>
      </c>
    </row>
    <row r="9" spans="1:8">
      <c r="B9" s="29" t="s">
        <v>49</v>
      </c>
      <c r="C9" s="29" t="s">
        <v>50</v>
      </c>
      <c r="D9" s="29">
        <v>525000</v>
      </c>
      <c r="E9" s="29">
        <v>0</v>
      </c>
      <c r="F9" s="29">
        <v>6.666666666666668E-2</v>
      </c>
      <c r="G9" s="29">
        <v>0.13311111111111104</v>
      </c>
      <c r="H9" s="29">
        <v>1.4888888888888924E-2</v>
      </c>
    </row>
    <row r="10" spans="1:8">
      <c r="B10" s="29" t="s">
        <v>51</v>
      </c>
      <c r="C10" s="29" t="s">
        <v>52</v>
      </c>
      <c r="D10" s="29">
        <v>175000</v>
      </c>
      <c r="E10" s="29">
        <v>0</v>
      </c>
      <c r="F10" s="29">
        <v>6.666666666666668E-2</v>
      </c>
      <c r="G10" s="29">
        <v>0.3993333333333331</v>
      </c>
      <c r="H10" s="29">
        <v>1.4888888888888924E-2</v>
      </c>
    </row>
    <row r="11" spans="1:8">
      <c r="B11" s="29" t="s">
        <v>53</v>
      </c>
      <c r="C11" s="29" t="s">
        <v>54</v>
      </c>
      <c r="D11" s="29">
        <v>75000</v>
      </c>
      <c r="E11" s="29">
        <v>0</v>
      </c>
      <c r="F11" s="29">
        <v>5.5499999999999994E-2</v>
      </c>
      <c r="G11" s="29">
        <v>1.4888888888888932E-2</v>
      </c>
      <c r="H11" s="29">
        <v>0.13311111111111104</v>
      </c>
    </row>
    <row r="12" spans="1:8">
      <c r="B12" s="29" t="s">
        <v>55</v>
      </c>
      <c r="C12" s="29" t="s">
        <v>56</v>
      </c>
      <c r="D12" s="29">
        <v>225000</v>
      </c>
      <c r="E12" s="29">
        <v>0</v>
      </c>
      <c r="F12" s="29">
        <v>5.5499999999999994E-2</v>
      </c>
      <c r="G12" s="29">
        <v>1.3229629629629678E-2</v>
      </c>
      <c r="H12" s="29">
        <v>4.4370370370370345E-2</v>
      </c>
    </row>
    <row r="13" spans="1:8">
      <c r="B13" s="29" t="s">
        <v>57</v>
      </c>
      <c r="C13" s="29" t="s">
        <v>58</v>
      </c>
      <c r="D13" s="29">
        <v>0</v>
      </c>
      <c r="E13" s="29">
        <v>0</v>
      </c>
      <c r="F13" s="29">
        <v>6.4800000000000024E-2</v>
      </c>
      <c r="G13" s="29">
        <v>2.2333333333333386E-2</v>
      </c>
      <c r="H13" s="29">
        <v>1E+30</v>
      </c>
    </row>
    <row r="14" spans="1:8" ht="17" thickBot="1">
      <c r="B14" s="30" t="s">
        <v>59</v>
      </c>
      <c r="C14" s="30" t="s">
        <v>60</v>
      </c>
      <c r="D14" s="30">
        <v>2000000</v>
      </c>
      <c r="E14" s="30">
        <v>0</v>
      </c>
      <c r="F14" s="30">
        <v>6.4800000000000024E-2</v>
      </c>
      <c r="G14" s="30">
        <v>1E+30</v>
      </c>
      <c r="H14" s="30">
        <v>1.4883333333333387E-2</v>
      </c>
    </row>
    <row r="16" spans="1:8" ht="17" thickBot="1">
      <c r="A16" t="s">
        <v>44</v>
      </c>
    </row>
    <row r="17" spans="2:8">
      <c r="B17" s="31"/>
      <c r="C17" s="31"/>
      <c r="D17" s="31" t="s">
        <v>35</v>
      </c>
      <c r="E17" s="31" t="s">
        <v>45</v>
      </c>
      <c r="F17" s="31" t="s">
        <v>47</v>
      </c>
      <c r="G17" s="31" t="s">
        <v>41</v>
      </c>
      <c r="H17" s="31" t="s">
        <v>41</v>
      </c>
    </row>
    <row r="18" spans="2:8" ht="17" thickBot="1">
      <c r="B18" s="32" t="s">
        <v>33</v>
      </c>
      <c r="C18" s="32" t="s">
        <v>34</v>
      </c>
      <c r="D18" s="32" t="s">
        <v>36</v>
      </c>
      <c r="E18" s="32" t="s">
        <v>46</v>
      </c>
      <c r="F18" s="32" t="s">
        <v>48</v>
      </c>
      <c r="G18" s="32" t="s">
        <v>42</v>
      </c>
      <c r="H18" s="32" t="s">
        <v>43</v>
      </c>
    </row>
    <row r="19" spans="2:8">
      <c r="B19" s="29" t="s">
        <v>61</v>
      </c>
      <c r="C19" s="29" t="s">
        <v>9</v>
      </c>
      <c r="D19" s="29">
        <v>600000</v>
      </c>
      <c r="E19" s="29">
        <v>7.2250000000000023E-2</v>
      </c>
      <c r="F19" s="29">
        <v>600000</v>
      </c>
      <c r="G19" s="29">
        <v>600000</v>
      </c>
      <c r="H19" s="29">
        <v>466666.66666666669</v>
      </c>
    </row>
    <row r="20" spans="2:8">
      <c r="B20" s="29" t="s">
        <v>62</v>
      </c>
      <c r="C20" s="29"/>
      <c r="D20" s="29">
        <v>2400000</v>
      </c>
      <c r="E20" s="29">
        <v>4.9916666666666637E-2</v>
      </c>
      <c r="F20" s="29">
        <v>2400000</v>
      </c>
      <c r="G20" s="29">
        <v>466666.66666666669</v>
      </c>
      <c r="H20" s="29">
        <v>200000</v>
      </c>
    </row>
    <row r="21" spans="2:8">
      <c r="B21" s="29" t="s">
        <v>63</v>
      </c>
      <c r="C21" s="29"/>
      <c r="D21" s="29">
        <v>0</v>
      </c>
      <c r="E21" s="29">
        <v>-5.5833333333333464E-3</v>
      </c>
      <c r="F21" s="29">
        <v>0</v>
      </c>
      <c r="G21" s="29">
        <v>466666.66666666669</v>
      </c>
      <c r="H21" s="29">
        <v>600000</v>
      </c>
    </row>
    <row r="22" spans="2:8">
      <c r="B22" s="29" t="s">
        <v>64</v>
      </c>
      <c r="C22" s="29"/>
      <c r="D22" s="29">
        <v>0</v>
      </c>
      <c r="E22" s="29">
        <v>-5.5833333333333499E-3</v>
      </c>
      <c r="F22" s="29">
        <v>0</v>
      </c>
      <c r="G22" s="29">
        <v>1400000</v>
      </c>
      <c r="H22" s="29">
        <v>200000</v>
      </c>
    </row>
    <row r="23" spans="2:8">
      <c r="B23" s="29" t="s">
        <v>65</v>
      </c>
      <c r="C23" s="29"/>
      <c r="D23" s="29">
        <v>700000</v>
      </c>
      <c r="E23" s="29">
        <v>0</v>
      </c>
      <c r="F23" s="29">
        <v>14400000</v>
      </c>
      <c r="G23" s="29">
        <v>1E+30</v>
      </c>
      <c r="H23" s="29">
        <v>13700000</v>
      </c>
    </row>
    <row r="24" spans="2:8">
      <c r="B24" s="29" t="s">
        <v>66</v>
      </c>
      <c r="C24" s="29"/>
      <c r="D24" s="29">
        <v>300000</v>
      </c>
      <c r="E24" s="29">
        <v>0</v>
      </c>
      <c r="F24" s="29">
        <v>1000000</v>
      </c>
      <c r="G24" s="29">
        <v>1E+30</v>
      </c>
      <c r="H24" s="29">
        <v>700000</v>
      </c>
    </row>
    <row r="25" spans="2:8">
      <c r="B25" s="29" t="s">
        <v>67</v>
      </c>
      <c r="C25" s="29"/>
      <c r="D25" s="29">
        <v>2000000</v>
      </c>
      <c r="E25" s="29">
        <v>1.4883333333333387E-2</v>
      </c>
      <c r="F25" s="29">
        <v>2000000</v>
      </c>
      <c r="G25" s="29">
        <v>200000</v>
      </c>
      <c r="H25" s="29">
        <v>466666.66666666669</v>
      </c>
    </row>
    <row r="26" spans="2:8">
      <c r="B26" s="29" t="s">
        <v>68</v>
      </c>
      <c r="C26" s="29" t="s">
        <v>13</v>
      </c>
      <c r="D26" s="29">
        <v>525000</v>
      </c>
      <c r="E26" s="29">
        <v>0</v>
      </c>
      <c r="F26" s="29">
        <v>0</v>
      </c>
      <c r="G26" s="29">
        <v>525000</v>
      </c>
      <c r="H26" s="29">
        <v>1E+30</v>
      </c>
    </row>
    <row r="27" spans="2:8">
      <c r="B27" s="29" t="s">
        <v>69</v>
      </c>
      <c r="C27" s="29"/>
      <c r="D27" s="29">
        <v>175000</v>
      </c>
      <c r="E27" s="29">
        <v>0</v>
      </c>
      <c r="F27" s="29">
        <v>0</v>
      </c>
      <c r="G27" s="29">
        <v>175000</v>
      </c>
      <c r="H27" s="29">
        <v>1E+30</v>
      </c>
    </row>
    <row r="28" spans="2:8">
      <c r="B28" s="29" t="s">
        <v>70</v>
      </c>
      <c r="C28" s="29"/>
      <c r="D28" s="29">
        <v>75000</v>
      </c>
      <c r="E28" s="29">
        <v>0</v>
      </c>
      <c r="F28" s="29">
        <v>0</v>
      </c>
      <c r="G28" s="29">
        <v>75000</v>
      </c>
      <c r="H28" s="29">
        <v>1E+30</v>
      </c>
    </row>
    <row r="29" spans="2:8">
      <c r="B29" s="29" t="s">
        <v>71</v>
      </c>
      <c r="C29" s="29"/>
      <c r="D29" s="29">
        <v>225000</v>
      </c>
      <c r="E29" s="29">
        <v>0</v>
      </c>
      <c r="F29" s="29">
        <v>0</v>
      </c>
      <c r="G29" s="29">
        <v>225000</v>
      </c>
      <c r="H29" s="29">
        <v>1E+30</v>
      </c>
    </row>
    <row r="30" spans="2:8">
      <c r="B30" s="29" t="s">
        <v>72</v>
      </c>
      <c r="C30" s="29"/>
      <c r="D30" s="29">
        <v>0</v>
      </c>
      <c r="E30" s="29">
        <v>-2.2333333333333386E-2</v>
      </c>
      <c r="F30" s="29">
        <v>0</v>
      </c>
      <c r="G30" s="29">
        <v>350000</v>
      </c>
      <c r="H30" s="29">
        <v>0</v>
      </c>
    </row>
    <row r="31" spans="2:8" ht="17" thickBot="1">
      <c r="B31" s="30" t="s">
        <v>73</v>
      </c>
      <c r="C31" s="30"/>
      <c r="D31" s="30">
        <v>2000000</v>
      </c>
      <c r="E31" s="30">
        <v>0</v>
      </c>
      <c r="F31" s="30">
        <v>0</v>
      </c>
      <c r="G31" s="30">
        <v>2000000</v>
      </c>
      <c r="H31" s="30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E87-C1E6-BA49-893E-41FB137C5C43}">
  <dimension ref="A1:H31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5.6640625" bestFit="1" customWidth="1"/>
    <col min="3" max="3" width="10.16406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8">
      <c r="A1" s="28" t="s">
        <v>29</v>
      </c>
    </row>
    <row r="2" spans="1:8">
      <c r="A2" s="28" t="s">
        <v>30</v>
      </c>
    </row>
    <row r="3" spans="1:8">
      <c r="A3" s="28" t="s">
        <v>92</v>
      </c>
    </row>
    <row r="6" spans="1:8" ht="17" thickBot="1">
      <c r="A6" t="s">
        <v>32</v>
      </c>
    </row>
    <row r="7" spans="1:8">
      <c r="B7" s="31"/>
      <c r="C7" s="31"/>
      <c r="D7" s="31" t="s">
        <v>35</v>
      </c>
      <c r="E7" s="31" t="s">
        <v>37</v>
      </c>
      <c r="F7" s="31" t="s">
        <v>39</v>
      </c>
      <c r="G7" s="31" t="s">
        <v>41</v>
      </c>
      <c r="H7" s="31" t="s">
        <v>41</v>
      </c>
    </row>
    <row r="8" spans="1:8" ht="17" thickBot="1">
      <c r="B8" s="32" t="s">
        <v>33</v>
      </c>
      <c r="C8" s="32" t="s">
        <v>34</v>
      </c>
      <c r="D8" s="32" t="s">
        <v>36</v>
      </c>
      <c r="E8" s="32" t="s">
        <v>38</v>
      </c>
      <c r="F8" s="32" t="s">
        <v>40</v>
      </c>
      <c r="G8" s="32" t="s">
        <v>42</v>
      </c>
      <c r="H8" s="32" t="s">
        <v>43</v>
      </c>
    </row>
    <row r="9" spans="1:8">
      <c r="B9" s="29" t="s">
        <v>49</v>
      </c>
      <c r="C9" s="29" t="s">
        <v>50</v>
      </c>
      <c r="D9" s="29">
        <v>615000</v>
      </c>
      <c r="E9" s="29">
        <v>0</v>
      </c>
      <c r="F9" s="29">
        <v>6.666666666666668E-2</v>
      </c>
      <c r="G9" s="29">
        <v>0.13311111111111104</v>
      </c>
      <c r="H9" s="29">
        <v>1.4888888888888924E-2</v>
      </c>
    </row>
    <row r="10" spans="1:8">
      <c r="B10" s="29" t="s">
        <v>51</v>
      </c>
      <c r="C10" s="29" t="s">
        <v>52</v>
      </c>
      <c r="D10" s="29">
        <v>204999.99999999997</v>
      </c>
      <c r="E10" s="29">
        <v>0</v>
      </c>
      <c r="F10" s="29">
        <v>6.666666666666668E-2</v>
      </c>
      <c r="G10" s="29">
        <v>0.3993333333333331</v>
      </c>
      <c r="H10" s="29">
        <v>1.4888888888888924E-2</v>
      </c>
    </row>
    <row r="11" spans="1:8">
      <c r="B11" s="29" t="s">
        <v>53</v>
      </c>
      <c r="C11" s="29" t="s">
        <v>54</v>
      </c>
      <c r="D11" s="29">
        <v>65000.000000000058</v>
      </c>
      <c r="E11" s="29">
        <v>0</v>
      </c>
      <c r="F11" s="29">
        <v>5.5499999999999994E-2</v>
      </c>
      <c r="G11" s="29">
        <v>1.4888888888888932E-2</v>
      </c>
      <c r="H11" s="29">
        <v>0.13311111111111104</v>
      </c>
    </row>
    <row r="12" spans="1:8">
      <c r="B12" s="29" t="s">
        <v>55</v>
      </c>
      <c r="C12" s="29" t="s">
        <v>56</v>
      </c>
      <c r="D12" s="29">
        <v>195000.00000000017</v>
      </c>
      <c r="E12" s="29">
        <v>0</v>
      </c>
      <c r="F12" s="29">
        <v>5.5499999999999994E-2</v>
      </c>
      <c r="G12" s="29">
        <v>1.3229629629629678E-2</v>
      </c>
      <c r="H12" s="29">
        <v>4.4370370370370345E-2</v>
      </c>
    </row>
    <row r="13" spans="1:8">
      <c r="B13" s="29" t="s">
        <v>57</v>
      </c>
      <c r="C13" s="29" t="s">
        <v>58</v>
      </c>
      <c r="D13" s="29">
        <v>0</v>
      </c>
      <c r="E13" s="29">
        <v>0</v>
      </c>
      <c r="F13" s="29">
        <v>6.4800000000000024E-2</v>
      </c>
      <c r="G13" s="29">
        <v>2.2333333333333386E-2</v>
      </c>
      <c r="H13" s="29">
        <v>1E+30</v>
      </c>
    </row>
    <row r="14" spans="1:8" ht="17" thickBot="1">
      <c r="B14" s="30" t="s">
        <v>59</v>
      </c>
      <c r="C14" s="30" t="s">
        <v>60</v>
      </c>
      <c r="D14" s="30">
        <v>2000000</v>
      </c>
      <c r="E14" s="30">
        <v>0</v>
      </c>
      <c r="F14" s="30">
        <v>6.4800000000000024E-2</v>
      </c>
      <c r="G14" s="30">
        <v>1E+30</v>
      </c>
      <c r="H14" s="30">
        <v>1.4883333333333387E-2</v>
      </c>
    </row>
    <row r="16" spans="1:8" ht="17" thickBot="1">
      <c r="A16" t="s">
        <v>44</v>
      </c>
    </row>
    <row r="17" spans="2:8">
      <c r="B17" s="31"/>
      <c r="C17" s="31"/>
      <c r="D17" s="31" t="s">
        <v>35</v>
      </c>
      <c r="E17" s="31" t="s">
        <v>45</v>
      </c>
      <c r="F17" s="31" t="s">
        <v>47</v>
      </c>
      <c r="G17" s="31" t="s">
        <v>41</v>
      </c>
      <c r="H17" s="31" t="s">
        <v>41</v>
      </c>
    </row>
    <row r="18" spans="2:8" ht="17" thickBot="1">
      <c r="B18" s="32" t="s">
        <v>33</v>
      </c>
      <c r="C18" s="32" t="s">
        <v>34</v>
      </c>
      <c r="D18" s="32" t="s">
        <v>36</v>
      </c>
      <c r="E18" s="32" t="s">
        <v>46</v>
      </c>
      <c r="F18" s="32" t="s">
        <v>48</v>
      </c>
      <c r="G18" s="32" t="s">
        <v>42</v>
      </c>
      <c r="H18" s="32" t="s">
        <v>43</v>
      </c>
    </row>
    <row r="19" spans="2:8">
      <c r="B19" s="29" t="s">
        <v>61</v>
      </c>
      <c r="C19" s="29" t="s">
        <v>9</v>
      </c>
      <c r="D19" s="29">
        <v>680000</v>
      </c>
      <c r="E19" s="29">
        <v>7.2250000000000023E-2</v>
      </c>
      <c r="F19" s="29">
        <v>680000</v>
      </c>
      <c r="G19" s="29">
        <v>520000.00000000047</v>
      </c>
      <c r="H19" s="29">
        <v>546666.66666666663</v>
      </c>
    </row>
    <row r="20" spans="2:8">
      <c r="B20" s="29" t="s">
        <v>62</v>
      </c>
      <c r="C20" s="29"/>
      <c r="D20" s="29">
        <v>2400000</v>
      </c>
      <c r="E20" s="29">
        <v>4.9916666666666637E-2</v>
      </c>
      <c r="F20" s="29">
        <v>2400000</v>
      </c>
      <c r="G20" s="29">
        <v>493333.3333333332</v>
      </c>
      <c r="H20" s="29">
        <v>173333.33333333349</v>
      </c>
    </row>
    <row r="21" spans="2:8">
      <c r="B21" s="29" t="s">
        <v>63</v>
      </c>
      <c r="C21" s="29"/>
      <c r="D21" s="29">
        <v>1.1641532182693481E-10</v>
      </c>
      <c r="E21" s="29">
        <v>-5.5833333333333464E-3</v>
      </c>
      <c r="F21" s="29">
        <v>0</v>
      </c>
      <c r="G21" s="29">
        <v>546666.66666666663</v>
      </c>
      <c r="H21" s="29">
        <v>520000.00000000047</v>
      </c>
    </row>
    <row r="22" spans="2:8">
      <c r="B22" s="29" t="s">
        <v>64</v>
      </c>
      <c r="C22" s="29"/>
      <c r="D22" s="29">
        <v>0</v>
      </c>
      <c r="E22" s="29">
        <v>-5.5833333333333499E-3</v>
      </c>
      <c r="F22" s="29">
        <v>0</v>
      </c>
      <c r="G22" s="29">
        <v>1479999.9999999995</v>
      </c>
      <c r="H22" s="29">
        <v>173333.33333333349</v>
      </c>
    </row>
    <row r="23" spans="2:8">
      <c r="B23" s="29" t="s">
        <v>65</v>
      </c>
      <c r="C23" s="29"/>
      <c r="D23" s="29">
        <v>820000</v>
      </c>
      <c r="E23" s="29">
        <v>0</v>
      </c>
      <c r="F23" s="29">
        <v>14400000</v>
      </c>
      <c r="G23" s="29">
        <v>1E+30</v>
      </c>
      <c r="H23" s="29">
        <v>13580000</v>
      </c>
    </row>
    <row r="24" spans="2:8">
      <c r="B24" s="29" t="s">
        <v>66</v>
      </c>
      <c r="C24" s="29"/>
      <c r="D24" s="29">
        <v>260000.00000000023</v>
      </c>
      <c r="E24" s="29">
        <v>0</v>
      </c>
      <c r="F24" s="29">
        <v>1000000</v>
      </c>
      <c r="G24" s="29">
        <v>1E+30</v>
      </c>
      <c r="H24" s="29">
        <v>739999.99999999977</v>
      </c>
    </row>
    <row r="25" spans="2:8">
      <c r="B25" s="29" t="s">
        <v>67</v>
      </c>
      <c r="C25" s="29"/>
      <c r="D25" s="29">
        <v>2000000</v>
      </c>
      <c r="E25" s="29">
        <v>1.4883333333333387E-2</v>
      </c>
      <c r="F25" s="29">
        <v>2000000</v>
      </c>
      <c r="G25" s="29">
        <v>173333.33333333349</v>
      </c>
      <c r="H25" s="29">
        <v>493333.3333333332</v>
      </c>
    </row>
    <row r="26" spans="2:8">
      <c r="B26" s="29" t="s">
        <v>68</v>
      </c>
      <c r="C26" s="29" t="s">
        <v>13</v>
      </c>
      <c r="D26" s="29">
        <v>615000</v>
      </c>
      <c r="E26" s="29">
        <v>0</v>
      </c>
      <c r="F26" s="29">
        <v>0</v>
      </c>
      <c r="G26" s="29">
        <v>615000</v>
      </c>
      <c r="H26" s="29">
        <v>1E+30</v>
      </c>
    </row>
    <row r="27" spans="2:8">
      <c r="B27" s="29" t="s">
        <v>69</v>
      </c>
      <c r="C27" s="29"/>
      <c r="D27" s="29">
        <v>204999.99999999997</v>
      </c>
      <c r="E27" s="29">
        <v>0</v>
      </c>
      <c r="F27" s="29">
        <v>0</v>
      </c>
      <c r="G27" s="29">
        <v>204999.99999999997</v>
      </c>
      <c r="H27" s="29">
        <v>1E+30</v>
      </c>
    </row>
    <row r="28" spans="2:8">
      <c r="B28" s="29" t="s">
        <v>70</v>
      </c>
      <c r="C28" s="29"/>
      <c r="D28" s="29">
        <v>65000.000000000058</v>
      </c>
      <c r="E28" s="29">
        <v>0</v>
      </c>
      <c r="F28" s="29">
        <v>0</v>
      </c>
      <c r="G28" s="29">
        <v>65000.000000000058</v>
      </c>
      <c r="H28" s="29">
        <v>1E+30</v>
      </c>
    </row>
    <row r="29" spans="2:8">
      <c r="B29" s="29" t="s">
        <v>71</v>
      </c>
      <c r="C29" s="29"/>
      <c r="D29" s="29">
        <v>195000.00000000017</v>
      </c>
      <c r="E29" s="29">
        <v>0</v>
      </c>
      <c r="F29" s="29">
        <v>0</v>
      </c>
      <c r="G29" s="29">
        <v>195000.00000000017</v>
      </c>
      <c r="H29" s="29">
        <v>1E+30</v>
      </c>
    </row>
    <row r="30" spans="2:8">
      <c r="B30" s="29" t="s">
        <v>72</v>
      </c>
      <c r="C30" s="29"/>
      <c r="D30" s="29">
        <v>0</v>
      </c>
      <c r="E30" s="29">
        <v>-2.2333333333333386E-2</v>
      </c>
      <c r="F30" s="29">
        <v>0</v>
      </c>
      <c r="G30" s="29">
        <v>369999.99999999988</v>
      </c>
      <c r="H30" s="29">
        <v>0</v>
      </c>
    </row>
    <row r="31" spans="2:8" ht="17" thickBot="1">
      <c r="B31" s="30" t="s">
        <v>73</v>
      </c>
      <c r="C31" s="30"/>
      <c r="D31" s="30">
        <v>2000000</v>
      </c>
      <c r="E31" s="30">
        <v>0</v>
      </c>
      <c r="F31" s="30">
        <v>0</v>
      </c>
      <c r="G31" s="30">
        <v>2000000</v>
      </c>
      <c r="H31" s="30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9575-18BD-2A49-AF8D-2AB5C33F0EEF}">
  <sheetPr>
    <tabColor theme="5" tint="0.59999389629810485"/>
  </sheetPr>
  <dimension ref="A3:L3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7" max="7" width="15.83203125" customWidth="1"/>
    <col min="9" max="9" width="15.1640625" style="23" customWidth="1"/>
  </cols>
  <sheetData>
    <row r="3" spans="1:12">
      <c r="C3" t="s">
        <v>0</v>
      </c>
      <c r="D3" t="s">
        <v>1</v>
      </c>
      <c r="E3" t="s">
        <v>3</v>
      </c>
      <c r="F3" t="s">
        <v>4</v>
      </c>
      <c r="G3" t="s">
        <v>2</v>
      </c>
      <c r="H3" t="s">
        <v>5</v>
      </c>
      <c r="J3" s="8" t="s">
        <v>14</v>
      </c>
    </row>
    <row r="4" spans="1:12">
      <c r="B4" t="s">
        <v>20</v>
      </c>
      <c r="C4" s="2">
        <v>615000</v>
      </c>
      <c r="D4" s="2">
        <v>204999.99999999997</v>
      </c>
      <c r="E4" s="2">
        <v>65000.000000000058</v>
      </c>
      <c r="F4" s="2">
        <v>195000.00000000017</v>
      </c>
      <c r="G4" s="2">
        <v>0</v>
      </c>
      <c r="H4" s="2">
        <v>2000000</v>
      </c>
      <c r="J4" s="7">
        <f>SUMPRODUCT(C4:H4,C5:H5)</f>
        <v>198696.66666666669</v>
      </c>
    </row>
    <row r="5" spans="1:12">
      <c r="B5" t="s">
        <v>8</v>
      </c>
      <c r="C5" s="16">
        <f>(C7+C8)/C6</f>
        <v>6.666666666666668E-2</v>
      </c>
      <c r="D5" s="16">
        <f t="shared" ref="D5:H5" si="0">(D7+D8)/D6</f>
        <v>6.666666666666668E-2</v>
      </c>
      <c r="E5" s="16">
        <f t="shared" si="0"/>
        <v>5.5499999999999994E-2</v>
      </c>
      <c r="F5" s="16">
        <f t="shared" si="0"/>
        <v>5.5499999999999994E-2</v>
      </c>
      <c r="G5" s="16">
        <f t="shared" si="0"/>
        <v>6.480000000000001E-2</v>
      </c>
      <c r="H5" s="16">
        <f t="shared" si="0"/>
        <v>6.480000000000001E-2</v>
      </c>
      <c r="J5">
        <f>-180000-80000*0.085</f>
        <v>-186800</v>
      </c>
    </row>
    <row r="6" spans="1:12">
      <c r="B6" s="1" t="s">
        <v>21</v>
      </c>
      <c r="C6" s="20">
        <v>18</v>
      </c>
      <c r="D6" s="20">
        <v>18</v>
      </c>
      <c r="E6" s="20">
        <v>20</v>
      </c>
      <c r="F6" s="20">
        <v>20</v>
      </c>
      <c r="G6" s="20">
        <v>25</v>
      </c>
      <c r="H6" s="20">
        <v>25</v>
      </c>
      <c r="J6">
        <f>SUM(J4:J5)</f>
        <v>11896.666666666686</v>
      </c>
    </row>
    <row r="7" spans="1:12">
      <c r="B7" s="1" t="s">
        <v>6</v>
      </c>
      <c r="C7" s="20">
        <v>0.12</v>
      </c>
      <c r="D7" s="20">
        <v>0.12</v>
      </c>
      <c r="E7" s="20">
        <v>-0.09</v>
      </c>
      <c r="F7" s="20">
        <v>-0.09</v>
      </c>
      <c r="G7" s="20">
        <v>0.12</v>
      </c>
      <c r="H7" s="20">
        <v>0.12</v>
      </c>
    </row>
    <row r="8" spans="1:12">
      <c r="B8" s="1" t="s">
        <v>7</v>
      </c>
      <c r="C8" s="20">
        <v>1.08</v>
      </c>
      <c r="D8" s="20">
        <f>C8</f>
        <v>1.08</v>
      </c>
      <c r="E8" s="20">
        <v>1.2</v>
      </c>
      <c r="F8" s="20">
        <f>E8</f>
        <v>1.2</v>
      </c>
      <c r="G8" s="20">
        <v>1.5</v>
      </c>
      <c r="H8" s="20">
        <f>G8</f>
        <v>1.5</v>
      </c>
    </row>
    <row r="10" spans="1:12">
      <c r="C10" t="s">
        <v>0</v>
      </c>
      <c r="D10" t="s">
        <v>1</v>
      </c>
      <c r="E10" t="s">
        <v>3</v>
      </c>
      <c r="F10" t="s">
        <v>4</v>
      </c>
      <c r="G10" t="s">
        <v>2</v>
      </c>
      <c r="H10" t="s">
        <v>5</v>
      </c>
    </row>
    <row r="11" spans="1:12">
      <c r="A11" t="s">
        <v>9</v>
      </c>
      <c r="C11" s="3">
        <v>1</v>
      </c>
      <c r="D11" s="3"/>
      <c r="E11" s="3">
        <v>1</v>
      </c>
      <c r="F11" s="3"/>
      <c r="G11" s="3">
        <v>1</v>
      </c>
      <c r="H11" s="3"/>
      <c r="I11" s="14">
        <f>SUMPRODUCT($C$4:$H$4,C11:H11)</f>
        <v>680000</v>
      </c>
      <c r="J11" s="5" t="s">
        <v>12</v>
      </c>
      <c r="K11" s="5">
        <f>3*10^6*(0.2)+80000</f>
        <v>680000</v>
      </c>
      <c r="L11" t="s">
        <v>22</v>
      </c>
    </row>
    <row r="12" spans="1:12">
      <c r="C12" s="3"/>
      <c r="D12" s="3">
        <v>1</v>
      </c>
      <c r="E12" s="3"/>
      <c r="F12" s="3">
        <v>1</v>
      </c>
      <c r="G12" s="3"/>
      <c r="H12" s="3">
        <v>1</v>
      </c>
      <c r="I12" s="14">
        <f t="shared" ref="I12:I27" si="1">SUMPRODUCT($C$4:$H$4,C12:H12)</f>
        <v>2400000</v>
      </c>
      <c r="J12" s="5" t="s">
        <v>12</v>
      </c>
      <c r="K12" s="5">
        <f>3*10^6*(0.8)</f>
        <v>2400000</v>
      </c>
      <c r="L12" t="s">
        <v>23</v>
      </c>
    </row>
    <row r="13" spans="1:12">
      <c r="C13" s="3">
        <f>9-8</f>
        <v>1</v>
      </c>
      <c r="D13" s="3">
        <f>5-8</f>
        <v>-3</v>
      </c>
      <c r="E13" s="3"/>
      <c r="F13" s="3"/>
      <c r="G13" s="3"/>
      <c r="H13" s="3"/>
      <c r="I13" s="14">
        <f t="shared" si="1"/>
        <v>1.1641532182693481E-10</v>
      </c>
      <c r="J13" s="5" t="s">
        <v>11</v>
      </c>
      <c r="K13" s="5">
        <v>0</v>
      </c>
      <c r="L13" t="s">
        <v>24</v>
      </c>
    </row>
    <row r="14" spans="1:12">
      <c r="C14" s="3"/>
      <c r="D14" s="3"/>
      <c r="E14" s="3">
        <f>9-6</f>
        <v>3</v>
      </c>
      <c r="F14" s="3">
        <f>5-6</f>
        <v>-1</v>
      </c>
      <c r="G14" s="3"/>
      <c r="H14" s="3"/>
      <c r="I14" s="14">
        <f t="shared" si="1"/>
        <v>0</v>
      </c>
      <c r="J14" s="5" t="s">
        <v>11</v>
      </c>
      <c r="K14" s="5">
        <v>0</v>
      </c>
      <c r="L14" t="s">
        <v>25</v>
      </c>
    </row>
    <row r="15" spans="1:12">
      <c r="C15" s="3">
        <v>1</v>
      </c>
      <c r="D15" s="3">
        <v>1</v>
      </c>
      <c r="E15" s="3"/>
      <c r="F15" s="3"/>
      <c r="G15" s="3"/>
      <c r="H15" s="3"/>
      <c r="I15" s="14">
        <f t="shared" si="1"/>
        <v>820000</v>
      </c>
      <c r="J15" s="5" t="s">
        <v>12</v>
      </c>
      <c r="K15" s="5">
        <f>0.8*10^6*18</f>
        <v>14400000</v>
      </c>
      <c r="L15" t="s">
        <v>26</v>
      </c>
    </row>
    <row r="16" spans="1:12">
      <c r="C16" s="3"/>
      <c r="D16" s="3"/>
      <c r="E16" s="3">
        <v>1</v>
      </c>
      <c r="F16" s="3">
        <v>1</v>
      </c>
      <c r="G16" s="3"/>
      <c r="H16" s="3"/>
      <c r="I16" s="14">
        <f t="shared" si="1"/>
        <v>260000.00000000023</v>
      </c>
      <c r="J16" s="5" t="s">
        <v>12</v>
      </c>
      <c r="K16" s="5">
        <f>0.05*10^6*20</f>
        <v>1000000</v>
      </c>
      <c r="L16" t="s">
        <v>27</v>
      </c>
    </row>
    <row r="17" spans="1:12">
      <c r="C17" s="3"/>
      <c r="D17" s="3"/>
      <c r="E17" s="3"/>
      <c r="F17" s="3"/>
      <c r="G17" s="3">
        <v>1</v>
      </c>
      <c r="H17" s="3">
        <v>1</v>
      </c>
      <c r="I17" s="14">
        <f t="shared" si="1"/>
        <v>2000000</v>
      </c>
      <c r="J17" s="5" t="s">
        <v>12</v>
      </c>
      <c r="K17" s="5">
        <f>0.08*10^6*25</f>
        <v>2000000</v>
      </c>
      <c r="L17" t="s">
        <v>28</v>
      </c>
    </row>
    <row r="18" spans="1:12">
      <c r="A18" s="11" t="s">
        <v>15</v>
      </c>
      <c r="B18" s="11"/>
      <c r="C18" s="12">
        <f>1/18</f>
        <v>5.5555555555555552E-2</v>
      </c>
      <c r="D18" s="12">
        <f>1/18</f>
        <v>5.5555555555555552E-2</v>
      </c>
      <c r="E18" s="12"/>
      <c r="F18" s="12"/>
      <c r="G18" s="12"/>
      <c r="H18" s="12"/>
      <c r="I18" s="24">
        <f>MOD(ROUND(SUMPRODUCT($C$4:$H$4,C18:H18),18),1)</f>
        <v>0.55555555549653945</v>
      </c>
      <c r="J18" s="13" t="s">
        <v>10</v>
      </c>
      <c r="K18" s="13">
        <v>0</v>
      </c>
      <c r="L18">
        <f>MOD(10.1,1)</f>
        <v>9.9999999999999645E-2</v>
      </c>
    </row>
    <row r="19" spans="1:12">
      <c r="A19" s="11"/>
      <c r="B19" s="11"/>
      <c r="C19" s="12"/>
      <c r="D19" s="12"/>
      <c r="E19" s="12">
        <f>1/20</f>
        <v>0.05</v>
      </c>
      <c r="F19" s="12">
        <f>1/20</f>
        <v>0.05</v>
      </c>
      <c r="G19" s="12"/>
      <c r="H19" s="12"/>
      <c r="I19" s="24">
        <f>MOD(ROUND(SUMPRODUCT($C$4:$H$4,C19:H19), 4),1)</f>
        <v>0</v>
      </c>
      <c r="J19" s="13" t="s">
        <v>10</v>
      </c>
      <c r="K19" s="13">
        <v>0</v>
      </c>
    </row>
    <row r="20" spans="1:12">
      <c r="A20" s="11"/>
      <c r="B20" s="11"/>
      <c r="C20" s="12"/>
      <c r="D20" s="12"/>
      <c r="E20" s="12"/>
      <c r="F20" s="12"/>
      <c r="G20" s="12">
        <f>1/25</f>
        <v>0.04</v>
      </c>
      <c r="H20" s="12">
        <f>1/25</f>
        <v>0.04</v>
      </c>
      <c r="I20" s="24">
        <f>MOD(ROUND(SUMPRODUCT($C$4:$H$4,C20:H20),25),1)</f>
        <v>0</v>
      </c>
      <c r="J20" s="13" t="s">
        <v>10</v>
      </c>
      <c r="K20" s="13">
        <v>0</v>
      </c>
    </row>
    <row r="21" spans="1:12">
      <c r="I21" s="14"/>
      <c r="J21" s="5"/>
      <c r="K21" s="5"/>
    </row>
    <row r="22" spans="1:12">
      <c r="A22" t="s">
        <v>13</v>
      </c>
      <c r="C22" s="4">
        <v>1</v>
      </c>
      <c r="D22" s="4"/>
      <c r="E22" s="4"/>
      <c r="F22" s="4"/>
      <c r="G22" s="4"/>
      <c r="H22" s="4"/>
      <c r="I22" s="14">
        <f t="shared" si="1"/>
        <v>615000</v>
      </c>
      <c r="J22" s="5" t="s">
        <v>11</v>
      </c>
      <c r="K22" s="5">
        <v>0</v>
      </c>
      <c r="L22" s="22"/>
    </row>
    <row r="23" spans="1:12">
      <c r="C23" s="4"/>
      <c r="D23" s="4">
        <v>1</v>
      </c>
      <c r="E23" s="4"/>
      <c r="F23" s="4"/>
      <c r="G23" s="4"/>
      <c r="H23" s="4"/>
      <c r="I23" s="14">
        <f t="shared" si="1"/>
        <v>204999.99999999997</v>
      </c>
      <c r="J23" s="5" t="s">
        <v>11</v>
      </c>
      <c r="K23" s="5">
        <v>0</v>
      </c>
      <c r="L23" s="22"/>
    </row>
    <row r="24" spans="1:12">
      <c r="C24" s="4"/>
      <c r="D24" s="4"/>
      <c r="E24" s="4">
        <v>1</v>
      </c>
      <c r="F24" s="4"/>
      <c r="G24" s="4"/>
      <c r="H24" s="4"/>
      <c r="I24" s="14">
        <f>SUMPRODUCT($C$4:$H$4,C24:H24)</f>
        <v>65000.000000000058</v>
      </c>
      <c r="J24" s="5" t="s">
        <v>11</v>
      </c>
      <c r="K24" s="5">
        <v>0</v>
      </c>
      <c r="L24" s="22"/>
    </row>
    <row r="25" spans="1:12">
      <c r="C25" s="4"/>
      <c r="D25" s="4"/>
      <c r="E25" s="4"/>
      <c r="F25" s="4">
        <v>1</v>
      </c>
      <c r="G25" s="4"/>
      <c r="H25" s="4"/>
      <c r="I25" s="14">
        <f t="shared" si="1"/>
        <v>195000.00000000017</v>
      </c>
      <c r="J25" s="5" t="s">
        <v>11</v>
      </c>
      <c r="K25" s="5">
        <v>0</v>
      </c>
      <c r="L25" s="22"/>
    </row>
    <row r="26" spans="1:12">
      <c r="C26" s="4"/>
      <c r="D26" s="4"/>
      <c r="E26" s="4"/>
      <c r="F26" s="4"/>
      <c r="G26" s="4">
        <v>1</v>
      </c>
      <c r="H26" s="4"/>
      <c r="I26" s="14">
        <f t="shared" si="1"/>
        <v>0</v>
      </c>
      <c r="J26" s="5" t="s">
        <v>11</v>
      </c>
      <c r="K26" s="5">
        <v>0</v>
      </c>
      <c r="L26" s="22"/>
    </row>
    <row r="27" spans="1:12">
      <c r="C27" s="4"/>
      <c r="D27" s="4"/>
      <c r="E27" s="4"/>
      <c r="F27" s="4"/>
      <c r="G27" s="4"/>
      <c r="H27" s="4">
        <v>1</v>
      </c>
      <c r="I27" s="14">
        <f t="shared" si="1"/>
        <v>2000000</v>
      </c>
      <c r="J27" s="5" t="s">
        <v>11</v>
      </c>
      <c r="K27" s="5">
        <v>0</v>
      </c>
      <c r="L27" s="22"/>
    </row>
    <row r="28" spans="1:12">
      <c r="L28" s="22"/>
    </row>
    <row r="32" spans="1:12">
      <c r="E32" t="s">
        <v>19</v>
      </c>
    </row>
    <row r="33" spans="5:11">
      <c r="E33">
        <v>4413000</v>
      </c>
      <c r="F33" t="s">
        <v>16</v>
      </c>
    </row>
    <row r="34" spans="5:11">
      <c r="E34">
        <v>-180000</v>
      </c>
      <c r="F34" t="s">
        <v>17</v>
      </c>
    </row>
    <row r="35" spans="5:11">
      <c r="E35">
        <v>4233000</v>
      </c>
      <c r="F35" t="s">
        <v>18</v>
      </c>
      <c r="K35">
        <f>MOD(10.1,1)</f>
        <v>9.9999999999999645E-2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7BB6-129F-C942-AE08-45F9C3B3F8A8}">
  <sheetPr>
    <tabColor theme="5" tint="0.59999389629810485"/>
  </sheetPr>
  <dimension ref="B1:K28"/>
  <sheetViews>
    <sheetView showGridLines="0" tabSelected="1" workbookViewId="0">
      <selection activeCell="K7" sqref="K7"/>
    </sheetView>
  </sheetViews>
  <sheetFormatPr baseColWidth="10" defaultRowHeight="16"/>
  <cols>
    <col min="1" max="1" width="3.83203125" customWidth="1"/>
    <col min="2" max="2" width="11.83203125" customWidth="1"/>
    <col min="3" max="8" width="13.83203125" customWidth="1"/>
    <col min="9" max="9" width="13.83203125" style="23" customWidth="1"/>
    <col min="10" max="10" width="14.6640625" bestFit="1" customWidth="1"/>
    <col min="11" max="11" width="15" customWidth="1"/>
    <col min="12" max="12" width="3.83203125" customWidth="1"/>
  </cols>
  <sheetData>
    <row r="1" spans="2:11">
      <c r="B1" s="28" t="s">
        <v>89</v>
      </c>
    </row>
    <row r="3" spans="2:11" ht="17" thickBot="1">
      <c r="B3" s="75"/>
      <c r="C3" s="76" t="s">
        <v>76</v>
      </c>
      <c r="D3" s="76" t="s">
        <v>78</v>
      </c>
      <c r="E3" s="76" t="s">
        <v>77</v>
      </c>
      <c r="F3" s="76" t="s">
        <v>79</v>
      </c>
      <c r="G3" s="76" t="s">
        <v>80</v>
      </c>
      <c r="H3" s="77" t="s">
        <v>81</v>
      </c>
      <c r="I3" s="34"/>
      <c r="J3" s="33"/>
      <c r="K3" s="33"/>
    </row>
    <row r="4" spans="2:11" ht="17" thickTop="1">
      <c r="B4" s="46" t="s">
        <v>82</v>
      </c>
      <c r="C4" s="38">
        <v>525000</v>
      </c>
      <c r="D4" s="38">
        <v>175000</v>
      </c>
      <c r="E4" s="38">
        <v>75000</v>
      </c>
      <c r="F4" s="38">
        <v>225000</v>
      </c>
      <c r="G4" s="38">
        <v>0</v>
      </c>
      <c r="H4" s="39">
        <v>2000000</v>
      </c>
      <c r="I4" s="35"/>
      <c r="J4" s="82" t="s">
        <v>84</v>
      </c>
      <c r="K4" s="83"/>
    </row>
    <row r="5" spans="2:11" ht="17" thickBot="1">
      <c r="B5" s="74" t="s">
        <v>8</v>
      </c>
      <c r="C5" s="78">
        <f t="shared" ref="C5:H5" si="0">C7/C6</f>
        <v>8.2222222222222224E-2</v>
      </c>
      <c r="D5" s="78">
        <f t="shared" si="0"/>
        <v>8.2222222222222224E-2</v>
      </c>
      <c r="E5" s="78">
        <f t="shared" si="0"/>
        <v>6.6000000000000003E-2</v>
      </c>
      <c r="F5" s="78">
        <f t="shared" si="0"/>
        <v>6.6000000000000003E-2</v>
      </c>
      <c r="G5" s="78">
        <f t="shared" si="0"/>
        <v>7.400000000000001E-2</v>
      </c>
      <c r="H5" s="79">
        <f t="shared" si="0"/>
        <v>7.400000000000001E-2</v>
      </c>
      <c r="I5" s="35"/>
      <c r="J5" s="65" t="s">
        <v>85</v>
      </c>
      <c r="K5" s="64">
        <f>SUMPRODUCT(C4:H4,C5:H5)</f>
        <v>225355.55555555559</v>
      </c>
    </row>
    <row r="6" spans="2:11" ht="18" thickTop="1" thickBot="1">
      <c r="B6" s="40" t="s">
        <v>21</v>
      </c>
      <c r="C6" s="41">
        <v>18</v>
      </c>
      <c r="D6" s="41">
        <v>18</v>
      </c>
      <c r="E6" s="41">
        <v>20</v>
      </c>
      <c r="F6" s="41">
        <v>20</v>
      </c>
      <c r="G6" s="41">
        <v>25</v>
      </c>
      <c r="H6" s="42">
        <v>25</v>
      </c>
      <c r="I6" s="35"/>
      <c r="J6" s="65" t="s">
        <v>86</v>
      </c>
      <c r="K6" s="64">
        <v>-180000</v>
      </c>
    </row>
    <row r="7" spans="2:11" ht="18" thickTop="1" thickBot="1">
      <c r="B7" s="43" t="s">
        <v>8</v>
      </c>
      <c r="C7" s="44">
        <v>1.48</v>
      </c>
      <c r="D7" s="44">
        <v>1.48</v>
      </c>
      <c r="E7" s="44">
        <v>1.32</v>
      </c>
      <c r="F7" s="44">
        <v>1.32</v>
      </c>
      <c r="G7" s="44">
        <v>1.85</v>
      </c>
      <c r="H7" s="45">
        <v>1.85</v>
      </c>
      <c r="I7" s="35"/>
      <c r="J7" s="66" t="s">
        <v>87</v>
      </c>
      <c r="K7" s="67">
        <f>SUM(K5:K6)</f>
        <v>45355.555555555591</v>
      </c>
    </row>
    <row r="8" spans="2:11" ht="17" thickTop="1">
      <c r="B8" s="36"/>
      <c r="C8" s="37"/>
      <c r="D8" s="37"/>
      <c r="E8" s="37"/>
      <c r="F8" s="37"/>
      <c r="G8" s="37"/>
      <c r="H8" s="37"/>
      <c r="I8" s="35"/>
      <c r="J8" s="35"/>
      <c r="K8" s="35"/>
    </row>
    <row r="9" spans="2:11">
      <c r="B9" s="36"/>
      <c r="C9" s="37"/>
      <c r="D9" s="37"/>
      <c r="E9" s="37"/>
      <c r="F9" s="37"/>
      <c r="G9" s="37"/>
      <c r="H9" s="37"/>
      <c r="I9" s="35"/>
      <c r="J9" s="35"/>
      <c r="K9" s="35"/>
    </row>
    <row r="10" spans="2:11" ht="17" thickBot="1">
      <c r="B10" s="73" t="s">
        <v>44</v>
      </c>
      <c r="C10" s="49" t="s">
        <v>76</v>
      </c>
      <c r="D10" s="50" t="s">
        <v>78</v>
      </c>
      <c r="E10" s="50" t="s">
        <v>77</v>
      </c>
      <c r="F10" s="50" t="s">
        <v>79</v>
      </c>
      <c r="G10" s="50" t="s">
        <v>80</v>
      </c>
      <c r="H10" s="51" t="s">
        <v>81</v>
      </c>
      <c r="I10" s="35"/>
      <c r="J10" s="35"/>
      <c r="K10" s="35"/>
    </row>
    <row r="11" spans="2:11" ht="18" thickTop="1" thickBot="1">
      <c r="B11" s="47" t="s">
        <v>22</v>
      </c>
      <c r="C11" s="52">
        <v>1</v>
      </c>
      <c r="D11" s="53"/>
      <c r="E11" s="53">
        <v>1</v>
      </c>
      <c r="F11" s="53"/>
      <c r="G11" s="53">
        <v>1</v>
      </c>
      <c r="H11" s="54"/>
      <c r="I11" s="68">
        <f>SUMPRODUCT($C$4:$H$4,C11:H11)</f>
        <v>600000</v>
      </c>
      <c r="J11" s="70" t="s">
        <v>12</v>
      </c>
      <c r="K11" s="69">
        <f>3*10^6*(0.2)</f>
        <v>600000</v>
      </c>
    </row>
    <row r="12" spans="2:11" ht="18" thickTop="1" thickBot="1">
      <c r="B12" s="48" t="s">
        <v>23</v>
      </c>
      <c r="C12" s="55"/>
      <c r="D12" s="56">
        <v>1</v>
      </c>
      <c r="E12" s="56"/>
      <c r="F12" s="56">
        <v>1</v>
      </c>
      <c r="G12" s="56"/>
      <c r="H12" s="57">
        <v>1</v>
      </c>
      <c r="I12" s="68">
        <f>SUMPRODUCT($C$4:$H$4,C12:H12)</f>
        <v>2400000</v>
      </c>
      <c r="J12" s="71" t="s">
        <v>12</v>
      </c>
      <c r="K12" s="69">
        <f>3*10^6*(0.8)</f>
        <v>2400000</v>
      </c>
    </row>
    <row r="13" spans="2:11" ht="18" thickTop="1" thickBot="1">
      <c r="B13" s="48" t="s">
        <v>26</v>
      </c>
      <c r="C13" s="55">
        <v>1</v>
      </c>
      <c r="D13" s="56">
        <v>1</v>
      </c>
      <c r="E13" s="56"/>
      <c r="F13" s="56"/>
      <c r="G13" s="56"/>
      <c r="H13" s="57"/>
      <c r="I13" s="68">
        <f>SUMPRODUCT($C$4:$H$4,C13:H13)</f>
        <v>700000</v>
      </c>
      <c r="J13" s="71" t="s">
        <v>12</v>
      </c>
      <c r="K13" s="69">
        <f>0.8*10^6*18</f>
        <v>14400000</v>
      </c>
    </row>
    <row r="14" spans="2:11" ht="18" thickTop="1" thickBot="1">
      <c r="B14" s="48" t="s">
        <v>27</v>
      </c>
      <c r="C14" s="55"/>
      <c r="D14" s="56"/>
      <c r="E14" s="56">
        <v>1</v>
      </c>
      <c r="F14" s="56">
        <v>1</v>
      </c>
      <c r="G14" s="56"/>
      <c r="H14" s="57"/>
      <c r="I14" s="68">
        <f>SUMPRODUCT($C$4:$H$4,C14:H14)</f>
        <v>300000</v>
      </c>
      <c r="J14" s="71" t="s">
        <v>12</v>
      </c>
      <c r="K14" s="69">
        <f>0.05*10^6*20</f>
        <v>1000000</v>
      </c>
    </row>
    <row r="15" spans="2:11" ht="18" thickTop="1" thickBot="1">
      <c r="B15" s="48" t="s">
        <v>28</v>
      </c>
      <c r="C15" s="55"/>
      <c r="D15" s="56"/>
      <c r="E15" s="56"/>
      <c r="F15" s="56"/>
      <c r="G15" s="56">
        <v>1</v>
      </c>
      <c r="H15" s="57">
        <v>1</v>
      </c>
      <c r="I15" s="68">
        <f>SUMPRODUCT($C$4:$H$4,C15:H15)</f>
        <v>2000000</v>
      </c>
      <c r="J15" s="71" t="s">
        <v>12</v>
      </c>
      <c r="K15" s="69">
        <f>0.08*10^6*25</f>
        <v>2000000</v>
      </c>
    </row>
    <row r="16" spans="2:11" ht="18" thickTop="1" thickBot="1">
      <c r="B16" s="48" t="s">
        <v>24</v>
      </c>
      <c r="C16" s="55">
        <f>9-8</f>
        <v>1</v>
      </c>
      <c r="D16" s="56">
        <f>5-8</f>
        <v>-3</v>
      </c>
      <c r="E16" s="56"/>
      <c r="F16" s="56"/>
      <c r="G16" s="56"/>
      <c r="H16" s="57"/>
      <c r="I16" s="68">
        <f t="shared" ref="I16:I23" si="1">SUMPRODUCT($C$4:$H$4,C16:H16)</f>
        <v>0</v>
      </c>
      <c r="J16" s="71" t="s">
        <v>11</v>
      </c>
      <c r="K16" s="69">
        <v>0</v>
      </c>
    </row>
    <row r="17" spans="2:11" ht="18" thickTop="1" thickBot="1">
      <c r="B17" s="48" t="s">
        <v>25</v>
      </c>
      <c r="C17" s="55"/>
      <c r="D17" s="56"/>
      <c r="E17" s="56">
        <f>9-6</f>
        <v>3</v>
      </c>
      <c r="F17" s="56">
        <f>5-6</f>
        <v>-1</v>
      </c>
      <c r="G17" s="56"/>
      <c r="H17" s="57"/>
      <c r="I17" s="68">
        <f t="shared" si="1"/>
        <v>0</v>
      </c>
      <c r="J17" s="71" t="s">
        <v>11</v>
      </c>
      <c r="K17" s="69">
        <v>0</v>
      </c>
    </row>
    <row r="18" spans="2:11" ht="18" thickTop="1" thickBot="1">
      <c r="B18" s="80" t="s">
        <v>83</v>
      </c>
      <c r="C18" s="58">
        <v>1</v>
      </c>
      <c r="D18" s="59"/>
      <c r="E18" s="59"/>
      <c r="F18" s="59"/>
      <c r="G18" s="59"/>
      <c r="H18" s="60"/>
      <c r="I18" s="68">
        <f t="shared" si="1"/>
        <v>525000</v>
      </c>
      <c r="J18" s="71" t="s">
        <v>11</v>
      </c>
      <c r="K18" s="69">
        <v>0</v>
      </c>
    </row>
    <row r="19" spans="2:11" ht="18" thickTop="1" thickBot="1">
      <c r="B19" s="80"/>
      <c r="C19" s="58"/>
      <c r="D19" s="59">
        <v>1</v>
      </c>
      <c r="E19" s="59"/>
      <c r="F19" s="59"/>
      <c r="G19" s="59"/>
      <c r="H19" s="60"/>
      <c r="I19" s="68">
        <f t="shared" si="1"/>
        <v>175000</v>
      </c>
      <c r="J19" s="71" t="s">
        <v>11</v>
      </c>
      <c r="K19" s="69">
        <v>0</v>
      </c>
    </row>
    <row r="20" spans="2:11" ht="18" thickTop="1" thickBot="1">
      <c r="B20" s="80"/>
      <c r="C20" s="58"/>
      <c r="D20" s="59"/>
      <c r="E20" s="59">
        <v>1</v>
      </c>
      <c r="F20" s="59"/>
      <c r="G20" s="59"/>
      <c r="H20" s="60"/>
      <c r="I20" s="68">
        <f>SUMPRODUCT($C$4:$H$4,C20:H20)</f>
        <v>75000</v>
      </c>
      <c r="J20" s="71" t="s">
        <v>11</v>
      </c>
      <c r="K20" s="69">
        <v>0</v>
      </c>
    </row>
    <row r="21" spans="2:11" ht="18" thickTop="1" thickBot="1">
      <c r="B21" s="80"/>
      <c r="C21" s="58"/>
      <c r="D21" s="59"/>
      <c r="E21" s="59"/>
      <c r="F21" s="59">
        <v>1</v>
      </c>
      <c r="G21" s="59"/>
      <c r="H21" s="60"/>
      <c r="I21" s="68">
        <f t="shared" si="1"/>
        <v>225000</v>
      </c>
      <c r="J21" s="71" t="s">
        <v>11</v>
      </c>
      <c r="K21" s="69">
        <v>0</v>
      </c>
    </row>
    <row r="22" spans="2:11" ht="18" thickTop="1" thickBot="1">
      <c r="B22" s="80"/>
      <c r="C22" s="58"/>
      <c r="D22" s="59"/>
      <c r="E22" s="59"/>
      <c r="F22" s="59"/>
      <c r="G22" s="59">
        <v>1</v>
      </c>
      <c r="H22" s="60"/>
      <c r="I22" s="68">
        <f t="shared" si="1"/>
        <v>0</v>
      </c>
      <c r="J22" s="71" t="s">
        <v>11</v>
      </c>
      <c r="K22" s="69">
        <v>0</v>
      </c>
    </row>
    <row r="23" spans="2:11" ht="18" thickTop="1" thickBot="1">
      <c r="B23" s="81"/>
      <c r="C23" s="61"/>
      <c r="D23" s="62"/>
      <c r="E23" s="62"/>
      <c r="F23" s="62"/>
      <c r="G23" s="62"/>
      <c r="H23" s="63">
        <v>1</v>
      </c>
      <c r="I23" s="68">
        <f t="shared" si="1"/>
        <v>2000000</v>
      </c>
      <c r="J23" s="72" t="s">
        <v>11</v>
      </c>
      <c r="K23" s="69">
        <v>0</v>
      </c>
    </row>
    <row r="24" spans="2:11" ht="17" thickTop="1"/>
    <row r="25" spans="2:11">
      <c r="H25" s="9"/>
      <c r="I25" s="25"/>
    </row>
    <row r="26" spans="2:11">
      <c r="H26" s="10"/>
      <c r="I26" s="26"/>
    </row>
    <row r="27" spans="2:11">
      <c r="H27" s="10"/>
      <c r="I27" s="26"/>
    </row>
    <row r="28" spans="2:11">
      <c r="H28" s="10"/>
      <c r="I28" s="26"/>
    </row>
  </sheetData>
  <mergeCells count="2">
    <mergeCell ref="B18:B23"/>
    <mergeCell ref="J4:K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B828-E256-6843-85CD-E896762C65F1}">
  <sheetPr>
    <tabColor theme="5" tint="0.59999389629810485"/>
  </sheetPr>
  <dimension ref="B1:K30"/>
  <sheetViews>
    <sheetView showGridLines="0" workbookViewId="0">
      <selection activeCell="P21" sqref="P21"/>
    </sheetView>
  </sheetViews>
  <sheetFormatPr baseColWidth="10" defaultRowHeight="16"/>
  <cols>
    <col min="1" max="1" width="3.83203125" customWidth="1"/>
    <col min="2" max="2" width="11.83203125" customWidth="1"/>
    <col min="3" max="8" width="13.83203125" customWidth="1"/>
    <col min="9" max="9" width="13.83203125" style="23" customWidth="1"/>
    <col min="10" max="10" width="14.6640625" bestFit="1" customWidth="1"/>
    <col min="11" max="11" width="15" customWidth="1"/>
    <col min="12" max="12" width="3.83203125" customWidth="1"/>
  </cols>
  <sheetData>
    <row r="1" spans="2:11">
      <c r="B1" s="28" t="s">
        <v>88</v>
      </c>
    </row>
    <row r="3" spans="2:11" ht="17" thickBot="1">
      <c r="B3" s="75"/>
      <c r="C3" s="76" t="s">
        <v>76</v>
      </c>
      <c r="D3" s="76" t="s">
        <v>78</v>
      </c>
      <c r="E3" s="76" t="s">
        <v>77</v>
      </c>
      <c r="F3" s="76" t="s">
        <v>79</v>
      </c>
      <c r="G3" s="76" t="s">
        <v>80</v>
      </c>
      <c r="H3" s="77" t="s">
        <v>81</v>
      </c>
      <c r="I3" s="34"/>
      <c r="J3" s="33"/>
      <c r="K3" s="33"/>
    </row>
    <row r="4" spans="2:11" ht="17" thickTop="1">
      <c r="B4" s="46" t="s">
        <v>82</v>
      </c>
      <c r="C4" s="38">
        <v>525000</v>
      </c>
      <c r="D4" s="38">
        <v>175000</v>
      </c>
      <c r="E4" s="38">
        <v>75000</v>
      </c>
      <c r="F4" s="38">
        <v>225000</v>
      </c>
      <c r="G4" s="38">
        <v>0</v>
      </c>
      <c r="H4" s="39">
        <v>2000000</v>
      </c>
      <c r="I4" s="35"/>
      <c r="J4" s="82" t="s">
        <v>84</v>
      </c>
      <c r="K4" s="83"/>
    </row>
    <row r="5" spans="2:11" ht="17" thickBot="1">
      <c r="B5" s="74" t="s">
        <v>8</v>
      </c>
      <c r="C5" s="78">
        <f>SUM(C7:C8)/C6</f>
        <v>6.666666666666668E-2</v>
      </c>
      <c r="D5" s="78">
        <f t="shared" ref="D5:H5" si="0">SUM(D7:D8)/D6</f>
        <v>6.666666666666668E-2</v>
      </c>
      <c r="E5" s="78">
        <f t="shared" si="0"/>
        <v>5.5499999999999994E-2</v>
      </c>
      <c r="F5" s="78">
        <f t="shared" si="0"/>
        <v>5.5499999999999994E-2</v>
      </c>
      <c r="G5" s="78">
        <f t="shared" si="0"/>
        <v>6.480000000000001E-2</v>
      </c>
      <c r="H5" s="79">
        <f t="shared" si="0"/>
        <v>6.480000000000001E-2</v>
      </c>
      <c r="I5" s="35"/>
      <c r="J5" s="65" t="s">
        <v>85</v>
      </c>
      <c r="K5" s="64">
        <f>SUMPRODUCT(C4:H4,C5:H5)</f>
        <v>192916.66666666669</v>
      </c>
    </row>
    <row r="6" spans="2:11" ht="18" thickTop="1" thickBot="1">
      <c r="B6" s="40" t="s">
        <v>21</v>
      </c>
      <c r="C6" s="41">
        <v>18</v>
      </c>
      <c r="D6" s="41">
        <v>18</v>
      </c>
      <c r="E6" s="41">
        <v>20</v>
      </c>
      <c r="F6" s="41">
        <v>20</v>
      </c>
      <c r="G6" s="41">
        <v>25</v>
      </c>
      <c r="H6" s="42">
        <v>25</v>
      </c>
      <c r="I6" s="35"/>
      <c r="J6" s="65" t="s">
        <v>86</v>
      </c>
      <c r="K6" s="64">
        <v>-180000</v>
      </c>
    </row>
    <row r="7" spans="2:11" ht="18" thickTop="1" thickBot="1">
      <c r="B7" s="40" t="s">
        <v>6</v>
      </c>
      <c r="C7" s="41">
        <v>0.12</v>
      </c>
      <c r="D7" s="41">
        <v>0.12</v>
      </c>
      <c r="E7" s="41">
        <v>-0.09</v>
      </c>
      <c r="F7" s="41">
        <v>-0.09</v>
      </c>
      <c r="G7" s="41">
        <v>0.12</v>
      </c>
      <c r="H7" s="42">
        <v>0.12</v>
      </c>
      <c r="I7" s="35"/>
      <c r="J7" s="66" t="s">
        <v>87</v>
      </c>
      <c r="K7" s="67">
        <f>SUM(K5:K6)</f>
        <v>12916.666666666686</v>
      </c>
    </row>
    <row r="8" spans="2:11" ht="17" thickTop="1">
      <c r="B8" s="43" t="s">
        <v>7</v>
      </c>
      <c r="C8" s="44">
        <v>1.08</v>
      </c>
      <c r="D8" s="44">
        <v>1.08</v>
      </c>
      <c r="E8" s="44">
        <v>1.2</v>
      </c>
      <c r="F8" s="44">
        <v>1.2</v>
      </c>
      <c r="G8" s="44">
        <v>1.5</v>
      </c>
      <c r="H8" s="45">
        <v>1.5</v>
      </c>
      <c r="I8"/>
    </row>
    <row r="9" spans="2:11">
      <c r="B9" s="36"/>
      <c r="C9" s="37"/>
      <c r="D9" s="37"/>
      <c r="E9" s="37"/>
      <c r="F9" s="37"/>
      <c r="G9" s="37"/>
      <c r="H9" s="37"/>
      <c r="I9" s="35"/>
      <c r="J9" s="35"/>
      <c r="K9" s="35"/>
    </row>
    <row r="10" spans="2:11">
      <c r="B10" s="36"/>
      <c r="C10" s="37"/>
      <c r="D10" s="37"/>
      <c r="E10" s="37"/>
      <c r="F10" s="37"/>
      <c r="G10" s="37"/>
      <c r="H10" s="37"/>
      <c r="I10" s="35"/>
      <c r="J10" s="35"/>
      <c r="K10" s="35"/>
    </row>
    <row r="11" spans="2:11" ht="17" thickBot="1">
      <c r="B11" s="73" t="s">
        <v>44</v>
      </c>
      <c r="C11" s="49" t="s">
        <v>76</v>
      </c>
      <c r="D11" s="50" t="s">
        <v>78</v>
      </c>
      <c r="E11" s="50" t="s">
        <v>77</v>
      </c>
      <c r="F11" s="50" t="s">
        <v>79</v>
      </c>
      <c r="G11" s="50" t="s">
        <v>80</v>
      </c>
      <c r="H11" s="51" t="s">
        <v>81</v>
      </c>
      <c r="I11" s="35"/>
      <c r="J11" s="35"/>
      <c r="K11" s="35"/>
    </row>
    <row r="12" spans="2:11" ht="18" thickTop="1" thickBot="1">
      <c r="B12" s="47" t="s">
        <v>22</v>
      </c>
      <c r="C12" s="52">
        <v>1</v>
      </c>
      <c r="D12" s="53"/>
      <c r="E12" s="53">
        <v>1</v>
      </c>
      <c r="F12" s="53"/>
      <c r="G12" s="53">
        <v>1</v>
      </c>
      <c r="H12" s="54"/>
      <c r="I12" s="68">
        <f>SUMPRODUCT($C$4:$H$4,C12:H12)</f>
        <v>600000</v>
      </c>
      <c r="J12" s="70" t="s">
        <v>12</v>
      </c>
      <c r="K12" s="69">
        <f>3*10^6*(0.2)</f>
        <v>600000</v>
      </c>
    </row>
    <row r="13" spans="2:11" ht="18" thickTop="1" thickBot="1">
      <c r="B13" s="48" t="s">
        <v>23</v>
      </c>
      <c r="C13" s="55"/>
      <c r="D13" s="56">
        <v>1</v>
      </c>
      <c r="E13" s="56"/>
      <c r="F13" s="56">
        <v>1</v>
      </c>
      <c r="G13" s="56"/>
      <c r="H13" s="57">
        <v>1</v>
      </c>
      <c r="I13" s="68">
        <f>SUMPRODUCT($C$4:$H$4,C13:H13)</f>
        <v>2400000</v>
      </c>
      <c r="J13" s="71" t="s">
        <v>12</v>
      </c>
      <c r="K13" s="69">
        <f>3*10^6*(0.8)</f>
        <v>2400000</v>
      </c>
    </row>
    <row r="14" spans="2:11" ht="18" thickTop="1" thickBot="1">
      <c r="B14" s="48" t="s">
        <v>26</v>
      </c>
      <c r="C14" s="55">
        <v>1</v>
      </c>
      <c r="D14" s="56">
        <v>1</v>
      </c>
      <c r="E14" s="56"/>
      <c r="F14" s="56"/>
      <c r="G14" s="56"/>
      <c r="H14" s="57"/>
      <c r="I14" s="68">
        <f>SUMPRODUCT($C$4:$H$4,C14:H14)</f>
        <v>700000</v>
      </c>
      <c r="J14" s="71" t="s">
        <v>12</v>
      </c>
      <c r="K14" s="69">
        <f>0.8*10^6*18</f>
        <v>14400000</v>
      </c>
    </row>
    <row r="15" spans="2:11" ht="18" thickTop="1" thickBot="1">
      <c r="B15" s="48" t="s">
        <v>27</v>
      </c>
      <c r="C15" s="55"/>
      <c r="D15" s="56"/>
      <c r="E15" s="56">
        <v>1</v>
      </c>
      <c r="F15" s="56">
        <v>1</v>
      </c>
      <c r="G15" s="56"/>
      <c r="H15" s="57"/>
      <c r="I15" s="68">
        <f>SUMPRODUCT($C$4:$H$4,C15:H15)</f>
        <v>300000</v>
      </c>
      <c r="J15" s="71" t="s">
        <v>12</v>
      </c>
      <c r="K15" s="69">
        <f>0.05*10^6*20</f>
        <v>1000000</v>
      </c>
    </row>
    <row r="16" spans="2:11" ht="18" thickTop="1" thickBot="1">
      <c r="B16" s="48" t="s">
        <v>28</v>
      </c>
      <c r="C16" s="55"/>
      <c r="D16" s="56"/>
      <c r="E16" s="56"/>
      <c r="F16" s="56"/>
      <c r="G16" s="56">
        <v>1</v>
      </c>
      <c r="H16" s="57">
        <v>1</v>
      </c>
      <c r="I16" s="68">
        <f>SUMPRODUCT($C$4:$H$4,C16:H16)</f>
        <v>2000000</v>
      </c>
      <c r="J16" s="71" t="s">
        <v>12</v>
      </c>
      <c r="K16" s="69">
        <f>0.08*10^6*25</f>
        <v>2000000</v>
      </c>
    </row>
    <row r="17" spans="2:11" ht="18" thickTop="1" thickBot="1">
      <c r="B17" s="48" t="s">
        <v>24</v>
      </c>
      <c r="C17" s="55">
        <f>9-8</f>
        <v>1</v>
      </c>
      <c r="D17" s="56">
        <f>5-8</f>
        <v>-3</v>
      </c>
      <c r="E17" s="56"/>
      <c r="F17" s="56"/>
      <c r="G17" s="56"/>
      <c r="H17" s="57"/>
      <c r="I17" s="68">
        <f t="shared" ref="I17:I24" si="1">SUMPRODUCT($C$4:$H$4,C17:H17)</f>
        <v>0</v>
      </c>
      <c r="J17" s="71" t="s">
        <v>11</v>
      </c>
      <c r="K17" s="69">
        <v>0</v>
      </c>
    </row>
    <row r="18" spans="2:11" ht="18" thickTop="1" thickBot="1">
      <c r="B18" s="48" t="s">
        <v>25</v>
      </c>
      <c r="C18" s="55"/>
      <c r="D18" s="56"/>
      <c r="E18" s="56">
        <f>9-6</f>
        <v>3</v>
      </c>
      <c r="F18" s="56">
        <f>5-6</f>
        <v>-1</v>
      </c>
      <c r="G18" s="56"/>
      <c r="H18" s="57"/>
      <c r="I18" s="68">
        <f t="shared" si="1"/>
        <v>0</v>
      </c>
      <c r="J18" s="71" t="s">
        <v>11</v>
      </c>
      <c r="K18" s="69">
        <v>0</v>
      </c>
    </row>
    <row r="19" spans="2:11" ht="18" thickTop="1" thickBot="1">
      <c r="B19" s="80" t="s">
        <v>83</v>
      </c>
      <c r="C19" s="58">
        <v>1</v>
      </c>
      <c r="D19" s="59"/>
      <c r="E19" s="59"/>
      <c r="F19" s="59"/>
      <c r="G19" s="59"/>
      <c r="H19" s="60"/>
      <c r="I19" s="68">
        <f t="shared" si="1"/>
        <v>525000</v>
      </c>
      <c r="J19" s="71" t="s">
        <v>11</v>
      </c>
      <c r="K19" s="69">
        <v>0</v>
      </c>
    </row>
    <row r="20" spans="2:11" ht="18" thickTop="1" thickBot="1">
      <c r="B20" s="80"/>
      <c r="C20" s="58"/>
      <c r="D20" s="59">
        <v>1</v>
      </c>
      <c r="E20" s="59"/>
      <c r="F20" s="59"/>
      <c r="G20" s="59"/>
      <c r="H20" s="60"/>
      <c r="I20" s="68">
        <f t="shared" si="1"/>
        <v>175000</v>
      </c>
      <c r="J20" s="71" t="s">
        <v>11</v>
      </c>
      <c r="K20" s="69">
        <v>0</v>
      </c>
    </row>
    <row r="21" spans="2:11" ht="18" thickTop="1" thickBot="1">
      <c r="B21" s="80"/>
      <c r="C21" s="58"/>
      <c r="D21" s="59"/>
      <c r="E21" s="59">
        <v>1</v>
      </c>
      <c r="F21" s="59"/>
      <c r="G21" s="59"/>
      <c r="H21" s="60"/>
      <c r="I21" s="68">
        <f>SUMPRODUCT($C$4:$H$4,C21:H21)</f>
        <v>75000</v>
      </c>
      <c r="J21" s="71" t="s">
        <v>11</v>
      </c>
      <c r="K21" s="69">
        <v>0</v>
      </c>
    </row>
    <row r="22" spans="2:11" ht="18" thickTop="1" thickBot="1">
      <c r="B22" s="80"/>
      <c r="C22" s="58"/>
      <c r="D22" s="59"/>
      <c r="E22" s="59"/>
      <c r="F22" s="59">
        <v>1</v>
      </c>
      <c r="G22" s="59"/>
      <c r="H22" s="60"/>
      <c r="I22" s="68">
        <f t="shared" si="1"/>
        <v>225000</v>
      </c>
      <c r="J22" s="71" t="s">
        <v>11</v>
      </c>
      <c r="K22" s="69">
        <v>0</v>
      </c>
    </row>
    <row r="23" spans="2:11" ht="18" thickTop="1" thickBot="1">
      <c r="B23" s="80"/>
      <c r="C23" s="58"/>
      <c r="D23" s="59"/>
      <c r="E23" s="59"/>
      <c r="F23" s="59"/>
      <c r="G23" s="59">
        <v>1</v>
      </c>
      <c r="H23" s="60"/>
      <c r="I23" s="68">
        <f t="shared" si="1"/>
        <v>0</v>
      </c>
      <c r="J23" s="71" t="s">
        <v>11</v>
      </c>
      <c r="K23" s="69">
        <v>0</v>
      </c>
    </row>
    <row r="24" spans="2:11" ht="18" thickTop="1" thickBot="1">
      <c r="B24" s="81"/>
      <c r="C24" s="61"/>
      <c r="D24" s="62"/>
      <c r="E24" s="62"/>
      <c r="F24" s="62"/>
      <c r="G24" s="62"/>
      <c r="H24" s="63">
        <v>1</v>
      </c>
      <c r="I24" s="68">
        <f t="shared" si="1"/>
        <v>2000000</v>
      </c>
      <c r="J24" s="72" t="s">
        <v>11</v>
      </c>
      <c r="K24" s="69">
        <v>0</v>
      </c>
    </row>
    <row r="25" spans="2:11" ht="17" thickTop="1"/>
    <row r="26" spans="2:11">
      <c r="H26" s="9"/>
      <c r="I26" s="25"/>
    </row>
    <row r="27" spans="2:11">
      <c r="C27" s="16"/>
      <c r="D27" s="16"/>
      <c r="E27" s="16"/>
      <c r="F27" s="16"/>
      <c r="G27" s="16"/>
      <c r="H27" s="16"/>
      <c r="I27" s="26"/>
    </row>
    <row r="28" spans="2:11">
      <c r="B28" s="1"/>
      <c r="C28" s="20"/>
      <c r="D28" s="20"/>
      <c r="E28" s="20"/>
      <c r="F28" s="20"/>
      <c r="G28" s="20"/>
      <c r="H28" s="20"/>
      <c r="I28" s="26"/>
    </row>
    <row r="29" spans="2:11">
      <c r="B29" s="1"/>
      <c r="C29" s="20"/>
      <c r="D29" s="20"/>
      <c r="E29" s="20"/>
      <c r="F29" s="20"/>
      <c r="G29" s="20"/>
      <c r="H29" s="20"/>
      <c r="I29" s="26"/>
    </row>
    <row r="30" spans="2:11">
      <c r="B30" s="1"/>
      <c r="C30" s="20"/>
      <c r="D30" s="20"/>
      <c r="E30" s="20"/>
      <c r="F30" s="20"/>
      <c r="G30" s="20"/>
      <c r="H30" s="20"/>
    </row>
  </sheetData>
  <mergeCells count="2">
    <mergeCell ref="J4:K4"/>
    <mergeCell ref="B19:B2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fischel_equal</vt:lpstr>
      <vt:lpstr>Sensitivity Report 2</vt:lpstr>
      <vt:lpstr>Sensitivity Report 3</vt:lpstr>
      <vt:lpstr>myte_equal</vt:lpstr>
      <vt:lpstr>Sensitivity Report 1</vt:lpstr>
      <vt:lpstr>Sensitivity Report 4</vt:lpstr>
      <vt:lpstr>fischel_leq</vt:lpstr>
      <vt:lpstr>myte</vt:lpstr>
      <vt:lpstr>fischel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Manuel Cardoso Dias Gonçalves</dc:creator>
  <cp:lastModifiedBy>Francisco Manuel Cardoso Dias Gonçalves</cp:lastModifiedBy>
  <dcterms:created xsi:type="dcterms:W3CDTF">2018-03-27T15:43:20Z</dcterms:created>
  <dcterms:modified xsi:type="dcterms:W3CDTF">2018-03-30T21:58:31Z</dcterms:modified>
</cp:coreProperties>
</file>