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80611\Downloads\compta\"/>
    </mc:Choice>
  </mc:AlternateContent>
  <xr:revisionPtr revIDLastSave="0" documentId="13_ncr:1_{3BC6837F-A87D-465C-B22B-0BF1837FF73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DETAILS" sheetId="1" r:id="rId1"/>
    <sheet name="ASP 2019 à2022" sheetId="2" r:id="rId2"/>
    <sheet name="ASP-RECAP-JD" sheetId="3" r:id="rId3"/>
    <sheet name="TAXES" sheetId="5" r:id="rId4"/>
    <sheet name="DONS" sheetId="4" r:id="rId5"/>
    <sheet name="LOYER" sheetId="6" r:id="rId6"/>
    <sheet name="CAUTIONS" sheetId="7" r:id="rId7"/>
    <sheet name="GRAPHIQUE" sheetId="8" r:id="rId8"/>
    <sheet name="REMISE CHEQUE SEPTEMBRE -DECEMB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9" i="1"/>
  <c r="L42" i="1" l="1"/>
  <c r="I30" i="1"/>
  <c r="I19" i="1"/>
  <c r="C30" i="1"/>
  <c r="F6" i="1"/>
  <c r="E30" i="1"/>
  <c r="C82" i="6" l="1"/>
  <c r="C77" i="6"/>
  <c r="C72" i="6"/>
  <c r="C67" i="6"/>
  <c r="C62" i="6"/>
  <c r="C57" i="6"/>
  <c r="C52" i="6"/>
  <c r="C45" i="6"/>
  <c r="C39" i="6"/>
  <c r="C32" i="6"/>
  <c r="C25" i="6"/>
  <c r="C20" i="6"/>
  <c r="C14" i="6"/>
  <c r="C9" i="6"/>
  <c r="C3" i="6"/>
  <c r="E46" i="4"/>
  <c r="F48" i="4" s="1"/>
  <c r="E30" i="4"/>
  <c r="F32" i="4" s="1"/>
  <c r="E10" i="4"/>
  <c r="F12" i="4" s="1"/>
  <c r="K48" i="3"/>
  <c r="C46" i="3"/>
  <c r="E25" i="3"/>
  <c r="K23" i="3"/>
  <c r="C22" i="3"/>
  <c r="G20" i="3"/>
  <c r="K141" i="2"/>
  <c r="C137" i="2"/>
  <c r="E116" i="2"/>
  <c r="K114" i="2"/>
  <c r="C113" i="2"/>
  <c r="G111" i="2"/>
  <c r="J88" i="2"/>
  <c r="C81" i="2"/>
  <c r="L59" i="2"/>
  <c r="L57" i="2"/>
  <c r="G55" i="2"/>
  <c r="G76" i="2" s="1"/>
  <c r="L54" i="2"/>
  <c r="L61" i="2" s="1"/>
  <c r="C54" i="2"/>
  <c r="C71" i="2" s="1"/>
  <c r="F35" i="2"/>
  <c r="C35" i="2"/>
  <c r="B35" i="2"/>
  <c r="E34" i="2"/>
  <c r="E33" i="2"/>
  <c r="E32" i="2"/>
  <c r="E35" i="2" s="1"/>
  <c r="J18" i="2"/>
  <c r="J16" i="2"/>
  <c r="G5" i="2"/>
  <c r="J14" i="2" s="1"/>
  <c r="L7" i="1" l="1"/>
  <c r="L8" i="1"/>
  <c r="L9" i="1"/>
  <c r="L11" i="1"/>
  <c r="L12" i="1"/>
  <c r="L14" i="1"/>
  <c r="L15" i="1"/>
  <c r="L17" i="1"/>
  <c r="L18" i="1"/>
  <c r="L20" i="1"/>
  <c r="L22" i="1"/>
  <c r="I27" i="1"/>
  <c r="I29" i="1"/>
  <c r="I26" i="1"/>
  <c r="I13" i="1"/>
  <c r="I10" i="1"/>
  <c r="I21" i="1"/>
  <c r="H27" i="1"/>
  <c r="H29" i="1"/>
  <c r="H26" i="1"/>
  <c r="H13" i="1"/>
  <c r="H19" i="1"/>
  <c r="H10" i="1"/>
  <c r="H21" i="1"/>
  <c r="G27" i="1"/>
  <c r="G29" i="1"/>
  <c r="G26" i="1"/>
  <c r="G13" i="1"/>
  <c r="G19" i="1"/>
  <c r="G10" i="1"/>
  <c r="G21" i="1"/>
  <c r="F21" i="1"/>
  <c r="F23" i="1" s="1"/>
  <c r="L6" i="1"/>
  <c r="E21" i="1"/>
  <c r="E29" i="1"/>
  <c r="E19" i="1"/>
  <c r="E13" i="1"/>
  <c r="E16" i="1"/>
  <c r="E28" i="1"/>
  <c r="E26" i="1"/>
  <c r="E10" i="1"/>
  <c r="L30" i="1"/>
  <c r="C21" i="1"/>
  <c r="C28" i="1"/>
  <c r="C16" i="1"/>
  <c r="C29" i="1"/>
  <c r="C19" i="1"/>
  <c r="C26" i="1"/>
  <c r="C10" i="1"/>
  <c r="C27" i="1"/>
  <c r="C13" i="1"/>
  <c r="L32" i="1"/>
  <c r="L33" i="1"/>
  <c r="L34" i="1"/>
  <c r="L35" i="1"/>
  <c r="L36" i="1"/>
  <c r="L37" i="1"/>
  <c r="L38" i="1"/>
  <c r="L39" i="1"/>
  <c r="L40" i="1"/>
  <c r="L41" i="1"/>
  <c r="L43" i="1"/>
  <c r="L44" i="1"/>
  <c r="B21" i="1"/>
  <c r="B28" i="1"/>
  <c r="B16" i="1"/>
  <c r="L16" i="1" s="1"/>
  <c r="B26" i="1"/>
  <c r="B10" i="1"/>
  <c r="J45" i="1"/>
  <c r="F45" i="1"/>
  <c r="D45" i="1"/>
  <c r="J23" i="1"/>
  <c r="D23" i="1"/>
  <c r="L19" i="1" l="1"/>
  <c r="L13" i="1"/>
  <c r="L10" i="1"/>
  <c r="H23" i="1"/>
  <c r="L21" i="1"/>
  <c r="J46" i="1"/>
  <c r="D46" i="1"/>
  <c r="E45" i="1"/>
  <c r="F46" i="1"/>
  <c r="I45" i="1"/>
  <c r="I23" i="1"/>
  <c r="H45" i="1"/>
  <c r="H46" i="1" s="1"/>
  <c r="L27" i="1"/>
  <c r="G45" i="1"/>
  <c r="G23" i="1"/>
  <c r="E23" i="1"/>
  <c r="C45" i="1"/>
  <c r="L28" i="1"/>
  <c r="L26" i="1"/>
  <c r="C23" i="1"/>
  <c r="B23" i="1"/>
  <c r="B45" i="1"/>
  <c r="L29" i="1"/>
  <c r="E46" i="1" l="1"/>
  <c r="G46" i="1"/>
  <c r="I46" i="1"/>
  <c r="C46" i="1"/>
  <c r="L23" i="1"/>
  <c r="B46" i="1"/>
  <c r="L45" i="1"/>
  <c r="L46" i="1" l="1"/>
  <c r="L47" i="1" s="1"/>
  <c r="B47" i="1"/>
  <c r="C47" i="1" s="1"/>
  <c r="D47" i="1" s="1"/>
  <c r="E47" i="1" s="1"/>
  <c r="F47" i="1" s="1"/>
  <c r="G47" i="1" s="1"/>
  <c r="H47" i="1" s="1"/>
  <c r="I47" i="1" s="1"/>
  <c r="J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DESTRUEL</author>
  </authors>
  <commentList>
    <comment ref="Q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virement emis</t>
        </r>
      </text>
    </comment>
    <comment ref="A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paiment releve effet reg 0809 releve 04915277</t>
        </r>
      </text>
    </comment>
    <comment ref="A4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Échéance prêt 02837 61098938 pour la date du 09/09/2022</t>
        </r>
      </text>
    </comment>
    <comment ref="A4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Échéance prêt 02837 61098356 pour la date du 02/09/2022</t>
        </r>
      </text>
    </comment>
    <comment ref="A4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Echeance prêt 02837 61138126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DESTRUEL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NAXITIS CHEQUE RESTO </t>
        </r>
      </text>
    </comment>
    <comment ref="C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Tiket resto Edenred (Sodexo)</t>
        </r>
      </text>
    </comment>
    <comment ref="C1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1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CREDIT MUTUEL</t>
        </r>
      </text>
    </comment>
    <comment ref="C1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1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CIC</t>
        </r>
      </text>
    </comment>
    <comment ref="C20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LCL</t>
        </r>
      </text>
    </comment>
    <comment ref="C2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STE GENERAL</t>
        </r>
      </text>
    </comment>
    <comment ref="C22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23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24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CIC</t>
        </r>
      </text>
    </comment>
    <comment ref="C25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26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BNP PARIBAS</t>
        </r>
      </text>
    </comment>
    <comment ref="C2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BNP PARIBAS</t>
        </r>
      </text>
    </comment>
    <comment ref="C28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HSBC</t>
        </r>
      </text>
    </comment>
    <comment ref="C29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CIC</t>
        </r>
      </text>
    </comment>
    <comment ref="C30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BNP PARIBAS</t>
        </r>
      </text>
    </comment>
    <comment ref="C31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SOCIETE GENERALE</t>
        </r>
      </text>
    </comment>
    <comment ref="C32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CREDIT AGRICOLE ILE DE FRANCE</t>
        </r>
      </text>
    </comment>
    <comment ref="C33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BANQUE POSTALE</t>
        </r>
      </text>
    </comment>
    <comment ref="C34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Elisabeth DESTRUEL:</t>
        </r>
        <r>
          <rPr>
            <sz val="9"/>
            <color indexed="81"/>
            <rFont val="Tahoma"/>
            <family val="2"/>
          </rPr>
          <t xml:space="preserve">
LCL</t>
        </r>
      </text>
    </comment>
  </commentList>
</comments>
</file>

<file path=xl/sharedStrings.xml><?xml version="1.0" encoding="utf-8"?>
<sst xmlns="http://schemas.openxmlformats.org/spreadsheetml/2006/main" count="658" uniqueCount="424">
  <si>
    <t>TOTAL</t>
  </si>
  <si>
    <t>TOTAL ENTREES</t>
  </si>
  <si>
    <t>TOTAL SORTIES</t>
  </si>
  <si>
    <t>SOLDE COMPTE COURANT (trésorerie)</t>
  </si>
  <si>
    <t>Solde réel S.A.</t>
  </si>
  <si>
    <t>JOUR</t>
  </si>
  <si>
    <t>DECAISSEMENTS</t>
  </si>
  <si>
    <t>ENCAISSEMENTS</t>
  </si>
  <si>
    <t xml:space="preserve">Remise chq du </t>
  </si>
  <si>
    <t xml:space="preserve">VERST ESPECES CAISSE DIRECTION LE </t>
  </si>
  <si>
    <t>Remise T.Resto Porte Dorée</t>
  </si>
  <si>
    <t>Remise CB Porte Dorée</t>
  </si>
  <si>
    <t>Frais de CB Porte Dorée</t>
  </si>
  <si>
    <t>Remise Chq Porte Dorée</t>
  </si>
  <si>
    <t>Remise T.Resto BND</t>
  </si>
  <si>
    <t>Remise CB BND</t>
  </si>
  <si>
    <t>Remise Chq BND</t>
  </si>
  <si>
    <t>Frais de CB BND</t>
  </si>
  <si>
    <t>Frais de CB Les Berges</t>
  </si>
  <si>
    <t>Remise T.Resto Les Berges</t>
  </si>
  <si>
    <t>Remise CB Les Berges</t>
  </si>
  <si>
    <t>Remise Chq Les Berges</t>
  </si>
  <si>
    <t xml:space="preserve">Remise T.Resto Amis de Cluny </t>
  </si>
  <si>
    <t xml:space="preserve">Remise CB Amis de Cluny </t>
  </si>
  <si>
    <t>Remise Chq Amis de Cluny</t>
  </si>
  <si>
    <t>Frais de CB Amis de Cluny</t>
  </si>
  <si>
    <t>ORANGE Lease   Prélèvt</t>
  </si>
  <si>
    <t>DIFFERENCE ENCAISSEMENT DECAISSEMENT</t>
  </si>
  <si>
    <t>Virt clients</t>
  </si>
  <si>
    <t>Fournisseurs + autres</t>
  </si>
  <si>
    <t>CHEQUE 6754360</t>
  </si>
  <si>
    <t>Remise chq (BORDEREAU 04510790,04510789,
04510788,04510787,04510786)</t>
  </si>
  <si>
    <t>CHEQUE 6754359</t>
  </si>
  <si>
    <t>PRLV SEPA URSSAF ILE-DE-FRANCE (117) AOUT</t>
  </si>
  <si>
    <t>COMMISSIONS FACTURE NUMERO 20220901103542015</t>
  </si>
  <si>
    <t>CD 92  -  ASP  -  2019</t>
  </si>
  <si>
    <t>CD 75  -  ASP  -  2019</t>
  </si>
  <si>
    <t>CD 91 -  DIVERS  -  2019</t>
  </si>
  <si>
    <t>modulation</t>
  </si>
  <si>
    <t>régul.août 2018</t>
  </si>
  <si>
    <t>CG91 - acpte 2019</t>
  </si>
  <si>
    <t>CG91 - solde 2018</t>
  </si>
  <si>
    <t>rembt 01/2019</t>
  </si>
  <si>
    <t>CICE 2018</t>
  </si>
  <si>
    <t>mai+régul.2019</t>
  </si>
  <si>
    <t>régul.</t>
  </si>
  <si>
    <t>CD 75 - 2019</t>
  </si>
  <si>
    <t>CD 91 - 2019</t>
  </si>
  <si>
    <t>régul.2019</t>
  </si>
  <si>
    <t>CD 92 - 2019</t>
  </si>
  <si>
    <t>août+régul.2019</t>
  </si>
  <si>
    <t xml:space="preserve">CD92 - acpte 2019 </t>
  </si>
  <si>
    <t>nov.+régul.2019</t>
  </si>
  <si>
    <t>nov.2019+régul.</t>
  </si>
  <si>
    <t>CD92 - solde 2018</t>
  </si>
  <si>
    <t>UT 92  -  ASP  -  2020</t>
  </si>
  <si>
    <t>UT 75  -  ASP  -  2020</t>
  </si>
  <si>
    <t>CD -  DIVERS  -  2020</t>
  </si>
  <si>
    <t>CD 91 - acpte 2020</t>
  </si>
  <si>
    <t>régul. 01/2019</t>
  </si>
  <si>
    <t>CD 91 - solde 2019</t>
  </si>
  <si>
    <t>CD 92 - acpte 2020</t>
  </si>
  <si>
    <t>régul.01+02/2020</t>
  </si>
  <si>
    <t>CD 92 - solde 2019</t>
  </si>
  <si>
    <t>CD 75</t>
  </si>
  <si>
    <t>ASP  -  Chômage partiel  -  2020</t>
  </si>
  <si>
    <t>Aides exceptionnelles 2020 - Covid</t>
  </si>
  <si>
    <t>fds solidarité Covid</t>
  </si>
  <si>
    <t>aide except.Paris</t>
  </si>
  <si>
    <t>FDI 1 - 92</t>
  </si>
  <si>
    <t>FDI 1 - 75</t>
  </si>
  <si>
    <t>UT 92  -  ASP  -  2021</t>
  </si>
  <si>
    <t>UT 75  -  ASP  -  2021</t>
  </si>
  <si>
    <t>CD -  DIVERS  -  2021</t>
  </si>
  <si>
    <t>19/02 retenu</t>
  </si>
  <si>
    <t>apprentie CD 75 (3)</t>
  </si>
  <si>
    <t>19/02 rembt</t>
  </si>
  <si>
    <t>déduit de 26.615</t>
  </si>
  <si>
    <t>26/02 retenu</t>
  </si>
  <si>
    <t>apprentie CD 75</t>
  </si>
  <si>
    <t>26/02 rembt</t>
  </si>
  <si>
    <t>déduit de 5.766,58</t>
  </si>
  <si>
    <t>CD 91 - acpte 2021</t>
  </si>
  <si>
    <t>apprentie CD75</t>
  </si>
  <si>
    <t>02/03 rembt</t>
  </si>
  <si>
    <t>reçu</t>
  </si>
  <si>
    <t>régul.01 + 04 + 08</t>
  </si>
  <si>
    <t>CD92 - acpte 2021</t>
  </si>
  <si>
    <t>70% de 37.600</t>
  </si>
  <si>
    <t>solde subv.Labo75</t>
  </si>
  <si>
    <t xml:space="preserve">modulation </t>
  </si>
  <si>
    <t>CD92 - solde 2020</t>
  </si>
  <si>
    <t>régul.2021</t>
  </si>
  <si>
    <t>Centre Nat.Gestion</t>
  </si>
  <si>
    <t>Subv.except.Appos</t>
  </si>
  <si>
    <t>Rembt ASP-092 année 2021 :</t>
  </si>
  <si>
    <t>Trop perçu</t>
  </si>
  <si>
    <t>Oct.2021 : reçu 26.877,50 au lieu de 23.002,14 = -3.875,36</t>
  </si>
  <si>
    <t>Nov.2021 : reçu 26.877,50 au lieu de 24.309,40 = -2.568,10</t>
  </si>
  <si>
    <t>Déc.2021 : reçu 26.877,50 au lieu de 25.523,80 = -1.353,70</t>
  </si>
  <si>
    <t xml:space="preserve">Aides exceptionnelles Covid  - 2021 </t>
  </si>
  <si>
    <t>ASP  -  Chômage partiel  -  2021</t>
  </si>
  <si>
    <t>Fds solidarité Covid</t>
  </si>
  <si>
    <t>Subv.except.Paris</t>
  </si>
  <si>
    <t>FDI 2 - 92</t>
  </si>
  <si>
    <t>total 66.846</t>
  </si>
  <si>
    <t>FDI 2 - 75</t>
  </si>
  <si>
    <t>total 18.849</t>
  </si>
  <si>
    <t>12/02 rembt</t>
  </si>
  <si>
    <t>déduit de 11.309,40</t>
  </si>
  <si>
    <t>01/2021 rembt</t>
  </si>
  <si>
    <t>retenu</t>
  </si>
  <si>
    <t>AAP-AMI Ville Paris</t>
  </si>
  <si>
    <t>FDI - 92</t>
  </si>
  <si>
    <t>FDI - 75</t>
  </si>
  <si>
    <t>UT 92  -  ASP  -  2022</t>
  </si>
  <si>
    <t>UT 75  -  ASP  -  2022</t>
  </si>
  <si>
    <t>CD -  DIVERS  -  2022</t>
  </si>
  <si>
    <t>Pomona - Don 2021</t>
  </si>
  <si>
    <t>CD 91 - solde 2021</t>
  </si>
  <si>
    <t>34.000</t>
  </si>
  <si>
    <t>????</t>
  </si>
  <si>
    <t>Activity acpte 2022</t>
  </si>
  <si>
    <t>11.000</t>
  </si>
  <si>
    <t>FDI 75</t>
  </si>
  <si>
    <t>apprenties</t>
  </si>
  <si>
    <t>Paris  - DAE</t>
  </si>
  <si>
    <t xml:space="preserve">Aides exceptionnelles  -  2022 </t>
  </si>
  <si>
    <t>ASP  -  Chômage partiel  -  2022</t>
  </si>
  <si>
    <t>Région IDF Pm'Up - 1</t>
  </si>
  <si>
    <t>Chambre Com.Ind.</t>
  </si>
  <si>
    <t>Fds Solidarité Covid</t>
  </si>
  <si>
    <t>aide alim.Driets</t>
  </si>
  <si>
    <t>Aides exceptionnelles 2021 - Covid</t>
  </si>
  <si>
    <t xml:space="preserve"> </t>
  </si>
  <si>
    <t>Taxe foncière  ( 40100000 Esis )</t>
  </si>
  <si>
    <t>Taxe bureaux  ( 40810000 )</t>
  </si>
  <si>
    <t>début 2017 ??</t>
  </si>
  <si>
    <t>2019 - 1er</t>
  </si>
  <si>
    <t>2019 - 2è</t>
  </si>
  <si>
    <t>2020 - 1er</t>
  </si>
  <si>
    <t>2020 - 2è</t>
  </si>
  <si>
    <t>CVAE  ( 44860600 )</t>
  </si>
  <si>
    <t>CFE  ( 44860501 )</t>
  </si>
  <si>
    <t>acpte 2018</t>
  </si>
  <si>
    <t>solde 2018</t>
  </si>
  <si>
    <t>régul. 2018</t>
  </si>
  <si>
    <t>à nouveau</t>
  </si>
  <si>
    <t>acpte 2019</t>
  </si>
  <si>
    <t>rembt 2019</t>
  </si>
  <si>
    <t>solde 2019</t>
  </si>
  <si>
    <t>arriéré 2019</t>
  </si>
  <si>
    <t>2019 - 12ème</t>
  </si>
  <si>
    <t>année 2020</t>
  </si>
  <si>
    <t>solde 2021</t>
  </si>
  <si>
    <t>acpte 2022</t>
  </si>
  <si>
    <t>2020 - Paris</t>
  </si>
  <si>
    <t>acpte 2021</t>
  </si>
  <si>
    <t>2021 - Paris</t>
  </si>
  <si>
    <t>Année 2019</t>
  </si>
  <si>
    <t>Weiner</t>
  </si>
  <si>
    <t>chq</t>
  </si>
  <si>
    <t>De Boischevalier Bernard</t>
  </si>
  <si>
    <t>Associat° Éducat° Santé Jeunes</t>
  </si>
  <si>
    <t>Mure Thierry</t>
  </si>
  <si>
    <t>virt</t>
  </si>
  <si>
    <t>Mahé Jean</t>
  </si>
  <si>
    <t>Fondation Air Liquide</t>
  </si>
  <si>
    <t>Fraisse Henri</t>
  </si>
  <si>
    <t>Carles Marie-Josèphe</t>
  </si>
  <si>
    <t>Thévenet</t>
  </si>
  <si>
    <t>Association S.I.A.</t>
  </si>
  <si>
    <t>Année 2020</t>
  </si>
  <si>
    <t>Paulus</t>
  </si>
  <si>
    <t>Mialaret Benoît</t>
  </si>
  <si>
    <t>Robine</t>
  </si>
  <si>
    <t>Jegu</t>
  </si>
  <si>
    <t>Ananie et Saphire</t>
  </si>
  <si>
    <t>Martin Philippe</t>
  </si>
  <si>
    <t>Macé Patrice</t>
  </si>
  <si>
    <t>Année 2021</t>
  </si>
  <si>
    <t>Letourneur Sandrine</t>
  </si>
  <si>
    <t>Thévenet Jean-Pierre</t>
  </si>
  <si>
    <t>Leridon Hervé</t>
  </si>
  <si>
    <t>Duchamp Jegu Catherine</t>
  </si>
  <si>
    <t>Caillet Denis</t>
  </si>
  <si>
    <t>Weiner John</t>
  </si>
  <si>
    <t>Année 2022</t>
  </si>
  <si>
    <t>Jean-Pierre Thévenet</t>
  </si>
  <si>
    <t>Bernard Hullin De Boischevalier</t>
  </si>
  <si>
    <t>Thierry Mure</t>
  </si>
  <si>
    <t>2021 - 2022</t>
  </si>
  <si>
    <t>Repas Solidaires</t>
  </si>
  <si>
    <t>Drietts</t>
  </si>
  <si>
    <t>Association SIA</t>
  </si>
  <si>
    <t>Fondation Entreprise Monoprix</t>
  </si>
  <si>
    <t xml:space="preserve">ESIS - 3è trimestre 2018  :  27.930,31                         </t>
  </si>
  <si>
    <t>Virt le 23/10/2018</t>
  </si>
  <si>
    <t xml:space="preserve">M1 - T3 - 2018 </t>
  </si>
  <si>
    <t>Virt le 20/11/2018</t>
  </si>
  <si>
    <t>M2 - T3 - 2018</t>
  </si>
  <si>
    <t>Virt le 13/12/2018</t>
  </si>
  <si>
    <t>M3 - T3 - 2018</t>
  </si>
  <si>
    <t>Taxe foncière 2018  :  13.363,00   -   Virt le 14/11/2018</t>
  </si>
  <si>
    <t xml:space="preserve">ESIS - 4è trimestre 2018  :  27.930,31                         </t>
  </si>
  <si>
    <t>Virt le 15/01/2019</t>
  </si>
  <si>
    <t xml:space="preserve">M1 - T4 - 2018 </t>
  </si>
  <si>
    <t>Virt le 19/02/2019</t>
  </si>
  <si>
    <t>M2 - T4 - 2018</t>
  </si>
  <si>
    <t>Virt le 28/03/2019</t>
  </si>
  <si>
    <t>M3 - T4 - 2018</t>
  </si>
  <si>
    <t xml:space="preserve">ESIS - 1er trimestre 2019  :  27.930,31                         </t>
  </si>
  <si>
    <t>Virt le 25/04/2019</t>
  </si>
  <si>
    <t>M1 - T1 - 2019</t>
  </si>
  <si>
    <t>Virt le 17/05/2019</t>
  </si>
  <si>
    <t>M2 - T1 - 2019</t>
  </si>
  <si>
    <t>Virt le 17/06/2019</t>
  </si>
  <si>
    <t>M3 - T1 - 2019</t>
  </si>
  <si>
    <t>Taxe sur bureaux 2019 : 3.708,00 - Virt le 25/04/2019</t>
  </si>
  <si>
    <t xml:space="preserve">ESIS - 2è trimestre 2019  :  28.983,97                  </t>
  </si>
  <si>
    <t>Virt le 23/07/2019</t>
  </si>
  <si>
    <t>M1 - T2 - 2019</t>
  </si>
  <si>
    <t>Virt le 26/08/2019</t>
  </si>
  <si>
    <t>M2 - T2 - 2019</t>
  </si>
  <si>
    <t>Virt le 16/09/2019</t>
  </si>
  <si>
    <t>M3 - T2 - 2019</t>
  </si>
  <si>
    <t xml:space="preserve">ESIS - 3è trimestre 2019  :  28.983,97                  </t>
  </si>
  <si>
    <t>Virt le 18/10</t>
  </si>
  <si>
    <t>M1 - T3 - 2019</t>
  </si>
  <si>
    <t>Virt le 18/11</t>
  </si>
  <si>
    <t>M2 - T3 - 2019</t>
  </si>
  <si>
    <t>Virt le 10/12</t>
  </si>
  <si>
    <t>M3 - T3 - 2019</t>
  </si>
  <si>
    <t>Taxe foncière 2019 : 13.442 (en 2 fois ) Virt le 18/11</t>
  </si>
  <si>
    <t>Règlement 1/2</t>
  </si>
  <si>
    <t>Règlement 2/2</t>
  </si>
  <si>
    <t xml:space="preserve">ESIS - 4è trimestre 2019  :  28.983,97                  </t>
  </si>
  <si>
    <t>Virt le 16/01</t>
  </si>
  <si>
    <t>M1 - T4 - 2019</t>
  </si>
  <si>
    <t>Virt le 18/02</t>
  </si>
  <si>
    <t>M2 - T4 - 2019</t>
  </si>
  <si>
    <t>Virt le 22/06</t>
  </si>
  <si>
    <t>M3 - T4 - 2019</t>
  </si>
  <si>
    <t>ESIS - 1er trimestre 2020  : 29.586,06 - Offert par propriétaire - Pandémie Covid19</t>
  </si>
  <si>
    <t xml:space="preserve">ESIS - 2è trimestre 2020  :  29.586,06            </t>
  </si>
  <si>
    <t>Virt le 17/07/2020</t>
  </si>
  <si>
    <t>M1 - T2 - 2020</t>
  </si>
  <si>
    <t>Virt le 07/09/2020</t>
  </si>
  <si>
    <t>M2 - T2 - 2020</t>
  </si>
  <si>
    <t>Virt le 18/09/2020</t>
  </si>
  <si>
    <t>M3 - T2 - 2020</t>
  </si>
  <si>
    <t>Taxe sur bureaux 2020 : 3.746,00 - Virt le 17/07/2020</t>
  </si>
  <si>
    <t xml:space="preserve">ESIS - 3è trimestre 2020  :  29.602,79           </t>
  </si>
  <si>
    <t>Virt le 14/10</t>
  </si>
  <si>
    <t>M1 - T3 - 2020</t>
  </si>
  <si>
    <t>Virt le 20/11</t>
  </si>
  <si>
    <t>M2 - T3 - 2020</t>
  </si>
  <si>
    <t>Virt le 15/12</t>
  </si>
  <si>
    <t>M3 - T3 - 2020</t>
  </si>
  <si>
    <t>Taxes Foncières 2020 - 1/2 de 13.723,00 - Virt le 20/11</t>
  </si>
  <si>
    <t>Taxes Foncières 2020 - 2/2 de 13.723,00 - Virt le 15/12</t>
  </si>
  <si>
    <t xml:space="preserve">ESIS - 4è trimestre 2020  :  29.602,79           </t>
  </si>
  <si>
    <t>Virt le 18/01</t>
  </si>
  <si>
    <t>M1 - T4 - 2020</t>
  </si>
  <si>
    <t>Virt le 17/02</t>
  </si>
  <si>
    <t>M2 - T4 - 2020</t>
  </si>
  <si>
    <t>Virt le 16/03</t>
  </si>
  <si>
    <t>M3 - T4 - 2020</t>
  </si>
  <si>
    <t xml:space="preserve">NEXITY (ESIS) - 1er trimestre 2021  :  29.602,43 </t>
  </si>
  <si>
    <t>Virt le 22/04</t>
  </si>
  <si>
    <t>M1 - T1 - 2021</t>
  </si>
  <si>
    <t>Virt le 18/05</t>
  </si>
  <si>
    <t>M2 - T1 - 2021</t>
  </si>
  <si>
    <t>Virt le 15/06</t>
  </si>
  <si>
    <t>M3 - T1 - 2021</t>
  </si>
  <si>
    <t>NEXITY (ESIS) - 2è trimestre 2021  :  29,602,43</t>
  </si>
  <si>
    <t>Virt le 16/07</t>
  </si>
  <si>
    <t>M1 - T2 - 2021</t>
  </si>
  <si>
    <t>Virt le 17/08</t>
  </si>
  <si>
    <t>M2 - T2 - 2021</t>
  </si>
  <si>
    <t>Virt le 24/09</t>
  </si>
  <si>
    <t>M3 - T2 - 2021</t>
  </si>
  <si>
    <t>NEXITY (ESIS) - 3è trimestre 2021  :  30 459,94</t>
  </si>
  <si>
    <t>Virt le 20/10</t>
  </si>
  <si>
    <t>M1 - T3 - 2021</t>
  </si>
  <si>
    <t>M2 - T3 - 2021</t>
  </si>
  <si>
    <t>Virt le 20/12</t>
  </si>
  <si>
    <t>M3 - T3 - 2021</t>
  </si>
  <si>
    <t>NEXITY (Loyer) - 4è trimestre 2021  :  30 459,94</t>
  </si>
  <si>
    <t>M1 - T4 - 2021</t>
  </si>
  <si>
    <t>Virt le 15/02</t>
  </si>
  <si>
    <t>M2 - T4 - 2021</t>
  </si>
  <si>
    <t>Virt le 01/04</t>
  </si>
  <si>
    <t>M3 - T4 - 2021</t>
  </si>
  <si>
    <t>NEXITY (Loyer) - 1er trimestre 2022  :  30 322,30</t>
  </si>
  <si>
    <t>Virt le 15/04</t>
  </si>
  <si>
    <t>M1 - T1 - 2022</t>
  </si>
  <si>
    <t>M2 - T1 - 2022</t>
  </si>
  <si>
    <t>Virt le 17/06</t>
  </si>
  <si>
    <t>M3 - T1 - 2022</t>
  </si>
  <si>
    <t>NEXITY (Loyer) - 2eme trimestre 2022  :  30 322,30</t>
  </si>
  <si>
    <t>Virt le 12/07</t>
  </si>
  <si>
    <t>M1 - T2 - 2022</t>
  </si>
  <si>
    <t>Virt le 08/08</t>
  </si>
  <si>
    <t>M2 - T2 - 2022</t>
  </si>
  <si>
    <t>Virt le 12/09</t>
  </si>
  <si>
    <t>M3 - T2 - 2022</t>
  </si>
  <si>
    <t xml:space="preserve">Cautions versées : </t>
  </si>
  <si>
    <t xml:space="preserve">LOYER </t>
  </si>
  <si>
    <t>dépôt garantie</t>
  </si>
  <si>
    <t>depuis arrivée ??</t>
  </si>
  <si>
    <t>VIPARIS</t>
  </si>
  <si>
    <t>CHQ 9193</t>
  </si>
  <si>
    <t>annulat° en 2018</t>
  </si>
  <si>
    <t>EASY FROID</t>
  </si>
  <si>
    <t>CHQ 9256</t>
  </si>
  <si>
    <t>00/05/2017</t>
  </si>
  <si>
    <t>AKTUEL</t>
  </si>
  <si>
    <t>CHQ 4480</t>
  </si>
  <si>
    <t>rendu 22/05/2018</t>
  </si>
  <si>
    <t>MUSÉE ART FORAINS</t>
  </si>
  <si>
    <t>CHQ 4653</t>
  </si>
  <si>
    <t>KILOUTOU</t>
  </si>
  <si>
    <t>CHQ 4682</t>
  </si>
  <si>
    <t>00/10/2017</t>
  </si>
  <si>
    <t>rendu 20/07/2018</t>
  </si>
  <si>
    <t>CHQ 1615</t>
  </si>
  <si>
    <t>rendu 01/07/2019</t>
  </si>
  <si>
    <t>CHQ ????</t>
  </si>
  <si>
    <t>00/05/2018</t>
  </si>
  <si>
    <t>CHQ 7509</t>
  </si>
  <si>
    <t>PARISEINE caution</t>
  </si>
  <si>
    <t>CHQ 7557</t>
  </si>
  <si>
    <t>00/10/2018</t>
  </si>
  <si>
    <t>TROUILLET</t>
  </si>
  <si>
    <t>CHQ 0115</t>
  </si>
  <si>
    <t>déposé 17/05</t>
  </si>
  <si>
    <t xml:space="preserve">TROUILLET </t>
  </si>
  <si>
    <t>VIRT</t>
  </si>
  <si>
    <t>CHQ 4579</t>
  </si>
  <si>
    <t>CHQ 1873</t>
  </si>
  <si>
    <t>LOCA  RECEPTION</t>
  </si>
  <si>
    <t>CHQ 3559</t>
  </si>
  <si>
    <t>rendu 15/11/2021</t>
  </si>
  <si>
    <t>CHQ 3571</t>
  </si>
  <si>
    <t>00/11/2021</t>
  </si>
  <si>
    <t>LES CANAUX caution</t>
  </si>
  <si>
    <t>CHQ 3580</t>
  </si>
  <si>
    <t>CHQ0509</t>
  </si>
  <si>
    <t>00/05/2022</t>
  </si>
  <si>
    <t>FRAIKIN</t>
  </si>
  <si>
    <t>CHQ0512</t>
  </si>
  <si>
    <t>Rembt prêt bnp investissst preleve le 02/09/2022 (Echance prêt)</t>
  </si>
  <si>
    <t>Fournisseur+ Autres</t>
  </si>
  <si>
    <t>TINGARI</t>
  </si>
  <si>
    <t>Virt 02/09</t>
  </si>
  <si>
    <t>SNCF</t>
  </si>
  <si>
    <t>REZOSOCIAL</t>
  </si>
  <si>
    <t>REZGUI</t>
  </si>
  <si>
    <t>PLIMSOLL</t>
  </si>
  <si>
    <t>MICHAUT</t>
  </si>
  <si>
    <t>DUVAL</t>
  </si>
  <si>
    <t>Nom de l'entreprise</t>
  </si>
  <si>
    <t>Montant</t>
  </si>
  <si>
    <t>PID THOUY</t>
  </si>
  <si>
    <t xml:space="preserve">PID </t>
  </si>
  <si>
    <t>Virt 05/09</t>
  </si>
  <si>
    <t xml:space="preserve">PRLV  TOTALENERGIES ELECTRICITE ET GAZ </t>
  </si>
  <si>
    <t>PRLV EQUALOG</t>
  </si>
  <si>
    <t xml:space="preserve">PRLV  ALLIANZ IARD </t>
  </si>
  <si>
    <t>PID SEKRI</t>
  </si>
  <si>
    <t>Virt 06/09</t>
  </si>
  <si>
    <t>ORANGE  Fixe Prélèvt</t>
  </si>
  <si>
    <t xml:space="preserve">Comatec LCR Prelevt </t>
  </si>
  <si>
    <t>VALDESEINE</t>
  </si>
  <si>
    <t>Virt 09/09</t>
  </si>
  <si>
    <t>PID</t>
  </si>
  <si>
    <t>PID OJETABLE</t>
  </si>
  <si>
    <t>PID DMCUISINE</t>
  </si>
  <si>
    <t>Banque</t>
  </si>
  <si>
    <t xml:space="preserve">Montant </t>
  </si>
  <si>
    <t>Porte Dorée</t>
  </si>
  <si>
    <t>T Resto (Prte Dorée)</t>
  </si>
  <si>
    <t>T Resto Bnd</t>
  </si>
  <si>
    <t>T Resto (Sodexo)</t>
  </si>
  <si>
    <t>BND</t>
  </si>
  <si>
    <t>T Resto (porte dorée)</t>
  </si>
  <si>
    <t>(1100) RAYNE Alexandre</t>
  </si>
  <si>
    <t>(223,57)SECOUR Populaire</t>
  </si>
  <si>
    <r>
      <t>(639,10)RIEUNIER</t>
    </r>
    <r>
      <rPr>
        <sz val="10"/>
        <color theme="1"/>
        <rFont val="Calibri"/>
        <family val="2"/>
        <scheme val="minor"/>
      </rPr>
      <t xml:space="preserve"> JEAN BAPTISTE</t>
    </r>
  </si>
  <si>
    <t>(1028) SARAZIN Benoit</t>
  </si>
  <si>
    <t>(10976) BARON Sophie</t>
  </si>
  <si>
    <t>(10983) LA FABRIQUE</t>
  </si>
  <si>
    <t>(983695)PERERA Pradeesha</t>
  </si>
  <si>
    <t>(10982) DEVINEAU Bénédicte</t>
  </si>
  <si>
    <t>(869233)DEGUSTATION CLIENT</t>
  </si>
  <si>
    <t>Date de  remise Chèque</t>
  </si>
  <si>
    <t>MME LAURENCE LAURENTIN</t>
  </si>
  <si>
    <t>CROIX ROUGE FRANCAISE</t>
  </si>
  <si>
    <t>MR PESTEL MICHEL</t>
  </si>
  <si>
    <t>MME MARIANNE BAY</t>
  </si>
  <si>
    <t>LA FABRIQUE</t>
  </si>
  <si>
    <t>SN COIFF</t>
  </si>
  <si>
    <t>M DEROUINEAU BERTRAND</t>
  </si>
  <si>
    <t>MME CAROLOINE MEAUDRE</t>
  </si>
  <si>
    <t>MME MONIQUE NICOLAS</t>
  </si>
  <si>
    <t>OGEC ECOLE ST VINCENT DE PAUL</t>
  </si>
  <si>
    <t>BANQUE BRED</t>
  </si>
  <si>
    <t>BANQUE HSBC</t>
  </si>
  <si>
    <t>BANQUE BNP PARIBAS</t>
  </si>
  <si>
    <t>BANQUE POPULAIRE</t>
  </si>
  <si>
    <t>BANQUE POSTALE</t>
  </si>
  <si>
    <t>BANQUE IDF</t>
  </si>
  <si>
    <t>HSBC</t>
  </si>
  <si>
    <t>CIC</t>
  </si>
  <si>
    <t>BOURSORAMA</t>
  </si>
  <si>
    <t>BANQUE LCL NANTERRE</t>
  </si>
  <si>
    <t>BANQUE SOCIETE GENERALE</t>
  </si>
  <si>
    <t>BANQUE CIC</t>
  </si>
  <si>
    <t>LA BANQUE POSTALE</t>
  </si>
  <si>
    <t>(10779) SELARL DES DOCTEURS DARMON ET RAM</t>
  </si>
  <si>
    <t>03/08/2022(Pas le nom du client)</t>
  </si>
  <si>
    <t>27/07/2022 (Pas le nom du client)</t>
  </si>
  <si>
    <t>11/07/2022 (Pas le nom du client)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</si>
</sst>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#,##0.00_ ;[Red]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4" fontId="4" fillId="2" borderId="2" xfId="0" applyNumberFormat="1" applyFont="1" applyFill="1" applyBorder="1" applyProtection="1">
      <protection locked="0"/>
    </xf>
    <xf numFmtId="4" fontId="0" fillId="0" borderId="0" xfId="0" applyNumberFormat="1"/>
    <xf numFmtId="4" fontId="2" fillId="0" borderId="2" xfId="0" applyNumberFormat="1" applyFont="1" applyBorder="1"/>
    <xf numFmtId="0" fontId="0" fillId="0" borderId="3" xfId="0" applyBorder="1" applyProtection="1">
      <protection locked="0"/>
    </xf>
    <xf numFmtId="4" fontId="4" fillId="0" borderId="3" xfId="0" applyNumberFormat="1" applyFont="1" applyBorder="1" applyProtection="1">
      <protection locked="0"/>
    </xf>
    <xf numFmtId="4" fontId="4" fillId="2" borderId="3" xfId="0" applyNumberFormat="1" applyFont="1" applyFill="1" applyBorder="1" applyProtection="1">
      <protection locked="0"/>
    </xf>
    <xf numFmtId="4" fontId="2" fillId="0" borderId="3" xfId="0" applyNumberFormat="1" applyFont="1" applyBorder="1"/>
    <xf numFmtId="0" fontId="0" fillId="0" borderId="4" xfId="0" applyBorder="1" applyProtection="1">
      <protection locked="0"/>
    </xf>
    <xf numFmtId="4" fontId="4" fillId="0" borderId="4" xfId="0" applyNumberFormat="1" applyFont="1" applyBorder="1" applyProtection="1">
      <protection locked="0"/>
    </xf>
    <xf numFmtId="4" fontId="2" fillId="0" borderId="0" xfId="0" applyNumberFormat="1" applyFont="1"/>
    <xf numFmtId="0" fontId="2" fillId="0" borderId="6" xfId="0" applyFont="1" applyBorder="1"/>
    <xf numFmtId="4" fontId="2" fillId="2" borderId="7" xfId="0" applyNumberFormat="1" applyFont="1" applyFill="1" applyBorder="1"/>
    <xf numFmtId="4" fontId="2" fillId="2" borderId="8" xfId="0" applyNumberFormat="1" applyFont="1" applyFill="1" applyBorder="1"/>
    <xf numFmtId="0" fontId="2" fillId="3" borderId="9" xfId="0" applyFont="1" applyFill="1" applyBorder="1"/>
    <xf numFmtId="4" fontId="2" fillId="2" borderId="3" xfId="0" applyNumberFormat="1" applyFont="1" applyFill="1" applyBorder="1"/>
    <xf numFmtId="0" fontId="5" fillId="0" borderId="10" xfId="0" applyFont="1" applyBorder="1"/>
    <xf numFmtId="4" fontId="5" fillId="0" borderId="1" xfId="0" applyNumberFormat="1" applyFont="1" applyBorder="1"/>
    <xf numFmtId="4" fontId="6" fillId="0" borderId="0" xfId="0" applyNumberFormat="1" applyFont="1"/>
    <xf numFmtId="0" fontId="2" fillId="0" borderId="11" xfId="0" applyFont="1" applyBorder="1"/>
    <xf numFmtId="4" fontId="2" fillId="0" borderId="12" xfId="0" applyNumberFormat="1" applyFont="1" applyBorder="1"/>
    <xf numFmtId="0" fontId="7" fillId="0" borderId="0" xfId="0" applyFont="1"/>
    <xf numFmtId="164" fontId="2" fillId="0" borderId="1" xfId="0" applyNumberFormat="1" applyFont="1" applyBorder="1" applyAlignment="1">
      <alignment horizontal="center"/>
    </xf>
    <xf numFmtId="4" fontId="2" fillId="3" borderId="5" xfId="0" applyNumberFormat="1" applyFont="1" applyFill="1" applyBorder="1"/>
    <xf numFmtId="0" fontId="2" fillId="4" borderId="9" xfId="0" applyFont="1" applyFill="1" applyBorder="1"/>
    <xf numFmtId="0" fontId="2" fillId="4" borderId="2" xfId="0" applyFont="1" applyFill="1" applyBorder="1"/>
    <xf numFmtId="4" fontId="2" fillId="4" borderId="2" xfId="0" applyNumberFormat="1" applyFont="1" applyFill="1" applyBorder="1"/>
    <xf numFmtId="43" fontId="3" fillId="0" borderId="1" xfId="1" applyFont="1" applyBorder="1"/>
    <xf numFmtId="0" fontId="3" fillId="5" borderId="1" xfId="0" applyFont="1" applyFill="1" applyBorder="1" applyAlignment="1">
      <alignment horizontal="left"/>
    </xf>
    <xf numFmtId="0" fontId="8" fillId="0" borderId="3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0" fillId="0" borderId="4" xfId="0" applyBorder="1"/>
    <xf numFmtId="0" fontId="2" fillId="3" borderId="1" xfId="0" applyFont="1" applyFill="1" applyBorder="1"/>
    <xf numFmtId="4" fontId="4" fillId="2" borderId="13" xfId="0" applyNumberFormat="1" applyFont="1" applyFill="1" applyBorder="1" applyProtection="1">
      <protection locked="0"/>
    </xf>
    <xf numFmtId="14" fontId="0" fillId="0" borderId="0" xfId="0" applyNumberFormat="1"/>
    <xf numFmtId="0" fontId="8" fillId="0" borderId="3" xfId="0" applyFont="1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1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14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4" fontId="11" fillId="8" borderId="0" xfId="0" applyNumberFormat="1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  <xf numFmtId="17" fontId="11" fillId="6" borderId="0" xfId="0" applyNumberFormat="1" applyFont="1" applyFill="1" applyAlignment="1">
      <alignment horizontal="center"/>
    </xf>
    <xf numFmtId="4" fontId="11" fillId="6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0" fontId="11" fillId="7" borderId="0" xfId="0" applyFont="1" applyFill="1" applyAlignment="1">
      <alignment horizontal="center"/>
    </xf>
    <xf numFmtId="14" fontId="13" fillId="0" borderId="0" xfId="0" applyNumberFormat="1" applyFont="1" applyBorder="1" applyAlignment="1">
      <alignment horizontal="center" vertical="center"/>
    </xf>
    <xf numFmtId="4" fontId="13" fillId="0" borderId="0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4" fontId="11" fillId="0" borderId="0" xfId="0" applyNumberFormat="1" applyFont="1"/>
    <xf numFmtId="17" fontId="11" fillId="0" borderId="0" xfId="0" applyNumberFormat="1" applyFont="1" applyAlignment="1">
      <alignment horizontal="center"/>
    </xf>
    <xf numFmtId="0" fontId="11" fillId="9" borderId="0" xfId="0" applyFont="1" applyFill="1"/>
    <xf numFmtId="4" fontId="11" fillId="9" borderId="0" xfId="0" applyNumberFormat="1" applyFont="1" applyFill="1"/>
    <xf numFmtId="0" fontId="11" fillId="0" borderId="0" xfId="0" applyFont="1" applyFill="1"/>
    <xf numFmtId="4" fontId="11" fillId="0" borderId="0" xfId="0" applyNumberFormat="1" applyFont="1" applyFill="1"/>
    <xf numFmtId="14" fontId="11" fillId="0" borderId="0" xfId="0" applyNumberFormat="1" applyFont="1"/>
    <xf numFmtId="2" fontId="11" fillId="0" borderId="0" xfId="0" applyNumberFormat="1" applyFont="1" applyAlignment="1">
      <alignment horizontal="center"/>
    </xf>
    <xf numFmtId="1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4" fontId="11" fillId="0" borderId="0" xfId="0" applyNumberFormat="1" applyFont="1" applyFill="1" applyAlignment="1">
      <alignment horizontal="center"/>
    </xf>
    <xf numFmtId="4" fontId="14" fillId="8" borderId="0" xfId="0" applyNumberFormat="1" applyFont="1" applyFill="1" applyAlignment="1">
      <alignment horizontal="center"/>
    </xf>
    <xf numFmtId="4" fontId="14" fillId="12" borderId="0" xfId="0" applyNumberFormat="1" applyFont="1" applyFill="1" applyAlignment="1">
      <alignment horizontal="center"/>
    </xf>
    <xf numFmtId="4" fontId="14" fillId="14" borderId="0" xfId="0" applyNumberFormat="1" applyFont="1" applyFill="1" applyAlignment="1">
      <alignment horizontal="center"/>
    </xf>
    <xf numFmtId="0" fontId="14" fillId="0" borderId="0" xfId="0" applyFont="1"/>
    <xf numFmtId="4" fontId="14" fillId="13" borderId="0" xfId="0" applyNumberFormat="1" applyFont="1" applyFill="1" applyAlignment="1">
      <alignment horizontal="center"/>
    </xf>
    <xf numFmtId="4" fontId="14" fillId="15" borderId="0" xfId="0" applyNumberFormat="1" applyFont="1" applyFill="1" applyAlignment="1">
      <alignment horizontal="center"/>
    </xf>
    <xf numFmtId="4" fontId="14" fillId="0" borderId="0" xfId="0" applyNumberFormat="1" applyFont="1" applyFill="1" applyAlignment="1">
      <alignment horizontal="center"/>
    </xf>
    <xf numFmtId="4" fontId="14" fillId="9" borderId="0" xfId="0" applyNumberFormat="1" applyFont="1" applyFill="1" applyAlignment="1">
      <alignment horizontal="center"/>
    </xf>
    <xf numFmtId="4" fontId="14" fillId="7" borderId="0" xfId="0" applyNumberFormat="1" applyFont="1" applyFill="1" applyAlignment="1">
      <alignment horizontal="center"/>
    </xf>
    <xf numFmtId="4" fontId="14" fillId="6" borderId="0" xfId="0" applyNumberFormat="1" applyFont="1" applyFill="1" applyAlignment="1">
      <alignment horizontal="center"/>
    </xf>
    <xf numFmtId="17" fontId="11" fillId="0" borderId="0" xfId="0" applyNumberFormat="1" applyFont="1"/>
    <xf numFmtId="165" fontId="11" fillId="0" borderId="0" xfId="0" applyNumberFormat="1" applyFont="1" applyAlignment="1">
      <alignment horizontal="center"/>
    </xf>
    <xf numFmtId="4" fontId="14" fillId="11" borderId="0" xfId="0" applyNumberFormat="1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16" fillId="0" borderId="0" xfId="0" applyFont="1"/>
    <xf numFmtId="4" fontId="17" fillId="0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14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4" fontId="16" fillId="0" borderId="0" xfId="0" applyNumberFormat="1" applyFont="1" applyFill="1" applyAlignment="1">
      <alignment horizontal="center"/>
    </xf>
    <xf numFmtId="0" fontId="16" fillId="0" borderId="0" xfId="0" applyFont="1" applyAlignment="1"/>
    <xf numFmtId="4" fontId="17" fillId="10" borderId="0" xfId="0" applyNumberFormat="1" applyFont="1" applyFill="1" applyAlignment="1">
      <alignment horizontal="center"/>
    </xf>
    <xf numFmtId="4" fontId="17" fillId="12" borderId="0" xfId="0" applyNumberFormat="1" applyFont="1" applyFill="1" applyAlignment="1">
      <alignment horizontal="center"/>
    </xf>
    <xf numFmtId="4" fontId="17" fillId="0" borderId="0" xfId="0" applyNumberFormat="1" applyFont="1" applyAlignment="1">
      <alignment horizontal="center"/>
    </xf>
    <xf numFmtId="4" fontId="17" fillId="8" borderId="0" xfId="0" applyNumberFormat="1" applyFont="1" applyFill="1" applyAlignment="1">
      <alignment horizontal="center"/>
    </xf>
    <xf numFmtId="0" fontId="16" fillId="6" borderId="0" xfId="0" applyFont="1" applyFill="1"/>
    <xf numFmtId="4" fontId="16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17" fontId="16" fillId="6" borderId="0" xfId="0" applyNumberFormat="1" applyFont="1" applyFill="1"/>
    <xf numFmtId="4" fontId="10" fillId="0" borderId="0" xfId="0" applyNumberFormat="1" applyFont="1" applyFill="1" applyAlignment="1">
      <alignment horizontal="center"/>
    </xf>
    <xf numFmtId="0" fontId="16" fillId="0" borderId="0" xfId="0" applyFont="1" applyFill="1"/>
    <xf numFmtId="4" fontId="10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4" fontId="17" fillId="13" borderId="0" xfId="0" applyNumberFormat="1" applyFont="1" applyFill="1" applyAlignment="1">
      <alignment horizontal="center"/>
    </xf>
    <xf numFmtId="4" fontId="17" fillId="15" borderId="0" xfId="0" applyNumberFormat="1" applyFont="1" applyFill="1" applyAlignment="1">
      <alignment horizont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1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1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" fontId="9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3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8" fillId="0" borderId="0" xfId="0" applyFont="1"/>
    <xf numFmtId="14" fontId="9" fillId="0" borderId="0" xfId="0" applyNumberFormat="1" applyFont="1" applyAlignment="1">
      <alignment horizontal="center"/>
    </xf>
    <xf numFmtId="0" fontId="13" fillId="16" borderId="1" xfId="0" applyFont="1" applyFill="1" applyBorder="1" applyAlignment="1">
      <alignment vertical="center"/>
    </xf>
    <xf numFmtId="4" fontId="13" fillId="16" borderId="1" xfId="0" applyNumberFormat="1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3" fillId="16" borderId="1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vertical="center"/>
    </xf>
    <xf numFmtId="4" fontId="11" fillId="16" borderId="1" xfId="0" applyNumberFormat="1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left" vertical="center"/>
    </xf>
    <xf numFmtId="4" fontId="13" fillId="16" borderId="1" xfId="0" applyNumberFormat="1" applyFont="1" applyFill="1" applyBorder="1" applyAlignment="1">
      <alignment horizontal="right" vertical="center"/>
    </xf>
    <xf numFmtId="0" fontId="15" fillId="16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2" borderId="0" xfId="0" applyFont="1" applyFill="1" applyAlignment="1">
      <alignment vertical="center"/>
    </xf>
    <xf numFmtId="4" fontId="17" fillId="12" borderId="0" xfId="0" applyNumberFormat="1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14" fontId="17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4" fontId="17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4" fontId="17" fillId="0" borderId="0" xfId="0" applyNumberFormat="1" applyFont="1" applyAlignment="1">
      <alignment vertical="center"/>
    </xf>
    <xf numFmtId="14" fontId="17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6" fontId="19" fillId="0" borderId="0" xfId="0" applyNumberFormat="1" applyFont="1" applyFill="1" applyAlignment="1">
      <alignment horizontal="center" vertical="center"/>
    </xf>
    <xf numFmtId="4" fontId="4" fillId="0" borderId="3" xfId="0" applyNumberFormat="1" applyFont="1" applyBorder="1" applyAlignment="1" applyProtection="1">
      <alignment wrapText="1"/>
      <protection locked="0"/>
    </xf>
    <xf numFmtId="4" fontId="4" fillId="0" borderId="3" xfId="0" applyNumberFormat="1" applyFont="1" applyFill="1" applyBorder="1" applyProtection="1">
      <protection locked="0"/>
    </xf>
    <xf numFmtId="4" fontId="22" fillId="0" borderId="3" xfId="0" applyNumberFormat="1" applyFont="1" applyBorder="1" applyProtection="1">
      <protection locked="0"/>
    </xf>
    <xf numFmtId="0" fontId="9" fillId="0" borderId="8" xfId="0" applyFont="1" applyFill="1" applyBorder="1" applyProtection="1">
      <protection locked="0"/>
    </xf>
    <xf numFmtId="4" fontId="4" fillId="0" borderId="2" xfId="0" applyNumberFormat="1" applyFont="1" applyFill="1" applyBorder="1" applyProtection="1">
      <protection locked="0"/>
    </xf>
    <xf numFmtId="0" fontId="0" fillId="2" borderId="0" xfId="0" applyFill="1"/>
    <xf numFmtId="4" fontId="4" fillId="2" borderId="3" xfId="0" applyNumberFormat="1" applyFont="1" applyFill="1" applyBorder="1" applyAlignment="1" applyProtection="1">
      <alignment wrapText="1"/>
      <protection locked="0"/>
    </xf>
    <xf numFmtId="4" fontId="22" fillId="2" borderId="3" xfId="0" applyNumberFormat="1" applyFont="1" applyFill="1" applyBorder="1" applyProtection="1">
      <protection locked="0"/>
    </xf>
    <xf numFmtId="0" fontId="0" fillId="0" borderId="1" xfId="0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applyFill="1" applyBorder="1"/>
    <xf numFmtId="14" fontId="0" fillId="0" borderId="1" xfId="0" applyNumberFormat="1" applyBorder="1"/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11" borderId="0" xfId="0" applyFont="1" applyFill="1" applyAlignment="1">
      <alignment horizontal="center"/>
    </xf>
    <xf numFmtId="0" fontId="0" fillId="0" borderId="0" xfId="0" applyAlignme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6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11" borderId="0" xfId="0" applyFont="1" applyFill="1" applyAlignment="1">
      <alignment horizontal="center"/>
    </xf>
    <xf numFmtId="0" fontId="16" fillId="0" borderId="0" xfId="0" applyFont="1" applyAlignment="1"/>
    <xf numFmtId="0" fontId="17" fillId="13" borderId="0" xfId="0" applyFont="1" applyFill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13" fillId="16" borderId="0" xfId="0" applyFont="1" applyFill="1" applyBorder="1" applyAlignment="1">
      <alignment horizontal="left" vertical="center"/>
    </xf>
    <xf numFmtId="0" fontId="0" fillId="16" borderId="0" xfId="0" applyFill="1" applyAlignment="1">
      <alignment horizontal="left" vertical="center"/>
    </xf>
    <xf numFmtId="14" fontId="0" fillId="0" borderId="19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0" fontId="0" fillId="12" borderId="3" xfId="0" applyFill="1" applyBorder="1" applyProtection="1">
      <protection locked="0"/>
    </xf>
    <xf numFmtId="4" fontId="4" fillId="12" borderId="3" xfId="0" applyNumberFormat="1" applyFont="1" applyFill="1" applyBorder="1" applyProtection="1">
      <protection locked="0"/>
    </xf>
  </cellXfs>
  <cellStyles count="2">
    <cellStyle name="Milliers" xfId="1" builtinId="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W20" sqref="W20"/>
    </sheetView>
  </sheetViews>
  <sheetFormatPr baseColWidth="10" defaultRowHeight="15" x14ac:dyDescent="0.25"/>
  <cols>
    <col min="1" max="1" width="45" bestFit="1" customWidth="1"/>
    <col min="2" max="2" width="13.140625" bestFit="1" customWidth="1"/>
    <col min="3" max="10" width="10.28515625" bestFit="1" customWidth="1"/>
    <col min="12" max="12" width="12.42578125" bestFit="1" customWidth="1"/>
    <col min="16" max="16" width="31.140625" customWidth="1"/>
  </cols>
  <sheetData>
    <row r="1" spans="1:18" ht="21" x14ac:dyDescent="0.35">
      <c r="B1" s="37">
        <v>44804</v>
      </c>
      <c r="D1" s="24"/>
    </row>
    <row r="2" spans="1:18" ht="15.75" x14ac:dyDescent="0.25">
      <c r="A2" s="31" t="s">
        <v>4</v>
      </c>
      <c r="B2" s="30">
        <v>387104.01</v>
      </c>
      <c r="D2" s="5"/>
    </row>
    <row r="3" spans="1:18" x14ac:dyDescent="0.25">
      <c r="P3" t="s">
        <v>353</v>
      </c>
    </row>
    <row r="4" spans="1:18" ht="15.75" x14ac:dyDescent="0.25">
      <c r="A4" s="1" t="s">
        <v>5</v>
      </c>
      <c r="B4" s="25">
        <v>44805</v>
      </c>
      <c r="C4" s="25">
        <v>44806</v>
      </c>
      <c r="D4" s="25">
        <v>44807</v>
      </c>
      <c r="E4" s="25">
        <v>44809</v>
      </c>
      <c r="F4" s="25">
        <v>44810</v>
      </c>
      <c r="G4" s="25">
        <v>44811</v>
      </c>
      <c r="H4" s="25">
        <v>44812</v>
      </c>
      <c r="I4" s="25">
        <v>44813</v>
      </c>
      <c r="J4" s="25">
        <v>44814</v>
      </c>
      <c r="K4" s="2"/>
      <c r="L4" s="3" t="s">
        <v>0</v>
      </c>
      <c r="P4" t="s">
        <v>362</v>
      </c>
      <c r="Q4" t="s">
        <v>363</v>
      </c>
    </row>
    <row r="5" spans="1:18" x14ac:dyDescent="0.25">
      <c r="A5" s="17" t="s">
        <v>7</v>
      </c>
      <c r="B5" s="35"/>
      <c r="C5" s="17"/>
      <c r="D5" s="17"/>
      <c r="E5" s="17"/>
      <c r="F5" s="17"/>
      <c r="G5" s="17"/>
      <c r="H5" s="17"/>
      <c r="I5" s="17"/>
      <c r="J5" s="17"/>
      <c r="L5" s="17"/>
      <c r="P5" t="s">
        <v>354</v>
      </c>
      <c r="Q5">
        <v>-900</v>
      </c>
      <c r="R5" t="s">
        <v>355</v>
      </c>
    </row>
    <row r="6" spans="1:18" ht="30" x14ac:dyDescent="0.25">
      <c r="A6" s="38" t="s">
        <v>31</v>
      </c>
      <c r="B6" s="4"/>
      <c r="C6" s="36"/>
      <c r="D6" s="4"/>
      <c r="E6" s="4"/>
      <c r="F6" s="4">
        <f>4425.28+2344.8+287.97+199.73+1580.1</f>
        <v>8837.8799999999992</v>
      </c>
      <c r="G6" s="4"/>
      <c r="H6" s="4"/>
      <c r="I6" s="4"/>
      <c r="J6" s="4"/>
      <c r="K6" s="5"/>
      <c r="L6" s="6">
        <f>+SUM(B6:J6)</f>
        <v>8837.8799999999992</v>
      </c>
      <c r="P6" t="s">
        <v>356</v>
      </c>
      <c r="Q6">
        <v>-101</v>
      </c>
      <c r="R6" t="s">
        <v>355</v>
      </c>
    </row>
    <row r="7" spans="1:18" x14ac:dyDescent="0.25">
      <c r="A7" s="32" t="s">
        <v>8</v>
      </c>
      <c r="B7" s="8"/>
      <c r="C7" s="8"/>
      <c r="D7" s="8"/>
      <c r="E7" s="8"/>
      <c r="F7" s="8"/>
      <c r="G7" s="8"/>
      <c r="H7" s="8"/>
      <c r="I7" s="8"/>
      <c r="J7" s="8"/>
      <c r="K7" s="5"/>
      <c r="L7" s="6">
        <f t="shared" ref="L7:L22" si="0">+SUM(B7:J7)</f>
        <v>0</v>
      </c>
      <c r="P7" t="s">
        <v>357</v>
      </c>
      <c r="Q7">
        <v>-345.6</v>
      </c>
      <c r="R7" t="s">
        <v>355</v>
      </c>
    </row>
    <row r="8" spans="1:18" x14ac:dyDescent="0.25">
      <c r="A8" s="32" t="s">
        <v>9</v>
      </c>
      <c r="B8" s="8"/>
      <c r="C8" s="8"/>
      <c r="D8" s="8"/>
      <c r="E8" s="8"/>
      <c r="F8" s="8"/>
      <c r="G8" s="8"/>
      <c r="H8" s="8"/>
      <c r="I8" s="8">
        <v>27730</v>
      </c>
      <c r="J8" s="8"/>
      <c r="K8" s="5"/>
      <c r="L8" s="6">
        <f t="shared" si="0"/>
        <v>27730</v>
      </c>
      <c r="P8" t="s">
        <v>358</v>
      </c>
      <c r="Q8">
        <v>68.62</v>
      </c>
      <c r="R8" t="s">
        <v>355</v>
      </c>
    </row>
    <row r="9" spans="1:18" x14ac:dyDescent="0.25">
      <c r="A9" s="33" t="s">
        <v>10</v>
      </c>
      <c r="B9" s="9"/>
      <c r="C9" s="9"/>
      <c r="D9" s="9"/>
      <c r="E9" s="9"/>
      <c r="F9" s="9"/>
      <c r="G9" s="9"/>
      <c r="H9" s="9"/>
      <c r="I9" s="9"/>
      <c r="J9" s="9"/>
      <c r="K9" s="5"/>
      <c r="L9" s="6">
        <f t="shared" si="0"/>
        <v>0</v>
      </c>
      <c r="P9" t="s">
        <v>359</v>
      </c>
      <c r="Q9">
        <v>-299</v>
      </c>
      <c r="R9" t="s">
        <v>355</v>
      </c>
    </row>
    <row r="10" spans="1:18" x14ac:dyDescent="0.25">
      <c r="A10" s="33" t="s">
        <v>11</v>
      </c>
      <c r="B10" s="176">
        <f>296.1+90.25</f>
        <v>386.35</v>
      </c>
      <c r="C10" s="176">
        <f>172.9+24.3</f>
        <v>197.20000000000002</v>
      </c>
      <c r="D10" s="176"/>
      <c r="E10" s="176">
        <f>41.6+451+125+398.8+48.5+120.6</f>
        <v>1185.5</v>
      </c>
      <c r="F10" s="9"/>
      <c r="G10" s="9">
        <f>73.67+200.4</f>
        <v>274.07</v>
      </c>
      <c r="H10" s="9">
        <f>357.1+47.2</f>
        <v>404.3</v>
      </c>
      <c r="I10" s="9">
        <f>14.5+157.2</f>
        <v>171.7</v>
      </c>
      <c r="J10" s="9"/>
      <c r="K10" s="5"/>
      <c r="L10" s="6">
        <f t="shared" si="0"/>
        <v>2619.12</v>
      </c>
      <c r="P10" t="s">
        <v>360</v>
      </c>
      <c r="Q10">
        <v>-399.08</v>
      </c>
      <c r="R10" t="s">
        <v>355</v>
      </c>
    </row>
    <row r="11" spans="1:18" x14ac:dyDescent="0.25">
      <c r="A11" s="33" t="s">
        <v>13</v>
      </c>
      <c r="B11" s="8"/>
      <c r="C11" s="9"/>
      <c r="D11" s="9"/>
      <c r="E11" s="9"/>
      <c r="F11" s="9"/>
      <c r="G11" s="9"/>
      <c r="H11" s="9"/>
      <c r="I11" s="9"/>
      <c r="J11" s="9"/>
      <c r="K11" s="5"/>
      <c r="L11" s="6">
        <f t="shared" si="0"/>
        <v>0</v>
      </c>
      <c r="P11" t="s">
        <v>361</v>
      </c>
      <c r="Q11">
        <v>-27.15</v>
      </c>
      <c r="R11" t="s">
        <v>355</v>
      </c>
    </row>
    <row r="12" spans="1:18" x14ac:dyDescent="0.25">
      <c r="A12" s="33" t="s">
        <v>14</v>
      </c>
      <c r="B12" s="8"/>
      <c r="C12" s="9"/>
      <c r="D12" s="9"/>
      <c r="E12" s="9"/>
      <c r="F12" s="9"/>
      <c r="G12" s="9"/>
      <c r="H12" s="9"/>
      <c r="I12" s="9"/>
      <c r="J12" s="9"/>
      <c r="K12" s="5"/>
      <c r="L12" s="6">
        <f t="shared" si="0"/>
        <v>0</v>
      </c>
      <c r="P12" t="s">
        <v>364</v>
      </c>
      <c r="Q12">
        <v>-1916.64</v>
      </c>
      <c r="R12" t="s">
        <v>366</v>
      </c>
    </row>
    <row r="13" spans="1:18" x14ac:dyDescent="0.25">
      <c r="A13" s="33" t="s">
        <v>15</v>
      </c>
      <c r="B13" s="176"/>
      <c r="C13" s="176">
        <f>75.67</f>
        <v>75.67</v>
      </c>
      <c r="D13" s="176"/>
      <c r="E13" s="176">
        <f>25.95</f>
        <v>25.95</v>
      </c>
      <c r="F13" s="176">
        <v>19.25</v>
      </c>
      <c r="G13" s="176">
        <f>92+161.52</f>
        <v>253.52</v>
      </c>
      <c r="H13" s="9">
        <f>260.96+150.8</f>
        <v>411.76</v>
      </c>
      <c r="I13" s="9">
        <f>109.44+19.1</f>
        <v>128.54</v>
      </c>
      <c r="J13" s="9"/>
      <c r="K13" s="5"/>
      <c r="L13" s="6">
        <f t="shared" si="0"/>
        <v>914.68999999999994</v>
      </c>
      <c r="P13" t="s">
        <v>365</v>
      </c>
      <c r="Q13">
        <v>-6953.25</v>
      </c>
      <c r="R13" t="s">
        <v>366</v>
      </c>
    </row>
    <row r="14" spans="1:18" x14ac:dyDescent="0.25">
      <c r="A14" s="33" t="s">
        <v>16</v>
      </c>
      <c r="B14" s="8"/>
      <c r="C14" s="9"/>
      <c r="D14" s="9"/>
      <c r="E14" s="9"/>
      <c r="F14" s="9"/>
      <c r="G14" s="9"/>
      <c r="H14" s="9"/>
      <c r="I14" s="9"/>
      <c r="J14" s="9"/>
      <c r="K14" s="5"/>
      <c r="L14" s="6">
        <f t="shared" si="0"/>
        <v>0</v>
      </c>
      <c r="P14" t="s">
        <v>370</v>
      </c>
      <c r="Q14">
        <v>-2000</v>
      </c>
      <c r="R14" t="s">
        <v>371</v>
      </c>
    </row>
    <row r="15" spans="1:18" x14ac:dyDescent="0.25">
      <c r="A15" s="33" t="s">
        <v>19</v>
      </c>
      <c r="B15" s="8"/>
      <c r="C15" s="9"/>
      <c r="D15" s="9"/>
      <c r="E15" s="9"/>
      <c r="F15" s="9"/>
      <c r="G15" s="9"/>
      <c r="H15" s="9"/>
      <c r="I15" s="9"/>
      <c r="J15" s="9"/>
      <c r="K15" s="5"/>
      <c r="L15" s="6">
        <f t="shared" si="0"/>
        <v>0</v>
      </c>
      <c r="P15" t="s">
        <v>374</v>
      </c>
      <c r="Q15">
        <v>-3808.01</v>
      </c>
      <c r="R15" t="s">
        <v>375</v>
      </c>
    </row>
    <row r="16" spans="1:18" x14ac:dyDescent="0.25">
      <c r="A16" s="33" t="s">
        <v>20</v>
      </c>
      <c r="B16" s="176">
        <f>615.5+49.5</f>
        <v>665</v>
      </c>
      <c r="C16" s="176">
        <f>518.5+26</f>
        <v>544.5</v>
      </c>
      <c r="D16" s="176"/>
      <c r="E16" s="176">
        <f>88.5+1271+1199.5+102.5</f>
        <v>2661.5</v>
      </c>
      <c r="F16" s="9"/>
      <c r="G16" s="9"/>
      <c r="H16" s="9"/>
      <c r="I16" s="9"/>
      <c r="J16" s="9"/>
      <c r="K16" s="5"/>
      <c r="L16" s="6">
        <f t="shared" si="0"/>
        <v>3871</v>
      </c>
      <c r="P16" t="s">
        <v>376</v>
      </c>
      <c r="Q16">
        <v>-376.84</v>
      </c>
      <c r="R16" t="s">
        <v>375</v>
      </c>
    </row>
    <row r="17" spans="1:18" x14ac:dyDescent="0.25">
      <c r="A17" s="33" t="s">
        <v>21</v>
      </c>
      <c r="B17" s="8"/>
      <c r="C17" s="9"/>
      <c r="D17" s="9"/>
      <c r="E17" s="9"/>
      <c r="F17" s="9"/>
      <c r="G17" s="9"/>
      <c r="H17" s="9"/>
      <c r="I17" s="9"/>
      <c r="J17" s="9"/>
      <c r="K17" s="5"/>
      <c r="L17" s="6">
        <f t="shared" si="0"/>
        <v>0</v>
      </c>
      <c r="P17" t="s">
        <v>377</v>
      </c>
      <c r="Q17">
        <v>-5294.74</v>
      </c>
      <c r="R17" t="s">
        <v>375</v>
      </c>
    </row>
    <row r="18" spans="1:18" x14ac:dyDescent="0.25">
      <c r="A18" s="33" t="s">
        <v>22</v>
      </c>
      <c r="B18" s="8"/>
      <c r="C18" s="9"/>
      <c r="D18" s="9"/>
      <c r="E18" s="9"/>
      <c r="F18" s="9"/>
      <c r="G18" s="9"/>
      <c r="H18" s="9"/>
      <c r="I18" s="9"/>
      <c r="J18" s="9"/>
      <c r="K18" s="5"/>
      <c r="L18" s="6">
        <f t="shared" si="0"/>
        <v>0</v>
      </c>
      <c r="P18" t="s">
        <v>378</v>
      </c>
      <c r="Q18">
        <v>-462</v>
      </c>
      <c r="R18" t="s">
        <v>375</v>
      </c>
    </row>
    <row r="19" spans="1:18" x14ac:dyDescent="0.25">
      <c r="A19" s="33" t="s">
        <v>23</v>
      </c>
      <c r="B19" s="176">
        <f>300.4</f>
        <v>300.39999999999998</v>
      </c>
      <c r="C19" s="176">
        <f>76.3+241.9</f>
        <v>318.2</v>
      </c>
      <c r="D19" s="176"/>
      <c r="E19" s="176">
        <f>584.6+111.7+487.8+67+179.3+18.9</f>
        <v>1449.3000000000002</v>
      </c>
      <c r="F19" s="176"/>
      <c r="G19" s="176">
        <f>342.1+47</f>
        <v>389.1</v>
      </c>
      <c r="H19" s="9">
        <f>293.3+19.2</f>
        <v>312.5</v>
      </c>
      <c r="I19" s="9">
        <f>263.8+111.8</f>
        <v>375.6</v>
      </c>
      <c r="J19" s="9"/>
      <c r="K19" s="5"/>
      <c r="L19" s="6">
        <f t="shared" si="0"/>
        <v>3145.1</v>
      </c>
    </row>
    <row r="20" spans="1:18" x14ac:dyDescent="0.25">
      <c r="A20" s="33" t="s">
        <v>24</v>
      </c>
      <c r="B20" s="176"/>
      <c r="C20" s="176"/>
      <c r="D20" s="176"/>
      <c r="E20" s="176"/>
      <c r="F20" s="176"/>
      <c r="G20" s="176"/>
      <c r="H20" s="9"/>
      <c r="I20" s="9"/>
      <c r="J20" s="9"/>
      <c r="K20" s="5"/>
      <c r="L20" s="6">
        <f t="shared" si="0"/>
        <v>0</v>
      </c>
    </row>
    <row r="21" spans="1:18" x14ac:dyDescent="0.25">
      <c r="A21" s="32" t="s">
        <v>28</v>
      </c>
      <c r="B21" s="176">
        <f>1024.89+358.84+6340.4+411.21</f>
        <v>8135.3399999999992</v>
      </c>
      <c r="C21" s="176">
        <f>359.7+653.05+146.3+733.09+1837.09+760.21+760.21+66.94+5083.87+304.7+922.24+1038.28</f>
        <v>12665.68</v>
      </c>
      <c r="D21" s="176"/>
      <c r="E21" s="176">
        <f>812.9+963.25+1562.65+1892.85+1938.63+576.84+296.12+85323.27+6608.8+677.6</f>
        <v>100652.91000000002</v>
      </c>
      <c r="F21" s="176">
        <f>233.18+139.83+699.16+996.16+2454.4+587.68+262.16+388.85+517.37</f>
        <v>6278.79</v>
      </c>
      <c r="G21" s="176">
        <f>438.85+1215.5+4178.29+1309.35+397.1</f>
        <v>7539.09</v>
      </c>
      <c r="H21" s="9">
        <f>1318.68+1878.44+1314.14+211.75+851.7+234.2+531.48+797.06+166.65</f>
        <v>7304.0999999999985</v>
      </c>
      <c r="I21" s="9">
        <f>4316.4+844.7+2571.82+393.58+793.1</f>
        <v>8919.6</v>
      </c>
      <c r="J21" s="9"/>
      <c r="K21" s="5"/>
      <c r="L21" s="6">
        <f t="shared" si="0"/>
        <v>151495.51000000004</v>
      </c>
    </row>
    <row r="22" spans="1:18" x14ac:dyDescent="0.25">
      <c r="A22" s="33"/>
      <c r="B22" s="34"/>
      <c r="C22" s="9"/>
      <c r="D22" s="9"/>
      <c r="E22" s="9"/>
      <c r="F22" s="9"/>
      <c r="G22" s="9"/>
      <c r="H22" s="9"/>
      <c r="I22" s="9"/>
      <c r="J22" s="9"/>
      <c r="K22" s="5"/>
      <c r="L22" s="6">
        <f t="shared" si="0"/>
        <v>0</v>
      </c>
    </row>
    <row r="23" spans="1:18" ht="15.75" thickBot="1" x14ac:dyDescent="0.3">
      <c r="A23" s="17" t="s">
        <v>1</v>
      </c>
      <c r="B23" s="26">
        <f>+SUM(B6:B21)</f>
        <v>9487.09</v>
      </c>
      <c r="C23" s="26">
        <f t="shared" ref="C23:J23" si="1">+SUM(C6:C22)</f>
        <v>13801.25</v>
      </c>
      <c r="D23" s="26">
        <f t="shared" si="1"/>
        <v>0</v>
      </c>
      <c r="E23" s="26">
        <f t="shared" si="1"/>
        <v>105975.16000000002</v>
      </c>
      <c r="F23" s="26">
        <f t="shared" si="1"/>
        <v>15135.919999999998</v>
      </c>
      <c r="G23" s="26">
        <f t="shared" si="1"/>
        <v>8455.7800000000007</v>
      </c>
      <c r="H23" s="26">
        <f t="shared" si="1"/>
        <v>8432.659999999998</v>
      </c>
      <c r="I23" s="26">
        <f t="shared" si="1"/>
        <v>37325.440000000002</v>
      </c>
      <c r="J23" s="26">
        <f t="shared" si="1"/>
        <v>0</v>
      </c>
      <c r="K23" s="13"/>
      <c r="L23" s="26">
        <f>+SUM(B23:J23)</f>
        <v>198613.30000000002</v>
      </c>
    </row>
    <row r="24" spans="1:18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3"/>
      <c r="L24" s="16"/>
    </row>
    <row r="25" spans="1:18" x14ac:dyDescent="0.25">
      <c r="A25" s="27" t="s">
        <v>6</v>
      </c>
      <c r="B25" s="27"/>
      <c r="C25" s="27"/>
      <c r="D25" s="27"/>
      <c r="E25" s="27"/>
      <c r="F25" s="27"/>
      <c r="G25" s="27"/>
      <c r="H25" s="27"/>
      <c r="I25" s="27"/>
      <c r="J25" s="27"/>
      <c r="K25" s="5"/>
      <c r="L25" s="27"/>
    </row>
    <row r="26" spans="1:18" x14ac:dyDescent="0.25">
      <c r="A26" s="33" t="s">
        <v>12</v>
      </c>
      <c r="B26" s="179">
        <f>-8.16-2.55</f>
        <v>-10.71</v>
      </c>
      <c r="C26" s="179">
        <f>-6.13-0.95</f>
        <v>-7.08</v>
      </c>
      <c r="D26" s="179"/>
      <c r="E26" s="179">
        <f>-1.49-12.7-4.04-12.71-1.36-4.98</f>
        <v>-37.28</v>
      </c>
      <c r="F26" s="179"/>
      <c r="G26" s="179">
        <f>-1.81-6.01</f>
        <v>-7.82</v>
      </c>
      <c r="H26" s="4">
        <f>-10.1-1.3</f>
        <v>-11.4</v>
      </c>
      <c r="I26" s="4">
        <f>-0.29-5.6</f>
        <v>-5.89</v>
      </c>
      <c r="J26" s="4"/>
      <c r="K26" s="5"/>
      <c r="L26" s="6">
        <f t="shared" ref="L26:L29" si="2">+SUM(B26:J26)</f>
        <v>-80.180000000000007</v>
      </c>
    </row>
    <row r="27" spans="1:18" x14ac:dyDescent="0.25">
      <c r="A27" s="33" t="s">
        <v>17</v>
      </c>
      <c r="B27" s="176"/>
      <c r="C27" s="176">
        <f>-1.66</f>
        <v>-1.66</v>
      </c>
      <c r="D27" s="176"/>
      <c r="E27" s="176">
        <v>-0.59</v>
      </c>
      <c r="F27" s="176">
        <v>-0.52</v>
      </c>
      <c r="G27" s="176">
        <f>-0.95-3.96</f>
        <v>-4.91</v>
      </c>
      <c r="H27" s="9">
        <f>-5.19-2.33</f>
        <v>-7.5200000000000005</v>
      </c>
      <c r="I27" s="9">
        <f>-2.47-0.52</f>
        <v>-2.99</v>
      </c>
      <c r="J27" s="9"/>
      <c r="K27" s="5"/>
      <c r="L27" s="10">
        <f t="shared" si="2"/>
        <v>-18.189999999999998</v>
      </c>
    </row>
    <row r="28" spans="1:18" x14ac:dyDescent="0.25">
      <c r="A28" s="33" t="s">
        <v>18</v>
      </c>
      <c r="B28" s="176">
        <f>-18.89-1.02</f>
        <v>-19.91</v>
      </c>
      <c r="C28" s="176">
        <f>-14.71-0.8</f>
        <v>-15.510000000000002</v>
      </c>
      <c r="D28" s="176"/>
      <c r="E28" s="176">
        <f>-2.99-35.37-30.15-2.73</f>
        <v>-71.239999999999995</v>
      </c>
      <c r="F28" s="176"/>
      <c r="G28" s="176"/>
      <c r="H28" s="9"/>
      <c r="I28" s="9"/>
      <c r="J28" s="9"/>
      <c r="K28" s="5"/>
      <c r="L28" s="18">
        <f t="shared" si="2"/>
        <v>-106.66</v>
      </c>
    </row>
    <row r="29" spans="1:18" x14ac:dyDescent="0.25">
      <c r="A29" s="33" t="s">
        <v>25</v>
      </c>
      <c r="B29" s="176">
        <f>-7.27</f>
        <v>-7.27</v>
      </c>
      <c r="C29" s="176">
        <f>-1.29-7.34</f>
        <v>-8.629999999999999</v>
      </c>
      <c r="D29" s="176"/>
      <c r="E29" s="176">
        <f>-20.79-2.5-14.23-1.4-5.55-0.55</f>
        <v>-45.019999999999989</v>
      </c>
      <c r="F29" s="176"/>
      <c r="G29" s="176">
        <f>-12.05-1.28</f>
        <v>-13.33</v>
      </c>
      <c r="H29" s="9">
        <f>-8.48-0.73</f>
        <v>-9.2100000000000009</v>
      </c>
      <c r="I29" s="9">
        <f>-9.2-3.5</f>
        <v>-12.7</v>
      </c>
      <c r="J29" s="9"/>
      <c r="K29" s="5"/>
      <c r="L29" s="18">
        <f t="shared" si="2"/>
        <v>-96.159999999999982</v>
      </c>
    </row>
    <row r="30" spans="1:18" x14ac:dyDescent="0.25">
      <c r="A30" s="7" t="s">
        <v>29</v>
      </c>
      <c r="B30" s="176"/>
      <c r="C30" s="176">
        <f>-900-101-345.6-68.62-299-399.08-27.15</f>
        <v>-2140.4499999999998</v>
      </c>
      <c r="D30" s="176"/>
      <c r="E30" s="176">
        <f>-1916.64-6953.25</f>
        <v>-8869.89</v>
      </c>
      <c r="F30" s="176">
        <v>-2000</v>
      </c>
      <c r="G30" s="176"/>
      <c r="H30" s="8"/>
      <c r="I30" s="8">
        <f>-3808.01-376.84-5294.74-462</f>
        <v>-9941.59</v>
      </c>
      <c r="J30" s="8"/>
      <c r="K30" s="5"/>
      <c r="L30" s="18">
        <f t="shared" ref="L30:L44" si="3">+SUM(B30:J30)</f>
        <v>-22951.93</v>
      </c>
    </row>
    <row r="31" spans="1:18" x14ac:dyDescent="0.25">
      <c r="A31" s="7" t="s">
        <v>26</v>
      </c>
      <c r="B31" s="177">
        <v>-272.89</v>
      </c>
      <c r="C31" s="8"/>
      <c r="D31" s="8"/>
      <c r="E31" s="8"/>
      <c r="F31" s="8"/>
      <c r="G31" s="8"/>
      <c r="H31" s="8"/>
      <c r="I31" s="8"/>
      <c r="J31" s="8"/>
      <c r="K31" s="8"/>
      <c r="L31" s="18"/>
    </row>
    <row r="32" spans="1:18" x14ac:dyDescent="0.25">
      <c r="A32" s="178" t="s">
        <v>372</v>
      </c>
      <c r="B32" s="8"/>
      <c r="C32" s="8"/>
      <c r="D32" s="8"/>
      <c r="E32" s="176"/>
      <c r="F32" s="176"/>
      <c r="G32" s="176">
        <v>-499.44</v>
      </c>
      <c r="H32" s="8"/>
      <c r="I32" s="8"/>
      <c r="J32" s="8"/>
      <c r="K32" s="5"/>
      <c r="L32" s="18">
        <f t="shared" si="3"/>
        <v>-499.44</v>
      </c>
    </row>
    <row r="33" spans="1:14" x14ac:dyDescent="0.25">
      <c r="A33" s="7" t="s">
        <v>367</v>
      </c>
      <c r="B33" s="8"/>
      <c r="C33" s="8"/>
      <c r="D33" s="8"/>
      <c r="E33" s="176">
        <v>-3029.77</v>
      </c>
      <c r="F33" s="176"/>
      <c r="G33" s="176"/>
      <c r="H33" s="8"/>
      <c r="I33" s="8"/>
      <c r="J33" s="8"/>
      <c r="K33" s="5"/>
      <c r="L33" s="18">
        <f t="shared" si="3"/>
        <v>-3029.77</v>
      </c>
    </row>
    <row r="34" spans="1:14" x14ac:dyDescent="0.25">
      <c r="A34" s="7" t="s">
        <v>368</v>
      </c>
      <c r="B34" s="8"/>
      <c r="C34" s="8"/>
      <c r="D34" s="8"/>
      <c r="E34" s="176">
        <v>-108</v>
      </c>
      <c r="F34" s="176"/>
      <c r="G34" s="176"/>
      <c r="H34" s="8"/>
      <c r="I34" s="8"/>
      <c r="J34" s="8"/>
      <c r="K34" s="5"/>
      <c r="L34" s="18">
        <f t="shared" si="3"/>
        <v>-108</v>
      </c>
    </row>
    <row r="35" spans="1:14" x14ac:dyDescent="0.25">
      <c r="A35" s="7" t="s">
        <v>369</v>
      </c>
      <c r="B35" s="8"/>
      <c r="C35" s="8"/>
      <c r="D35" s="8"/>
      <c r="E35" s="176">
        <v>-757.34</v>
      </c>
      <c r="F35" s="176"/>
      <c r="G35" s="176"/>
      <c r="H35" s="8"/>
      <c r="I35" s="8"/>
      <c r="J35" s="8"/>
      <c r="K35" s="5"/>
      <c r="L35" s="18">
        <f t="shared" si="3"/>
        <v>-757.34</v>
      </c>
    </row>
    <row r="36" spans="1:14" x14ac:dyDescent="0.25">
      <c r="A36" s="7" t="s">
        <v>30</v>
      </c>
      <c r="B36" s="8"/>
      <c r="C36" s="9"/>
      <c r="D36" s="9"/>
      <c r="E36" s="176">
        <v>-1011.68</v>
      </c>
      <c r="F36" s="176"/>
      <c r="G36" s="176"/>
      <c r="H36" s="9"/>
      <c r="I36" s="9"/>
      <c r="J36" s="9"/>
      <c r="K36" s="5"/>
      <c r="L36" s="18">
        <f t="shared" si="3"/>
        <v>-1011.68</v>
      </c>
    </row>
    <row r="37" spans="1:14" x14ac:dyDescent="0.25">
      <c r="A37" s="7" t="s">
        <v>32</v>
      </c>
      <c r="B37" s="8"/>
      <c r="C37" s="9"/>
      <c r="D37" s="9"/>
      <c r="E37" s="176"/>
      <c r="F37" s="176"/>
      <c r="G37" s="176">
        <v>-1350</v>
      </c>
      <c r="H37" s="9"/>
      <c r="I37" s="9"/>
      <c r="J37" s="9"/>
      <c r="K37" s="5"/>
      <c r="L37" s="18">
        <f t="shared" si="3"/>
        <v>-1350</v>
      </c>
    </row>
    <row r="38" spans="1:14" x14ac:dyDescent="0.25">
      <c r="A38" s="227" t="s">
        <v>373</v>
      </c>
      <c r="B38" s="228">
        <v>-2153.1</v>
      </c>
      <c r="C38" s="228"/>
      <c r="D38" s="228"/>
      <c r="E38" s="228"/>
      <c r="F38" s="228"/>
      <c r="G38" s="228">
        <v>-1152.55</v>
      </c>
      <c r="H38" s="228"/>
      <c r="I38" s="228"/>
      <c r="J38" s="228"/>
      <c r="K38" s="5"/>
      <c r="L38" s="18">
        <f t="shared" si="3"/>
        <v>-3305.6499999999996</v>
      </c>
    </row>
    <row r="39" spans="1:14" x14ac:dyDescent="0.25">
      <c r="A39" s="7" t="s">
        <v>33</v>
      </c>
      <c r="B39" s="8"/>
      <c r="C39" s="9"/>
      <c r="D39" s="9"/>
      <c r="E39" s="176"/>
      <c r="F39" s="176"/>
      <c r="G39" s="176">
        <v>-50727</v>
      </c>
      <c r="H39" s="9"/>
      <c r="I39" s="9"/>
      <c r="J39" s="9"/>
      <c r="K39" s="5"/>
      <c r="L39" s="18">
        <f t="shared" si="3"/>
        <v>-50727</v>
      </c>
    </row>
    <row r="40" spans="1:14" ht="30" x14ac:dyDescent="0.25">
      <c r="A40" s="39" t="s">
        <v>352</v>
      </c>
      <c r="B40" s="8"/>
      <c r="C40" s="8"/>
      <c r="D40" s="8"/>
      <c r="E40" s="8"/>
      <c r="F40" s="8"/>
      <c r="G40" s="8"/>
      <c r="H40" s="8"/>
      <c r="I40" s="8">
        <v>-538.09</v>
      </c>
      <c r="J40" s="8"/>
      <c r="K40" s="5"/>
      <c r="L40" s="18">
        <f t="shared" si="3"/>
        <v>-538.09</v>
      </c>
    </row>
    <row r="41" spans="1:14" ht="30" x14ac:dyDescent="0.25">
      <c r="A41" s="39" t="s">
        <v>352</v>
      </c>
      <c r="B41" s="175"/>
      <c r="C41" s="181">
        <v>-1143.44</v>
      </c>
      <c r="D41" s="8"/>
      <c r="E41" s="8"/>
      <c r="F41" s="8"/>
      <c r="G41" s="8"/>
      <c r="H41" s="8"/>
      <c r="I41" s="8"/>
      <c r="J41" s="8"/>
      <c r="K41" s="5"/>
      <c r="L41" s="18">
        <f t="shared" si="3"/>
        <v>-1143.44</v>
      </c>
    </row>
    <row r="42" spans="1:14" ht="30" x14ac:dyDescent="0.25">
      <c r="A42" s="39" t="s">
        <v>352</v>
      </c>
      <c r="B42" s="175"/>
      <c r="C42" s="175"/>
      <c r="D42" s="182">
        <v>-8639.9500000000007</v>
      </c>
      <c r="E42" s="175"/>
      <c r="F42" s="175"/>
      <c r="G42" s="175"/>
      <c r="H42" s="175"/>
      <c r="I42" s="175"/>
      <c r="J42" s="175"/>
      <c r="K42" s="5"/>
      <c r="L42" s="18">
        <f t="shared" si="3"/>
        <v>-8639.9500000000007</v>
      </c>
    </row>
    <row r="43" spans="1:14" x14ac:dyDescent="0.25">
      <c r="A43" s="7" t="s">
        <v>34</v>
      </c>
      <c r="B43" s="8"/>
      <c r="C43" s="8"/>
      <c r="D43" s="8"/>
      <c r="E43" s="8"/>
      <c r="F43" s="8"/>
      <c r="G43" s="8"/>
      <c r="H43" s="8"/>
      <c r="I43" s="8"/>
      <c r="J43" s="8">
        <v>-146.12</v>
      </c>
      <c r="K43" s="5"/>
      <c r="L43" s="18">
        <f>+SUM(B43:J43)</f>
        <v>-146.12</v>
      </c>
    </row>
    <row r="44" spans="1:14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18">
        <f t="shared" si="3"/>
        <v>0</v>
      </c>
    </row>
    <row r="45" spans="1:14" x14ac:dyDescent="0.25">
      <c r="A45" s="28" t="s">
        <v>2</v>
      </c>
      <c r="B45" s="29">
        <f t="shared" ref="B45:J45" si="4">+SUM(B26:B44)</f>
        <v>-2463.88</v>
      </c>
      <c r="C45" s="29">
        <f t="shared" si="4"/>
        <v>-3316.77</v>
      </c>
      <c r="D45" s="29">
        <f t="shared" si="4"/>
        <v>-8639.9500000000007</v>
      </c>
      <c r="E45" s="29">
        <f t="shared" si="4"/>
        <v>-13930.81</v>
      </c>
      <c r="F45" s="29">
        <f t="shared" si="4"/>
        <v>-2000.52</v>
      </c>
      <c r="G45" s="29">
        <f t="shared" si="4"/>
        <v>-53755.05</v>
      </c>
      <c r="H45" s="29">
        <f t="shared" si="4"/>
        <v>-28.130000000000003</v>
      </c>
      <c r="I45" s="29">
        <f t="shared" si="4"/>
        <v>-10501.26</v>
      </c>
      <c r="J45" s="29">
        <f t="shared" si="4"/>
        <v>-146.12</v>
      </c>
      <c r="K45" s="5"/>
      <c r="L45" s="29">
        <f>+SUM(B45:J45)</f>
        <v>-94782.49</v>
      </c>
    </row>
    <row r="46" spans="1:14" x14ac:dyDescent="0.25">
      <c r="A46" s="19" t="s">
        <v>27</v>
      </c>
      <c r="B46" s="20">
        <f t="shared" ref="B46:J46" si="5">+B23+B45</f>
        <v>7023.21</v>
      </c>
      <c r="C46" s="20">
        <f t="shared" si="5"/>
        <v>10484.48</v>
      </c>
      <c r="D46" s="20">
        <f t="shared" si="5"/>
        <v>-8639.9500000000007</v>
      </c>
      <c r="E46" s="20">
        <f t="shared" si="5"/>
        <v>92044.35000000002</v>
      </c>
      <c r="F46" s="20">
        <f t="shared" si="5"/>
        <v>13135.399999999998</v>
      </c>
      <c r="G46" s="20">
        <f t="shared" si="5"/>
        <v>-45299.270000000004</v>
      </c>
      <c r="H46" s="20">
        <f t="shared" si="5"/>
        <v>8404.5299999999988</v>
      </c>
      <c r="I46" s="20">
        <f t="shared" si="5"/>
        <v>26824.18</v>
      </c>
      <c r="J46" s="20">
        <f t="shared" si="5"/>
        <v>-146.12</v>
      </c>
      <c r="K46" s="21"/>
      <c r="L46" s="20">
        <f>+SUM(B46:J46)</f>
        <v>103830.81000000003</v>
      </c>
    </row>
    <row r="47" spans="1:14" ht="15.75" thickBot="1" x14ac:dyDescent="0.3">
      <c r="A47" s="22" t="s">
        <v>3</v>
      </c>
      <c r="B47" s="23">
        <f>B2+B46</f>
        <v>394127.22000000003</v>
      </c>
      <c r="C47" s="23">
        <f>+B47+C46</f>
        <v>404611.7</v>
      </c>
      <c r="D47" s="23">
        <f t="shared" ref="D47:J47" si="6">+C47+D46</f>
        <v>395971.75</v>
      </c>
      <c r="E47" s="23">
        <f t="shared" si="6"/>
        <v>488016.10000000003</v>
      </c>
      <c r="F47" s="23">
        <f t="shared" si="6"/>
        <v>501151.50000000006</v>
      </c>
      <c r="G47" s="23">
        <f t="shared" si="6"/>
        <v>455852.23000000004</v>
      </c>
      <c r="H47" s="23">
        <f t="shared" si="6"/>
        <v>464256.76</v>
      </c>
      <c r="I47" s="23">
        <f t="shared" si="6"/>
        <v>491080.94</v>
      </c>
      <c r="J47" s="23">
        <f t="shared" si="6"/>
        <v>490934.82</v>
      </c>
      <c r="K47" s="5"/>
      <c r="L47" s="23">
        <f>+B2+L46</f>
        <v>490934.82000000007</v>
      </c>
      <c r="N47" s="180"/>
    </row>
  </sheetData>
  <phoneticPr fontId="10" type="noConversion"/>
  <conditionalFormatting sqref="B47:K4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4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B26 B10:C10 B16:C16 B28 B21:C21 C13 E10 G10:I10 C19 C26:C29 C30 E21:I21 E29:E30 E26 E13 E16 E28 E19 F6 G26:G27 G13:I13 G19:H19 G29:I29 H26:H27 I26:I27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1"/>
  <sheetViews>
    <sheetView workbookViewId="0">
      <selection activeCell="J18" sqref="J18"/>
    </sheetView>
  </sheetViews>
  <sheetFormatPr baseColWidth="10" defaultRowHeight="15" x14ac:dyDescent="0.25"/>
  <sheetData>
    <row r="1" spans="1:14" x14ac:dyDescent="0.25">
      <c r="A1" s="201" t="s">
        <v>35</v>
      </c>
      <c r="B1" s="201"/>
      <c r="C1" s="201"/>
      <c r="D1" s="40"/>
      <c r="E1" s="202" t="s">
        <v>36</v>
      </c>
      <c r="F1" s="202"/>
      <c r="G1" s="202"/>
      <c r="H1" s="40"/>
      <c r="I1" s="203" t="s">
        <v>37</v>
      </c>
      <c r="J1" s="203"/>
      <c r="K1" s="203"/>
      <c r="L1" s="41"/>
      <c r="M1" s="41"/>
      <c r="N1" s="41"/>
    </row>
    <row r="2" spans="1:14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5">
      <c r="A3" s="42">
        <v>43494</v>
      </c>
      <c r="B3" s="40" t="s">
        <v>38</v>
      </c>
      <c r="C3" s="43">
        <v>25029.17</v>
      </c>
      <c r="D3" s="41"/>
      <c r="E3" s="42">
        <v>43501</v>
      </c>
      <c r="F3" s="40" t="s">
        <v>39</v>
      </c>
      <c r="G3" s="43">
        <v>686.56</v>
      </c>
      <c r="H3" s="40"/>
      <c r="I3" s="44">
        <v>43545</v>
      </c>
      <c r="J3" s="45" t="s">
        <v>40</v>
      </c>
      <c r="K3" s="46">
        <v>24800</v>
      </c>
      <c r="L3" s="41"/>
      <c r="M3" s="41"/>
      <c r="N3" s="41"/>
    </row>
    <row r="4" spans="1:14" x14ac:dyDescent="0.25">
      <c r="A4" s="47">
        <v>43487</v>
      </c>
      <c r="B4" s="48">
        <v>43466</v>
      </c>
      <c r="C4" s="49">
        <v>34802.410000000003</v>
      </c>
      <c r="D4" s="41"/>
      <c r="E4" s="50">
        <v>43515</v>
      </c>
      <c r="F4" s="51">
        <v>43466</v>
      </c>
      <c r="G4" s="52">
        <v>-2290.06</v>
      </c>
      <c r="H4" s="40"/>
      <c r="I4" s="41"/>
      <c r="J4" s="41"/>
      <c r="K4" s="41"/>
      <c r="L4" s="41"/>
      <c r="M4" s="41"/>
      <c r="N4" s="41"/>
    </row>
    <row r="5" spans="1:14" x14ac:dyDescent="0.25">
      <c r="A5" s="40"/>
      <c r="B5" s="40"/>
      <c r="C5" s="43"/>
      <c r="D5" s="41"/>
      <c r="E5" s="50">
        <v>43515</v>
      </c>
      <c r="F5" s="51">
        <v>43466</v>
      </c>
      <c r="G5" s="52">
        <f>4317.92</f>
        <v>4317.92</v>
      </c>
      <c r="H5" s="40"/>
      <c r="I5" s="42">
        <v>43572</v>
      </c>
      <c r="J5" s="40" t="s">
        <v>41</v>
      </c>
      <c r="K5" s="43">
        <v>7428.18</v>
      </c>
      <c r="L5" s="41"/>
      <c r="M5" s="41"/>
      <c r="N5" s="41"/>
    </row>
    <row r="6" spans="1:14" x14ac:dyDescent="0.25">
      <c r="A6" s="47">
        <v>43522</v>
      </c>
      <c r="B6" s="48">
        <v>43497</v>
      </c>
      <c r="C6" s="49">
        <v>34802.410000000003</v>
      </c>
      <c r="D6" s="41"/>
      <c r="E6" s="50">
        <v>43522</v>
      </c>
      <c r="F6" s="51">
        <v>43497</v>
      </c>
      <c r="G6" s="52">
        <v>4317.92</v>
      </c>
      <c r="H6" s="40"/>
      <c r="I6" s="53"/>
      <c r="J6" s="54"/>
      <c r="K6" s="43"/>
      <c r="L6" s="41"/>
      <c r="M6" s="41"/>
      <c r="N6" s="41"/>
    </row>
    <row r="7" spans="1:14" x14ac:dyDescent="0.25">
      <c r="A7" s="55"/>
      <c r="B7" s="40"/>
      <c r="C7" s="43"/>
      <c r="D7" s="41"/>
      <c r="E7" s="41"/>
      <c r="F7" s="41"/>
      <c r="G7" s="41"/>
      <c r="H7" s="40"/>
      <c r="I7" s="42"/>
      <c r="J7" s="40"/>
      <c r="K7" s="43"/>
      <c r="L7" s="41"/>
      <c r="M7" s="41"/>
      <c r="N7" s="41"/>
    </row>
    <row r="8" spans="1:14" x14ac:dyDescent="0.25">
      <c r="A8" s="47">
        <v>43550</v>
      </c>
      <c r="B8" s="48">
        <v>43525</v>
      </c>
      <c r="C8" s="49">
        <v>36384.19</v>
      </c>
      <c r="D8" s="41"/>
      <c r="E8" s="50">
        <v>43532</v>
      </c>
      <c r="F8" s="56" t="s">
        <v>42</v>
      </c>
      <c r="G8" s="52">
        <v>2290.06</v>
      </c>
      <c r="H8" s="40"/>
      <c r="I8" s="57">
        <v>43643</v>
      </c>
      <c r="J8" s="58" t="s">
        <v>43</v>
      </c>
      <c r="K8" s="43">
        <v>83351</v>
      </c>
      <c r="L8" s="41"/>
      <c r="M8" s="41"/>
      <c r="N8" s="41"/>
    </row>
    <row r="9" spans="1:14" x14ac:dyDescent="0.25">
      <c r="A9" s="40"/>
      <c r="B9" s="40"/>
      <c r="C9" s="43"/>
      <c r="D9" s="41"/>
      <c r="E9" s="50">
        <v>43550</v>
      </c>
      <c r="F9" s="51">
        <v>43525</v>
      </c>
      <c r="G9" s="52">
        <v>4514.1499999999996</v>
      </c>
      <c r="H9" s="40"/>
      <c r="I9" s="41"/>
      <c r="J9" s="41"/>
      <c r="K9" s="41"/>
      <c r="L9" s="41"/>
      <c r="M9" s="41"/>
      <c r="N9" s="41"/>
    </row>
    <row r="10" spans="1:14" x14ac:dyDescent="0.25">
      <c r="A10" s="47">
        <v>43585</v>
      </c>
      <c r="B10" s="48">
        <v>43556</v>
      </c>
      <c r="C10" s="49">
        <v>37784.31</v>
      </c>
      <c r="D10" s="41"/>
      <c r="E10" s="41"/>
      <c r="F10" s="41"/>
      <c r="G10" s="41"/>
      <c r="H10" s="40"/>
      <c r="I10" s="57"/>
      <c r="J10" s="58"/>
      <c r="K10" s="43"/>
      <c r="L10" s="41"/>
      <c r="M10" s="41"/>
      <c r="N10" s="41"/>
    </row>
    <row r="11" spans="1:14" x14ac:dyDescent="0.25">
      <c r="A11" s="41"/>
      <c r="B11" s="41"/>
      <c r="C11" s="41"/>
      <c r="D11" s="41"/>
      <c r="E11" s="50">
        <v>43595</v>
      </c>
      <c r="F11" s="51">
        <v>43556</v>
      </c>
      <c r="G11" s="52">
        <v>4383.33</v>
      </c>
      <c r="H11" s="40"/>
      <c r="I11" s="42"/>
      <c r="J11" s="40"/>
      <c r="K11" s="43"/>
      <c r="L11" s="41"/>
      <c r="M11" s="41"/>
      <c r="N11" s="41"/>
    </row>
    <row r="12" spans="1:14" x14ac:dyDescent="0.25">
      <c r="A12" s="42">
        <v>43600</v>
      </c>
      <c r="B12" s="40" t="s">
        <v>38</v>
      </c>
      <c r="C12" s="43">
        <v>26302.48</v>
      </c>
      <c r="D12" s="41"/>
      <c r="E12" s="50">
        <v>43607</v>
      </c>
      <c r="F12" s="51">
        <v>43586</v>
      </c>
      <c r="G12" s="52">
        <v>4383.33</v>
      </c>
      <c r="H12" s="40"/>
      <c r="I12" s="40"/>
      <c r="J12" s="40"/>
      <c r="K12" s="43"/>
      <c r="L12" s="41"/>
      <c r="M12" s="41"/>
      <c r="N12" s="41"/>
    </row>
    <row r="13" spans="1:14" x14ac:dyDescent="0.25">
      <c r="A13" s="47">
        <v>43607</v>
      </c>
      <c r="B13" s="48" t="s">
        <v>44</v>
      </c>
      <c r="C13" s="49">
        <v>34403.79</v>
      </c>
      <c r="D13" s="41"/>
      <c r="E13" s="41"/>
      <c r="F13" s="41"/>
      <c r="G13" s="41"/>
      <c r="H13" s="40"/>
      <c r="I13" s="40"/>
      <c r="J13" s="40"/>
      <c r="K13" s="43"/>
      <c r="L13" s="41"/>
      <c r="M13" s="41"/>
      <c r="N13" s="41"/>
    </row>
    <row r="14" spans="1:14" x14ac:dyDescent="0.25">
      <c r="A14" s="41"/>
      <c r="B14" s="41"/>
      <c r="C14" s="41"/>
      <c r="D14" s="41"/>
      <c r="E14" s="42">
        <v>43633</v>
      </c>
      <c r="F14" s="40" t="s">
        <v>45</v>
      </c>
      <c r="G14" s="43">
        <v>27000</v>
      </c>
      <c r="H14" s="40"/>
      <c r="I14" s="56" t="s">
        <v>46</v>
      </c>
      <c r="J14" s="52">
        <f>G4+G5+G6+G8+G9+G11+G12+G15+G18+G19+G21+G23+G24+G26+G27+G29</f>
        <v>62435.69000000001</v>
      </c>
      <c r="K14" s="43"/>
      <c r="L14" s="41"/>
      <c r="M14" s="41"/>
      <c r="N14" s="41"/>
    </row>
    <row r="15" spans="1:14" x14ac:dyDescent="0.25">
      <c r="A15" s="47">
        <v>43641</v>
      </c>
      <c r="B15" s="48">
        <v>43617</v>
      </c>
      <c r="C15" s="49">
        <v>38573.339999999997</v>
      </c>
      <c r="D15" s="41"/>
      <c r="E15" s="50">
        <v>43641</v>
      </c>
      <c r="F15" s="51">
        <v>43617</v>
      </c>
      <c r="G15" s="52">
        <v>4383.33</v>
      </c>
      <c r="H15" s="40"/>
      <c r="I15" s="40"/>
      <c r="J15" s="40"/>
      <c r="K15" s="43"/>
      <c r="L15" s="41"/>
      <c r="M15" s="41"/>
      <c r="N15" s="41"/>
    </row>
    <row r="16" spans="1:14" x14ac:dyDescent="0.25">
      <c r="A16" s="41"/>
      <c r="B16" s="41"/>
      <c r="C16" s="41"/>
      <c r="D16" s="41"/>
      <c r="E16" s="41"/>
      <c r="F16" s="41"/>
      <c r="G16" s="41"/>
      <c r="H16" s="40"/>
      <c r="I16" s="45" t="s">
        <v>47</v>
      </c>
      <c r="J16" s="46">
        <f>K3</f>
        <v>24800</v>
      </c>
      <c r="K16" s="41"/>
      <c r="L16" s="41"/>
      <c r="M16" s="41"/>
      <c r="N16" s="41"/>
    </row>
    <row r="17" spans="1:14" x14ac:dyDescent="0.25">
      <c r="A17" s="47">
        <v>43662</v>
      </c>
      <c r="B17" s="48">
        <v>43647</v>
      </c>
      <c r="C17" s="49">
        <v>36820</v>
      </c>
      <c r="D17" s="41"/>
      <c r="E17" s="42">
        <v>43655</v>
      </c>
      <c r="F17" s="40" t="s">
        <v>38</v>
      </c>
      <c r="G17" s="43">
        <v>939.71</v>
      </c>
      <c r="H17" s="40"/>
      <c r="I17" s="40"/>
      <c r="J17" s="40"/>
      <c r="K17" s="43"/>
      <c r="L17" s="41"/>
      <c r="M17" s="41"/>
      <c r="N17" s="41"/>
    </row>
    <row r="18" spans="1:14" x14ac:dyDescent="0.25">
      <c r="A18" s="41"/>
      <c r="B18" s="41"/>
      <c r="C18" s="41"/>
      <c r="D18" s="41"/>
      <c r="E18" s="50">
        <v>43655</v>
      </c>
      <c r="F18" s="56" t="s">
        <v>48</v>
      </c>
      <c r="G18" s="52">
        <v>2851.95</v>
      </c>
      <c r="H18" s="40"/>
      <c r="I18" s="59" t="s">
        <v>49</v>
      </c>
      <c r="J18" s="49">
        <f>C4+C6+C8+C10+C13+C15+C17+C19+C22+C23+C25+C26+C29</f>
        <v>441327.95</v>
      </c>
      <c r="K18" s="43"/>
      <c r="L18" s="41"/>
      <c r="M18" s="41"/>
      <c r="N18" s="41"/>
    </row>
    <row r="19" spans="1:14" x14ac:dyDescent="0.25">
      <c r="A19" s="47">
        <v>43698</v>
      </c>
      <c r="B19" s="48" t="s">
        <v>50</v>
      </c>
      <c r="C19" s="49">
        <v>38647.89</v>
      </c>
      <c r="D19" s="41"/>
      <c r="E19" s="50">
        <v>43662</v>
      </c>
      <c r="F19" s="51">
        <v>43647</v>
      </c>
      <c r="G19" s="52">
        <v>5260</v>
      </c>
      <c r="H19" s="40"/>
      <c r="I19" s="43"/>
      <c r="J19" s="40"/>
      <c r="K19" s="43"/>
      <c r="L19" s="41"/>
      <c r="M19" s="41"/>
      <c r="N19" s="41"/>
    </row>
    <row r="20" spans="1:14" x14ac:dyDescent="0.25">
      <c r="A20" s="42">
        <v>43699</v>
      </c>
      <c r="B20" s="40" t="s">
        <v>51</v>
      </c>
      <c r="C20" s="43">
        <v>32900</v>
      </c>
      <c r="D20" s="41"/>
      <c r="E20" s="41"/>
      <c r="F20" s="41"/>
      <c r="G20" s="41"/>
      <c r="H20" s="40"/>
      <c r="I20" s="40"/>
      <c r="J20" s="40"/>
      <c r="K20" s="43"/>
      <c r="L20" s="41"/>
      <c r="M20" s="41"/>
      <c r="N20" s="41"/>
    </row>
    <row r="21" spans="1:14" x14ac:dyDescent="0.25">
      <c r="A21" s="41"/>
      <c r="B21" s="41"/>
      <c r="C21" s="41"/>
      <c r="D21" s="41"/>
      <c r="E21" s="50">
        <v>43698</v>
      </c>
      <c r="F21" s="56" t="s">
        <v>50</v>
      </c>
      <c r="G21" s="52">
        <v>5494.17</v>
      </c>
      <c r="H21" s="40"/>
      <c r="I21" s="40"/>
      <c r="J21" s="40"/>
      <c r="K21" s="43"/>
      <c r="L21" s="41"/>
      <c r="M21" s="41"/>
      <c r="N21" s="41"/>
    </row>
    <row r="22" spans="1:14" x14ac:dyDescent="0.25">
      <c r="A22" s="47">
        <v>43747</v>
      </c>
      <c r="B22" s="48">
        <v>43709</v>
      </c>
      <c r="C22" s="49">
        <v>36820</v>
      </c>
      <c r="D22" s="41"/>
      <c r="E22" s="41"/>
      <c r="F22" s="41"/>
      <c r="G22" s="41"/>
      <c r="H22" s="40"/>
      <c r="I22" s="40"/>
      <c r="J22" s="40"/>
      <c r="K22" s="43"/>
      <c r="L22" s="41"/>
      <c r="M22" s="41"/>
      <c r="N22" s="41"/>
    </row>
    <row r="23" spans="1:14" x14ac:dyDescent="0.25">
      <c r="A23" s="47">
        <v>43761</v>
      </c>
      <c r="B23" s="48">
        <v>43739</v>
      </c>
      <c r="C23" s="49">
        <v>36820</v>
      </c>
      <c r="D23" s="41"/>
      <c r="E23" s="50">
        <v>43747</v>
      </c>
      <c r="F23" s="51">
        <v>43709</v>
      </c>
      <c r="G23" s="52">
        <v>5260</v>
      </c>
      <c r="H23" s="40"/>
      <c r="I23" s="41"/>
      <c r="J23" s="41"/>
      <c r="K23" s="60"/>
      <c r="L23" s="41"/>
      <c r="M23" s="41"/>
      <c r="N23" s="41"/>
    </row>
    <row r="24" spans="1:14" x14ac:dyDescent="0.25">
      <c r="A24" s="42"/>
      <c r="B24" s="40"/>
      <c r="C24" s="43"/>
      <c r="D24" s="41"/>
      <c r="E24" s="50">
        <v>43761</v>
      </c>
      <c r="F24" s="51">
        <v>43739</v>
      </c>
      <c r="G24" s="52">
        <v>5260</v>
      </c>
      <c r="H24" s="41"/>
      <c r="I24" s="40"/>
      <c r="J24" s="43"/>
      <c r="K24" s="43"/>
      <c r="L24" s="41"/>
      <c r="M24" s="41"/>
      <c r="N24" s="41"/>
    </row>
    <row r="25" spans="1:14" x14ac:dyDescent="0.25">
      <c r="A25" s="47">
        <v>43774</v>
      </c>
      <c r="B25" s="59" t="s">
        <v>48</v>
      </c>
      <c r="C25" s="49">
        <v>3506.68</v>
      </c>
      <c r="D25" s="41"/>
      <c r="E25" s="41"/>
      <c r="F25" s="41"/>
      <c r="G25" s="41"/>
      <c r="H25" s="41"/>
      <c r="I25" s="41"/>
      <c r="J25" s="41"/>
      <c r="K25" s="60"/>
      <c r="L25" s="41"/>
      <c r="M25" s="41"/>
      <c r="N25" s="41"/>
    </row>
    <row r="26" spans="1:14" x14ac:dyDescent="0.25">
      <c r="A26" s="47">
        <v>43795</v>
      </c>
      <c r="B26" s="48" t="s">
        <v>52</v>
      </c>
      <c r="C26" s="49">
        <v>34266.300000000003</v>
      </c>
      <c r="D26" s="41"/>
      <c r="E26" s="50">
        <v>43782</v>
      </c>
      <c r="F26" s="56" t="s">
        <v>48</v>
      </c>
      <c r="G26" s="52">
        <v>1683.21</v>
      </c>
      <c r="H26" s="41"/>
      <c r="I26" s="41"/>
      <c r="J26" s="41"/>
      <c r="K26" s="41"/>
      <c r="L26" s="41"/>
      <c r="M26" s="41"/>
      <c r="N26" s="41"/>
    </row>
    <row r="27" spans="1:14" x14ac:dyDescent="0.25">
      <c r="A27" s="42"/>
      <c r="B27" s="41"/>
      <c r="C27" s="43"/>
      <c r="D27" s="41"/>
      <c r="E27" s="50">
        <v>43795</v>
      </c>
      <c r="F27" s="51" t="s">
        <v>53</v>
      </c>
      <c r="G27" s="52">
        <v>4645.58</v>
      </c>
      <c r="H27" s="41"/>
      <c r="I27" s="41"/>
      <c r="J27" s="41"/>
      <c r="K27" s="41"/>
      <c r="L27" s="41"/>
      <c r="M27" s="41"/>
      <c r="N27" s="41"/>
    </row>
    <row r="28" spans="1:14" x14ac:dyDescent="0.25">
      <c r="A28" s="42">
        <v>43812</v>
      </c>
      <c r="B28" s="40" t="s">
        <v>54</v>
      </c>
      <c r="C28" s="43">
        <v>14100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x14ac:dyDescent="0.25">
      <c r="A29" s="47">
        <v>43826</v>
      </c>
      <c r="B29" s="48">
        <v>43800</v>
      </c>
      <c r="C29" s="49">
        <v>37696.629999999997</v>
      </c>
      <c r="D29" s="41"/>
      <c r="E29" s="50">
        <v>43826</v>
      </c>
      <c r="F29" s="51">
        <v>43800</v>
      </c>
      <c r="G29" s="52">
        <v>5680.8</v>
      </c>
      <c r="H29" s="41"/>
      <c r="I29" s="41"/>
      <c r="J29" s="41"/>
      <c r="K29" s="41"/>
      <c r="L29" s="41"/>
      <c r="M29" s="41"/>
      <c r="N29" s="41"/>
    </row>
    <row r="30" spans="1:14" x14ac:dyDescent="0.25">
      <c r="A30" s="42"/>
      <c r="B30" s="41"/>
      <c r="C30" s="43"/>
      <c r="D30" s="41"/>
      <c r="E30" s="42"/>
      <c r="F30" s="41"/>
      <c r="G30" s="43"/>
      <c r="H30" s="41"/>
      <c r="I30" s="41"/>
      <c r="J30" s="41"/>
      <c r="K30" s="41"/>
      <c r="L30" s="41"/>
      <c r="M30" s="41"/>
      <c r="N30" s="41"/>
    </row>
    <row r="31" spans="1:14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1:14" x14ac:dyDescent="0.25">
      <c r="A32" s="61">
        <v>43739</v>
      </c>
      <c r="B32" s="43">
        <v>37696.67</v>
      </c>
      <c r="C32" s="43">
        <v>-33146.74</v>
      </c>
      <c r="D32" s="41"/>
      <c r="E32" s="43">
        <f>B32+C32</f>
        <v>4549.93</v>
      </c>
      <c r="F32" s="41"/>
      <c r="G32" s="60"/>
      <c r="H32" s="41"/>
      <c r="I32" s="41"/>
      <c r="J32" s="41"/>
      <c r="K32" s="41"/>
      <c r="L32" s="41"/>
      <c r="M32" s="41"/>
      <c r="N32" s="41"/>
    </row>
    <row r="33" spans="1:14" x14ac:dyDescent="0.25">
      <c r="A33" s="61">
        <v>43770</v>
      </c>
      <c r="B33" s="43">
        <v>37696.67</v>
      </c>
      <c r="C33" s="43">
        <v>-33027.910000000003</v>
      </c>
      <c r="D33" s="41"/>
      <c r="E33" s="43">
        <f>B33+C33</f>
        <v>4668.7599999999948</v>
      </c>
      <c r="F33" s="41"/>
      <c r="G33" s="60"/>
      <c r="H33" s="41"/>
      <c r="I33" s="41"/>
      <c r="J33" s="41"/>
      <c r="K33" s="41"/>
      <c r="L33" s="41"/>
      <c r="M33" s="41"/>
      <c r="N33" s="41"/>
    </row>
    <row r="34" spans="1:14" x14ac:dyDescent="0.25">
      <c r="A34" s="61">
        <v>43800</v>
      </c>
      <c r="B34" s="43">
        <v>37696.629999999997</v>
      </c>
      <c r="C34" s="43">
        <v>-34439.89</v>
      </c>
      <c r="D34" s="41"/>
      <c r="E34" s="43">
        <f>B34+C34</f>
        <v>3256.739999999998</v>
      </c>
      <c r="F34" s="41"/>
      <c r="G34" s="60"/>
      <c r="H34" s="41"/>
      <c r="I34" s="41"/>
      <c r="J34" s="41"/>
      <c r="K34" s="41"/>
      <c r="L34" s="41"/>
      <c r="M34" s="41"/>
      <c r="N34" s="41"/>
    </row>
    <row r="35" spans="1:14" x14ac:dyDescent="0.25">
      <c r="A35" s="41"/>
      <c r="B35" s="43">
        <f>SUM(B32:B34)</f>
        <v>113089.97</v>
      </c>
      <c r="C35" s="43">
        <f>SUM(C32:C34)</f>
        <v>-100614.54</v>
      </c>
      <c r="D35" s="41"/>
      <c r="E35" s="43">
        <f>SUM(E32:E34)</f>
        <v>12475.429999999993</v>
      </c>
      <c r="F35" s="43">
        <f>12475.43-6794.63</f>
        <v>5680.8</v>
      </c>
      <c r="G35" s="60"/>
      <c r="H35" s="41"/>
      <c r="I35" s="41"/>
      <c r="J35" s="41"/>
      <c r="K35" s="41"/>
      <c r="L35" s="41"/>
      <c r="M35" s="41"/>
      <c r="N35" s="41"/>
    </row>
    <row r="36" spans="1:14" x14ac:dyDescent="0.25">
      <c r="A36" s="41"/>
      <c r="B36" s="43"/>
      <c r="C36" s="43"/>
      <c r="D36" s="41"/>
      <c r="E36" s="43"/>
      <c r="F36" s="43"/>
      <c r="G36" s="60"/>
      <c r="H36" s="41"/>
      <c r="I36" s="41"/>
      <c r="J36" s="41"/>
      <c r="K36" s="41"/>
      <c r="L36" s="41"/>
      <c r="M36" s="41"/>
      <c r="N36" s="41"/>
    </row>
    <row r="37" spans="1:14" x14ac:dyDescent="0.25">
      <c r="A37" s="41"/>
      <c r="B37" s="43"/>
      <c r="C37" s="43"/>
      <c r="D37" s="41"/>
      <c r="E37" s="43"/>
      <c r="F37" s="43"/>
      <c r="G37" s="60"/>
      <c r="H37" s="41"/>
      <c r="I37" s="41"/>
      <c r="J37" s="41"/>
      <c r="K37" s="41"/>
      <c r="L37" s="41"/>
      <c r="M37" s="41"/>
      <c r="N37" s="41"/>
    </row>
    <row r="38" spans="1:14" x14ac:dyDescent="0.25">
      <c r="A38" s="41"/>
      <c r="B38" s="43"/>
      <c r="C38" s="43"/>
      <c r="D38" s="41"/>
      <c r="E38" s="43"/>
      <c r="F38" s="43"/>
      <c r="G38" s="60"/>
      <c r="H38" s="41"/>
      <c r="I38" s="41"/>
      <c r="J38" s="41"/>
      <c r="K38" s="41"/>
      <c r="L38" s="41"/>
      <c r="M38" s="41"/>
      <c r="N38" s="41"/>
    </row>
    <row r="39" spans="1:14" x14ac:dyDescent="0.25">
      <c r="A39" s="41"/>
      <c r="B39" s="60"/>
      <c r="C39" s="60"/>
      <c r="D39" s="41"/>
      <c r="E39" s="60"/>
      <c r="F39" s="60"/>
      <c r="G39" s="60"/>
      <c r="H39" s="41"/>
      <c r="I39" s="41"/>
      <c r="J39" s="41"/>
      <c r="K39" s="41"/>
      <c r="L39" s="41"/>
      <c r="M39" s="41"/>
      <c r="N39" s="41"/>
    </row>
    <row r="40" spans="1:14" x14ac:dyDescent="0.25">
      <c r="A40" s="62"/>
      <c r="B40" s="63"/>
      <c r="C40" s="63"/>
      <c r="D40" s="62"/>
      <c r="E40" s="63"/>
      <c r="F40" s="63"/>
      <c r="G40" s="63"/>
      <c r="H40" s="62"/>
      <c r="I40" s="62"/>
      <c r="J40" s="62"/>
      <c r="K40" s="62"/>
      <c r="L40" s="62"/>
      <c r="M40" s="62"/>
      <c r="N40" s="41"/>
    </row>
    <row r="41" spans="1:14" x14ac:dyDescent="0.25">
      <c r="A41" s="64"/>
      <c r="B41" s="65"/>
      <c r="C41" s="65"/>
      <c r="D41" s="64"/>
      <c r="E41" s="65"/>
      <c r="F41" s="65"/>
      <c r="G41" s="65"/>
      <c r="H41" s="64"/>
      <c r="I41" s="64"/>
      <c r="J41" s="64"/>
      <c r="K41" s="64"/>
      <c r="L41" s="41"/>
      <c r="M41" s="41"/>
      <c r="N41" s="41"/>
    </row>
    <row r="42" spans="1:14" x14ac:dyDescent="0.25">
      <c r="A42" s="64"/>
      <c r="B42" s="65"/>
      <c r="C42" s="65"/>
      <c r="D42" s="64"/>
      <c r="E42" s="65"/>
      <c r="F42" s="65"/>
      <c r="G42" s="65"/>
      <c r="H42" s="64"/>
      <c r="I42" s="64"/>
      <c r="J42" s="64"/>
      <c r="K42" s="64"/>
      <c r="L42" s="41"/>
      <c r="M42" s="41"/>
      <c r="N42" s="41"/>
    </row>
    <row r="43" spans="1:14" x14ac:dyDescent="0.25">
      <c r="A43" s="64"/>
      <c r="B43" s="65"/>
      <c r="C43" s="65"/>
      <c r="D43" s="64"/>
      <c r="E43" s="65"/>
      <c r="F43" s="65"/>
      <c r="G43" s="65"/>
      <c r="H43" s="64"/>
      <c r="I43" s="64"/>
      <c r="J43" s="64"/>
      <c r="K43" s="64"/>
      <c r="L43" s="41"/>
      <c r="M43" s="41"/>
      <c r="N43" s="41"/>
    </row>
    <row r="44" spans="1:14" x14ac:dyDescent="0.25">
      <c r="A44" s="64"/>
      <c r="B44" s="65"/>
      <c r="C44" s="65"/>
      <c r="D44" s="64"/>
      <c r="E44" s="65"/>
      <c r="F44" s="65"/>
      <c r="G44" s="65"/>
      <c r="H44" s="64"/>
      <c r="I44" s="64"/>
      <c r="J44" s="64"/>
      <c r="K44" s="64"/>
      <c r="L44" s="41"/>
      <c r="M44" s="41"/>
      <c r="N44" s="41"/>
    </row>
    <row r="45" spans="1:14" x14ac:dyDescent="0.25">
      <c r="A45" s="64"/>
      <c r="B45" s="65"/>
      <c r="C45" s="65"/>
      <c r="D45" s="64"/>
      <c r="E45" s="65"/>
      <c r="F45" s="65"/>
      <c r="G45" s="65"/>
      <c r="H45" s="64"/>
      <c r="I45" s="64"/>
      <c r="J45" s="64"/>
      <c r="K45" s="64"/>
      <c r="L45" s="41"/>
      <c r="M45" s="41"/>
      <c r="N45" s="41"/>
    </row>
    <row r="46" spans="1:14" x14ac:dyDescent="0.25">
      <c r="A46" s="64"/>
      <c r="B46" s="65"/>
      <c r="C46" s="65"/>
      <c r="D46" s="64"/>
      <c r="E46" s="65"/>
      <c r="F46" s="65"/>
      <c r="G46" s="65"/>
      <c r="H46" s="64"/>
      <c r="I46" s="64"/>
      <c r="J46" s="64"/>
      <c r="K46" s="64"/>
      <c r="L46" s="41"/>
      <c r="M46" s="41"/>
      <c r="N46" s="41"/>
    </row>
    <row r="47" spans="1:14" x14ac:dyDescent="0.25">
      <c r="A47" s="64"/>
      <c r="B47" s="65"/>
      <c r="C47" s="65"/>
      <c r="D47" s="64"/>
      <c r="E47" s="65"/>
      <c r="F47" s="65"/>
      <c r="G47" s="65"/>
      <c r="H47" s="64"/>
      <c r="I47" s="64"/>
      <c r="J47" s="64"/>
      <c r="K47" s="64"/>
      <c r="L47" s="41"/>
      <c r="M47" s="41"/>
      <c r="N47" s="41"/>
    </row>
    <row r="48" spans="1:14" x14ac:dyDescent="0.25">
      <c r="A48" s="64"/>
      <c r="B48" s="65"/>
      <c r="C48" s="65"/>
      <c r="D48" s="64"/>
      <c r="E48" s="65"/>
      <c r="F48" s="65"/>
      <c r="G48" s="65"/>
      <c r="H48" s="64"/>
      <c r="I48" s="64"/>
      <c r="J48" s="64"/>
      <c r="K48" s="64"/>
      <c r="L48" s="41"/>
      <c r="M48" s="41"/>
      <c r="N48" s="41"/>
    </row>
    <row r="49" spans="1:14" x14ac:dyDescent="0.25">
      <c r="A49" s="64"/>
      <c r="B49" s="65"/>
      <c r="C49" s="65"/>
      <c r="D49" s="64"/>
      <c r="E49" s="65"/>
      <c r="F49" s="65"/>
      <c r="G49" s="65"/>
      <c r="H49" s="64"/>
      <c r="I49" s="64"/>
      <c r="J49" s="64"/>
      <c r="K49" s="64"/>
      <c r="L49" s="41"/>
      <c r="M49" s="41"/>
      <c r="N49" s="41"/>
    </row>
    <row r="50" spans="1:14" x14ac:dyDescent="0.25">
      <c r="A50" s="198" t="s">
        <v>55</v>
      </c>
      <c r="B50" s="198"/>
      <c r="C50" s="198"/>
      <c r="D50" s="40"/>
      <c r="E50" s="199" t="s">
        <v>56</v>
      </c>
      <c r="F50" s="199"/>
      <c r="G50" s="199"/>
      <c r="H50" s="40"/>
      <c r="I50" s="200" t="s">
        <v>57</v>
      </c>
      <c r="J50" s="200"/>
      <c r="K50" s="200"/>
      <c r="L50" s="41"/>
      <c r="M50" s="41"/>
      <c r="N50" s="41"/>
    </row>
    <row r="51" spans="1:14" x14ac:dyDescent="0.25">
      <c r="A51" s="41"/>
      <c r="B51" s="60"/>
      <c r="C51" s="60"/>
      <c r="D51" s="41"/>
      <c r="E51" s="60"/>
      <c r="F51" s="60"/>
      <c r="G51" s="60"/>
      <c r="H51" s="41"/>
      <c r="I51" s="41"/>
      <c r="J51" s="41"/>
      <c r="K51" s="41"/>
      <c r="L51" s="41"/>
      <c r="M51" s="41"/>
      <c r="N51" s="41"/>
    </row>
    <row r="52" spans="1:14" x14ac:dyDescent="0.25">
      <c r="A52" s="42">
        <v>43844</v>
      </c>
      <c r="B52" s="61">
        <v>43831</v>
      </c>
      <c r="C52" s="43">
        <v>37696.67</v>
      </c>
      <c r="D52" s="41"/>
      <c r="E52" s="42">
        <v>43844</v>
      </c>
      <c r="F52" s="61">
        <v>43831</v>
      </c>
      <c r="G52" s="43">
        <v>5680.8</v>
      </c>
      <c r="H52" s="41"/>
      <c r="I52" s="42">
        <v>43922</v>
      </c>
      <c r="J52" s="40" t="s">
        <v>58</v>
      </c>
      <c r="K52" s="43">
        <v>24800</v>
      </c>
      <c r="L52" s="41"/>
      <c r="M52" s="41"/>
      <c r="N52" s="41"/>
    </row>
    <row r="53" spans="1:14" x14ac:dyDescent="0.25">
      <c r="A53" s="41"/>
      <c r="B53" s="41"/>
      <c r="C53" s="41"/>
      <c r="D53" s="41"/>
      <c r="E53" s="42">
        <v>43851</v>
      </c>
      <c r="F53" s="40" t="s">
        <v>59</v>
      </c>
      <c r="G53" s="43">
        <v>195.02</v>
      </c>
      <c r="H53" s="41"/>
      <c r="I53" s="42">
        <v>43997</v>
      </c>
      <c r="J53" s="40" t="s">
        <v>60</v>
      </c>
      <c r="K53" s="43">
        <v>6200</v>
      </c>
      <c r="L53" s="41"/>
      <c r="M53" s="41"/>
      <c r="N53" s="41"/>
    </row>
    <row r="54" spans="1:14" x14ac:dyDescent="0.25">
      <c r="A54" s="42">
        <v>43886</v>
      </c>
      <c r="B54" s="61">
        <v>43862</v>
      </c>
      <c r="C54" s="43">
        <f>37696.67-6794.63</f>
        <v>30902.039999999997</v>
      </c>
      <c r="D54" s="41"/>
      <c r="E54" s="66"/>
      <c r="F54" s="41"/>
      <c r="G54" s="41"/>
      <c r="H54" s="41"/>
      <c r="I54" s="42"/>
      <c r="J54" s="40"/>
      <c r="K54" s="43"/>
      <c r="L54" s="43">
        <f>K52+K53</f>
        <v>31000</v>
      </c>
      <c r="M54" s="41"/>
      <c r="N54" s="41"/>
    </row>
    <row r="55" spans="1:14" x14ac:dyDescent="0.25">
      <c r="A55" s="66"/>
      <c r="B55" s="41"/>
      <c r="C55" s="41"/>
      <c r="D55" s="41"/>
      <c r="E55" s="42">
        <v>43886</v>
      </c>
      <c r="F55" s="61">
        <v>43862</v>
      </c>
      <c r="G55" s="67">
        <f>5680.8-5680.8</f>
        <v>0</v>
      </c>
      <c r="H55" s="41"/>
      <c r="I55" s="42">
        <v>43994</v>
      </c>
      <c r="J55" s="40" t="s">
        <v>61</v>
      </c>
      <c r="K55" s="43">
        <v>32900</v>
      </c>
      <c r="L55" s="40"/>
      <c r="M55" s="41"/>
      <c r="N55" s="41"/>
    </row>
    <row r="56" spans="1:14" x14ac:dyDescent="0.25">
      <c r="A56" s="42">
        <v>43893</v>
      </c>
      <c r="B56" s="40" t="s">
        <v>62</v>
      </c>
      <c r="C56" s="67">
        <v>903</v>
      </c>
      <c r="D56" s="41"/>
      <c r="E56" s="66"/>
      <c r="F56" s="41"/>
      <c r="G56" s="41"/>
      <c r="H56" s="41"/>
      <c r="I56" s="68">
        <v>44116</v>
      </c>
      <c r="J56" s="69" t="s">
        <v>63</v>
      </c>
      <c r="K56" s="70">
        <v>14100</v>
      </c>
      <c r="L56" s="40"/>
      <c r="M56" s="41"/>
      <c r="N56" s="41"/>
    </row>
    <row r="57" spans="1:14" x14ac:dyDescent="0.25">
      <c r="A57" s="42">
        <v>43907</v>
      </c>
      <c r="B57" s="61">
        <v>43891</v>
      </c>
      <c r="C57" s="43">
        <v>38148.17</v>
      </c>
      <c r="D57" s="41"/>
      <c r="E57" s="41"/>
      <c r="F57" s="41"/>
      <c r="G57" s="41"/>
      <c r="H57" s="41"/>
      <c r="I57" s="41"/>
      <c r="J57" s="41"/>
      <c r="K57" s="41"/>
      <c r="L57" s="43">
        <f>K55+K56</f>
        <v>47000</v>
      </c>
      <c r="M57" s="41"/>
      <c r="N57" s="41"/>
    </row>
    <row r="58" spans="1:14" x14ac:dyDescent="0.25">
      <c r="A58" s="66"/>
      <c r="B58" s="41"/>
      <c r="C58" s="41"/>
      <c r="D58" s="41"/>
      <c r="E58" s="42">
        <v>43907</v>
      </c>
      <c r="F58" s="61">
        <v>43891</v>
      </c>
      <c r="G58" s="43">
        <v>4607.3999999999996</v>
      </c>
      <c r="H58" s="41"/>
      <c r="I58" s="42">
        <v>43901</v>
      </c>
      <c r="J58" s="40" t="s">
        <v>64</v>
      </c>
      <c r="K58" s="43">
        <v>40000</v>
      </c>
      <c r="L58" s="40"/>
      <c r="M58" s="41"/>
      <c r="N58" s="41"/>
    </row>
    <row r="59" spans="1:14" x14ac:dyDescent="0.25">
      <c r="A59" s="42">
        <v>43942</v>
      </c>
      <c r="B59" s="61" t="s">
        <v>38</v>
      </c>
      <c r="C59" s="43">
        <v>32094.28</v>
      </c>
      <c r="D59" s="41"/>
      <c r="E59" s="66"/>
      <c r="F59" s="41"/>
      <c r="G59" s="41"/>
      <c r="H59" s="41"/>
      <c r="I59" s="42"/>
      <c r="J59" s="40"/>
      <c r="K59" s="41"/>
      <c r="L59" s="43">
        <f>K58</f>
        <v>40000</v>
      </c>
      <c r="M59" s="41"/>
      <c r="N59" s="41"/>
    </row>
    <row r="60" spans="1:14" x14ac:dyDescent="0.25">
      <c r="A60" s="66"/>
      <c r="B60" s="41"/>
      <c r="C60" s="41"/>
      <c r="D60" s="41"/>
      <c r="E60" s="42">
        <v>43942</v>
      </c>
      <c r="F60" s="61" t="s">
        <v>38</v>
      </c>
      <c r="G60" s="43">
        <v>4142.87</v>
      </c>
      <c r="H60" s="41"/>
      <c r="I60" s="41"/>
      <c r="J60" s="41"/>
      <c r="K60" s="41"/>
      <c r="L60" s="40"/>
      <c r="M60" s="41"/>
      <c r="N60" s="41"/>
    </row>
    <row r="61" spans="1:14" x14ac:dyDescent="0.25">
      <c r="A61" s="42">
        <v>43957</v>
      </c>
      <c r="B61" s="61">
        <v>43922</v>
      </c>
      <c r="C61" s="43">
        <v>38148.17</v>
      </c>
      <c r="D61" s="41"/>
      <c r="E61" s="66"/>
      <c r="F61" s="41"/>
      <c r="G61" s="41"/>
      <c r="H61" s="41"/>
      <c r="I61" s="192" t="s">
        <v>65</v>
      </c>
      <c r="J61" s="204"/>
      <c r="K61" s="41"/>
      <c r="L61" s="71">
        <f>SUM(L54:L60)</f>
        <v>118000</v>
      </c>
      <c r="M61" s="41"/>
      <c r="N61" s="41"/>
    </row>
    <row r="62" spans="1:14" x14ac:dyDescent="0.25">
      <c r="A62" s="66"/>
      <c r="B62" s="41"/>
      <c r="C62" s="41"/>
      <c r="D62" s="41"/>
      <c r="E62" s="42">
        <v>43957</v>
      </c>
      <c r="F62" s="61">
        <v>43922</v>
      </c>
      <c r="G62" s="43">
        <v>5323</v>
      </c>
      <c r="H62" s="41"/>
      <c r="I62" s="41"/>
      <c r="J62" s="41"/>
      <c r="K62" s="41"/>
      <c r="L62" s="41"/>
      <c r="M62" s="41"/>
      <c r="N62" s="41"/>
    </row>
    <row r="63" spans="1:14" x14ac:dyDescent="0.25">
      <c r="A63" s="42">
        <v>44020</v>
      </c>
      <c r="B63" s="61">
        <v>43983</v>
      </c>
      <c r="C63" s="43">
        <v>39316.51</v>
      </c>
      <c r="D63" s="41"/>
      <c r="E63" s="41"/>
      <c r="F63" s="41"/>
      <c r="G63" s="41"/>
      <c r="H63" s="41"/>
      <c r="I63" s="42">
        <v>43936</v>
      </c>
      <c r="J63" s="43">
        <v>25123.68</v>
      </c>
      <c r="K63" s="41"/>
      <c r="L63" s="41"/>
      <c r="M63" s="41"/>
      <c r="N63" s="41"/>
    </row>
    <row r="64" spans="1:14" x14ac:dyDescent="0.25">
      <c r="A64" s="41"/>
      <c r="B64" s="41"/>
      <c r="C64" s="41"/>
      <c r="D64" s="41"/>
      <c r="E64" s="42">
        <v>44020</v>
      </c>
      <c r="F64" s="61">
        <v>43983</v>
      </c>
      <c r="G64" s="43">
        <v>9192.34</v>
      </c>
      <c r="H64" s="41"/>
      <c r="I64" s="42"/>
      <c r="J64" s="43"/>
      <c r="K64" s="41"/>
      <c r="L64" s="41"/>
      <c r="M64" s="41"/>
      <c r="N64" s="41"/>
    </row>
    <row r="65" spans="1:14" x14ac:dyDescent="0.25">
      <c r="A65" s="42">
        <v>44040</v>
      </c>
      <c r="B65" s="61">
        <v>44013</v>
      </c>
      <c r="C65" s="43">
        <v>38148.17</v>
      </c>
      <c r="D65" s="41"/>
      <c r="E65" s="41"/>
      <c r="F65" s="41"/>
      <c r="G65" s="41"/>
      <c r="H65" s="41"/>
      <c r="I65" s="42">
        <v>43966</v>
      </c>
      <c r="J65" s="43">
        <v>70586.42</v>
      </c>
      <c r="K65" s="41"/>
      <c r="L65" s="41"/>
      <c r="M65" s="41"/>
      <c r="N65" s="41"/>
    </row>
    <row r="66" spans="1:14" x14ac:dyDescent="0.25">
      <c r="A66" s="41"/>
      <c r="B66" s="41"/>
      <c r="C66" s="41"/>
      <c r="D66" s="41"/>
      <c r="E66" s="42">
        <v>44040</v>
      </c>
      <c r="F66" s="61">
        <v>44013</v>
      </c>
      <c r="G66" s="43">
        <v>5323</v>
      </c>
      <c r="H66" s="41"/>
      <c r="I66" s="42">
        <v>43978</v>
      </c>
      <c r="J66" s="43">
        <v>1898.75</v>
      </c>
      <c r="K66" s="41"/>
      <c r="L66" s="41"/>
      <c r="M66" s="41"/>
      <c r="N66" s="41"/>
    </row>
    <row r="67" spans="1:14" x14ac:dyDescent="0.25">
      <c r="A67" s="42">
        <v>44126</v>
      </c>
      <c r="B67" s="41"/>
      <c r="C67" s="43">
        <v>21447.62</v>
      </c>
      <c r="D67" s="41"/>
      <c r="E67" s="41"/>
      <c r="F67" s="41"/>
      <c r="G67" s="41"/>
      <c r="H67" s="41"/>
      <c r="I67" s="66"/>
      <c r="J67" s="41"/>
      <c r="K67" s="41"/>
      <c r="L67" s="41"/>
      <c r="M67" s="41"/>
      <c r="N67" s="41"/>
    </row>
    <row r="68" spans="1:14" x14ac:dyDescent="0.25">
      <c r="A68" s="41"/>
      <c r="B68" s="41"/>
      <c r="C68" s="41"/>
      <c r="D68" s="41"/>
      <c r="E68" s="42">
        <v>44061</v>
      </c>
      <c r="F68" s="41"/>
      <c r="G68" s="43">
        <v>1774.32</v>
      </c>
      <c r="H68" s="41"/>
      <c r="I68" s="42">
        <v>43997</v>
      </c>
      <c r="J68" s="43">
        <v>36529.61</v>
      </c>
      <c r="K68" s="41"/>
      <c r="L68" s="41"/>
      <c r="M68" s="41"/>
      <c r="N68" s="41"/>
    </row>
    <row r="69" spans="1:14" x14ac:dyDescent="0.25">
      <c r="A69" s="42">
        <v>44187</v>
      </c>
      <c r="B69" s="41"/>
      <c r="C69" s="43">
        <v>6805.5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1:14" x14ac:dyDescent="0.25">
      <c r="A70" s="41"/>
      <c r="B70" s="41"/>
      <c r="C70" s="41"/>
      <c r="D70" s="41"/>
      <c r="E70" s="42">
        <v>44126</v>
      </c>
      <c r="F70" s="41"/>
      <c r="G70" s="40">
        <v>4661.6099999999997</v>
      </c>
      <c r="H70" s="41"/>
      <c r="I70" s="42">
        <v>44025</v>
      </c>
      <c r="J70" s="43">
        <v>30258.42</v>
      </c>
      <c r="K70" s="41"/>
      <c r="L70" s="41"/>
      <c r="M70" s="41"/>
      <c r="N70" s="41"/>
    </row>
    <row r="71" spans="1:14" x14ac:dyDescent="0.25">
      <c r="A71" s="41"/>
      <c r="B71" s="41"/>
      <c r="C71" s="72">
        <f>SUM(C52:C70)</f>
        <v>283610.12999999995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1:14" x14ac:dyDescent="0.25">
      <c r="A72" s="41"/>
      <c r="B72" s="41"/>
      <c r="C72" s="43"/>
      <c r="D72" s="41"/>
      <c r="E72" s="42">
        <v>44159</v>
      </c>
      <c r="F72" s="41"/>
      <c r="G72" s="43">
        <v>5231.63</v>
      </c>
      <c r="H72" s="41"/>
      <c r="I72" s="42">
        <v>44071</v>
      </c>
      <c r="J72" s="43">
        <v>18110.22</v>
      </c>
      <c r="K72" s="41"/>
      <c r="L72" s="41"/>
      <c r="M72" s="41"/>
      <c r="N72" s="41"/>
    </row>
    <row r="73" spans="1:14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1:14" x14ac:dyDescent="0.25">
      <c r="A74" s="41"/>
      <c r="B74" s="41"/>
      <c r="C74" s="41"/>
      <c r="D74" s="41"/>
      <c r="E74" s="68">
        <v>44187</v>
      </c>
      <c r="F74" s="41"/>
      <c r="G74" s="43">
        <v>5766.62</v>
      </c>
      <c r="H74" s="41"/>
      <c r="I74" s="42">
        <v>44095</v>
      </c>
      <c r="J74" s="43">
        <v>2007.47</v>
      </c>
      <c r="K74" s="41"/>
      <c r="L74" s="41"/>
      <c r="M74" s="41"/>
      <c r="N74" s="41"/>
    </row>
    <row r="75" spans="1:14" x14ac:dyDescent="0.25">
      <c r="A75" s="190" t="s">
        <v>66</v>
      </c>
      <c r="B75" s="205"/>
      <c r="C75" s="205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1:14" x14ac:dyDescent="0.25">
      <c r="A76" s="41"/>
      <c r="B76" s="41"/>
      <c r="C76" s="41"/>
      <c r="D76" s="41"/>
      <c r="E76" s="41"/>
      <c r="F76" s="41"/>
      <c r="G76" s="73">
        <f>SUM(G52:G75)</f>
        <v>51898.61</v>
      </c>
      <c r="H76" s="41"/>
      <c r="I76" s="42">
        <v>44110</v>
      </c>
      <c r="J76" s="43">
        <v>15938.4</v>
      </c>
      <c r="K76" s="41"/>
      <c r="L76" s="41"/>
      <c r="M76" s="41"/>
      <c r="N76" s="41"/>
    </row>
    <row r="77" spans="1:14" x14ac:dyDescent="0.25">
      <c r="A77" s="42">
        <v>44172</v>
      </c>
      <c r="B77" s="40" t="s">
        <v>67</v>
      </c>
      <c r="C77" s="43">
        <v>10000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1:14" x14ac:dyDescent="0.25">
      <c r="A78" s="42">
        <v>44176</v>
      </c>
      <c r="B78" s="40" t="s">
        <v>67</v>
      </c>
      <c r="C78" s="43">
        <v>10000</v>
      </c>
      <c r="D78" s="41"/>
      <c r="E78" s="41"/>
      <c r="F78" s="41"/>
      <c r="G78" s="41"/>
      <c r="H78" s="41"/>
      <c r="I78" s="42">
        <v>44131</v>
      </c>
      <c r="J78" s="43">
        <v>9467.5300000000007</v>
      </c>
      <c r="K78" s="40"/>
      <c r="L78" s="41"/>
      <c r="M78" s="41"/>
      <c r="N78" s="41"/>
    </row>
    <row r="79" spans="1:14" x14ac:dyDescent="0.25">
      <c r="A79" s="42">
        <v>44196</v>
      </c>
      <c r="B79" s="40" t="s">
        <v>68</v>
      </c>
      <c r="C79" s="43">
        <v>40000</v>
      </c>
      <c r="D79" s="41"/>
      <c r="E79" s="41"/>
      <c r="F79" s="41"/>
      <c r="G79" s="41"/>
      <c r="H79" s="41"/>
      <c r="I79" s="41"/>
      <c r="J79" s="74"/>
      <c r="K79" s="41"/>
      <c r="L79" s="41"/>
      <c r="M79" s="41"/>
      <c r="N79" s="41"/>
    </row>
    <row r="80" spans="1:14" x14ac:dyDescent="0.25">
      <c r="A80" s="41"/>
      <c r="B80" s="41"/>
      <c r="C80" s="41"/>
      <c r="D80" s="41"/>
      <c r="E80" s="41"/>
      <c r="F80" s="41"/>
      <c r="G80" s="41"/>
      <c r="H80" s="41"/>
      <c r="I80" s="42">
        <v>44153</v>
      </c>
      <c r="J80" s="43">
        <v>191391.12</v>
      </c>
      <c r="K80" s="40" t="s">
        <v>69</v>
      </c>
      <c r="L80" s="41"/>
      <c r="M80" s="41"/>
      <c r="N80" s="41"/>
    </row>
    <row r="81" spans="1:14" x14ac:dyDescent="0.25">
      <c r="A81" s="41"/>
      <c r="B81" s="41"/>
      <c r="C81" s="75">
        <f>SUM(C77:C80)</f>
        <v>60000</v>
      </c>
      <c r="D81" s="41"/>
      <c r="E81" s="41"/>
      <c r="F81" s="41"/>
      <c r="G81" s="41"/>
      <c r="H81" s="41"/>
      <c r="I81" s="41"/>
      <c r="J81" s="74"/>
      <c r="K81" s="41"/>
      <c r="L81" s="41"/>
      <c r="M81" s="41"/>
      <c r="N81" s="41"/>
    </row>
    <row r="82" spans="1:14" x14ac:dyDescent="0.25">
      <c r="A82" s="41"/>
      <c r="B82" s="41"/>
      <c r="C82" s="41"/>
      <c r="D82" s="41"/>
      <c r="E82" s="41"/>
      <c r="F82" s="41"/>
      <c r="G82" s="41"/>
      <c r="H82" s="41"/>
      <c r="I82" s="42">
        <v>44162</v>
      </c>
      <c r="J82" s="43">
        <v>12831.38</v>
      </c>
      <c r="K82" s="41"/>
      <c r="L82" s="41"/>
      <c r="M82" s="41"/>
      <c r="N82" s="41"/>
    </row>
    <row r="83" spans="1:14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1:14" x14ac:dyDescent="0.25">
      <c r="A84" s="41"/>
      <c r="B84" s="41"/>
      <c r="C84" s="41"/>
      <c r="D84" s="41"/>
      <c r="E84" s="41"/>
      <c r="F84" s="41"/>
      <c r="G84" s="41"/>
      <c r="H84" s="41"/>
      <c r="I84" s="42">
        <v>44173</v>
      </c>
      <c r="J84" s="43">
        <v>18216</v>
      </c>
      <c r="K84" s="40" t="s">
        <v>70</v>
      </c>
      <c r="L84" s="41"/>
      <c r="M84" s="41"/>
      <c r="N84" s="41"/>
    </row>
    <row r="85" spans="1:14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1:14" x14ac:dyDescent="0.25">
      <c r="A86" s="41"/>
      <c r="B86" s="41"/>
      <c r="C86" s="41"/>
      <c r="D86" s="41"/>
      <c r="E86" s="41"/>
      <c r="F86" s="41"/>
      <c r="G86" s="41"/>
      <c r="H86" s="41"/>
      <c r="I86" s="42">
        <v>44187</v>
      </c>
      <c r="J86" s="43">
        <v>34030.69</v>
      </c>
      <c r="K86" s="41"/>
      <c r="L86" s="41"/>
      <c r="M86" s="41"/>
      <c r="N86" s="41"/>
    </row>
    <row r="87" spans="1:14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1:14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76">
        <f>SUM(J65:J86)</f>
        <v>441266.01</v>
      </c>
      <c r="K88" s="41"/>
      <c r="L88" s="41"/>
      <c r="M88" s="41"/>
      <c r="N88" s="41"/>
    </row>
    <row r="89" spans="1:14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77"/>
      <c r="K89" s="41"/>
      <c r="L89" s="41"/>
      <c r="M89" s="41"/>
      <c r="N89" s="41"/>
    </row>
    <row r="90" spans="1:14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77"/>
      <c r="K90" s="41"/>
      <c r="L90" s="41"/>
      <c r="M90" s="41"/>
      <c r="N90" s="41"/>
    </row>
    <row r="91" spans="1:14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78"/>
      <c r="K91" s="62"/>
      <c r="L91" s="62"/>
      <c r="M91" s="62"/>
      <c r="N91" s="41"/>
    </row>
    <row r="92" spans="1:14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77"/>
      <c r="K92" s="41"/>
      <c r="L92" s="41"/>
      <c r="M92" s="41"/>
      <c r="N92" s="41"/>
    </row>
    <row r="93" spans="1:14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77"/>
      <c r="K93" s="41"/>
      <c r="L93" s="41"/>
      <c r="M93" s="41"/>
      <c r="N93" s="41"/>
    </row>
    <row r="94" spans="1:14" x14ac:dyDescent="0.25">
      <c r="A94" s="198" t="s">
        <v>71</v>
      </c>
      <c r="B94" s="198"/>
      <c r="C94" s="198"/>
      <c r="D94" s="40"/>
      <c r="E94" s="199" t="s">
        <v>72</v>
      </c>
      <c r="F94" s="199"/>
      <c r="G94" s="199"/>
      <c r="H94" s="40"/>
      <c r="I94" s="200" t="s">
        <v>73</v>
      </c>
      <c r="J94" s="200"/>
      <c r="K94" s="200"/>
      <c r="L94" s="41"/>
      <c r="M94" s="41"/>
      <c r="N94" s="41"/>
    </row>
    <row r="95" spans="1:14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1:14" x14ac:dyDescent="0.25">
      <c r="A96" s="42" t="s">
        <v>74</v>
      </c>
      <c r="B96" s="41"/>
      <c r="C96" s="43">
        <v>26615</v>
      </c>
      <c r="D96" s="41"/>
      <c r="E96" s="42">
        <v>44214</v>
      </c>
      <c r="F96" s="40"/>
      <c r="G96" s="43">
        <v>5766.58</v>
      </c>
      <c r="H96" s="41"/>
      <c r="I96" s="42">
        <v>44214</v>
      </c>
      <c r="J96" s="40" t="s">
        <v>75</v>
      </c>
      <c r="K96" s="43">
        <v>1999.98</v>
      </c>
      <c r="L96" s="41"/>
      <c r="M96" s="41"/>
      <c r="N96" s="41"/>
    </row>
    <row r="97" spans="1:14" x14ac:dyDescent="0.25">
      <c r="A97" s="40" t="s">
        <v>76</v>
      </c>
      <c r="B97" s="194" t="s">
        <v>77</v>
      </c>
      <c r="C97" s="43">
        <v>-3069.95</v>
      </c>
      <c r="D97" s="41"/>
      <c r="E97" s="42" t="s">
        <v>78</v>
      </c>
      <c r="F97" s="40"/>
      <c r="G97" s="43">
        <v>5766.58</v>
      </c>
      <c r="H97" s="41"/>
      <c r="I97" s="42">
        <v>44263</v>
      </c>
      <c r="J97" s="40" t="s">
        <v>79</v>
      </c>
      <c r="K97" s="43">
        <v>666.66</v>
      </c>
      <c r="L97" s="41"/>
      <c r="M97" s="41"/>
      <c r="N97" s="41"/>
    </row>
    <row r="98" spans="1:14" x14ac:dyDescent="0.25">
      <c r="A98" s="40" t="s">
        <v>76</v>
      </c>
      <c r="B98" s="195"/>
      <c r="C98" s="43">
        <v>-23545.05</v>
      </c>
      <c r="D98" s="41"/>
      <c r="E98" s="42" t="s">
        <v>80</v>
      </c>
      <c r="F98" s="194" t="s">
        <v>81</v>
      </c>
      <c r="G98" s="43">
        <v>-665.16</v>
      </c>
      <c r="H98" s="41"/>
      <c r="I98" s="68">
        <v>44264</v>
      </c>
      <c r="J98" s="69" t="s">
        <v>82</v>
      </c>
      <c r="K98" s="70">
        <v>24800</v>
      </c>
      <c r="L98" s="41"/>
      <c r="M98" s="41"/>
      <c r="N98" s="41"/>
    </row>
    <row r="99" spans="1:14" x14ac:dyDescent="0.25">
      <c r="A99" s="42">
        <v>44257</v>
      </c>
      <c r="B99" s="40"/>
      <c r="C99" s="43">
        <v>3065.59</v>
      </c>
      <c r="D99" s="41"/>
      <c r="E99" s="40" t="s">
        <v>80</v>
      </c>
      <c r="F99" s="195"/>
      <c r="G99" s="43">
        <v>-5101.42</v>
      </c>
      <c r="H99" s="41"/>
      <c r="I99" s="42">
        <v>44294</v>
      </c>
      <c r="J99" s="40" t="s">
        <v>83</v>
      </c>
      <c r="K99" s="43">
        <v>666.66</v>
      </c>
      <c r="L99" s="41"/>
      <c r="M99" s="41"/>
      <c r="N99" s="41"/>
    </row>
    <row r="100" spans="1:14" x14ac:dyDescent="0.25">
      <c r="A100" s="42">
        <v>44257</v>
      </c>
      <c r="B100" s="40"/>
      <c r="C100" s="43">
        <v>26615</v>
      </c>
      <c r="D100" s="41"/>
      <c r="E100" s="42">
        <v>44278</v>
      </c>
      <c r="F100" s="40"/>
      <c r="G100" s="43">
        <v>5766.58</v>
      </c>
      <c r="H100" s="41"/>
      <c r="I100" s="42">
        <v>44309</v>
      </c>
      <c r="J100" s="40" t="s">
        <v>64</v>
      </c>
      <c r="K100" s="43">
        <v>32000</v>
      </c>
      <c r="L100" s="41"/>
      <c r="M100" s="41"/>
      <c r="N100" s="41"/>
    </row>
    <row r="101" spans="1:14" x14ac:dyDescent="0.25">
      <c r="A101" s="40" t="s">
        <v>84</v>
      </c>
      <c r="B101" s="194" t="s">
        <v>77</v>
      </c>
      <c r="C101" s="43">
        <v>-2716.35</v>
      </c>
      <c r="D101" s="41"/>
      <c r="E101" s="42">
        <v>44313</v>
      </c>
      <c r="F101" s="40"/>
      <c r="G101" s="43">
        <v>5766.58</v>
      </c>
      <c r="H101" s="41"/>
      <c r="I101" s="42">
        <v>44320</v>
      </c>
      <c r="J101" s="40" t="s">
        <v>83</v>
      </c>
      <c r="K101" s="43">
        <v>666.66</v>
      </c>
      <c r="L101" s="41"/>
      <c r="M101" s="41"/>
      <c r="N101" s="41"/>
    </row>
    <row r="102" spans="1:14" x14ac:dyDescent="0.25">
      <c r="A102" s="40" t="s">
        <v>84</v>
      </c>
      <c r="B102" s="195"/>
      <c r="C102" s="43">
        <v>-20833.060000000001</v>
      </c>
      <c r="D102" s="41"/>
      <c r="E102" s="42">
        <v>44369</v>
      </c>
      <c r="F102" s="40"/>
      <c r="G102" s="43">
        <v>3162.02</v>
      </c>
      <c r="H102" s="41"/>
      <c r="I102" s="42">
        <v>44350</v>
      </c>
      <c r="J102" s="40" t="s">
        <v>83</v>
      </c>
      <c r="K102" s="40">
        <v>666.66</v>
      </c>
      <c r="L102" s="41"/>
      <c r="M102" s="41"/>
      <c r="N102" s="41"/>
    </row>
    <row r="103" spans="1:14" x14ac:dyDescent="0.25">
      <c r="A103" s="42">
        <v>44257</v>
      </c>
      <c r="B103" s="40" t="s">
        <v>85</v>
      </c>
      <c r="C103" s="43">
        <v>3065.59</v>
      </c>
      <c r="D103" s="41"/>
      <c r="E103" s="42">
        <v>44398</v>
      </c>
      <c r="F103" s="40"/>
      <c r="G103" s="43">
        <v>5823.46</v>
      </c>
      <c r="H103" s="41"/>
      <c r="I103" s="42">
        <v>44384</v>
      </c>
      <c r="J103" s="40" t="s">
        <v>83</v>
      </c>
      <c r="K103" s="43">
        <v>666.66</v>
      </c>
      <c r="L103" s="41"/>
      <c r="M103" s="41"/>
      <c r="N103" s="41"/>
    </row>
    <row r="104" spans="1:14" x14ac:dyDescent="0.25">
      <c r="A104" s="42">
        <v>44278</v>
      </c>
      <c r="B104" s="41"/>
      <c r="C104" s="43">
        <v>26615</v>
      </c>
      <c r="D104" s="41"/>
      <c r="E104" s="42">
        <v>44432</v>
      </c>
      <c r="F104" s="40" t="s">
        <v>86</v>
      </c>
      <c r="G104" s="43">
        <v>7397.71</v>
      </c>
      <c r="H104" s="41"/>
      <c r="I104" s="42">
        <v>44390</v>
      </c>
      <c r="J104" s="40" t="s">
        <v>87</v>
      </c>
      <c r="K104" s="43">
        <v>26320</v>
      </c>
      <c r="L104" s="41" t="s">
        <v>88</v>
      </c>
      <c r="M104" s="41"/>
      <c r="N104" s="41"/>
    </row>
    <row r="105" spans="1:14" x14ac:dyDescent="0.25">
      <c r="A105" s="42">
        <v>44313</v>
      </c>
      <c r="B105" s="40"/>
      <c r="C105" s="43">
        <v>26615</v>
      </c>
      <c r="D105" s="41"/>
      <c r="E105" s="42">
        <v>44460</v>
      </c>
      <c r="F105" s="40"/>
      <c r="G105" s="43">
        <v>5823.46</v>
      </c>
      <c r="H105" s="41"/>
      <c r="I105" s="42">
        <v>44411</v>
      </c>
      <c r="J105" s="40" t="s">
        <v>83</v>
      </c>
      <c r="K105" s="40">
        <v>666.66</v>
      </c>
      <c r="L105" s="41"/>
      <c r="M105" s="41"/>
      <c r="N105" s="41"/>
    </row>
    <row r="106" spans="1:14" x14ac:dyDescent="0.25">
      <c r="A106" s="42">
        <v>44369</v>
      </c>
      <c r="B106" s="41"/>
      <c r="C106" s="43">
        <v>1039.29</v>
      </c>
      <c r="D106" s="41"/>
      <c r="E106" s="42">
        <v>44490</v>
      </c>
      <c r="F106" s="40" t="s">
        <v>38</v>
      </c>
      <c r="G106" s="43">
        <v>3459.95</v>
      </c>
      <c r="H106" s="41"/>
      <c r="I106" s="42">
        <v>44446</v>
      </c>
      <c r="J106" s="40" t="s">
        <v>83</v>
      </c>
      <c r="K106" s="40">
        <v>666.66</v>
      </c>
      <c r="L106" s="41"/>
      <c r="M106" s="41"/>
      <c r="N106" s="41"/>
    </row>
    <row r="107" spans="1:14" x14ac:dyDescent="0.25">
      <c r="A107" s="42">
        <v>44398</v>
      </c>
      <c r="B107" s="41"/>
      <c r="C107" s="43">
        <v>26877.5</v>
      </c>
      <c r="D107" s="41"/>
      <c r="E107" s="42">
        <v>44495</v>
      </c>
      <c r="F107" s="40"/>
      <c r="G107" s="40">
        <v>5823.46</v>
      </c>
      <c r="H107" s="41"/>
      <c r="I107" s="42">
        <v>44475</v>
      </c>
      <c r="J107" s="40" t="s">
        <v>89</v>
      </c>
      <c r="K107" s="43">
        <v>20000</v>
      </c>
      <c r="L107" s="41"/>
      <c r="M107" s="41"/>
      <c r="N107" s="41"/>
    </row>
    <row r="108" spans="1:14" x14ac:dyDescent="0.25">
      <c r="A108" s="42">
        <v>44404</v>
      </c>
      <c r="B108" s="40" t="s">
        <v>90</v>
      </c>
      <c r="C108" s="43">
        <v>22888.9</v>
      </c>
      <c r="D108" s="41"/>
      <c r="E108" s="42">
        <v>44537</v>
      </c>
      <c r="F108" s="41"/>
      <c r="G108" s="43">
        <v>7390.57</v>
      </c>
      <c r="H108" s="41"/>
      <c r="I108" s="42">
        <v>44488</v>
      </c>
      <c r="J108" s="40" t="s">
        <v>91</v>
      </c>
      <c r="K108" s="43">
        <v>14100</v>
      </c>
      <c r="L108" s="41"/>
      <c r="M108" s="41"/>
      <c r="N108" s="41"/>
    </row>
    <row r="109" spans="1:14" x14ac:dyDescent="0.25">
      <c r="A109" s="42">
        <v>44460</v>
      </c>
      <c r="B109" s="40"/>
      <c r="C109" s="43">
        <v>10290.25</v>
      </c>
      <c r="D109" s="41"/>
      <c r="E109" s="42">
        <v>44551</v>
      </c>
      <c r="F109" s="40" t="s">
        <v>92</v>
      </c>
      <c r="G109" s="43">
        <v>5823.44</v>
      </c>
      <c r="H109" s="41"/>
      <c r="I109" s="42">
        <v>44512</v>
      </c>
      <c r="J109" s="41" t="s">
        <v>93</v>
      </c>
      <c r="K109" s="43">
        <v>50000</v>
      </c>
      <c r="L109" s="41"/>
      <c r="M109" s="41"/>
      <c r="N109" s="41"/>
    </row>
    <row r="110" spans="1:14" x14ac:dyDescent="0.25">
      <c r="A110" s="42">
        <v>44495</v>
      </c>
      <c r="B110" s="40"/>
      <c r="C110" s="43">
        <v>26877.5</v>
      </c>
      <c r="D110" s="41"/>
      <c r="E110" s="41"/>
      <c r="F110" s="41"/>
      <c r="G110" s="41"/>
      <c r="H110" s="41"/>
      <c r="I110" s="42">
        <v>44519</v>
      </c>
      <c r="J110" s="40" t="s">
        <v>83</v>
      </c>
      <c r="K110" s="43">
        <v>1333.32</v>
      </c>
      <c r="L110" s="41"/>
      <c r="M110" s="41"/>
      <c r="N110" s="41"/>
    </row>
    <row r="111" spans="1:14" x14ac:dyDescent="0.25">
      <c r="A111" s="42">
        <v>44551</v>
      </c>
      <c r="B111" s="41"/>
      <c r="C111" s="43">
        <v>22427.08</v>
      </c>
      <c r="D111" s="41"/>
      <c r="E111" s="41"/>
      <c r="F111" s="41"/>
      <c r="G111" s="79">
        <f>SUM(G96:G110)</f>
        <v>62003.81</v>
      </c>
      <c r="H111" s="41"/>
      <c r="I111" s="42">
        <v>44537</v>
      </c>
      <c r="J111" s="40" t="s">
        <v>83</v>
      </c>
      <c r="K111" s="43">
        <v>666.66</v>
      </c>
      <c r="L111" s="41"/>
      <c r="M111" s="41"/>
      <c r="N111" s="41"/>
    </row>
    <row r="112" spans="1:14" x14ac:dyDescent="0.25">
      <c r="A112" s="41"/>
      <c r="B112" s="41"/>
      <c r="C112" s="40"/>
      <c r="D112" s="41"/>
      <c r="E112" s="41"/>
      <c r="F112" s="41"/>
      <c r="G112" s="41"/>
      <c r="H112" s="41"/>
      <c r="I112" s="42">
        <v>44537</v>
      </c>
      <c r="J112" s="40" t="s">
        <v>94</v>
      </c>
      <c r="K112" s="43">
        <v>12500</v>
      </c>
      <c r="L112" s="41"/>
      <c r="M112" s="41"/>
      <c r="N112" s="41"/>
    </row>
    <row r="113" spans="1:14" x14ac:dyDescent="0.25">
      <c r="A113" s="41"/>
      <c r="B113" s="41"/>
      <c r="C113" s="80">
        <f>SUM(C96:C112)</f>
        <v>172827.28999999998</v>
      </c>
      <c r="D113" s="41"/>
      <c r="E113" s="41"/>
      <c r="F113" s="41"/>
      <c r="G113" s="41"/>
      <c r="H113" s="41"/>
      <c r="I113" s="42"/>
      <c r="J113" s="40"/>
      <c r="K113" s="43"/>
      <c r="L113" s="41"/>
      <c r="M113" s="41"/>
      <c r="N113" s="41"/>
    </row>
    <row r="114" spans="1:14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71">
        <f>SUM(K96:K113)</f>
        <v>188386.58000000005</v>
      </c>
      <c r="L114" s="41"/>
      <c r="M114" s="41"/>
      <c r="N114" s="41"/>
    </row>
    <row r="115" spans="1:14" x14ac:dyDescent="0.25">
      <c r="A115" s="41" t="s">
        <v>95</v>
      </c>
      <c r="B115" s="41"/>
      <c r="C115" s="43"/>
      <c r="D115" s="41"/>
      <c r="E115" s="40" t="s">
        <v>96</v>
      </c>
      <c r="F115" s="41"/>
      <c r="G115" s="41"/>
      <c r="H115" s="41"/>
      <c r="I115" s="41"/>
      <c r="J115" s="41"/>
      <c r="K115" s="77"/>
      <c r="L115" s="41"/>
      <c r="M115" s="41"/>
      <c r="N115" s="41"/>
    </row>
    <row r="116" spans="1:14" x14ac:dyDescent="0.25">
      <c r="A116" s="81" t="s">
        <v>97</v>
      </c>
      <c r="B116" s="41"/>
      <c r="C116" s="43"/>
      <c r="D116" s="41"/>
      <c r="E116" s="40">
        <f>-3875.36-2568.1-1353.7</f>
        <v>-7797.16</v>
      </c>
      <c r="F116" s="41"/>
      <c r="G116" s="41"/>
      <c r="H116" s="41"/>
      <c r="I116" s="41"/>
      <c r="J116" s="41"/>
      <c r="K116" s="77"/>
      <c r="L116" s="41"/>
      <c r="M116" s="41"/>
      <c r="N116" s="41"/>
    </row>
    <row r="117" spans="1:14" x14ac:dyDescent="0.25">
      <c r="A117" s="41" t="s">
        <v>98</v>
      </c>
      <c r="B117" s="41"/>
      <c r="C117" s="43"/>
      <c r="D117" s="41"/>
      <c r="E117" s="41"/>
      <c r="F117" s="41"/>
      <c r="G117" s="41"/>
      <c r="H117" s="41"/>
      <c r="I117" s="41"/>
      <c r="J117" s="41"/>
      <c r="K117" s="77"/>
      <c r="L117" s="41"/>
      <c r="M117" s="41"/>
      <c r="N117" s="41"/>
    </row>
    <row r="118" spans="1:14" x14ac:dyDescent="0.25">
      <c r="A118" s="41" t="s">
        <v>99</v>
      </c>
      <c r="B118" s="41"/>
      <c r="C118" s="43"/>
      <c r="D118" s="41"/>
      <c r="E118" s="41"/>
      <c r="F118" s="41"/>
      <c r="G118" s="41"/>
      <c r="H118" s="41"/>
      <c r="I118" s="41"/>
      <c r="J118" s="41"/>
      <c r="K118" s="77"/>
      <c r="L118" s="41"/>
      <c r="M118" s="41"/>
      <c r="N118" s="41"/>
    </row>
    <row r="119" spans="1:14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77"/>
      <c r="L119" s="41"/>
      <c r="M119" s="41"/>
      <c r="N119" s="41"/>
    </row>
    <row r="120" spans="1:14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1:14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1:14" x14ac:dyDescent="0.25">
      <c r="A122" s="190" t="s">
        <v>100</v>
      </c>
      <c r="B122" s="191"/>
      <c r="C122" s="191"/>
      <c r="D122" s="41"/>
      <c r="E122" s="41"/>
      <c r="F122" s="41"/>
      <c r="G122" s="41"/>
      <c r="H122" s="41"/>
      <c r="I122" s="192" t="s">
        <v>101</v>
      </c>
      <c r="J122" s="193"/>
      <c r="K122" s="193"/>
      <c r="L122" s="41"/>
      <c r="M122" s="41"/>
      <c r="N122" s="41"/>
    </row>
    <row r="123" spans="1:14" x14ac:dyDescent="0.25">
      <c r="A123" s="41"/>
      <c r="B123" s="41"/>
      <c r="C123" s="41"/>
      <c r="D123" s="41"/>
      <c r="E123" s="41"/>
      <c r="F123" s="41"/>
      <c r="G123" s="41"/>
      <c r="H123" s="41"/>
      <c r="I123" s="42"/>
      <c r="J123" s="43"/>
      <c r="K123" s="41"/>
      <c r="L123" s="41"/>
      <c r="M123" s="41"/>
      <c r="N123" s="41"/>
    </row>
    <row r="124" spans="1:14" x14ac:dyDescent="0.25">
      <c r="A124" s="42">
        <v>44257</v>
      </c>
      <c r="B124" s="40" t="s">
        <v>102</v>
      </c>
      <c r="C124" s="43">
        <v>47170</v>
      </c>
      <c r="D124" s="41"/>
      <c r="E124" s="41"/>
      <c r="F124" s="41"/>
      <c r="G124" s="41"/>
      <c r="H124" s="41"/>
      <c r="I124" s="42">
        <v>44222</v>
      </c>
      <c r="J124" s="41"/>
      <c r="K124" s="43">
        <v>32564.13</v>
      </c>
      <c r="L124" s="41"/>
      <c r="M124" s="41"/>
      <c r="N124" s="41"/>
    </row>
    <row r="125" spans="1:14" x14ac:dyDescent="0.25">
      <c r="A125" s="42">
        <v>44294</v>
      </c>
      <c r="B125" s="40" t="s">
        <v>103</v>
      </c>
      <c r="C125" s="43">
        <v>14000</v>
      </c>
      <c r="D125" s="41"/>
      <c r="E125" s="41"/>
      <c r="F125" s="41"/>
      <c r="G125" s="41"/>
      <c r="H125" s="41"/>
      <c r="I125" s="42">
        <v>44222</v>
      </c>
      <c r="J125" s="41"/>
      <c r="K125" s="43">
        <v>40107</v>
      </c>
      <c r="L125" s="40" t="s">
        <v>104</v>
      </c>
      <c r="M125" s="43" t="s">
        <v>105</v>
      </c>
      <c r="N125" s="41"/>
    </row>
    <row r="126" spans="1:14" x14ac:dyDescent="0.25">
      <c r="A126" s="42">
        <v>44300</v>
      </c>
      <c r="B126" s="40" t="s">
        <v>102</v>
      </c>
      <c r="C126" s="43">
        <v>30301</v>
      </c>
      <c r="D126" s="41"/>
      <c r="E126" s="68"/>
      <c r="F126" s="69"/>
      <c r="G126" s="70"/>
      <c r="H126" s="41"/>
      <c r="I126" s="42">
        <v>44239</v>
      </c>
      <c r="J126" s="41"/>
      <c r="K126" s="43">
        <v>11309.4</v>
      </c>
      <c r="L126" s="40" t="s">
        <v>106</v>
      </c>
      <c r="M126" s="40" t="s">
        <v>107</v>
      </c>
      <c r="N126" s="41"/>
    </row>
    <row r="127" spans="1:14" x14ac:dyDescent="0.25">
      <c r="A127" s="42">
        <v>44320</v>
      </c>
      <c r="B127" s="40" t="s">
        <v>102</v>
      </c>
      <c r="C127" s="43">
        <v>37635</v>
      </c>
      <c r="D127" s="41"/>
      <c r="E127" s="41"/>
      <c r="F127" s="41"/>
      <c r="G127" s="41"/>
      <c r="H127" s="41"/>
      <c r="I127" s="42" t="s">
        <v>108</v>
      </c>
      <c r="J127" s="196" t="s">
        <v>109</v>
      </c>
      <c r="K127" s="43">
        <v>-1304.5</v>
      </c>
      <c r="L127" s="40" t="s">
        <v>106</v>
      </c>
      <c r="M127" s="41"/>
      <c r="N127" s="41"/>
    </row>
    <row r="128" spans="1:14" x14ac:dyDescent="0.25">
      <c r="A128" s="42">
        <v>44334</v>
      </c>
      <c r="B128" s="40" t="s">
        <v>102</v>
      </c>
      <c r="C128" s="43">
        <v>46060</v>
      </c>
      <c r="D128" s="41"/>
      <c r="E128" s="41"/>
      <c r="F128" s="41"/>
      <c r="G128" s="41"/>
      <c r="H128" s="41"/>
      <c r="I128" s="42" t="s">
        <v>108</v>
      </c>
      <c r="J128" s="197"/>
      <c r="K128" s="43">
        <v>-10004.9</v>
      </c>
      <c r="L128" s="40" t="s">
        <v>106</v>
      </c>
      <c r="M128" s="41"/>
      <c r="N128" s="41"/>
    </row>
    <row r="129" spans="1:14" x14ac:dyDescent="0.25">
      <c r="A129" s="42">
        <v>44368</v>
      </c>
      <c r="B129" s="40" t="s">
        <v>102</v>
      </c>
      <c r="C129" s="43">
        <v>15486</v>
      </c>
      <c r="D129" s="41"/>
      <c r="E129" s="41"/>
      <c r="F129" s="41"/>
      <c r="G129" s="41"/>
      <c r="H129" s="41"/>
      <c r="I129" s="69" t="s">
        <v>110</v>
      </c>
      <c r="J129" s="69" t="s">
        <v>111</v>
      </c>
      <c r="K129" s="70">
        <v>31050.36</v>
      </c>
      <c r="L129" s="64"/>
      <c r="M129" s="41"/>
      <c r="N129" s="41"/>
    </row>
    <row r="130" spans="1:14" x14ac:dyDescent="0.25">
      <c r="A130" s="42">
        <v>44379</v>
      </c>
      <c r="B130" s="40" t="s">
        <v>102</v>
      </c>
      <c r="C130" s="43">
        <v>49395</v>
      </c>
      <c r="D130" s="41"/>
      <c r="E130" s="41"/>
      <c r="F130" s="41"/>
      <c r="G130" s="41"/>
      <c r="H130" s="41"/>
      <c r="I130" s="68">
        <v>44285</v>
      </c>
      <c r="J130" s="43"/>
      <c r="K130" s="70">
        <v>26790.19</v>
      </c>
      <c r="L130" s="41"/>
      <c r="M130" s="41"/>
      <c r="N130" s="41"/>
    </row>
    <row r="131" spans="1:14" x14ac:dyDescent="0.25">
      <c r="A131" s="42">
        <v>44432</v>
      </c>
      <c r="B131" s="40" t="s">
        <v>102</v>
      </c>
      <c r="C131" s="82">
        <v>26282</v>
      </c>
      <c r="D131" s="41"/>
      <c r="E131" s="41"/>
      <c r="F131" s="41"/>
      <c r="G131" s="41"/>
      <c r="H131" s="41"/>
      <c r="I131" s="42">
        <v>44316</v>
      </c>
      <c r="J131" s="43"/>
      <c r="K131" s="43">
        <v>24400.639999999999</v>
      </c>
      <c r="L131" s="41"/>
      <c r="M131" s="41"/>
      <c r="N131" s="41"/>
    </row>
    <row r="132" spans="1:14" x14ac:dyDescent="0.25">
      <c r="A132" s="42">
        <v>44468</v>
      </c>
      <c r="B132" s="40" t="s">
        <v>102</v>
      </c>
      <c r="C132" s="43">
        <v>6653</v>
      </c>
      <c r="D132" s="41"/>
      <c r="E132" s="41"/>
      <c r="F132" s="41"/>
      <c r="G132" s="41"/>
      <c r="H132" s="41"/>
      <c r="I132" s="42">
        <v>44347</v>
      </c>
      <c r="J132" s="41"/>
      <c r="K132" s="43">
        <v>23839.47</v>
      </c>
      <c r="L132" s="41"/>
      <c r="M132" s="41"/>
      <c r="N132" s="41"/>
    </row>
    <row r="133" spans="1:14" x14ac:dyDescent="0.25">
      <c r="A133" s="42">
        <v>44475</v>
      </c>
      <c r="B133" s="40" t="s">
        <v>102</v>
      </c>
      <c r="C133" s="82">
        <v>69166</v>
      </c>
      <c r="D133" s="41"/>
      <c r="E133" s="41"/>
      <c r="F133" s="41"/>
      <c r="G133" s="41"/>
      <c r="H133" s="41"/>
      <c r="I133" s="42">
        <v>44369</v>
      </c>
      <c r="J133" s="41"/>
      <c r="K133" s="43">
        <v>16537.82</v>
      </c>
      <c r="L133" s="41"/>
      <c r="M133" s="41"/>
      <c r="N133" s="41"/>
    </row>
    <row r="134" spans="1:14" x14ac:dyDescent="0.25">
      <c r="A134" s="68">
        <v>44505</v>
      </c>
      <c r="B134" s="69" t="s">
        <v>112</v>
      </c>
      <c r="C134" s="70">
        <v>25000</v>
      </c>
      <c r="D134" s="41"/>
      <c r="E134" s="41"/>
      <c r="F134" s="41"/>
      <c r="G134" s="41"/>
      <c r="H134" s="41"/>
      <c r="I134" s="42">
        <v>44407</v>
      </c>
      <c r="J134" s="41"/>
      <c r="K134" s="43">
        <v>16135.68</v>
      </c>
      <c r="L134" s="41"/>
      <c r="M134" s="41"/>
      <c r="N134" s="41"/>
    </row>
    <row r="135" spans="1:14" x14ac:dyDescent="0.25">
      <c r="A135" s="42">
        <v>44533</v>
      </c>
      <c r="B135" s="40" t="s">
        <v>103</v>
      </c>
      <c r="C135" s="43">
        <v>30000</v>
      </c>
      <c r="D135" s="41"/>
      <c r="E135" s="41"/>
      <c r="F135" s="41"/>
      <c r="G135" s="41"/>
      <c r="H135" s="41"/>
      <c r="I135" s="42">
        <v>44411</v>
      </c>
      <c r="J135" s="41"/>
      <c r="K135" s="43">
        <v>32835</v>
      </c>
      <c r="L135" s="40" t="s">
        <v>113</v>
      </c>
      <c r="M135" s="41"/>
      <c r="N135" s="41"/>
    </row>
    <row r="136" spans="1:14" x14ac:dyDescent="0.25">
      <c r="A136" s="41"/>
      <c r="B136" s="41"/>
      <c r="C136" s="41"/>
      <c r="D136" s="41"/>
      <c r="E136" s="41"/>
      <c r="F136" s="41"/>
      <c r="G136" s="41"/>
      <c r="H136" s="41"/>
      <c r="I136" s="42">
        <v>44439</v>
      </c>
      <c r="J136" s="41"/>
      <c r="K136" s="43">
        <v>10626.36</v>
      </c>
      <c r="L136" s="41"/>
      <c r="M136" s="41"/>
      <c r="N136" s="41"/>
    </row>
    <row r="137" spans="1:14" x14ac:dyDescent="0.25">
      <c r="A137" s="41"/>
      <c r="B137" s="41"/>
      <c r="C137" s="75">
        <f>SUM(C124:C136)</f>
        <v>397148</v>
      </c>
      <c r="D137" s="41"/>
      <c r="E137" s="41"/>
      <c r="F137" s="41"/>
      <c r="G137" s="41"/>
      <c r="H137" s="41"/>
      <c r="I137" s="42">
        <v>44474</v>
      </c>
      <c r="J137" s="41"/>
      <c r="K137" s="43">
        <v>8187.36</v>
      </c>
      <c r="L137" s="41"/>
      <c r="M137" s="41"/>
      <c r="N137" s="41"/>
    </row>
    <row r="138" spans="1:14" x14ac:dyDescent="0.25">
      <c r="A138" s="41"/>
      <c r="B138" s="41"/>
      <c r="C138" s="41"/>
      <c r="D138" s="41"/>
      <c r="E138" s="41"/>
      <c r="F138" s="41"/>
      <c r="G138" s="41"/>
      <c r="H138" s="41"/>
      <c r="I138" s="42">
        <v>44495</v>
      </c>
      <c r="J138" s="40"/>
      <c r="K138" s="43">
        <v>17070</v>
      </c>
      <c r="L138" s="40" t="s">
        <v>114</v>
      </c>
      <c r="M138" s="41"/>
      <c r="N138" s="41"/>
    </row>
    <row r="139" spans="1:14" x14ac:dyDescent="0.25">
      <c r="A139" s="41"/>
      <c r="B139" s="41"/>
      <c r="C139" s="77"/>
      <c r="D139" s="41"/>
      <c r="E139" s="41"/>
      <c r="F139" s="41"/>
      <c r="G139" s="41"/>
      <c r="H139" s="41"/>
      <c r="I139" s="42">
        <v>44516</v>
      </c>
      <c r="J139" s="40"/>
      <c r="K139" s="43">
        <v>7979.35</v>
      </c>
      <c r="L139" s="41"/>
      <c r="M139" s="41"/>
      <c r="N139" s="41"/>
    </row>
    <row r="140" spans="1:14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1:14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83">
        <f>SUM(K124:K140)</f>
        <v>288123.36</v>
      </c>
      <c r="L141" s="41"/>
      <c r="M141" s="41"/>
      <c r="N141" s="41"/>
    </row>
    <row r="142" spans="1:14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  <row r="143" spans="1:14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</row>
    <row r="144" spans="1:14" x14ac:dyDescent="0.25">
      <c r="A144" s="62"/>
      <c r="B144" s="62"/>
      <c r="C144" s="62"/>
      <c r="D144" s="62"/>
      <c r="E144" s="62"/>
      <c r="F144" s="62"/>
      <c r="G144" s="62"/>
      <c r="H144" s="62"/>
      <c r="I144" s="62"/>
      <c r="J144" s="78"/>
      <c r="K144" s="62"/>
      <c r="L144" s="62"/>
      <c r="M144" s="62"/>
      <c r="N144" s="41"/>
    </row>
    <row r="145" spans="1:14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</row>
    <row r="146" spans="1:14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</row>
    <row r="147" spans="1:14" x14ac:dyDescent="0.25">
      <c r="A147" s="198" t="s">
        <v>115</v>
      </c>
      <c r="B147" s="198"/>
      <c r="C147" s="198"/>
      <c r="D147" s="40"/>
      <c r="E147" s="199" t="s">
        <v>116</v>
      </c>
      <c r="F147" s="199"/>
      <c r="G147" s="199"/>
      <c r="H147" s="40"/>
      <c r="I147" s="200" t="s">
        <v>117</v>
      </c>
      <c r="J147" s="200"/>
      <c r="K147" s="200"/>
      <c r="L147" s="41"/>
      <c r="M147" s="41"/>
      <c r="N147" s="41"/>
    </row>
    <row r="148" spans="1:14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</row>
    <row r="149" spans="1:14" x14ac:dyDescent="0.25">
      <c r="A149" s="42">
        <v>44579</v>
      </c>
      <c r="B149" s="41"/>
      <c r="C149" s="43">
        <v>27470</v>
      </c>
      <c r="D149" s="41"/>
      <c r="E149" s="42">
        <v>44564</v>
      </c>
      <c r="F149" s="41"/>
      <c r="G149" s="43">
        <v>1451.41</v>
      </c>
      <c r="H149" s="41"/>
      <c r="I149" s="42">
        <v>44564</v>
      </c>
      <c r="J149" s="40" t="s">
        <v>83</v>
      </c>
      <c r="K149" s="43">
        <v>666.66</v>
      </c>
      <c r="L149" s="41"/>
      <c r="M149" s="41"/>
      <c r="N149" s="41"/>
    </row>
    <row r="150" spans="1:14" x14ac:dyDescent="0.25">
      <c r="A150" s="42">
        <v>44614</v>
      </c>
      <c r="B150" s="41"/>
      <c r="C150" s="43">
        <v>29759.17</v>
      </c>
      <c r="D150" s="41"/>
      <c r="E150" s="42">
        <v>44586</v>
      </c>
      <c r="F150" s="41"/>
      <c r="G150" s="43">
        <v>1094.3900000000001</v>
      </c>
      <c r="H150" s="41"/>
      <c r="I150" s="42">
        <v>44586</v>
      </c>
      <c r="J150" s="40" t="s">
        <v>118</v>
      </c>
      <c r="K150" s="43">
        <v>10000</v>
      </c>
      <c r="L150" s="41"/>
      <c r="M150" s="41"/>
      <c r="N150" s="41"/>
    </row>
    <row r="151" spans="1:14" x14ac:dyDescent="0.25">
      <c r="A151" s="42">
        <v>44643</v>
      </c>
      <c r="B151" s="41"/>
      <c r="C151" s="43">
        <v>29759.17</v>
      </c>
      <c r="D151" s="41"/>
      <c r="E151" s="42">
        <v>44593</v>
      </c>
      <c r="F151" s="41"/>
      <c r="G151" s="43">
        <v>938.3</v>
      </c>
      <c r="H151" s="41"/>
      <c r="I151" s="42">
        <v>44595</v>
      </c>
      <c r="J151" s="40" t="s">
        <v>83</v>
      </c>
      <c r="K151" s="43">
        <v>666.66</v>
      </c>
      <c r="L151" s="41"/>
      <c r="M151" s="41"/>
      <c r="N151" s="41"/>
    </row>
    <row r="152" spans="1:14" x14ac:dyDescent="0.25">
      <c r="A152" s="42">
        <v>44684</v>
      </c>
      <c r="B152" s="41"/>
      <c r="C152" s="43">
        <v>29759.17</v>
      </c>
      <c r="D152" s="41"/>
      <c r="E152" s="42">
        <v>44614</v>
      </c>
      <c r="F152" s="41"/>
      <c r="G152" s="43">
        <v>6446.29</v>
      </c>
      <c r="H152" s="41"/>
      <c r="I152" s="42">
        <v>44628</v>
      </c>
      <c r="J152" s="40" t="s">
        <v>83</v>
      </c>
      <c r="K152" s="43">
        <v>666.66</v>
      </c>
      <c r="L152" s="41"/>
      <c r="M152" s="41"/>
      <c r="N152" s="41"/>
    </row>
    <row r="153" spans="1:14" x14ac:dyDescent="0.25">
      <c r="A153" s="42">
        <v>44714</v>
      </c>
      <c r="B153" s="40" t="s">
        <v>38</v>
      </c>
      <c r="C153" s="43">
        <v>29127.4</v>
      </c>
      <c r="D153" s="41"/>
      <c r="E153" s="42">
        <v>44643</v>
      </c>
      <c r="F153" s="41"/>
      <c r="G153" s="43">
        <v>6446.29</v>
      </c>
      <c r="H153" s="41"/>
      <c r="I153" s="68">
        <v>44656</v>
      </c>
      <c r="J153" s="69" t="s">
        <v>119</v>
      </c>
      <c r="K153" s="70">
        <v>4640</v>
      </c>
      <c r="L153" s="41"/>
      <c r="M153" s="84" t="s">
        <v>120</v>
      </c>
      <c r="N153" s="84" t="s">
        <v>121</v>
      </c>
    </row>
    <row r="154" spans="1:14" x14ac:dyDescent="0.25">
      <c r="A154" s="42">
        <v>44733</v>
      </c>
      <c r="B154" s="41"/>
      <c r="C154" s="43">
        <v>24859.59</v>
      </c>
      <c r="D154" s="41"/>
      <c r="E154" s="42">
        <v>44684</v>
      </c>
      <c r="F154" s="41"/>
      <c r="G154" s="43">
        <v>6446.29</v>
      </c>
      <c r="H154" s="41"/>
      <c r="I154" s="42">
        <v>44657</v>
      </c>
      <c r="J154" s="40" t="s">
        <v>83</v>
      </c>
      <c r="K154" s="43">
        <v>666.66</v>
      </c>
      <c r="L154" s="41"/>
      <c r="M154" s="84"/>
      <c r="N154" s="84"/>
    </row>
    <row r="155" spans="1:14" x14ac:dyDescent="0.25">
      <c r="A155" s="40"/>
      <c r="B155" s="41"/>
      <c r="C155" s="43"/>
      <c r="D155" s="41"/>
      <c r="E155" s="42">
        <v>44714</v>
      </c>
      <c r="F155" s="41"/>
      <c r="G155" s="43">
        <v>606.97</v>
      </c>
      <c r="H155" s="41"/>
      <c r="I155" s="42">
        <v>44670</v>
      </c>
      <c r="J155" s="40" t="s">
        <v>122</v>
      </c>
      <c r="K155" s="43">
        <v>26320</v>
      </c>
      <c r="L155" s="41"/>
      <c r="M155" s="84" t="s">
        <v>123</v>
      </c>
      <c r="N155" s="84" t="s">
        <v>121</v>
      </c>
    </row>
    <row r="156" spans="1:14" x14ac:dyDescent="0.25">
      <c r="A156" s="40"/>
      <c r="B156" s="41"/>
      <c r="C156" s="43"/>
      <c r="D156" s="41"/>
      <c r="E156" s="42">
        <v>44733</v>
      </c>
      <c r="F156" s="40" t="s">
        <v>38</v>
      </c>
      <c r="G156" s="43">
        <v>5519.29</v>
      </c>
      <c r="H156" s="41"/>
      <c r="I156" s="42">
        <v>44686</v>
      </c>
      <c r="J156" s="40" t="s">
        <v>83</v>
      </c>
      <c r="K156" s="43">
        <v>666.66</v>
      </c>
      <c r="L156" s="41"/>
      <c r="M156" s="41"/>
      <c r="N156" s="41"/>
    </row>
    <row r="157" spans="1:14" x14ac:dyDescent="0.25">
      <c r="A157" s="40"/>
      <c r="B157" s="41"/>
      <c r="C157" s="43"/>
      <c r="D157" s="41"/>
      <c r="E157" s="42">
        <v>44733</v>
      </c>
      <c r="F157" s="41"/>
      <c r="G157" s="43">
        <v>6446.29</v>
      </c>
      <c r="H157" s="41"/>
      <c r="I157" s="85">
        <v>44705</v>
      </c>
      <c r="J157" s="86" t="s">
        <v>124</v>
      </c>
      <c r="K157" s="87">
        <v>7539.6</v>
      </c>
      <c r="L157" s="41"/>
      <c r="M157" s="41"/>
      <c r="N157" s="41"/>
    </row>
    <row r="158" spans="1:14" x14ac:dyDescent="0.25">
      <c r="A158" s="40"/>
      <c r="B158" s="41"/>
      <c r="C158" s="43"/>
      <c r="D158" s="41"/>
      <c r="E158" s="40"/>
      <c r="F158" s="41"/>
      <c r="G158" s="43"/>
      <c r="H158" s="41"/>
      <c r="I158" s="42">
        <v>44719</v>
      </c>
      <c r="J158" s="40" t="s">
        <v>125</v>
      </c>
      <c r="K158" s="43">
        <v>1333.32</v>
      </c>
      <c r="L158" s="41"/>
      <c r="M158" s="41"/>
      <c r="N158" s="41"/>
    </row>
    <row r="159" spans="1:14" x14ac:dyDescent="0.25">
      <c r="A159" s="40"/>
      <c r="B159" s="41"/>
      <c r="C159" s="43"/>
      <c r="D159" s="41"/>
      <c r="E159" s="40"/>
      <c r="F159" s="41"/>
      <c r="G159" s="43"/>
      <c r="H159" s="41"/>
      <c r="I159" s="42">
        <v>44743</v>
      </c>
      <c r="J159" s="40" t="s">
        <v>126</v>
      </c>
      <c r="K159" s="43">
        <v>35000</v>
      </c>
      <c r="L159" s="41"/>
      <c r="M159" s="41"/>
      <c r="N159" s="41"/>
    </row>
    <row r="160" spans="1:14" x14ac:dyDescent="0.25">
      <c r="A160" s="40"/>
      <c r="B160" s="41"/>
      <c r="C160" s="43"/>
      <c r="D160" s="41"/>
      <c r="E160" s="40"/>
      <c r="F160" s="41"/>
      <c r="G160" s="43"/>
      <c r="H160" s="41"/>
      <c r="I160" s="40"/>
      <c r="J160" s="40"/>
      <c r="K160" s="43"/>
      <c r="L160" s="41"/>
      <c r="M160" s="41"/>
      <c r="N160" s="41"/>
    </row>
    <row r="161" spans="1:14" x14ac:dyDescent="0.25">
      <c r="A161" s="40"/>
      <c r="B161" s="41"/>
      <c r="C161" s="43"/>
      <c r="D161" s="41"/>
      <c r="E161" s="40"/>
      <c r="F161" s="41"/>
      <c r="G161" s="43"/>
      <c r="H161" s="41"/>
      <c r="I161" s="40"/>
      <c r="J161" s="40"/>
      <c r="K161" s="43"/>
      <c r="L161" s="41"/>
      <c r="M161" s="41"/>
      <c r="N161" s="41"/>
    </row>
    <row r="162" spans="1:14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</row>
    <row r="163" spans="1:14" x14ac:dyDescent="0.25">
      <c r="A163" s="190" t="s">
        <v>127</v>
      </c>
      <c r="B163" s="191"/>
      <c r="C163" s="191"/>
      <c r="D163" s="41"/>
      <c r="E163" s="41"/>
      <c r="F163" s="41"/>
      <c r="G163" s="41"/>
      <c r="H163" s="41"/>
      <c r="I163" s="192" t="s">
        <v>128</v>
      </c>
      <c r="J163" s="193"/>
      <c r="K163" s="193"/>
      <c r="L163" s="41"/>
      <c r="M163" s="41"/>
      <c r="N163" s="41"/>
    </row>
    <row r="164" spans="1:14" x14ac:dyDescent="0.25">
      <c r="A164" s="42">
        <v>44694</v>
      </c>
      <c r="B164" s="40" t="s">
        <v>129</v>
      </c>
      <c r="C164" s="43">
        <v>34690.550000000003</v>
      </c>
      <c r="D164" s="41"/>
      <c r="E164" s="41"/>
      <c r="F164" s="41"/>
      <c r="G164" s="41"/>
      <c r="H164" s="41"/>
      <c r="I164" s="42">
        <v>44621</v>
      </c>
      <c r="J164" s="61">
        <v>44562</v>
      </c>
      <c r="K164" s="43">
        <v>8731.11</v>
      </c>
      <c r="L164" s="41"/>
      <c r="M164" s="41"/>
      <c r="N164" s="41"/>
    </row>
    <row r="165" spans="1:14" x14ac:dyDescent="0.25">
      <c r="A165" s="42">
        <v>44694</v>
      </c>
      <c r="B165" s="40" t="s">
        <v>130</v>
      </c>
      <c r="C165" s="43">
        <v>25000</v>
      </c>
      <c r="D165" s="41"/>
      <c r="E165" s="41"/>
      <c r="F165" s="41"/>
      <c r="G165" s="41"/>
      <c r="H165" s="41"/>
      <c r="I165" s="42">
        <v>44649</v>
      </c>
      <c r="J165" s="61">
        <v>44593</v>
      </c>
      <c r="K165" s="43">
        <v>8658.3799999999992</v>
      </c>
      <c r="L165" s="41"/>
      <c r="M165" s="41"/>
      <c r="N165" s="41"/>
    </row>
    <row r="166" spans="1:14" x14ac:dyDescent="0.25">
      <c r="A166" s="42">
        <v>44697</v>
      </c>
      <c r="B166" s="40" t="s">
        <v>131</v>
      </c>
      <c r="C166" s="43">
        <v>3718</v>
      </c>
      <c r="D166" s="41"/>
      <c r="E166" s="41"/>
      <c r="F166" s="41"/>
      <c r="G166" s="41"/>
      <c r="H166" s="41"/>
      <c r="I166" s="42">
        <v>44680</v>
      </c>
      <c r="J166" s="61">
        <v>44621</v>
      </c>
      <c r="K166" s="43">
        <v>6015.05</v>
      </c>
      <c r="L166" s="41"/>
      <c r="M166" s="41"/>
      <c r="N166" s="41"/>
    </row>
    <row r="167" spans="1:14" x14ac:dyDescent="0.25">
      <c r="A167" s="41"/>
      <c r="B167" s="41"/>
      <c r="C167" s="60"/>
      <c r="D167" s="41"/>
      <c r="E167" s="41"/>
      <c r="F167" s="41"/>
      <c r="G167" s="41"/>
      <c r="H167" s="41"/>
      <c r="I167" s="40"/>
      <c r="J167" s="41"/>
      <c r="K167" s="43"/>
      <c r="L167" s="41"/>
      <c r="M167" s="41"/>
      <c r="N167" s="41"/>
    </row>
    <row r="168" spans="1:14" x14ac:dyDescent="0.25">
      <c r="A168" s="41"/>
      <c r="B168" s="41"/>
      <c r="C168" s="41"/>
      <c r="D168" s="41"/>
      <c r="E168" s="41"/>
      <c r="F168" s="41"/>
      <c r="G168" s="41"/>
      <c r="H168" s="41"/>
      <c r="I168" s="40"/>
      <c r="J168" s="41"/>
      <c r="K168" s="43"/>
      <c r="L168" s="41"/>
      <c r="M168" s="41"/>
      <c r="N168" s="41"/>
    </row>
    <row r="169" spans="1:14" x14ac:dyDescent="0.25">
      <c r="A169" s="41"/>
      <c r="B169" s="41"/>
      <c r="C169" s="41"/>
      <c r="D169" s="41"/>
      <c r="E169" s="41"/>
      <c r="F169" s="41"/>
      <c r="G169" s="41"/>
      <c r="H169" s="41"/>
      <c r="I169" s="40"/>
      <c r="J169" s="41"/>
      <c r="K169" s="43"/>
      <c r="L169" s="41"/>
      <c r="M169" s="41"/>
      <c r="N169" s="41"/>
    </row>
    <row r="170" spans="1:14" x14ac:dyDescent="0.25">
      <c r="A170" s="41"/>
      <c r="B170" s="41"/>
      <c r="C170" s="41"/>
      <c r="D170" s="41"/>
      <c r="E170" s="41"/>
      <c r="F170" s="41"/>
      <c r="G170" s="41"/>
      <c r="H170" s="41"/>
      <c r="I170" s="40"/>
      <c r="J170" s="41"/>
      <c r="K170" s="43"/>
      <c r="L170" s="41"/>
      <c r="M170" s="41"/>
      <c r="N170" s="41"/>
    </row>
    <row r="171" spans="1:14" x14ac:dyDescent="0.25">
      <c r="A171" s="41"/>
      <c r="B171" s="41"/>
      <c r="C171" s="41"/>
      <c r="D171" s="41"/>
      <c r="E171" s="41"/>
      <c r="F171" s="41"/>
      <c r="G171" s="41"/>
      <c r="H171" s="41"/>
      <c r="I171" s="40"/>
      <c r="J171" s="41"/>
      <c r="K171" s="43"/>
      <c r="L171" s="41"/>
      <c r="M171" s="41"/>
      <c r="N171" s="41"/>
    </row>
  </sheetData>
  <mergeCells count="22">
    <mergeCell ref="B97:B98"/>
    <mergeCell ref="F98:F99"/>
    <mergeCell ref="A1:C1"/>
    <mergeCell ref="E1:G1"/>
    <mergeCell ref="I1:K1"/>
    <mergeCell ref="A50:C50"/>
    <mergeCell ref="E50:G50"/>
    <mergeCell ref="I50:K50"/>
    <mergeCell ref="I61:J61"/>
    <mergeCell ref="A75:C75"/>
    <mergeCell ref="A94:C94"/>
    <mergeCell ref="E94:G94"/>
    <mergeCell ref="I94:K94"/>
    <mergeCell ref="A163:C163"/>
    <mergeCell ref="I163:K163"/>
    <mergeCell ref="B101:B102"/>
    <mergeCell ref="A122:C122"/>
    <mergeCell ref="I122:K122"/>
    <mergeCell ref="J127:J128"/>
    <mergeCell ref="A147:C147"/>
    <mergeCell ref="E147:G147"/>
    <mergeCell ref="I147:K1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5"/>
  <sheetViews>
    <sheetView workbookViewId="0">
      <selection activeCell="N26" sqref="N26"/>
    </sheetView>
  </sheetViews>
  <sheetFormatPr baseColWidth="10" defaultRowHeight="15" x14ac:dyDescent="0.25"/>
  <sheetData>
    <row r="2" spans="1:12" x14ac:dyDescent="0.25">
      <c r="A2" s="88"/>
      <c r="B2" s="88"/>
      <c r="C2" s="88"/>
      <c r="D2" s="88"/>
      <c r="E2" s="88"/>
      <c r="F2" s="88"/>
      <c r="G2" s="88"/>
      <c r="H2" s="88"/>
      <c r="I2" s="88"/>
      <c r="J2" s="89"/>
      <c r="K2" s="88"/>
      <c r="L2" s="88"/>
    </row>
    <row r="3" spans="1:12" x14ac:dyDescent="0.25">
      <c r="A3" s="216" t="s">
        <v>71</v>
      </c>
      <c r="B3" s="216"/>
      <c r="C3" s="216"/>
      <c r="D3" s="90"/>
      <c r="E3" s="217" t="s">
        <v>72</v>
      </c>
      <c r="F3" s="217"/>
      <c r="G3" s="217"/>
      <c r="H3" s="90"/>
      <c r="I3" s="218" t="s">
        <v>73</v>
      </c>
      <c r="J3" s="218"/>
      <c r="K3" s="218"/>
      <c r="L3" s="88"/>
    </row>
    <row r="4" spans="1:12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2" x14ac:dyDescent="0.25">
      <c r="A5" s="91" t="s">
        <v>74</v>
      </c>
      <c r="B5" s="88"/>
      <c r="C5" s="92">
        <v>26615</v>
      </c>
      <c r="D5" s="88"/>
      <c r="E5" s="91">
        <v>44214</v>
      </c>
      <c r="F5" s="90"/>
      <c r="G5" s="92">
        <v>5766.58</v>
      </c>
      <c r="H5" s="88"/>
      <c r="I5" s="91">
        <v>44214</v>
      </c>
      <c r="J5" s="90" t="s">
        <v>75</v>
      </c>
      <c r="K5" s="92">
        <v>1999.98</v>
      </c>
      <c r="L5" s="88"/>
    </row>
    <row r="6" spans="1:12" x14ac:dyDescent="0.25">
      <c r="A6" s="90" t="s">
        <v>76</v>
      </c>
      <c r="B6" s="207" t="s">
        <v>77</v>
      </c>
      <c r="C6" s="92">
        <v>-3069.95</v>
      </c>
      <c r="D6" s="88"/>
      <c r="E6" s="91" t="s">
        <v>78</v>
      </c>
      <c r="F6" s="90"/>
      <c r="G6" s="92">
        <v>5766.58</v>
      </c>
      <c r="H6" s="88"/>
      <c r="I6" s="91">
        <v>44263</v>
      </c>
      <c r="J6" s="90" t="s">
        <v>79</v>
      </c>
      <c r="K6" s="92">
        <v>666.66</v>
      </c>
      <c r="L6" s="88"/>
    </row>
    <row r="7" spans="1:12" x14ac:dyDescent="0.25">
      <c r="A7" s="90" t="s">
        <v>76</v>
      </c>
      <c r="B7" s="207"/>
      <c r="C7" s="92">
        <v>-23545.05</v>
      </c>
      <c r="D7" s="88"/>
      <c r="E7" s="91" t="s">
        <v>80</v>
      </c>
      <c r="F7" s="207" t="s">
        <v>81</v>
      </c>
      <c r="G7" s="92">
        <v>-665.16</v>
      </c>
      <c r="H7" s="88"/>
      <c r="I7" s="93">
        <v>44264</v>
      </c>
      <c r="J7" s="94" t="s">
        <v>82</v>
      </c>
      <c r="K7" s="95">
        <v>24800</v>
      </c>
      <c r="L7" s="88"/>
    </row>
    <row r="8" spans="1:12" x14ac:dyDescent="0.25">
      <c r="A8" s="91">
        <v>44257</v>
      </c>
      <c r="B8" s="90"/>
      <c r="C8" s="92">
        <v>3065.59</v>
      </c>
      <c r="D8" s="88"/>
      <c r="E8" s="90" t="s">
        <v>80</v>
      </c>
      <c r="F8" s="207"/>
      <c r="G8" s="92">
        <v>-5101.42</v>
      </c>
      <c r="H8" s="88"/>
      <c r="I8" s="91">
        <v>44294</v>
      </c>
      <c r="J8" s="90" t="s">
        <v>83</v>
      </c>
      <c r="K8" s="92">
        <v>666.66</v>
      </c>
      <c r="L8" s="88"/>
    </row>
    <row r="9" spans="1:12" x14ac:dyDescent="0.25">
      <c r="A9" s="91">
        <v>44257</v>
      </c>
      <c r="B9" s="90"/>
      <c r="C9" s="92">
        <v>26615</v>
      </c>
      <c r="D9" s="88"/>
      <c r="E9" s="91">
        <v>44278</v>
      </c>
      <c r="F9" s="90"/>
      <c r="G9" s="92">
        <v>5766.58</v>
      </c>
      <c r="H9" s="88"/>
      <c r="I9" s="91">
        <v>44309</v>
      </c>
      <c r="J9" s="90" t="s">
        <v>64</v>
      </c>
      <c r="K9" s="92">
        <v>32000</v>
      </c>
      <c r="L9" s="88"/>
    </row>
    <row r="10" spans="1:12" x14ac:dyDescent="0.25">
      <c r="A10" s="90" t="s">
        <v>84</v>
      </c>
      <c r="B10" s="207" t="s">
        <v>77</v>
      </c>
      <c r="C10" s="92">
        <v>-2716.35</v>
      </c>
      <c r="D10" s="88"/>
      <c r="E10" s="91">
        <v>44313</v>
      </c>
      <c r="F10" s="90"/>
      <c r="G10" s="92">
        <v>5766.58</v>
      </c>
      <c r="H10" s="88"/>
      <c r="I10" s="91">
        <v>44320</v>
      </c>
      <c r="J10" s="90" t="s">
        <v>83</v>
      </c>
      <c r="K10" s="92">
        <v>666.66</v>
      </c>
      <c r="L10" s="88"/>
    </row>
    <row r="11" spans="1:12" x14ac:dyDescent="0.25">
      <c r="A11" s="90" t="s">
        <v>84</v>
      </c>
      <c r="B11" s="207"/>
      <c r="C11" s="92">
        <v>-20833.060000000001</v>
      </c>
      <c r="D11" s="88"/>
      <c r="E11" s="91">
        <v>44369</v>
      </c>
      <c r="F11" s="90"/>
      <c r="G11" s="92">
        <v>3162.02</v>
      </c>
      <c r="H11" s="88"/>
      <c r="I11" s="91">
        <v>44350</v>
      </c>
      <c r="J11" s="90" t="s">
        <v>83</v>
      </c>
      <c r="K11" s="90">
        <v>666.66</v>
      </c>
      <c r="L11" s="88"/>
    </row>
    <row r="12" spans="1:12" x14ac:dyDescent="0.25">
      <c r="A12" s="91">
        <v>44257</v>
      </c>
      <c r="B12" s="90" t="s">
        <v>85</v>
      </c>
      <c r="C12" s="92">
        <v>3065.59</v>
      </c>
      <c r="D12" s="88"/>
      <c r="E12" s="91">
        <v>44398</v>
      </c>
      <c r="F12" s="90"/>
      <c r="G12" s="92">
        <v>5823.46</v>
      </c>
      <c r="H12" s="88"/>
      <c r="I12" s="91">
        <v>44384</v>
      </c>
      <c r="J12" s="90" t="s">
        <v>83</v>
      </c>
      <c r="K12" s="92">
        <v>666.66</v>
      </c>
      <c r="L12" s="88"/>
    </row>
    <row r="13" spans="1:12" x14ac:dyDescent="0.25">
      <c r="A13" s="91">
        <v>44278</v>
      </c>
      <c r="B13" s="88"/>
      <c r="C13" s="92">
        <v>26615</v>
      </c>
      <c r="D13" s="88"/>
      <c r="E13" s="91">
        <v>44432</v>
      </c>
      <c r="F13" s="90" t="s">
        <v>86</v>
      </c>
      <c r="G13" s="92">
        <v>7397.71</v>
      </c>
      <c r="H13" s="88"/>
      <c r="I13" s="91">
        <v>44390</v>
      </c>
      <c r="J13" s="90" t="s">
        <v>87</v>
      </c>
      <c r="K13" s="92">
        <v>26320</v>
      </c>
      <c r="L13" s="88" t="s">
        <v>88</v>
      </c>
    </row>
    <row r="14" spans="1:12" x14ac:dyDescent="0.25">
      <c r="A14" s="91">
        <v>44313</v>
      </c>
      <c r="B14" s="90"/>
      <c r="C14" s="92">
        <v>26615</v>
      </c>
      <c r="D14" s="88"/>
      <c r="E14" s="91">
        <v>44460</v>
      </c>
      <c r="F14" s="90"/>
      <c r="G14" s="92">
        <v>5823.46</v>
      </c>
      <c r="H14" s="88"/>
      <c r="I14" s="91">
        <v>44411</v>
      </c>
      <c r="J14" s="90" t="s">
        <v>83</v>
      </c>
      <c r="K14" s="90">
        <v>666.66</v>
      </c>
      <c r="L14" s="88"/>
    </row>
    <row r="15" spans="1:12" x14ac:dyDescent="0.25">
      <c r="A15" s="91">
        <v>44369</v>
      </c>
      <c r="B15" s="88"/>
      <c r="C15" s="92">
        <v>1039.29</v>
      </c>
      <c r="D15" s="88"/>
      <c r="E15" s="91">
        <v>44490</v>
      </c>
      <c r="F15" s="90" t="s">
        <v>38</v>
      </c>
      <c r="G15" s="92">
        <v>3459.95</v>
      </c>
      <c r="H15" s="88"/>
      <c r="I15" s="91">
        <v>44446</v>
      </c>
      <c r="J15" s="90" t="s">
        <v>83</v>
      </c>
      <c r="K15" s="90">
        <v>666.66</v>
      </c>
      <c r="L15" s="88"/>
    </row>
    <row r="16" spans="1:12" x14ac:dyDescent="0.25">
      <c r="A16" s="91">
        <v>44398</v>
      </c>
      <c r="B16" s="88"/>
      <c r="C16" s="92">
        <v>26877.5</v>
      </c>
      <c r="D16" s="88"/>
      <c r="E16" s="91">
        <v>44495</v>
      </c>
      <c r="F16" s="90"/>
      <c r="G16" s="90">
        <v>5823.46</v>
      </c>
      <c r="H16" s="88"/>
      <c r="I16" s="91">
        <v>44475</v>
      </c>
      <c r="J16" s="90" t="s">
        <v>89</v>
      </c>
      <c r="K16" s="92">
        <v>20000</v>
      </c>
      <c r="L16" s="88"/>
    </row>
    <row r="17" spans="1:12" x14ac:dyDescent="0.25">
      <c r="A17" s="91">
        <v>44404</v>
      </c>
      <c r="B17" s="90" t="s">
        <v>90</v>
      </c>
      <c r="C17" s="92">
        <v>22888.9</v>
      </c>
      <c r="D17" s="88"/>
      <c r="E17" s="91">
        <v>44537</v>
      </c>
      <c r="F17" s="88"/>
      <c r="G17" s="92">
        <v>7390.57</v>
      </c>
      <c r="H17" s="88"/>
      <c r="I17" s="91">
        <v>44488</v>
      </c>
      <c r="J17" s="90" t="s">
        <v>91</v>
      </c>
      <c r="K17" s="92">
        <v>14100</v>
      </c>
      <c r="L17" s="88"/>
    </row>
    <row r="18" spans="1:12" x14ac:dyDescent="0.25">
      <c r="A18" s="91">
        <v>44460</v>
      </c>
      <c r="B18" s="90"/>
      <c r="C18" s="92">
        <v>10290.25</v>
      </c>
      <c r="D18" s="88"/>
      <c r="E18" s="91">
        <v>44551</v>
      </c>
      <c r="F18" s="90" t="s">
        <v>92</v>
      </c>
      <c r="G18" s="92">
        <v>5823.44</v>
      </c>
      <c r="H18" s="88"/>
      <c r="I18" s="91">
        <v>44512</v>
      </c>
      <c r="J18" s="90" t="s">
        <v>93</v>
      </c>
      <c r="K18" s="92">
        <v>50000</v>
      </c>
      <c r="L18" s="88" t="s">
        <v>132</v>
      </c>
    </row>
    <row r="19" spans="1:12" x14ac:dyDescent="0.25">
      <c r="A19" s="91">
        <v>44495</v>
      </c>
      <c r="B19" s="90"/>
      <c r="C19" s="92">
        <v>26877.5</v>
      </c>
      <c r="D19" s="88"/>
      <c r="E19" s="88"/>
      <c r="F19" s="88"/>
      <c r="G19" s="96"/>
      <c r="H19" s="88"/>
      <c r="I19" s="91">
        <v>44519</v>
      </c>
      <c r="J19" s="90" t="s">
        <v>83</v>
      </c>
      <c r="K19" s="92">
        <v>1333.32</v>
      </c>
      <c r="L19" s="88"/>
    </row>
    <row r="20" spans="1:12" x14ac:dyDescent="0.25">
      <c r="A20" s="91">
        <v>44551</v>
      </c>
      <c r="B20" s="88"/>
      <c r="C20" s="92">
        <v>22427.08</v>
      </c>
      <c r="D20" s="88"/>
      <c r="E20" s="88"/>
      <c r="F20" s="88"/>
      <c r="G20" s="97">
        <f>SUM(G5:G19)</f>
        <v>62003.81</v>
      </c>
      <c r="H20" s="88"/>
      <c r="I20" s="91">
        <v>44537</v>
      </c>
      <c r="J20" s="90" t="s">
        <v>83</v>
      </c>
      <c r="K20" s="92">
        <v>666.66</v>
      </c>
      <c r="L20" s="88"/>
    </row>
    <row r="21" spans="1:12" x14ac:dyDescent="0.25">
      <c r="A21" s="88"/>
      <c r="B21" s="88"/>
      <c r="C21" s="88"/>
      <c r="D21" s="88"/>
      <c r="E21" s="88"/>
      <c r="F21" s="88"/>
      <c r="G21" s="88"/>
      <c r="H21" s="88"/>
      <c r="I21" s="91">
        <v>44537</v>
      </c>
      <c r="J21" s="90" t="s">
        <v>94</v>
      </c>
      <c r="K21" s="92">
        <v>12500</v>
      </c>
      <c r="L21" s="88"/>
    </row>
    <row r="22" spans="1:12" x14ac:dyDescent="0.25">
      <c r="A22" s="88"/>
      <c r="B22" s="88"/>
      <c r="C22" s="98">
        <f>SUM(C5:C21)</f>
        <v>172827.28999999998</v>
      </c>
      <c r="D22" s="88"/>
      <c r="E22" s="88"/>
      <c r="F22" s="88"/>
      <c r="G22" s="88"/>
      <c r="H22" s="88"/>
      <c r="I22" s="91"/>
      <c r="J22" s="90"/>
      <c r="K22" s="92"/>
      <c r="L22" s="88"/>
    </row>
    <row r="23" spans="1:12" x14ac:dyDescent="0.25">
      <c r="A23" s="88"/>
      <c r="B23" s="88"/>
      <c r="C23" s="99"/>
      <c r="D23" s="88"/>
      <c r="E23" s="88"/>
      <c r="F23" s="88"/>
      <c r="G23" s="88"/>
      <c r="H23" s="88"/>
      <c r="I23" s="91"/>
      <c r="J23" s="90"/>
      <c r="K23" s="100">
        <f>SUM(K5:K22)</f>
        <v>188386.58000000005</v>
      </c>
      <c r="L23" s="88"/>
    </row>
    <row r="24" spans="1:12" x14ac:dyDescent="0.25">
      <c r="A24" s="101" t="s">
        <v>95</v>
      </c>
      <c r="B24" s="101"/>
      <c r="C24" s="102"/>
      <c r="D24" s="101"/>
      <c r="E24" s="103" t="s">
        <v>96</v>
      </c>
      <c r="F24" s="88"/>
      <c r="G24" s="88"/>
      <c r="H24" s="88"/>
      <c r="I24" s="88"/>
      <c r="J24" s="88"/>
      <c r="K24" s="88"/>
      <c r="L24" s="88"/>
    </row>
    <row r="25" spans="1:12" x14ac:dyDescent="0.25">
      <c r="A25" s="104" t="s">
        <v>97</v>
      </c>
      <c r="B25" s="101"/>
      <c r="C25" s="102"/>
      <c r="D25" s="101"/>
      <c r="E25" s="103">
        <f>-3875.36-2568.1-1353.7</f>
        <v>-7797.16</v>
      </c>
      <c r="F25" s="88"/>
      <c r="G25" s="88"/>
      <c r="H25" s="88"/>
      <c r="I25" s="88"/>
      <c r="J25" s="88"/>
      <c r="K25" s="88"/>
      <c r="L25" s="88"/>
    </row>
    <row r="26" spans="1:12" x14ac:dyDescent="0.25">
      <c r="A26" s="101" t="s">
        <v>98</v>
      </c>
      <c r="B26" s="101"/>
      <c r="C26" s="102"/>
      <c r="D26" s="101"/>
      <c r="E26" s="101"/>
      <c r="F26" s="88"/>
      <c r="G26" s="88"/>
      <c r="H26" s="88"/>
      <c r="I26" s="88"/>
      <c r="J26" s="88"/>
      <c r="K26" s="88"/>
      <c r="L26" s="88"/>
    </row>
    <row r="27" spans="1:12" x14ac:dyDescent="0.25">
      <c r="A27" s="101" t="s">
        <v>99</v>
      </c>
      <c r="B27" s="101"/>
      <c r="C27" s="102"/>
      <c r="D27" s="101"/>
      <c r="E27" s="101"/>
      <c r="F27" s="88"/>
      <c r="G27" s="88"/>
      <c r="H27" s="88"/>
      <c r="I27" s="88"/>
      <c r="J27" s="88"/>
      <c r="K27" s="88"/>
      <c r="L27" s="88"/>
    </row>
    <row r="28" spans="1:12" x14ac:dyDescent="0.2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</row>
    <row r="29" spans="1:12" x14ac:dyDescent="0.25">
      <c r="A29" s="88"/>
      <c r="B29" s="88"/>
      <c r="C29" s="88"/>
      <c r="D29" s="88"/>
      <c r="E29" s="88"/>
      <c r="F29" s="88"/>
      <c r="G29" s="88"/>
      <c r="H29" s="88"/>
      <c r="I29" s="210" t="s">
        <v>101</v>
      </c>
      <c r="J29" s="211"/>
      <c r="K29" s="211"/>
      <c r="L29" s="88"/>
    </row>
    <row r="30" spans="1:12" x14ac:dyDescent="0.25">
      <c r="A30" s="88"/>
      <c r="B30" s="88"/>
      <c r="C30" s="88"/>
      <c r="D30" s="88"/>
      <c r="E30" s="88"/>
      <c r="F30" s="88"/>
      <c r="G30" s="88"/>
      <c r="H30" s="88"/>
      <c r="I30" s="91"/>
      <c r="J30" s="92"/>
      <c r="K30" s="88"/>
      <c r="L30" s="88"/>
    </row>
    <row r="31" spans="1:12" x14ac:dyDescent="0.25">
      <c r="A31" s="212" t="s">
        <v>133</v>
      </c>
      <c r="B31" s="212"/>
      <c r="C31" s="212"/>
      <c r="D31" s="88"/>
      <c r="E31" s="88"/>
      <c r="F31" s="88"/>
      <c r="G31" s="88"/>
      <c r="H31" s="88"/>
      <c r="I31" s="91">
        <v>44222</v>
      </c>
      <c r="J31" s="88"/>
      <c r="K31" s="92">
        <v>32564.13</v>
      </c>
      <c r="L31" s="88"/>
    </row>
    <row r="32" spans="1:12" x14ac:dyDescent="0.25">
      <c r="A32" s="88"/>
      <c r="B32" s="88"/>
      <c r="C32" s="88"/>
      <c r="D32" s="88"/>
      <c r="E32" s="88"/>
      <c r="F32" s="88"/>
      <c r="G32" s="88"/>
      <c r="H32" s="92" t="s">
        <v>105</v>
      </c>
      <c r="I32" s="91">
        <v>44222</v>
      </c>
      <c r="J32" s="88"/>
      <c r="K32" s="92">
        <v>40107</v>
      </c>
      <c r="L32" s="90" t="s">
        <v>104</v>
      </c>
    </row>
    <row r="33" spans="1:12" x14ac:dyDescent="0.25">
      <c r="A33" s="91">
        <v>44257</v>
      </c>
      <c r="B33" s="90" t="s">
        <v>102</v>
      </c>
      <c r="C33" s="92">
        <v>47170</v>
      </c>
      <c r="D33" s="88"/>
      <c r="E33" s="93"/>
      <c r="F33" s="94"/>
      <c r="G33" s="95"/>
      <c r="H33" s="90" t="s">
        <v>107</v>
      </c>
      <c r="I33" s="91">
        <v>44239</v>
      </c>
      <c r="J33" s="88"/>
      <c r="K33" s="92">
        <v>11309.4</v>
      </c>
      <c r="L33" s="90" t="s">
        <v>106</v>
      </c>
    </row>
    <row r="34" spans="1:12" x14ac:dyDescent="0.25">
      <c r="A34" s="91">
        <v>44294</v>
      </c>
      <c r="B34" s="90" t="s">
        <v>103</v>
      </c>
      <c r="C34" s="92">
        <v>14000</v>
      </c>
      <c r="D34" s="88"/>
      <c r="E34" s="88"/>
      <c r="F34" s="88"/>
      <c r="G34" s="88"/>
      <c r="H34" s="88"/>
      <c r="I34" s="91" t="s">
        <v>108</v>
      </c>
      <c r="J34" s="207" t="s">
        <v>109</v>
      </c>
      <c r="K34" s="92">
        <v>-1304.5</v>
      </c>
      <c r="L34" s="90" t="s">
        <v>106</v>
      </c>
    </row>
    <row r="35" spans="1:12" x14ac:dyDescent="0.25">
      <c r="A35" s="91">
        <v>44300</v>
      </c>
      <c r="B35" s="90" t="s">
        <v>102</v>
      </c>
      <c r="C35" s="92">
        <v>30301</v>
      </c>
      <c r="D35" s="88"/>
      <c r="E35" s="88"/>
      <c r="F35" s="88"/>
      <c r="G35" s="88"/>
      <c r="H35" s="88"/>
      <c r="I35" s="91" t="s">
        <v>108</v>
      </c>
      <c r="J35" s="207"/>
      <c r="K35" s="92">
        <v>-10004.9</v>
      </c>
      <c r="L35" s="90" t="s">
        <v>106</v>
      </c>
    </row>
    <row r="36" spans="1:12" x14ac:dyDescent="0.25">
      <c r="A36" s="91">
        <v>44320</v>
      </c>
      <c r="B36" s="90" t="s">
        <v>102</v>
      </c>
      <c r="C36" s="92">
        <v>37635</v>
      </c>
      <c r="D36" s="88"/>
      <c r="E36" s="88"/>
      <c r="F36" s="88" t="s">
        <v>134</v>
      </c>
      <c r="G36" s="88"/>
      <c r="H36" s="88"/>
      <c r="I36" s="94" t="s">
        <v>110</v>
      </c>
      <c r="J36" s="94" t="s">
        <v>111</v>
      </c>
      <c r="K36" s="105">
        <v>31050.36</v>
      </c>
      <c r="L36" s="106"/>
    </row>
    <row r="37" spans="1:12" x14ac:dyDescent="0.25">
      <c r="A37" s="91">
        <v>44334</v>
      </c>
      <c r="B37" s="90" t="s">
        <v>102</v>
      </c>
      <c r="C37" s="92">
        <v>46060</v>
      </c>
      <c r="D37" s="88"/>
      <c r="E37" s="88"/>
      <c r="F37" s="88"/>
      <c r="G37" s="88"/>
      <c r="H37" s="88"/>
      <c r="I37" s="93">
        <v>44285</v>
      </c>
      <c r="J37" s="92"/>
      <c r="K37" s="105">
        <v>26790.19</v>
      </c>
      <c r="L37" s="88"/>
    </row>
    <row r="38" spans="1:12" x14ac:dyDescent="0.25">
      <c r="A38" s="91">
        <v>44368</v>
      </c>
      <c r="B38" s="90" t="s">
        <v>102</v>
      </c>
      <c r="C38" s="92">
        <v>15486</v>
      </c>
      <c r="D38" s="88"/>
      <c r="E38" s="88"/>
      <c r="F38" s="88"/>
      <c r="G38" s="88"/>
      <c r="H38" s="88"/>
      <c r="I38" s="91">
        <v>44316</v>
      </c>
      <c r="J38" s="92"/>
      <c r="K38" s="107">
        <v>24400.639999999999</v>
      </c>
      <c r="L38" s="88"/>
    </row>
    <row r="39" spans="1:12" x14ac:dyDescent="0.25">
      <c r="A39" s="91">
        <v>44379</v>
      </c>
      <c r="B39" s="90" t="s">
        <v>102</v>
      </c>
      <c r="C39" s="92">
        <v>49395</v>
      </c>
      <c r="D39" s="88"/>
      <c r="E39" s="88"/>
      <c r="F39" s="88"/>
      <c r="G39" s="88"/>
      <c r="H39" s="88"/>
      <c r="I39" s="91">
        <v>44347</v>
      </c>
      <c r="J39" s="88"/>
      <c r="K39" s="107">
        <v>23839.47</v>
      </c>
      <c r="L39" s="88"/>
    </row>
    <row r="40" spans="1:12" x14ac:dyDescent="0.25">
      <c r="A40" s="91">
        <v>44432</v>
      </c>
      <c r="B40" s="90" t="s">
        <v>102</v>
      </c>
      <c r="C40" s="108">
        <v>26282</v>
      </c>
      <c r="D40" s="88"/>
      <c r="E40" s="88"/>
      <c r="F40" s="88"/>
      <c r="G40" s="88"/>
      <c r="H40" s="88"/>
      <c r="I40" s="91">
        <v>44369</v>
      </c>
      <c r="J40" s="88"/>
      <c r="K40" s="107">
        <v>16537.82</v>
      </c>
      <c r="L40" s="88"/>
    </row>
    <row r="41" spans="1:12" x14ac:dyDescent="0.25">
      <c r="A41" s="91">
        <v>44468</v>
      </c>
      <c r="B41" s="90" t="s">
        <v>102</v>
      </c>
      <c r="C41" s="92">
        <v>6653</v>
      </c>
      <c r="D41" s="88"/>
      <c r="E41" s="88"/>
      <c r="F41" s="88"/>
      <c r="G41" s="88"/>
      <c r="H41" s="88"/>
      <c r="I41" s="91">
        <v>44407</v>
      </c>
      <c r="J41" s="88"/>
      <c r="K41" s="107">
        <v>16135.68</v>
      </c>
      <c r="L41" s="88"/>
    </row>
    <row r="42" spans="1:12" x14ac:dyDescent="0.25">
      <c r="A42" s="91">
        <v>44475</v>
      </c>
      <c r="B42" s="90" t="s">
        <v>102</v>
      </c>
      <c r="C42" s="108">
        <v>69166</v>
      </c>
      <c r="D42" s="88"/>
      <c r="E42" s="88"/>
      <c r="F42" s="88"/>
      <c r="G42" s="88"/>
      <c r="H42" s="88"/>
      <c r="I42" s="91">
        <v>44411</v>
      </c>
      <c r="J42" s="88"/>
      <c r="K42" s="92">
        <v>32835</v>
      </c>
      <c r="L42" s="90" t="s">
        <v>113</v>
      </c>
    </row>
    <row r="43" spans="1:12" x14ac:dyDescent="0.25">
      <c r="A43" s="93">
        <v>44505</v>
      </c>
      <c r="B43" s="94" t="s">
        <v>112</v>
      </c>
      <c r="C43" s="95">
        <v>25000</v>
      </c>
      <c r="D43" s="88"/>
      <c r="E43" s="88"/>
      <c r="F43" s="88"/>
      <c r="G43" s="88"/>
      <c r="H43" s="88"/>
      <c r="I43" s="91">
        <v>44439</v>
      </c>
      <c r="J43" s="88"/>
      <c r="K43" s="107">
        <v>10626.36</v>
      </c>
      <c r="L43" s="88"/>
    </row>
    <row r="44" spans="1:12" x14ac:dyDescent="0.25">
      <c r="A44" s="91">
        <v>44533</v>
      </c>
      <c r="B44" s="90" t="s">
        <v>103</v>
      </c>
      <c r="C44" s="92">
        <v>30000</v>
      </c>
      <c r="D44" s="88"/>
      <c r="E44" s="88"/>
      <c r="F44" s="88"/>
      <c r="G44" s="88"/>
      <c r="H44" s="88"/>
      <c r="I44" s="91">
        <v>44474</v>
      </c>
      <c r="J44" s="88"/>
      <c r="K44" s="107">
        <v>8187.36</v>
      </c>
      <c r="L44" s="88"/>
    </row>
    <row r="45" spans="1:12" x14ac:dyDescent="0.25">
      <c r="A45" s="88"/>
      <c r="B45" s="88"/>
      <c r="C45" s="88"/>
      <c r="D45" s="88"/>
      <c r="E45" s="88"/>
      <c r="F45" s="88"/>
      <c r="G45" s="88"/>
      <c r="H45" s="88"/>
      <c r="I45" s="91">
        <v>44495</v>
      </c>
      <c r="J45" s="90"/>
      <c r="K45" s="107">
        <v>17070</v>
      </c>
      <c r="L45" s="90" t="s">
        <v>114</v>
      </c>
    </row>
    <row r="46" spans="1:12" x14ac:dyDescent="0.25">
      <c r="A46" s="88"/>
      <c r="B46" s="88"/>
      <c r="C46" s="109">
        <f>SUM(C33:C45)</f>
        <v>397148</v>
      </c>
      <c r="D46" s="88"/>
      <c r="E46" s="88"/>
      <c r="F46" s="88"/>
      <c r="G46" s="88"/>
      <c r="H46" s="88"/>
      <c r="I46" s="91">
        <v>44516</v>
      </c>
      <c r="J46" s="90"/>
      <c r="K46" s="107">
        <v>7979.35</v>
      </c>
      <c r="L46" s="88"/>
    </row>
    <row r="47" spans="1:12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</row>
    <row r="48" spans="1:12" x14ac:dyDescent="0.2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110">
        <f>SUM(K31:K47)</f>
        <v>288123.36</v>
      </c>
      <c r="L48" s="88"/>
    </row>
    <row r="49" spans="1:12" x14ac:dyDescent="0.25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</row>
    <row r="50" spans="1:12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78"/>
      <c r="K50" s="62"/>
      <c r="L50" s="62"/>
    </row>
    <row r="51" spans="1:12" x14ac:dyDescent="0.25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</row>
    <row r="52" spans="1:12" x14ac:dyDescent="0.25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</row>
    <row r="53" spans="1:12" x14ac:dyDescent="0.25">
      <c r="A53" s="213" t="s">
        <v>115</v>
      </c>
      <c r="B53" s="213"/>
      <c r="C53" s="213"/>
      <c r="D53" s="112"/>
      <c r="E53" s="214" t="s">
        <v>116</v>
      </c>
      <c r="F53" s="214"/>
      <c r="G53" s="214"/>
      <c r="H53" s="112"/>
      <c r="I53" s="215" t="s">
        <v>117</v>
      </c>
      <c r="J53" s="215"/>
      <c r="K53" s="215"/>
      <c r="L53" s="113"/>
    </row>
    <row r="54" spans="1:12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</row>
    <row r="55" spans="1:12" x14ac:dyDescent="0.25">
      <c r="A55" s="114">
        <v>44579</v>
      </c>
      <c r="B55" s="113"/>
      <c r="C55" s="115">
        <v>27470</v>
      </c>
      <c r="D55" s="113"/>
      <c r="E55" s="114">
        <v>44564</v>
      </c>
      <c r="F55" s="113"/>
      <c r="G55" s="115">
        <v>1451.41</v>
      </c>
      <c r="H55" s="113"/>
      <c r="I55" s="114">
        <v>44564</v>
      </c>
      <c r="J55" s="112" t="s">
        <v>83</v>
      </c>
      <c r="K55" s="115">
        <v>666.66</v>
      </c>
      <c r="L55" s="113"/>
    </row>
    <row r="56" spans="1:12" x14ac:dyDescent="0.25">
      <c r="A56" s="91">
        <v>44614</v>
      </c>
      <c r="B56" s="88"/>
      <c r="C56" s="92">
        <v>29759.17</v>
      </c>
      <c r="D56" s="113"/>
      <c r="E56" s="114">
        <v>44586</v>
      </c>
      <c r="F56" s="113"/>
      <c r="G56" s="115">
        <v>1094.3900000000001</v>
      </c>
      <c r="H56" s="113"/>
      <c r="I56" s="114">
        <v>44586</v>
      </c>
      <c r="J56" s="112" t="s">
        <v>118</v>
      </c>
      <c r="K56" s="115">
        <v>10000</v>
      </c>
      <c r="L56" s="113"/>
    </row>
    <row r="57" spans="1:12" x14ac:dyDescent="0.25">
      <c r="A57" s="91">
        <v>44643</v>
      </c>
      <c r="B57" s="88"/>
      <c r="C57" s="92">
        <v>29759.17</v>
      </c>
      <c r="D57" s="113"/>
      <c r="E57" s="114">
        <v>44593</v>
      </c>
      <c r="F57" s="113"/>
      <c r="G57" s="115">
        <v>938.3</v>
      </c>
      <c r="H57" s="113"/>
      <c r="I57" s="114">
        <v>44595</v>
      </c>
      <c r="J57" s="112" t="s">
        <v>83</v>
      </c>
      <c r="K57" s="115">
        <v>666.66</v>
      </c>
      <c r="L57" s="113"/>
    </row>
    <row r="58" spans="1:12" x14ac:dyDescent="0.25">
      <c r="A58" s="91">
        <v>44684</v>
      </c>
      <c r="B58" s="88"/>
      <c r="C58" s="92">
        <v>29759.17</v>
      </c>
      <c r="D58" s="113"/>
      <c r="E58" s="91">
        <v>44614</v>
      </c>
      <c r="F58" s="88"/>
      <c r="G58" s="92">
        <v>6446.29</v>
      </c>
      <c r="H58" s="113"/>
      <c r="I58" s="91">
        <v>44628</v>
      </c>
      <c r="J58" s="90" t="s">
        <v>83</v>
      </c>
      <c r="K58" s="92">
        <v>666.66</v>
      </c>
      <c r="L58" s="113"/>
    </row>
    <row r="59" spans="1:12" x14ac:dyDescent="0.25">
      <c r="A59" s="91">
        <v>44714</v>
      </c>
      <c r="B59" s="90" t="s">
        <v>38</v>
      </c>
      <c r="C59" s="92">
        <v>29127.4</v>
      </c>
      <c r="D59" s="113"/>
      <c r="E59" s="91">
        <v>44643</v>
      </c>
      <c r="F59" s="88"/>
      <c r="G59" s="92">
        <v>6446.29</v>
      </c>
      <c r="H59" s="113"/>
      <c r="I59" s="93">
        <v>44656</v>
      </c>
      <c r="J59" s="94" t="s">
        <v>119</v>
      </c>
      <c r="K59" s="95">
        <v>4640</v>
      </c>
      <c r="L59" s="113"/>
    </row>
    <row r="60" spans="1:12" x14ac:dyDescent="0.25">
      <c r="A60" s="91">
        <v>44733</v>
      </c>
      <c r="B60" s="88"/>
      <c r="C60" s="92">
        <v>24859.59</v>
      </c>
      <c r="D60" s="113"/>
      <c r="E60" s="91">
        <v>44684</v>
      </c>
      <c r="F60" s="88"/>
      <c r="G60" s="92">
        <v>6446.29</v>
      </c>
      <c r="H60" s="113"/>
      <c r="I60" s="91">
        <v>44657</v>
      </c>
      <c r="J60" s="90" t="s">
        <v>83</v>
      </c>
      <c r="K60" s="92">
        <v>666.66</v>
      </c>
      <c r="L60" s="113"/>
    </row>
    <row r="61" spans="1:12" x14ac:dyDescent="0.25">
      <c r="A61" s="113"/>
      <c r="B61" s="113"/>
      <c r="C61" s="113"/>
      <c r="D61" s="113"/>
      <c r="E61" s="91">
        <v>44714</v>
      </c>
      <c r="F61" s="88"/>
      <c r="G61" s="92">
        <v>606.97</v>
      </c>
      <c r="H61" s="113"/>
      <c r="I61" s="91">
        <v>44670</v>
      </c>
      <c r="J61" s="90" t="s">
        <v>122</v>
      </c>
      <c r="K61" s="92">
        <v>26320</v>
      </c>
      <c r="L61" s="113"/>
    </row>
    <row r="62" spans="1:12" x14ac:dyDescent="0.25">
      <c r="A62" s="113"/>
      <c r="B62" s="113"/>
      <c r="C62" s="113"/>
      <c r="D62" s="113"/>
      <c r="E62" s="91">
        <v>44733</v>
      </c>
      <c r="F62" s="90" t="s">
        <v>38</v>
      </c>
      <c r="G62" s="92">
        <v>5519.29</v>
      </c>
      <c r="H62" s="113"/>
      <c r="I62" s="91">
        <v>44686</v>
      </c>
      <c r="J62" s="90" t="s">
        <v>83</v>
      </c>
      <c r="K62" s="92">
        <v>666.66</v>
      </c>
      <c r="L62" s="113"/>
    </row>
    <row r="63" spans="1:12" x14ac:dyDescent="0.25">
      <c r="A63" s="112"/>
      <c r="B63" s="113"/>
      <c r="C63" s="115"/>
      <c r="D63" s="113"/>
      <c r="E63" s="91">
        <v>44733</v>
      </c>
      <c r="F63" s="88"/>
      <c r="G63" s="92">
        <v>6446.29</v>
      </c>
      <c r="H63" s="113"/>
      <c r="I63" s="116">
        <v>44705</v>
      </c>
      <c r="J63" s="117" t="s">
        <v>124</v>
      </c>
      <c r="K63" s="105">
        <v>7539.6</v>
      </c>
      <c r="L63" s="113"/>
    </row>
    <row r="64" spans="1:12" x14ac:dyDescent="0.25">
      <c r="A64" s="112"/>
      <c r="B64" s="113"/>
      <c r="C64" s="115"/>
      <c r="D64" s="113"/>
      <c r="E64" s="113"/>
      <c r="F64" s="113"/>
      <c r="G64" s="113"/>
      <c r="H64" s="113"/>
      <c r="I64" s="91">
        <v>44719</v>
      </c>
      <c r="J64" s="90" t="s">
        <v>125</v>
      </c>
      <c r="K64" s="92">
        <v>1333.32</v>
      </c>
      <c r="L64" s="113"/>
    </row>
    <row r="65" spans="1:12" x14ac:dyDescent="0.25">
      <c r="A65" s="112"/>
      <c r="B65" s="113"/>
      <c r="C65" s="115"/>
      <c r="D65" s="113"/>
      <c r="E65" s="113"/>
      <c r="F65" s="113"/>
      <c r="G65" s="113"/>
      <c r="H65" s="113"/>
      <c r="I65" s="91">
        <v>44743</v>
      </c>
      <c r="J65" s="90" t="s">
        <v>126</v>
      </c>
      <c r="K65" s="92">
        <v>35000</v>
      </c>
      <c r="L65" s="113"/>
    </row>
    <row r="66" spans="1:12" x14ac:dyDescent="0.25">
      <c r="A66" s="112"/>
      <c r="B66" s="113"/>
      <c r="C66" s="115"/>
      <c r="D66" s="113"/>
      <c r="E66" s="113"/>
      <c r="F66" s="113"/>
      <c r="G66" s="113"/>
      <c r="H66" s="113"/>
      <c r="I66" s="113"/>
      <c r="J66" s="113"/>
      <c r="K66" s="113"/>
      <c r="L66" s="113"/>
    </row>
    <row r="67" spans="1:12" x14ac:dyDescent="0.25">
      <c r="A67" s="112"/>
      <c r="B67" s="113"/>
      <c r="C67" s="115"/>
      <c r="D67" s="113"/>
      <c r="E67" s="113"/>
      <c r="F67" s="113"/>
      <c r="G67" s="113"/>
      <c r="H67" s="113"/>
      <c r="I67" s="113"/>
      <c r="J67" s="113"/>
      <c r="K67" s="113"/>
      <c r="L67" s="113"/>
    </row>
    <row r="68" spans="1:12" x14ac:dyDescent="0.25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</row>
    <row r="69" spans="1:12" x14ac:dyDescent="0.25">
      <c r="A69" s="206" t="s">
        <v>127</v>
      </c>
      <c r="B69" s="207"/>
      <c r="C69" s="207"/>
      <c r="D69" s="113"/>
      <c r="E69" s="113"/>
      <c r="F69" s="113"/>
      <c r="G69" s="113"/>
      <c r="H69" s="113"/>
      <c r="I69" s="208" t="s">
        <v>128</v>
      </c>
      <c r="J69" s="209"/>
      <c r="K69" s="209"/>
      <c r="L69" s="113"/>
    </row>
    <row r="70" spans="1:12" x14ac:dyDescent="0.25">
      <c r="A70" s="91">
        <v>44694</v>
      </c>
      <c r="B70" s="90" t="s">
        <v>129</v>
      </c>
      <c r="C70" s="92">
        <v>34690.550000000003</v>
      </c>
      <c r="D70" s="113"/>
      <c r="E70" s="113"/>
      <c r="F70" s="113"/>
      <c r="G70" s="113"/>
      <c r="H70" s="113"/>
      <c r="I70" s="91">
        <v>44621</v>
      </c>
      <c r="J70" s="118">
        <v>44562</v>
      </c>
      <c r="K70" s="92">
        <v>8731.11</v>
      </c>
      <c r="L70" s="113"/>
    </row>
    <row r="71" spans="1:12" x14ac:dyDescent="0.25">
      <c r="A71" s="91">
        <v>44694</v>
      </c>
      <c r="B71" s="90" t="s">
        <v>130</v>
      </c>
      <c r="C71" s="92">
        <v>25000</v>
      </c>
      <c r="D71" s="113"/>
      <c r="E71" s="113"/>
      <c r="F71" s="113"/>
      <c r="G71" s="113"/>
      <c r="H71" s="113"/>
      <c r="I71" s="91">
        <v>44649</v>
      </c>
      <c r="J71" s="118">
        <v>44593</v>
      </c>
      <c r="K71" s="92">
        <v>8658.3799999999992</v>
      </c>
      <c r="L71" s="113"/>
    </row>
    <row r="72" spans="1:12" x14ac:dyDescent="0.25">
      <c r="A72" s="91">
        <v>44697</v>
      </c>
      <c r="B72" s="90" t="s">
        <v>131</v>
      </c>
      <c r="C72" s="92">
        <v>3718</v>
      </c>
      <c r="D72" s="113"/>
      <c r="E72" s="113"/>
      <c r="F72" s="113"/>
      <c r="G72" s="113"/>
      <c r="H72" s="113"/>
      <c r="I72" s="91">
        <v>44680</v>
      </c>
      <c r="J72" s="118">
        <v>44621</v>
      </c>
      <c r="K72" s="92">
        <v>6015.05</v>
      </c>
      <c r="L72" s="113"/>
    </row>
    <row r="73" spans="1:12" x14ac:dyDescent="0.25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</row>
    <row r="74" spans="1:12" x14ac:dyDescent="0.25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x14ac:dyDescent="0.25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</sheetData>
  <mergeCells count="14">
    <mergeCell ref="B10:B11"/>
    <mergeCell ref="A3:C3"/>
    <mergeCell ref="E3:G3"/>
    <mergeCell ref="I3:K3"/>
    <mergeCell ref="B6:B7"/>
    <mergeCell ref="F7:F8"/>
    <mergeCell ref="A69:C69"/>
    <mergeCell ref="I69:K69"/>
    <mergeCell ref="I29:K29"/>
    <mergeCell ref="A31:C31"/>
    <mergeCell ref="J34:J35"/>
    <mergeCell ref="A53:C53"/>
    <mergeCell ref="E53:G53"/>
    <mergeCell ref="I53:K5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workbookViewId="0">
      <selection activeCell="E28" sqref="E28"/>
    </sheetView>
  </sheetViews>
  <sheetFormatPr baseColWidth="10" defaultRowHeight="15" x14ac:dyDescent="0.25"/>
  <sheetData>
    <row r="1" spans="1:9" x14ac:dyDescent="0.25">
      <c r="A1" s="111" t="s">
        <v>135</v>
      </c>
      <c r="B1" s="111"/>
      <c r="C1" s="111"/>
      <c r="D1" s="119"/>
      <c r="E1" s="41"/>
      <c r="F1" s="111" t="s">
        <v>136</v>
      </c>
      <c r="G1" s="121"/>
      <c r="H1" s="111"/>
      <c r="I1" s="119"/>
    </row>
    <row r="2" spans="1:9" x14ac:dyDescent="0.25">
      <c r="A2" s="111"/>
      <c r="B2" s="119">
        <v>2016</v>
      </c>
      <c r="C2" s="122">
        <v>12766</v>
      </c>
      <c r="D2" s="123">
        <v>42660</v>
      </c>
      <c r="E2" s="41"/>
      <c r="F2" s="111"/>
      <c r="G2" s="119">
        <v>2017</v>
      </c>
      <c r="H2" s="122">
        <v>3314</v>
      </c>
      <c r="I2" s="119" t="s">
        <v>137</v>
      </c>
    </row>
    <row r="3" spans="1:9" x14ac:dyDescent="0.25">
      <c r="A3" s="111"/>
      <c r="B3" s="119">
        <v>2017</v>
      </c>
      <c r="C3" s="122">
        <v>12989</v>
      </c>
      <c r="D3" s="123">
        <v>43031</v>
      </c>
      <c r="E3" s="41"/>
      <c r="F3" s="111"/>
      <c r="G3" s="119">
        <v>2018</v>
      </c>
      <c r="H3" s="122">
        <v>3770</v>
      </c>
      <c r="I3" s="123">
        <v>43166</v>
      </c>
    </row>
    <row r="4" spans="1:9" x14ac:dyDescent="0.25">
      <c r="A4" s="111"/>
      <c r="B4" s="119">
        <v>2018</v>
      </c>
      <c r="C4" s="122">
        <v>13363</v>
      </c>
      <c r="D4" s="123">
        <v>43418</v>
      </c>
      <c r="E4" s="41"/>
      <c r="F4" s="111"/>
      <c r="G4" s="119">
        <v>2019</v>
      </c>
      <c r="H4" s="122">
        <v>3708</v>
      </c>
      <c r="I4" s="123">
        <v>43580</v>
      </c>
    </row>
    <row r="5" spans="1:9" x14ac:dyDescent="0.25">
      <c r="A5" s="111"/>
      <c r="B5" s="119" t="s">
        <v>138</v>
      </c>
      <c r="C5" s="122">
        <v>6721</v>
      </c>
      <c r="D5" s="123">
        <v>43784</v>
      </c>
      <c r="E5" s="41"/>
      <c r="F5" s="41"/>
      <c r="G5" s="40">
        <v>2020</v>
      </c>
      <c r="H5" s="43">
        <v>3746</v>
      </c>
      <c r="I5" s="42">
        <v>44029</v>
      </c>
    </row>
    <row r="6" spans="1:9" x14ac:dyDescent="0.25">
      <c r="A6" s="41"/>
      <c r="B6" s="40" t="s">
        <v>139</v>
      </c>
      <c r="C6" s="43">
        <v>6721</v>
      </c>
      <c r="D6" s="42">
        <v>43809</v>
      </c>
      <c r="E6" s="41"/>
      <c r="F6" s="41"/>
      <c r="G6" s="40">
        <v>2021</v>
      </c>
      <c r="H6" s="40"/>
      <c r="I6" s="40"/>
    </row>
    <row r="7" spans="1:9" x14ac:dyDescent="0.25">
      <c r="A7" s="64"/>
      <c r="B7" s="69" t="s">
        <v>140</v>
      </c>
      <c r="C7" s="70">
        <v>6861.5</v>
      </c>
      <c r="D7" s="68">
        <v>44155</v>
      </c>
      <c r="E7" s="41"/>
      <c r="F7" s="41"/>
      <c r="G7" s="41"/>
      <c r="H7" s="41"/>
      <c r="I7" s="41"/>
    </row>
    <row r="8" spans="1:9" x14ac:dyDescent="0.25">
      <c r="A8" s="64"/>
      <c r="B8" s="69" t="s">
        <v>141</v>
      </c>
      <c r="C8" s="70">
        <v>6861.5</v>
      </c>
      <c r="D8" s="68">
        <v>44180</v>
      </c>
      <c r="E8" s="41"/>
      <c r="F8" s="41"/>
      <c r="G8" s="41"/>
      <c r="H8" s="41"/>
      <c r="I8" s="41"/>
    </row>
    <row r="9" spans="1:9" x14ac:dyDescent="0.25">
      <c r="A9" s="64"/>
      <c r="B9" s="69">
        <v>2021</v>
      </c>
      <c r="C9" s="70"/>
      <c r="D9" s="68"/>
      <c r="E9" s="41"/>
      <c r="F9" s="41"/>
      <c r="G9" s="41"/>
      <c r="H9" s="41"/>
      <c r="I9" s="41"/>
    </row>
    <row r="10" spans="1:9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111" t="s">
        <v>142</v>
      </c>
      <c r="B11" s="40"/>
      <c r="C11" s="43"/>
      <c r="D11" s="42"/>
      <c r="E11" s="41"/>
      <c r="F11" s="111" t="s">
        <v>143</v>
      </c>
      <c r="G11" s="40"/>
      <c r="H11" s="43"/>
      <c r="I11" s="42"/>
    </row>
    <row r="12" spans="1:9" x14ac:dyDescent="0.25">
      <c r="A12" s="41"/>
      <c r="B12" s="40" t="s">
        <v>144</v>
      </c>
      <c r="C12" s="43">
        <v>4249</v>
      </c>
      <c r="D12" s="42">
        <v>43271</v>
      </c>
      <c r="E12" s="41"/>
      <c r="F12" s="41"/>
      <c r="G12" s="40" t="s">
        <v>144</v>
      </c>
      <c r="H12" s="43">
        <v>2940</v>
      </c>
      <c r="I12" s="42">
        <v>43276</v>
      </c>
    </row>
    <row r="13" spans="1:9" x14ac:dyDescent="0.25">
      <c r="A13" s="41"/>
      <c r="B13" s="40" t="s">
        <v>145</v>
      </c>
      <c r="C13" s="43">
        <v>4238</v>
      </c>
      <c r="D13" s="42">
        <v>43373</v>
      </c>
      <c r="E13" s="41"/>
      <c r="F13" s="41"/>
      <c r="G13" s="40" t="s">
        <v>145</v>
      </c>
      <c r="H13" s="43">
        <v>3426</v>
      </c>
      <c r="I13" s="42">
        <v>43461</v>
      </c>
    </row>
    <row r="14" spans="1:9" x14ac:dyDescent="0.25">
      <c r="A14" s="41"/>
      <c r="B14" s="40"/>
      <c r="C14" s="60"/>
      <c r="D14" s="42"/>
      <c r="E14" s="41"/>
      <c r="F14" s="41"/>
      <c r="G14" s="40" t="s">
        <v>146</v>
      </c>
      <c r="H14" s="43">
        <v>14</v>
      </c>
      <c r="I14" s="42">
        <v>43465</v>
      </c>
    </row>
    <row r="15" spans="1:9" x14ac:dyDescent="0.25">
      <c r="A15" s="41"/>
      <c r="B15" s="40" t="s">
        <v>147</v>
      </c>
      <c r="C15" s="43">
        <v>1167</v>
      </c>
      <c r="D15" s="42">
        <v>43466</v>
      </c>
      <c r="E15" s="41"/>
      <c r="F15" s="41"/>
      <c r="G15" s="41"/>
      <c r="H15" s="60"/>
      <c r="I15" s="41"/>
    </row>
    <row r="16" spans="1:9" x14ac:dyDescent="0.25">
      <c r="A16" s="41"/>
      <c r="B16" s="40" t="s">
        <v>148</v>
      </c>
      <c r="C16" s="43">
        <v>2232</v>
      </c>
      <c r="D16" s="42">
        <v>43616</v>
      </c>
      <c r="E16" s="41"/>
      <c r="F16" s="41"/>
      <c r="G16" s="40" t="s">
        <v>148</v>
      </c>
      <c r="H16" s="43">
        <v>3183</v>
      </c>
      <c r="I16" s="42">
        <v>42548</v>
      </c>
    </row>
    <row r="17" spans="1:9" x14ac:dyDescent="0.25">
      <c r="A17" s="41"/>
      <c r="B17" s="40" t="s">
        <v>149</v>
      </c>
      <c r="C17" s="43">
        <v>11</v>
      </c>
      <c r="D17" s="42">
        <v>43784</v>
      </c>
      <c r="E17" s="41"/>
      <c r="F17" s="41"/>
      <c r="G17" s="40" t="s">
        <v>150</v>
      </c>
      <c r="H17" s="43">
        <v>3537</v>
      </c>
      <c r="I17" s="42">
        <v>43826</v>
      </c>
    </row>
    <row r="18" spans="1:9" x14ac:dyDescent="0.25">
      <c r="A18" s="41"/>
      <c r="B18" s="40" t="s">
        <v>151</v>
      </c>
      <c r="C18" s="43">
        <v>10584</v>
      </c>
      <c r="D18" s="42">
        <v>44299</v>
      </c>
      <c r="E18" s="41"/>
      <c r="F18" s="41"/>
      <c r="G18" s="40" t="s">
        <v>152</v>
      </c>
      <c r="H18" s="43"/>
      <c r="I18" s="42"/>
    </row>
    <row r="19" spans="1:9" x14ac:dyDescent="0.25">
      <c r="A19" s="41"/>
      <c r="B19" s="40" t="s">
        <v>153</v>
      </c>
      <c r="C19" s="43">
        <v>843</v>
      </c>
      <c r="D19" s="42">
        <v>44456</v>
      </c>
      <c r="E19" s="41"/>
      <c r="F19" s="41"/>
      <c r="G19" s="40"/>
      <c r="H19" s="43"/>
      <c r="I19" s="42"/>
    </row>
    <row r="20" spans="1:9" x14ac:dyDescent="0.25">
      <c r="A20" s="41"/>
      <c r="B20" s="40" t="s">
        <v>154</v>
      </c>
      <c r="C20" s="43">
        <v>2636</v>
      </c>
      <c r="D20" s="42">
        <v>44699</v>
      </c>
      <c r="E20" s="41"/>
      <c r="F20" s="41"/>
      <c r="G20" s="40" t="s">
        <v>153</v>
      </c>
      <c r="H20" s="43">
        <v>6758</v>
      </c>
      <c r="I20" s="42">
        <v>44193</v>
      </c>
    </row>
    <row r="21" spans="1:9" x14ac:dyDescent="0.25">
      <c r="A21" s="41"/>
      <c r="B21" s="40" t="s">
        <v>155</v>
      </c>
      <c r="C21" s="41"/>
      <c r="D21" s="41"/>
      <c r="E21" s="41"/>
      <c r="F21" s="41"/>
      <c r="G21" s="40" t="s">
        <v>156</v>
      </c>
      <c r="H21" s="43">
        <v>1192</v>
      </c>
      <c r="I21" s="42">
        <v>44193</v>
      </c>
    </row>
    <row r="22" spans="1:9" x14ac:dyDescent="0.25">
      <c r="A22" s="41"/>
      <c r="B22" s="41"/>
      <c r="C22" s="41"/>
      <c r="D22" s="41"/>
      <c r="E22" s="41"/>
      <c r="F22" s="41"/>
      <c r="G22" s="40" t="s">
        <v>157</v>
      </c>
      <c r="H22" s="43">
        <v>3379</v>
      </c>
      <c r="I22" s="42">
        <v>44372</v>
      </c>
    </row>
    <row r="23" spans="1:9" x14ac:dyDescent="0.25">
      <c r="A23" s="41"/>
      <c r="B23" s="41"/>
      <c r="C23" s="41"/>
      <c r="D23" s="41"/>
      <c r="E23" s="41"/>
      <c r="F23" s="41"/>
      <c r="G23" s="41"/>
      <c r="H23" s="41"/>
      <c r="I23" s="41"/>
    </row>
    <row r="24" spans="1:9" x14ac:dyDescent="0.25">
      <c r="A24" s="41"/>
      <c r="B24" s="41"/>
      <c r="C24" s="41"/>
      <c r="D24" s="41"/>
      <c r="E24" s="41"/>
      <c r="F24" s="41"/>
      <c r="G24" s="40" t="s">
        <v>154</v>
      </c>
      <c r="H24" s="43">
        <v>3452</v>
      </c>
      <c r="I24" s="42">
        <v>44557</v>
      </c>
    </row>
    <row r="25" spans="1:9" x14ac:dyDescent="0.25">
      <c r="A25" s="41"/>
      <c r="B25" s="41"/>
      <c r="C25" s="41"/>
      <c r="D25" s="41"/>
      <c r="E25" s="41"/>
      <c r="F25" s="41"/>
      <c r="G25" s="40" t="s">
        <v>158</v>
      </c>
      <c r="H25" s="43">
        <v>1174</v>
      </c>
      <c r="I25" s="42">
        <v>44557</v>
      </c>
    </row>
    <row r="26" spans="1:9" x14ac:dyDescent="0.25">
      <c r="A26" s="41"/>
      <c r="B26" s="41"/>
      <c r="C26" s="41"/>
      <c r="D26" s="41"/>
      <c r="E26" s="41"/>
      <c r="F26" s="41"/>
      <c r="G26" s="41"/>
      <c r="H26" s="41"/>
      <c r="I26" s="41"/>
    </row>
    <row r="27" spans="1:9" x14ac:dyDescent="0.25">
      <c r="A27" s="41"/>
      <c r="B27" s="41"/>
      <c r="C27" s="41"/>
      <c r="D27" s="41"/>
      <c r="E27" s="41"/>
      <c r="F27" s="41"/>
      <c r="G27" s="40" t="s">
        <v>155</v>
      </c>
      <c r="H27" s="43">
        <v>3416</v>
      </c>
      <c r="I27" s="42">
        <v>44739</v>
      </c>
    </row>
    <row r="28" spans="1:9" x14ac:dyDescent="0.25">
      <c r="A28" s="41"/>
      <c r="B28" s="41"/>
      <c r="C28" s="41"/>
      <c r="D28" s="41"/>
      <c r="E28" s="41"/>
      <c r="F28" s="41"/>
      <c r="G28" s="41"/>
      <c r="H28" s="41"/>
      <c r="I28" s="41"/>
    </row>
    <row r="29" spans="1:9" x14ac:dyDescent="0.25">
      <c r="A29" s="41"/>
      <c r="B29" s="41"/>
      <c r="C29" s="41"/>
      <c r="D29" s="41"/>
      <c r="E29" s="41"/>
      <c r="F29" s="41"/>
      <c r="G29" s="41"/>
      <c r="H29" s="41"/>
      <c r="I29" s="41"/>
    </row>
    <row r="30" spans="1:9" x14ac:dyDescent="0.25">
      <c r="A30" s="41"/>
      <c r="B30" s="41"/>
      <c r="C30" s="41"/>
      <c r="D30" s="41"/>
      <c r="E30" s="41"/>
      <c r="F30" s="41"/>
      <c r="G30" s="41"/>
      <c r="H30" s="41"/>
      <c r="I30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"/>
  <sheetViews>
    <sheetView workbookViewId="0">
      <selection activeCell="K17" sqref="K17"/>
    </sheetView>
  </sheetViews>
  <sheetFormatPr baseColWidth="10" defaultRowHeight="15" x14ac:dyDescent="0.25"/>
  <sheetData>
    <row r="1" spans="1:8" x14ac:dyDescent="0.25">
      <c r="A1" s="124" t="s">
        <v>159</v>
      </c>
      <c r="B1" s="125"/>
      <c r="C1" s="126"/>
      <c r="D1" s="127"/>
      <c r="E1" s="125"/>
      <c r="F1" s="125"/>
      <c r="G1" s="125"/>
      <c r="H1" s="125"/>
    </row>
    <row r="2" spans="1:8" x14ac:dyDescent="0.25">
      <c r="A2" s="128">
        <v>43587</v>
      </c>
      <c r="B2" s="125" t="s">
        <v>160</v>
      </c>
      <c r="C2" s="129" t="s">
        <v>161</v>
      </c>
      <c r="D2" s="130">
        <v>500</v>
      </c>
      <c r="E2" s="125"/>
      <c r="F2" s="125"/>
      <c r="G2" s="125"/>
      <c r="H2" s="125"/>
    </row>
    <row r="3" spans="1:8" x14ac:dyDescent="0.25">
      <c r="A3" s="128">
        <v>43601</v>
      </c>
      <c r="B3" s="125" t="s">
        <v>162</v>
      </c>
      <c r="C3" s="129" t="s">
        <v>161</v>
      </c>
      <c r="D3" s="130">
        <v>2000</v>
      </c>
      <c r="E3" s="125"/>
      <c r="F3" s="125"/>
      <c r="G3" s="125"/>
      <c r="H3" s="125"/>
    </row>
    <row r="4" spans="1:8" x14ac:dyDescent="0.25">
      <c r="A4" s="128">
        <v>43609</v>
      </c>
      <c r="B4" s="125" t="s">
        <v>163</v>
      </c>
      <c r="C4" s="129" t="s">
        <v>161</v>
      </c>
      <c r="D4" s="130">
        <v>15000</v>
      </c>
      <c r="E4" s="125"/>
      <c r="F4" s="125"/>
      <c r="G4" s="125"/>
      <c r="H4" s="125"/>
    </row>
    <row r="5" spans="1:8" x14ac:dyDescent="0.25">
      <c r="A5" s="128">
        <v>43621</v>
      </c>
      <c r="B5" s="125" t="s">
        <v>164</v>
      </c>
      <c r="C5" s="131" t="s">
        <v>165</v>
      </c>
      <c r="D5" s="130">
        <v>4000</v>
      </c>
      <c r="E5" s="125"/>
      <c r="F5" s="125"/>
      <c r="G5" s="125"/>
      <c r="H5" s="125"/>
    </row>
    <row r="6" spans="1:8" x14ac:dyDescent="0.25">
      <c r="A6" s="128">
        <v>43662</v>
      </c>
      <c r="B6" s="125" t="s">
        <v>166</v>
      </c>
      <c r="C6" s="129" t="s">
        <v>161</v>
      </c>
      <c r="D6" s="130">
        <v>80</v>
      </c>
      <c r="E6" s="125"/>
      <c r="F6" s="125"/>
      <c r="G6" s="125"/>
      <c r="H6" s="125"/>
    </row>
    <row r="7" spans="1:8" x14ac:dyDescent="0.25">
      <c r="A7" s="128">
        <v>43721</v>
      </c>
      <c r="B7" s="125" t="s">
        <v>167</v>
      </c>
      <c r="C7" s="131" t="s">
        <v>165</v>
      </c>
      <c r="D7" s="130">
        <v>7500</v>
      </c>
      <c r="E7" s="125"/>
      <c r="F7" s="125"/>
      <c r="G7" s="125"/>
      <c r="H7" s="125"/>
    </row>
    <row r="8" spans="1:8" x14ac:dyDescent="0.25">
      <c r="A8" s="128">
        <v>43808</v>
      </c>
      <c r="B8" s="125" t="s">
        <v>168</v>
      </c>
      <c r="C8" s="129" t="s">
        <v>161</v>
      </c>
      <c r="D8" s="130">
        <v>1000</v>
      </c>
      <c r="E8" s="125"/>
      <c r="F8" s="125"/>
      <c r="G8" s="125"/>
      <c r="H8" s="125"/>
    </row>
    <row r="9" spans="1:8" x14ac:dyDescent="0.25">
      <c r="A9" s="128">
        <v>43815</v>
      </c>
      <c r="B9" s="125" t="s">
        <v>169</v>
      </c>
      <c r="C9" s="129" t="s">
        <v>161</v>
      </c>
      <c r="D9" s="130">
        <v>3600</v>
      </c>
      <c r="E9" s="125"/>
      <c r="F9" s="125"/>
      <c r="G9" s="125"/>
      <c r="H9" s="125"/>
    </row>
    <row r="10" spans="1:8" x14ac:dyDescent="0.25">
      <c r="A10" s="128">
        <v>43819</v>
      </c>
      <c r="B10" s="125" t="s">
        <v>170</v>
      </c>
      <c r="C10" s="129" t="s">
        <v>161</v>
      </c>
      <c r="D10" s="130">
        <v>4000</v>
      </c>
      <c r="E10" s="130">
        <f>D2+D3+D4+D5+D6+D7+D8+D9+D10</f>
        <v>37680</v>
      </c>
      <c r="F10" s="125"/>
      <c r="G10" s="125"/>
      <c r="H10" s="125"/>
    </row>
    <row r="11" spans="1:8" x14ac:dyDescent="0.25">
      <c r="A11" s="126"/>
      <c r="B11" s="125"/>
      <c r="C11" s="126"/>
      <c r="D11" s="127"/>
      <c r="E11" s="130"/>
      <c r="F11" s="125"/>
      <c r="G11" s="125"/>
      <c r="H11" s="125"/>
    </row>
    <row r="12" spans="1:8" x14ac:dyDescent="0.25">
      <c r="A12" s="128">
        <v>43823</v>
      </c>
      <c r="B12" s="125" t="s">
        <v>171</v>
      </c>
      <c r="C12" s="131" t="s">
        <v>165</v>
      </c>
      <c r="D12" s="130">
        <v>15000</v>
      </c>
      <c r="E12" s="130">
        <v>15000</v>
      </c>
      <c r="F12" s="130">
        <f>E10+E12</f>
        <v>52680</v>
      </c>
      <c r="G12" s="125"/>
      <c r="H12" s="125"/>
    </row>
    <row r="13" spans="1:8" x14ac:dyDescent="0.25">
      <c r="A13" s="126"/>
      <c r="B13" s="125"/>
      <c r="C13" s="126"/>
      <c r="D13" s="127"/>
      <c r="E13" s="130"/>
      <c r="F13" s="125"/>
      <c r="G13" s="125"/>
      <c r="H13" s="125"/>
    </row>
    <row r="14" spans="1:8" x14ac:dyDescent="0.25">
      <c r="A14" s="126"/>
      <c r="B14" s="125"/>
      <c r="C14" s="126"/>
      <c r="D14" s="127"/>
      <c r="E14" s="125"/>
      <c r="F14" s="125"/>
      <c r="G14" s="125"/>
      <c r="H14" s="125"/>
    </row>
    <row r="15" spans="1:8" x14ac:dyDescent="0.25">
      <c r="A15" s="124" t="s">
        <v>172</v>
      </c>
      <c r="B15" s="125"/>
      <c r="C15" s="126"/>
      <c r="D15" s="127"/>
      <c r="E15" s="125"/>
      <c r="F15" s="125"/>
      <c r="G15" s="125"/>
      <c r="H15" s="125"/>
    </row>
    <row r="16" spans="1:8" x14ac:dyDescent="0.25">
      <c r="A16" s="128">
        <v>43920</v>
      </c>
      <c r="B16" s="125" t="s">
        <v>173</v>
      </c>
      <c r="C16" s="131" t="s">
        <v>165</v>
      </c>
      <c r="D16" s="130">
        <v>300</v>
      </c>
      <c r="E16" s="125"/>
      <c r="F16" s="125"/>
      <c r="G16" s="125"/>
      <c r="H16" s="125"/>
    </row>
    <row r="17" spans="1:8" x14ac:dyDescent="0.25">
      <c r="A17" s="128">
        <v>43920</v>
      </c>
      <c r="B17" s="125" t="s">
        <v>174</v>
      </c>
      <c r="C17" s="131" t="s">
        <v>165</v>
      </c>
      <c r="D17" s="130">
        <v>1000</v>
      </c>
      <c r="E17" s="125"/>
      <c r="F17" s="125"/>
      <c r="G17" s="125"/>
      <c r="H17" s="125"/>
    </row>
    <row r="18" spans="1:8" x14ac:dyDescent="0.25">
      <c r="A18" s="128">
        <v>43922</v>
      </c>
      <c r="B18" s="125" t="s">
        <v>168</v>
      </c>
      <c r="C18" s="131" t="s">
        <v>165</v>
      </c>
      <c r="D18" s="130">
        <v>1000</v>
      </c>
      <c r="E18" s="125"/>
      <c r="F18" s="125"/>
      <c r="G18" s="125"/>
      <c r="H18" s="125"/>
    </row>
    <row r="19" spans="1:8" x14ac:dyDescent="0.25">
      <c r="A19" s="128">
        <v>43923</v>
      </c>
      <c r="B19" s="125" t="s">
        <v>175</v>
      </c>
      <c r="C19" s="131" t="s">
        <v>165</v>
      </c>
      <c r="D19" s="130">
        <v>500</v>
      </c>
      <c r="E19" s="125"/>
      <c r="F19" s="125"/>
      <c r="G19" s="125"/>
      <c r="H19" s="125"/>
    </row>
    <row r="20" spans="1:8" x14ac:dyDescent="0.25">
      <c r="A20" s="128">
        <v>43932</v>
      </c>
      <c r="B20" s="125" t="s">
        <v>169</v>
      </c>
      <c r="C20" s="129" t="s">
        <v>161</v>
      </c>
      <c r="D20" s="130">
        <v>3000</v>
      </c>
      <c r="E20" s="125"/>
      <c r="F20" s="125"/>
      <c r="G20" s="125"/>
      <c r="H20" s="125"/>
    </row>
    <row r="21" spans="1:8" x14ac:dyDescent="0.25">
      <c r="A21" s="128">
        <v>43994</v>
      </c>
      <c r="B21" s="125" t="s">
        <v>164</v>
      </c>
      <c r="C21" s="131" t="s">
        <v>165</v>
      </c>
      <c r="D21" s="130">
        <v>3000</v>
      </c>
      <c r="E21" s="125"/>
      <c r="F21" s="125"/>
      <c r="G21" s="125"/>
      <c r="H21" s="125"/>
    </row>
    <row r="22" spans="1:8" x14ac:dyDescent="0.25">
      <c r="A22" s="128">
        <v>43997</v>
      </c>
      <c r="B22" s="125" t="s">
        <v>176</v>
      </c>
      <c r="C22" s="129" t="s">
        <v>161</v>
      </c>
      <c r="D22" s="130">
        <v>250</v>
      </c>
      <c r="E22" s="125"/>
      <c r="F22" s="125"/>
      <c r="G22" s="125"/>
      <c r="H22" s="125"/>
    </row>
    <row r="23" spans="1:8" x14ac:dyDescent="0.25">
      <c r="A23" s="128">
        <v>43997</v>
      </c>
      <c r="B23" s="125" t="s">
        <v>177</v>
      </c>
      <c r="C23" s="129" t="s">
        <v>161</v>
      </c>
      <c r="D23" s="130">
        <v>2000</v>
      </c>
      <c r="E23" s="125"/>
      <c r="F23" s="125"/>
      <c r="G23" s="125"/>
      <c r="H23" s="125"/>
    </row>
    <row r="24" spans="1:8" x14ac:dyDescent="0.25">
      <c r="A24" s="128">
        <v>43997</v>
      </c>
      <c r="B24" s="125" t="s">
        <v>162</v>
      </c>
      <c r="C24" s="129" t="s">
        <v>161</v>
      </c>
      <c r="D24" s="130">
        <v>2000</v>
      </c>
      <c r="E24" s="125"/>
      <c r="F24" s="125"/>
      <c r="G24" s="125"/>
      <c r="H24" s="125"/>
    </row>
    <row r="25" spans="1:8" x14ac:dyDescent="0.25">
      <c r="A25" s="128">
        <v>44112</v>
      </c>
      <c r="B25" s="125" t="s">
        <v>178</v>
      </c>
      <c r="C25" s="129" t="s">
        <v>161</v>
      </c>
      <c r="D25" s="130">
        <v>100</v>
      </c>
      <c r="E25" s="125"/>
      <c r="F25" s="125"/>
      <c r="G25" s="125"/>
      <c r="H25" s="125"/>
    </row>
    <row r="26" spans="1:8" x14ac:dyDescent="0.25">
      <c r="A26" s="128">
        <v>44144</v>
      </c>
      <c r="B26" s="125" t="s">
        <v>168</v>
      </c>
      <c r="C26" s="129" t="s">
        <v>161</v>
      </c>
      <c r="D26" s="130">
        <v>1000</v>
      </c>
      <c r="E26" s="125"/>
      <c r="F26" s="125"/>
      <c r="G26" s="125"/>
      <c r="H26" s="125"/>
    </row>
    <row r="27" spans="1:8" x14ac:dyDescent="0.25">
      <c r="A27" s="128">
        <v>44166</v>
      </c>
      <c r="B27" s="125" t="s">
        <v>179</v>
      </c>
      <c r="C27" s="131" t="s">
        <v>165</v>
      </c>
      <c r="D27" s="130">
        <v>2700</v>
      </c>
      <c r="E27" s="125"/>
      <c r="F27" s="125"/>
      <c r="G27" s="125"/>
      <c r="H27" s="125"/>
    </row>
    <row r="28" spans="1:8" x14ac:dyDescent="0.25">
      <c r="A28" s="128">
        <v>44167</v>
      </c>
      <c r="B28" s="125" t="s">
        <v>177</v>
      </c>
      <c r="C28" s="129" t="s">
        <v>161</v>
      </c>
      <c r="D28" s="130">
        <v>2000</v>
      </c>
      <c r="E28" s="125"/>
      <c r="F28" s="125"/>
      <c r="G28" s="125"/>
      <c r="H28" s="125"/>
    </row>
    <row r="29" spans="1:8" x14ac:dyDescent="0.25">
      <c r="A29" s="132">
        <v>44189</v>
      </c>
      <c r="B29" s="133" t="s">
        <v>166</v>
      </c>
      <c r="C29" s="134" t="s">
        <v>161</v>
      </c>
      <c r="D29" s="135">
        <v>1500</v>
      </c>
      <c r="E29" s="130"/>
      <c r="F29" s="125"/>
      <c r="G29" s="125"/>
      <c r="H29" s="125"/>
    </row>
    <row r="30" spans="1:8" x14ac:dyDescent="0.25">
      <c r="A30" s="132">
        <v>44193</v>
      </c>
      <c r="B30" s="133" t="s">
        <v>169</v>
      </c>
      <c r="C30" s="134" t="s">
        <v>161</v>
      </c>
      <c r="D30" s="136">
        <v>5000</v>
      </c>
      <c r="E30" s="130">
        <f>D16+D17+D18+D19+D20+D21+D22+D23+D24+D25+D26+D27+D28+D30</f>
        <v>23850</v>
      </c>
      <c r="F30" s="125"/>
      <c r="G30" s="125"/>
      <c r="H30" s="125"/>
    </row>
    <row r="31" spans="1:8" x14ac:dyDescent="0.25">
      <c r="A31" s="126"/>
      <c r="B31" s="125"/>
      <c r="C31" s="126"/>
      <c r="D31" s="127"/>
      <c r="E31" s="130"/>
      <c r="F31" s="125"/>
      <c r="G31" s="125"/>
      <c r="H31" s="125"/>
    </row>
    <row r="32" spans="1:8" x14ac:dyDescent="0.25">
      <c r="A32" s="128">
        <v>44181</v>
      </c>
      <c r="B32" s="125" t="s">
        <v>171</v>
      </c>
      <c r="C32" s="131" t="s">
        <v>165</v>
      </c>
      <c r="D32" s="130">
        <v>5500</v>
      </c>
      <c r="E32" s="130">
        <v>5500</v>
      </c>
      <c r="F32" s="130">
        <f>E30+E32</f>
        <v>29350</v>
      </c>
      <c r="G32" s="125"/>
      <c r="H32" s="125"/>
    </row>
    <row r="33" spans="1:8" x14ac:dyDescent="0.25">
      <c r="A33" s="126"/>
      <c r="B33" s="125"/>
      <c r="C33" s="126"/>
      <c r="D33" s="130"/>
      <c r="E33" s="130"/>
      <c r="F33" s="125"/>
      <c r="G33" s="125"/>
      <c r="H33" s="125"/>
    </row>
    <row r="34" spans="1:8" x14ac:dyDescent="0.25">
      <c r="A34" s="126"/>
      <c r="B34" s="125"/>
      <c r="C34" s="126"/>
      <c r="D34" s="127"/>
      <c r="E34" s="125"/>
      <c r="F34" s="125"/>
      <c r="G34" s="125"/>
      <c r="H34" s="125"/>
    </row>
    <row r="35" spans="1:8" x14ac:dyDescent="0.25">
      <c r="A35" s="124" t="s">
        <v>180</v>
      </c>
      <c r="B35" s="125"/>
      <c r="C35" s="126"/>
      <c r="D35" s="127"/>
      <c r="E35" s="125"/>
      <c r="F35" s="125"/>
      <c r="G35" s="125"/>
      <c r="H35" s="125"/>
    </row>
    <row r="36" spans="1:8" x14ac:dyDescent="0.25">
      <c r="A36" s="128">
        <v>44207</v>
      </c>
      <c r="B36" s="125" t="s">
        <v>181</v>
      </c>
      <c r="C36" s="129" t="s">
        <v>161</v>
      </c>
      <c r="D36" s="130">
        <v>175</v>
      </c>
      <c r="E36" s="125"/>
      <c r="F36" s="125"/>
      <c r="G36" s="125"/>
      <c r="H36" s="125"/>
    </row>
    <row r="37" spans="1:8" x14ac:dyDescent="0.25">
      <c r="A37" s="128">
        <v>44223</v>
      </c>
      <c r="B37" s="125" t="s">
        <v>174</v>
      </c>
      <c r="C37" s="131" t="s">
        <v>165</v>
      </c>
      <c r="D37" s="130">
        <v>1000</v>
      </c>
      <c r="E37" s="125"/>
      <c r="F37" s="125"/>
      <c r="G37" s="125"/>
      <c r="H37" s="125"/>
    </row>
    <row r="38" spans="1:8" x14ac:dyDescent="0.25">
      <c r="A38" s="128">
        <v>44229</v>
      </c>
      <c r="B38" s="125" t="s">
        <v>182</v>
      </c>
      <c r="C38" s="131" t="s">
        <v>165</v>
      </c>
      <c r="D38" s="130">
        <v>3000</v>
      </c>
      <c r="E38" s="125"/>
      <c r="F38" s="125"/>
      <c r="G38" s="125"/>
      <c r="H38" s="125"/>
    </row>
    <row r="39" spans="1:8" x14ac:dyDescent="0.25">
      <c r="A39" s="128">
        <v>44230</v>
      </c>
      <c r="B39" s="125" t="s">
        <v>183</v>
      </c>
      <c r="C39" s="129" t="s">
        <v>161</v>
      </c>
      <c r="D39" s="130">
        <v>150</v>
      </c>
      <c r="E39" s="125"/>
      <c r="F39" s="125"/>
      <c r="G39" s="125"/>
      <c r="H39" s="125"/>
    </row>
    <row r="40" spans="1:8" x14ac:dyDescent="0.25">
      <c r="A40" s="128">
        <v>44231</v>
      </c>
      <c r="B40" s="125" t="s">
        <v>184</v>
      </c>
      <c r="C40" s="129" t="s">
        <v>161</v>
      </c>
      <c r="D40" s="130">
        <v>300</v>
      </c>
      <c r="E40" s="125"/>
      <c r="F40" s="125"/>
      <c r="G40" s="125"/>
      <c r="H40" s="125"/>
    </row>
    <row r="41" spans="1:8" x14ac:dyDescent="0.25">
      <c r="A41" s="128">
        <v>44231</v>
      </c>
      <c r="B41" s="125" t="s">
        <v>185</v>
      </c>
      <c r="C41" s="129" t="s">
        <v>161</v>
      </c>
      <c r="D41" s="130">
        <v>500</v>
      </c>
      <c r="E41" s="125"/>
      <c r="F41" s="125"/>
      <c r="G41" s="125"/>
      <c r="H41" s="125"/>
    </row>
    <row r="42" spans="1:8" x14ac:dyDescent="0.25">
      <c r="A42" s="128">
        <v>44320</v>
      </c>
      <c r="B42" s="125" t="s">
        <v>168</v>
      </c>
      <c r="C42" s="131" t="s">
        <v>165</v>
      </c>
      <c r="D42" s="130">
        <v>1000</v>
      </c>
      <c r="E42" s="125"/>
      <c r="F42" s="125"/>
      <c r="G42" s="125"/>
      <c r="H42" s="125"/>
    </row>
    <row r="43" spans="1:8" x14ac:dyDescent="0.25">
      <c r="A43" s="128">
        <v>44343</v>
      </c>
      <c r="B43" s="125" t="s">
        <v>162</v>
      </c>
      <c r="C43" s="129" t="s">
        <v>161</v>
      </c>
      <c r="D43" s="130">
        <v>1950</v>
      </c>
      <c r="E43" s="125"/>
      <c r="F43" s="125"/>
      <c r="G43" s="125"/>
      <c r="H43" s="125"/>
    </row>
    <row r="44" spans="1:8" x14ac:dyDescent="0.25">
      <c r="A44" s="128">
        <v>44349</v>
      </c>
      <c r="B44" s="125" t="s">
        <v>164</v>
      </c>
      <c r="C44" s="131" t="s">
        <v>165</v>
      </c>
      <c r="D44" s="130">
        <v>4000</v>
      </c>
      <c r="E44" s="125"/>
      <c r="F44" s="125"/>
      <c r="G44" s="125"/>
      <c r="H44" s="125"/>
    </row>
    <row r="45" spans="1:8" x14ac:dyDescent="0.25">
      <c r="A45" s="128">
        <v>44531</v>
      </c>
      <c r="B45" s="125" t="s">
        <v>168</v>
      </c>
      <c r="C45" s="131" t="s">
        <v>165</v>
      </c>
      <c r="D45" s="130">
        <v>1000</v>
      </c>
      <c r="E45" s="130"/>
      <c r="F45" s="125"/>
      <c r="G45" s="125"/>
      <c r="H45" s="125"/>
    </row>
    <row r="46" spans="1:8" x14ac:dyDescent="0.25">
      <c r="A46" s="128">
        <v>44926</v>
      </c>
      <c r="B46" s="125" t="s">
        <v>186</v>
      </c>
      <c r="C46" s="129" t="s">
        <v>161</v>
      </c>
      <c r="D46" s="130">
        <v>500</v>
      </c>
      <c r="E46" s="130">
        <f>D35+D36+D37+D38+D39+D40+D41+D42+D43+D44+D45+D46</f>
        <v>13575</v>
      </c>
      <c r="F46" s="125"/>
      <c r="G46" s="125"/>
      <c r="H46" s="125"/>
    </row>
    <row r="47" spans="1:8" x14ac:dyDescent="0.25">
      <c r="A47" s="126"/>
      <c r="B47" s="125"/>
      <c r="C47" s="126"/>
      <c r="D47" s="130"/>
      <c r="E47" s="130"/>
      <c r="F47" s="125"/>
      <c r="G47" s="125"/>
      <c r="H47" s="125"/>
    </row>
    <row r="48" spans="1:8" x14ac:dyDescent="0.25">
      <c r="A48" s="128">
        <v>44551</v>
      </c>
      <c r="B48" s="125" t="s">
        <v>171</v>
      </c>
      <c r="C48" s="131" t="s">
        <v>165</v>
      </c>
      <c r="D48" s="130">
        <v>1450</v>
      </c>
      <c r="E48" s="130">
        <v>1450</v>
      </c>
      <c r="F48" s="130">
        <f>E46+E48</f>
        <v>15025</v>
      </c>
      <c r="G48" s="125"/>
      <c r="H48" s="125"/>
    </row>
    <row r="49" spans="1:8" x14ac:dyDescent="0.25">
      <c r="A49" s="126"/>
      <c r="B49" s="125"/>
      <c r="C49" s="126"/>
      <c r="D49" s="130"/>
      <c r="E49" s="130"/>
      <c r="F49" s="125"/>
      <c r="G49" s="125"/>
      <c r="H49" s="125"/>
    </row>
    <row r="50" spans="1:8" x14ac:dyDescent="0.25">
      <c r="A50" s="126"/>
      <c r="B50" s="125"/>
      <c r="C50" s="126"/>
      <c r="D50" s="130"/>
      <c r="E50" s="125"/>
      <c r="F50" s="130"/>
      <c r="G50" s="125"/>
      <c r="H50" s="125"/>
    </row>
    <row r="51" spans="1:8" x14ac:dyDescent="0.25">
      <c r="A51" s="126"/>
      <c r="B51" s="125"/>
      <c r="C51" s="126"/>
      <c r="D51" s="127"/>
      <c r="E51" s="125"/>
      <c r="F51" s="125"/>
      <c r="G51" s="125"/>
      <c r="H51" s="125"/>
    </row>
    <row r="52" spans="1:8" x14ac:dyDescent="0.25">
      <c r="A52" s="124" t="s">
        <v>187</v>
      </c>
      <c r="B52" s="125"/>
      <c r="C52" s="126"/>
      <c r="D52" s="127"/>
      <c r="E52" s="125"/>
      <c r="F52" s="125"/>
      <c r="G52" s="125"/>
      <c r="H52" s="125"/>
    </row>
    <row r="53" spans="1:8" x14ac:dyDescent="0.25">
      <c r="A53" s="128">
        <v>44586</v>
      </c>
      <c r="B53" s="125" t="s">
        <v>118</v>
      </c>
      <c r="C53" s="131" t="s">
        <v>165</v>
      </c>
      <c r="D53" s="130">
        <v>10000</v>
      </c>
      <c r="E53" s="125"/>
      <c r="F53" s="125"/>
      <c r="G53" s="125"/>
      <c r="H53" s="125"/>
    </row>
    <row r="54" spans="1:8" x14ac:dyDescent="0.25">
      <c r="A54" s="128">
        <v>44586</v>
      </c>
      <c r="B54" s="125" t="s">
        <v>174</v>
      </c>
      <c r="C54" s="131" t="s">
        <v>165</v>
      </c>
      <c r="D54" s="130">
        <v>1000</v>
      </c>
      <c r="E54" s="125"/>
      <c r="F54" s="125"/>
      <c r="G54" s="125"/>
      <c r="H54" s="125"/>
    </row>
    <row r="55" spans="1:8" x14ac:dyDescent="0.25">
      <c r="A55" s="128">
        <v>44690</v>
      </c>
      <c r="B55" s="125" t="s">
        <v>188</v>
      </c>
      <c r="C55" s="131" t="s">
        <v>165</v>
      </c>
      <c r="D55" s="130">
        <v>3000</v>
      </c>
      <c r="E55" s="125"/>
      <c r="F55" s="125"/>
      <c r="G55" s="125"/>
      <c r="H55" s="125"/>
    </row>
    <row r="56" spans="1:8" x14ac:dyDescent="0.25">
      <c r="A56" s="128">
        <v>44705</v>
      </c>
      <c r="B56" s="125" t="s">
        <v>189</v>
      </c>
      <c r="C56" s="129" t="s">
        <v>161</v>
      </c>
      <c r="D56" s="130">
        <v>1600</v>
      </c>
      <c r="E56" s="125"/>
      <c r="F56" s="125"/>
      <c r="G56" s="125"/>
      <c r="H56" s="125"/>
    </row>
    <row r="57" spans="1:8" x14ac:dyDescent="0.25">
      <c r="A57" s="128">
        <v>44720</v>
      </c>
      <c r="B57" s="125" t="s">
        <v>190</v>
      </c>
      <c r="C57" s="131" t="s">
        <v>165</v>
      </c>
      <c r="D57" s="130">
        <v>4000</v>
      </c>
      <c r="E57" s="125"/>
      <c r="F57" s="125"/>
      <c r="G57" s="125"/>
      <c r="H57" s="125"/>
    </row>
    <row r="58" spans="1:8" x14ac:dyDescent="0.25">
      <c r="A58" s="126"/>
      <c r="B58" s="125"/>
      <c r="C58" s="126"/>
      <c r="D58" s="127"/>
      <c r="E58" s="125"/>
      <c r="F58" s="125"/>
      <c r="G58" s="125"/>
      <c r="H58" s="125"/>
    </row>
    <row r="59" spans="1:8" x14ac:dyDescent="0.25">
      <c r="A59" s="126"/>
      <c r="B59" s="125"/>
      <c r="C59" s="126"/>
      <c r="D59" s="127"/>
      <c r="E59" s="125"/>
      <c r="F59" s="125"/>
      <c r="G59" s="125"/>
      <c r="H59" s="125"/>
    </row>
    <row r="60" spans="1:8" x14ac:dyDescent="0.25">
      <c r="A60" s="126"/>
      <c r="B60" s="125"/>
      <c r="C60" s="126"/>
      <c r="D60" s="127"/>
      <c r="E60" s="125"/>
      <c r="F60" s="125"/>
      <c r="G60" s="125"/>
      <c r="H60" s="125"/>
    </row>
    <row r="61" spans="1:8" x14ac:dyDescent="0.25">
      <c r="A61" s="124" t="s">
        <v>191</v>
      </c>
      <c r="B61" s="137" t="s">
        <v>192</v>
      </c>
      <c r="C61" s="126"/>
      <c r="D61" s="127"/>
      <c r="E61" s="125"/>
      <c r="F61" s="125"/>
      <c r="G61" s="125"/>
      <c r="H61" s="125"/>
    </row>
    <row r="62" spans="1:8" x14ac:dyDescent="0.25">
      <c r="A62" s="138">
        <v>44512</v>
      </c>
      <c r="B62" s="125" t="s">
        <v>193</v>
      </c>
      <c r="C62" s="131" t="s">
        <v>165</v>
      </c>
      <c r="D62" s="130">
        <v>50000</v>
      </c>
      <c r="E62" s="125"/>
      <c r="F62" s="125"/>
      <c r="G62" s="125"/>
      <c r="H62" s="125"/>
    </row>
    <row r="63" spans="1:8" x14ac:dyDescent="0.25">
      <c r="A63" s="138">
        <v>44572</v>
      </c>
      <c r="B63" s="125" t="s">
        <v>194</v>
      </c>
      <c r="C63" s="129" t="s">
        <v>161</v>
      </c>
      <c r="D63" s="130">
        <v>2589</v>
      </c>
      <c r="E63" s="125"/>
      <c r="F63" s="125"/>
      <c r="G63" s="125"/>
      <c r="H63" s="125"/>
    </row>
    <row r="64" spans="1:8" x14ac:dyDescent="0.25">
      <c r="A64" s="138">
        <v>44572</v>
      </c>
      <c r="B64" s="125" t="s">
        <v>194</v>
      </c>
      <c r="C64" s="129" t="s">
        <v>161</v>
      </c>
      <c r="D64" s="130">
        <v>100</v>
      </c>
      <c r="E64" s="125"/>
      <c r="F64" s="125"/>
      <c r="G64" s="125"/>
      <c r="H64" s="125"/>
    </row>
    <row r="65" spans="1:8" x14ac:dyDescent="0.25">
      <c r="A65" s="138">
        <v>44637</v>
      </c>
      <c r="B65" s="125" t="s">
        <v>195</v>
      </c>
      <c r="C65" s="131" t="s">
        <v>165</v>
      </c>
      <c r="D65" s="130">
        <v>9600</v>
      </c>
      <c r="E65" s="125"/>
      <c r="F65" s="125"/>
      <c r="G65" s="125"/>
      <c r="H65" s="125"/>
    </row>
    <row r="66" spans="1:8" x14ac:dyDescent="0.25">
      <c r="A66" s="126"/>
      <c r="B66" s="125"/>
      <c r="C66" s="126"/>
      <c r="D66" s="127"/>
      <c r="E66" s="125"/>
      <c r="F66" s="125"/>
      <c r="G66" s="125"/>
      <c r="H66" s="125"/>
    </row>
    <row r="67" spans="1:8" x14ac:dyDescent="0.25">
      <c r="A67" s="126"/>
      <c r="B67" s="125"/>
      <c r="C67" s="126"/>
      <c r="D67" s="127"/>
      <c r="E67" s="125"/>
      <c r="F67" s="125"/>
      <c r="G67" s="125"/>
      <c r="H67" s="125"/>
    </row>
    <row r="68" spans="1:8" x14ac:dyDescent="0.25">
      <c r="A68" s="126"/>
      <c r="B68" s="125"/>
      <c r="C68" s="126"/>
      <c r="D68" s="127"/>
      <c r="E68" s="125"/>
      <c r="F68" s="125"/>
      <c r="G68" s="125"/>
      <c r="H68" s="125"/>
    </row>
    <row r="69" spans="1:8" x14ac:dyDescent="0.25">
      <c r="A69" s="126"/>
      <c r="B69" s="125"/>
      <c r="C69" s="126"/>
      <c r="D69" s="127"/>
      <c r="E69" s="125"/>
      <c r="F69" s="125"/>
      <c r="G69" s="125"/>
      <c r="H69" s="125"/>
    </row>
    <row r="70" spans="1:8" x14ac:dyDescent="0.25">
      <c r="A70" s="126"/>
      <c r="B70" s="125"/>
      <c r="C70" s="126"/>
      <c r="D70" s="127"/>
      <c r="E70" s="125"/>
      <c r="F70" s="125"/>
      <c r="G70" s="125"/>
      <c r="H70" s="125"/>
    </row>
    <row r="71" spans="1:8" x14ac:dyDescent="0.25">
      <c r="A71" s="126"/>
      <c r="B71" s="125"/>
      <c r="C71" s="126"/>
      <c r="D71" s="127"/>
      <c r="E71" s="125"/>
      <c r="F71" s="125"/>
      <c r="G71" s="125"/>
      <c r="H71" s="125"/>
    </row>
    <row r="72" spans="1:8" x14ac:dyDescent="0.25">
      <c r="A72" s="126"/>
      <c r="B72" s="125"/>
      <c r="C72" s="126"/>
      <c r="D72" s="127"/>
      <c r="E72" s="125"/>
      <c r="F72" s="125"/>
      <c r="G72" s="125"/>
      <c r="H72" s="125"/>
    </row>
    <row r="73" spans="1:8" x14ac:dyDescent="0.25">
      <c r="A73" s="126"/>
      <c r="B73" s="125"/>
      <c r="C73" s="126"/>
      <c r="D73" s="127"/>
      <c r="E73" s="125"/>
      <c r="F73" s="125"/>
      <c r="G73" s="125"/>
      <c r="H73" s="125"/>
    </row>
    <row r="74" spans="1:8" x14ac:dyDescent="0.25">
      <c r="A74" s="126"/>
      <c r="B74" s="125"/>
      <c r="C74" s="126"/>
      <c r="D74" s="127"/>
      <c r="E74" s="125"/>
      <c r="F74" s="125"/>
      <c r="G74" s="125"/>
      <c r="H74" s="125"/>
    </row>
    <row r="75" spans="1:8" x14ac:dyDescent="0.25">
      <c r="A75" s="126"/>
      <c r="B75" s="125"/>
      <c r="C75" s="126"/>
      <c r="D75" s="127"/>
      <c r="E75" s="125"/>
      <c r="F75" s="125"/>
      <c r="G75" s="125"/>
      <c r="H75" s="125"/>
    </row>
    <row r="76" spans="1:8" x14ac:dyDescent="0.25">
      <c r="A76" s="126"/>
      <c r="B76" s="125"/>
      <c r="C76" s="126"/>
      <c r="D76" s="127"/>
      <c r="E76" s="125"/>
      <c r="F76" s="125"/>
      <c r="G76" s="125"/>
      <c r="H76" s="125"/>
    </row>
    <row r="77" spans="1:8" x14ac:dyDescent="0.25">
      <c r="A77" s="126"/>
      <c r="B77" s="125"/>
      <c r="C77" s="126"/>
      <c r="D77" s="127"/>
      <c r="E77" s="125"/>
      <c r="F77" s="125"/>
      <c r="G77" s="125"/>
      <c r="H77" s="125"/>
    </row>
    <row r="78" spans="1:8" x14ac:dyDescent="0.25">
      <c r="A78" s="126"/>
      <c r="B78" s="125"/>
      <c r="C78" s="126"/>
      <c r="D78" s="127"/>
      <c r="E78" s="125"/>
      <c r="F78" s="125"/>
      <c r="G78" s="125"/>
      <c r="H78" s="125"/>
    </row>
    <row r="79" spans="1:8" x14ac:dyDescent="0.25">
      <c r="A79" s="126"/>
      <c r="B79" s="125"/>
      <c r="C79" s="126"/>
      <c r="D79" s="127"/>
      <c r="E79" s="125"/>
      <c r="F79" s="125"/>
      <c r="G79" s="125"/>
      <c r="H79" s="125"/>
    </row>
    <row r="80" spans="1:8" x14ac:dyDescent="0.25">
      <c r="A80" s="126"/>
      <c r="B80" s="125"/>
      <c r="C80" s="126"/>
      <c r="D80" s="127"/>
      <c r="E80" s="125"/>
      <c r="F80" s="125"/>
      <c r="G80" s="125"/>
      <c r="H80" s="125"/>
    </row>
    <row r="81" spans="1:8" x14ac:dyDescent="0.25">
      <c r="A81" s="126"/>
      <c r="B81" s="125"/>
      <c r="C81" s="126"/>
      <c r="D81" s="127"/>
      <c r="E81" s="125"/>
      <c r="F81" s="125"/>
      <c r="G81" s="125"/>
      <c r="H81" s="125"/>
    </row>
    <row r="82" spans="1:8" x14ac:dyDescent="0.25">
      <c r="A82" s="126"/>
      <c r="B82" s="125"/>
      <c r="C82" s="126"/>
      <c r="D82" s="127"/>
      <c r="E82" s="125"/>
      <c r="F82" s="125"/>
      <c r="G82" s="125"/>
      <c r="H82" s="125"/>
    </row>
    <row r="83" spans="1:8" x14ac:dyDescent="0.25">
      <c r="A83" s="126"/>
      <c r="B83" s="125"/>
      <c r="C83" s="126"/>
      <c r="D83" s="127"/>
      <c r="E83" s="125"/>
      <c r="F83" s="125"/>
      <c r="G83" s="125"/>
      <c r="H83" s="125"/>
    </row>
    <row r="84" spans="1:8" x14ac:dyDescent="0.25">
      <c r="A84" s="126"/>
      <c r="B84" s="125"/>
      <c r="C84" s="126"/>
      <c r="D84" s="127"/>
      <c r="E84" s="125"/>
      <c r="F84" s="125"/>
      <c r="G84" s="125"/>
      <c r="H84" s="125"/>
    </row>
    <row r="85" spans="1:8" x14ac:dyDescent="0.25">
      <c r="A85" s="126"/>
      <c r="B85" s="125"/>
      <c r="C85" s="126"/>
      <c r="D85" s="127"/>
      <c r="E85" s="125"/>
      <c r="F85" s="125"/>
      <c r="G85" s="125"/>
      <c r="H85" s="125"/>
    </row>
    <row r="86" spans="1:8" x14ac:dyDescent="0.25">
      <c r="A86" s="126"/>
      <c r="B86" s="125"/>
      <c r="C86" s="126"/>
      <c r="D86" s="127"/>
      <c r="E86" s="125"/>
      <c r="F86" s="125"/>
      <c r="G86" s="125"/>
      <c r="H86" s="125"/>
    </row>
    <row r="87" spans="1:8" x14ac:dyDescent="0.25">
      <c r="A87" s="126"/>
      <c r="B87" s="125"/>
      <c r="C87" s="126"/>
      <c r="D87" s="127"/>
      <c r="E87" s="125"/>
      <c r="F87" s="125"/>
      <c r="G87" s="125"/>
      <c r="H87" s="125"/>
    </row>
    <row r="88" spans="1:8" x14ac:dyDescent="0.25">
      <c r="A88" s="126"/>
      <c r="B88" s="125"/>
      <c r="C88" s="126"/>
      <c r="D88" s="127"/>
      <c r="E88" s="125"/>
      <c r="F88" s="125"/>
      <c r="G88" s="125"/>
      <c r="H88" s="125"/>
    </row>
    <row r="89" spans="1:8" x14ac:dyDescent="0.25">
      <c r="A89" s="126"/>
      <c r="B89" s="125"/>
      <c r="C89" s="126"/>
      <c r="D89" s="127"/>
      <c r="E89" s="125"/>
      <c r="F89" s="125"/>
      <c r="G89" s="125"/>
      <c r="H89" s="125"/>
    </row>
    <row r="90" spans="1:8" x14ac:dyDescent="0.25">
      <c r="A90" s="126"/>
      <c r="B90" s="125"/>
      <c r="C90" s="126"/>
      <c r="D90" s="127"/>
      <c r="E90" s="125"/>
      <c r="F90" s="125"/>
      <c r="G90" s="125"/>
      <c r="H90" s="125"/>
    </row>
    <row r="91" spans="1:8" x14ac:dyDescent="0.25">
      <c r="A91" s="126"/>
      <c r="B91" s="125"/>
      <c r="C91" s="126"/>
      <c r="D91" s="127"/>
      <c r="E91" s="125"/>
      <c r="F91" s="125"/>
      <c r="G91" s="125"/>
      <c r="H91" s="125"/>
    </row>
    <row r="92" spans="1:8" x14ac:dyDescent="0.25">
      <c r="A92" s="126"/>
      <c r="B92" s="125"/>
      <c r="C92" s="126"/>
      <c r="D92" s="127"/>
      <c r="E92" s="125"/>
      <c r="F92" s="125"/>
      <c r="G92" s="125"/>
      <c r="H92" s="125"/>
    </row>
    <row r="93" spans="1:8" x14ac:dyDescent="0.25">
      <c r="A93" s="126"/>
      <c r="B93" s="125"/>
      <c r="C93" s="126"/>
      <c r="D93" s="127"/>
      <c r="E93" s="125"/>
      <c r="F93" s="125"/>
      <c r="G93" s="125"/>
      <c r="H93" s="125"/>
    </row>
    <row r="94" spans="1:8" x14ac:dyDescent="0.25">
      <c r="A94" s="126"/>
      <c r="B94" s="125"/>
      <c r="C94" s="126"/>
      <c r="D94" s="127"/>
      <c r="E94" s="125"/>
      <c r="F94" s="125"/>
      <c r="G94" s="125"/>
      <c r="H94" s="125"/>
    </row>
    <row r="95" spans="1:8" x14ac:dyDescent="0.25">
      <c r="A95" s="126"/>
      <c r="B95" s="125"/>
      <c r="C95" s="126"/>
      <c r="D95" s="127"/>
      <c r="E95" s="125"/>
      <c r="F95" s="125"/>
      <c r="G95" s="125"/>
      <c r="H95" s="125"/>
    </row>
    <row r="96" spans="1:8" x14ac:dyDescent="0.25">
      <c r="A96" s="126"/>
      <c r="B96" s="125"/>
      <c r="C96" s="126"/>
      <c r="D96" s="127"/>
      <c r="E96" s="125"/>
      <c r="F96" s="125"/>
      <c r="G96" s="125"/>
      <c r="H96" s="125"/>
    </row>
    <row r="97" spans="1:8" x14ac:dyDescent="0.25">
      <c r="A97" s="126"/>
      <c r="B97" s="125"/>
      <c r="C97" s="126"/>
      <c r="D97" s="127"/>
      <c r="E97" s="125"/>
      <c r="F97" s="125"/>
      <c r="G97" s="125"/>
      <c r="H97" s="125"/>
    </row>
    <row r="98" spans="1:8" x14ac:dyDescent="0.25">
      <c r="A98" s="126"/>
      <c r="B98" s="125"/>
      <c r="C98" s="126"/>
      <c r="D98" s="127"/>
      <c r="E98" s="125"/>
      <c r="F98" s="125"/>
      <c r="G98" s="125"/>
      <c r="H98" s="125"/>
    </row>
    <row r="99" spans="1:8" x14ac:dyDescent="0.25">
      <c r="A99" s="126"/>
      <c r="B99" s="125"/>
      <c r="C99" s="126"/>
      <c r="D99" s="127"/>
      <c r="E99" s="125"/>
      <c r="F99" s="125"/>
      <c r="G99" s="125"/>
      <c r="H99" s="125"/>
    </row>
    <row r="100" spans="1:8" x14ac:dyDescent="0.25">
      <c r="A100" s="126"/>
      <c r="B100" s="125"/>
      <c r="C100" s="126"/>
      <c r="D100" s="127"/>
      <c r="E100" s="125"/>
      <c r="F100" s="125"/>
      <c r="G100" s="125"/>
      <c r="H100" s="125"/>
    </row>
    <row r="101" spans="1:8" x14ac:dyDescent="0.25">
      <c r="A101" s="126"/>
      <c r="B101" s="125"/>
      <c r="C101" s="126"/>
      <c r="D101" s="127"/>
      <c r="E101" s="125"/>
      <c r="F101" s="125"/>
      <c r="G101" s="125"/>
      <c r="H101" s="125"/>
    </row>
    <row r="102" spans="1:8" x14ac:dyDescent="0.25">
      <c r="A102" s="126"/>
      <c r="B102" s="125"/>
      <c r="C102" s="126"/>
      <c r="D102" s="127"/>
      <c r="E102" s="125"/>
      <c r="F102" s="125"/>
      <c r="G102" s="125"/>
      <c r="H102" s="125"/>
    </row>
    <row r="103" spans="1:8" x14ac:dyDescent="0.25">
      <c r="A103" s="126"/>
      <c r="B103" s="125"/>
      <c r="C103" s="126"/>
      <c r="D103" s="127"/>
      <c r="E103" s="125"/>
      <c r="F103" s="125"/>
      <c r="G103" s="125"/>
      <c r="H103" s="125"/>
    </row>
    <row r="104" spans="1:8" x14ac:dyDescent="0.25">
      <c r="A104" s="126"/>
      <c r="B104" s="125"/>
      <c r="C104" s="126"/>
      <c r="D104" s="127"/>
      <c r="E104" s="125"/>
      <c r="F104" s="125"/>
      <c r="G104" s="125"/>
      <c r="H104" s="125"/>
    </row>
    <row r="105" spans="1:8" x14ac:dyDescent="0.25">
      <c r="A105" s="126"/>
      <c r="B105" s="125"/>
      <c r="C105" s="126"/>
      <c r="D105" s="127"/>
      <c r="E105" s="125"/>
      <c r="F105" s="125"/>
      <c r="G105" s="125"/>
      <c r="H105" s="125"/>
    </row>
    <row r="106" spans="1:8" x14ac:dyDescent="0.25">
      <c r="A106" s="126"/>
      <c r="B106" s="125"/>
      <c r="C106" s="126"/>
      <c r="D106" s="127"/>
      <c r="E106" s="125"/>
      <c r="F106" s="125"/>
      <c r="G106" s="125"/>
      <c r="H106" s="125"/>
    </row>
    <row r="107" spans="1:8" x14ac:dyDescent="0.25">
      <c r="A107" s="126"/>
      <c r="B107" s="125"/>
      <c r="C107" s="126"/>
      <c r="D107" s="127"/>
      <c r="E107" s="125"/>
      <c r="F107" s="125"/>
      <c r="G107" s="125"/>
      <c r="H107" s="125"/>
    </row>
    <row r="108" spans="1:8" x14ac:dyDescent="0.25">
      <c r="A108" s="126"/>
      <c r="B108" s="125"/>
      <c r="C108" s="126"/>
      <c r="D108" s="127"/>
      <c r="E108" s="125"/>
      <c r="F108" s="125"/>
      <c r="G108" s="125"/>
      <c r="H108" s="125"/>
    </row>
    <row r="109" spans="1:8" x14ac:dyDescent="0.25">
      <c r="A109" s="126"/>
      <c r="B109" s="125"/>
      <c r="C109" s="126"/>
      <c r="D109" s="127"/>
      <c r="E109" s="125"/>
      <c r="F109" s="125"/>
      <c r="G109" s="125"/>
      <c r="H109" s="1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89"/>
  <sheetViews>
    <sheetView topLeftCell="A82" workbookViewId="0">
      <selection activeCell="F7" sqref="F7"/>
    </sheetView>
  </sheetViews>
  <sheetFormatPr baseColWidth="10" defaultRowHeight="15" x14ac:dyDescent="0.25"/>
  <cols>
    <col min="1" max="1" width="38.5703125" customWidth="1"/>
    <col min="2" max="2" width="50.140625" customWidth="1"/>
    <col min="3" max="3" width="59" customWidth="1"/>
  </cols>
  <sheetData>
    <row r="2" spans="1:3" x14ac:dyDescent="0.25">
      <c r="A2" s="120"/>
      <c r="B2" s="120"/>
      <c r="C2" s="120"/>
    </row>
    <row r="3" spans="1:3" x14ac:dyDescent="0.25">
      <c r="A3" s="139" t="s">
        <v>196</v>
      </c>
      <c r="B3" s="139"/>
      <c r="C3" s="140">
        <f>C4+C5+C6</f>
        <v>27930.309999999998</v>
      </c>
    </row>
    <row r="4" spans="1:3" x14ac:dyDescent="0.25">
      <c r="A4" s="141" t="s">
        <v>197</v>
      </c>
      <c r="B4" s="142" t="s">
        <v>198</v>
      </c>
      <c r="C4" s="140">
        <v>9300</v>
      </c>
    </row>
    <row r="5" spans="1:3" x14ac:dyDescent="0.25">
      <c r="A5" s="141" t="s">
        <v>199</v>
      </c>
      <c r="B5" s="142" t="s">
        <v>200</v>
      </c>
      <c r="C5" s="140">
        <v>9300</v>
      </c>
    </row>
    <row r="6" spans="1:3" x14ac:dyDescent="0.25">
      <c r="A6" s="141" t="s">
        <v>201</v>
      </c>
      <c r="B6" s="142" t="s">
        <v>202</v>
      </c>
      <c r="C6" s="140">
        <v>9330.31</v>
      </c>
    </row>
    <row r="7" spans="1:3" x14ac:dyDescent="0.25">
      <c r="A7" s="139" t="s">
        <v>203</v>
      </c>
      <c r="B7" s="143"/>
      <c r="C7" s="144"/>
    </row>
    <row r="8" spans="1:3" x14ac:dyDescent="0.25">
      <c r="A8" s="120"/>
      <c r="B8" s="120"/>
      <c r="C8" s="120"/>
    </row>
    <row r="9" spans="1:3" x14ac:dyDescent="0.25">
      <c r="A9" s="139" t="s">
        <v>204</v>
      </c>
      <c r="B9" s="139"/>
      <c r="C9" s="140">
        <f>C10+C11+C12</f>
        <v>27930.309999999998</v>
      </c>
    </row>
    <row r="10" spans="1:3" x14ac:dyDescent="0.25">
      <c r="A10" s="141" t="s">
        <v>205</v>
      </c>
      <c r="B10" s="142" t="s">
        <v>206</v>
      </c>
      <c r="C10" s="140">
        <v>9300</v>
      </c>
    </row>
    <row r="11" spans="1:3" x14ac:dyDescent="0.25">
      <c r="A11" s="141" t="s">
        <v>207</v>
      </c>
      <c r="B11" s="142" t="s">
        <v>208</v>
      </c>
      <c r="C11" s="140">
        <v>9300</v>
      </c>
    </row>
    <row r="12" spans="1:3" x14ac:dyDescent="0.25">
      <c r="A12" s="141" t="s">
        <v>209</v>
      </c>
      <c r="B12" s="142" t="s">
        <v>210</v>
      </c>
      <c r="C12" s="140">
        <v>9330.31</v>
      </c>
    </row>
    <row r="13" spans="1:3" x14ac:dyDescent="0.25">
      <c r="A13" s="120"/>
      <c r="B13" s="120"/>
      <c r="C13" s="120"/>
    </row>
    <row r="14" spans="1:3" x14ac:dyDescent="0.25">
      <c r="A14" s="139" t="s">
        <v>211</v>
      </c>
      <c r="B14" s="139"/>
      <c r="C14" s="140">
        <f>C15+C16+C17</f>
        <v>27930.309999999998</v>
      </c>
    </row>
    <row r="15" spans="1:3" x14ac:dyDescent="0.25">
      <c r="A15" s="141" t="s">
        <v>212</v>
      </c>
      <c r="B15" s="142" t="s">
        <v>213</v>
      </c>
      <c r="C15" s="140">
        <v>9300</v>
      </c>
    </row>
    <row r="16" spans="1:3" x14ac:dyDescent="0.25">
      <c r="A16" s="141" t="s">
        <v>214</v>
      </c>
      <c r="B16" s="142" t="s">
        <v>215</v>
      </c>
      <c r="C16" s="140">
        <v>9300</v>
      </c>
    </row>
    <row r="17" spans="1:3" x14ac:dyDescent="0.25">
      <c r="A17" s="141" t="s">
        <v>216</v>
      </c>
      <c r="B17" s="142" t="s">
        <v>217</v>
      </c>
      <c r="C17" s="140">
        <v>9330.31</v>
      </c>
    </row>
    <row r="18" spans="1:3" x14ac:dyDescent="0.25">
      <c r="A18" s="139" t="s">
        <v>218</v>
      </c>
      <c r="B18" s="143"/>
      <c r="C18" s="144"/>
    </row>
    <row r="19" spans="1:3" x14ac:dyDescent="0.25">
      <c r="A19" s="120"/>
      <c r="B19" s="120"/>
      <c r="C19" s="120"/>
    </row>
    <row r="20" spans="1:3" x14ac:dyDescent="0.25">
      <c r="A20" s="139" t="s">
        <v>219</v>
      </c>
      <c r="B20" s="139"/>
      <c r="C20" s="140">
        <f>C21+C22+C23</f>
        <v>28983.97</v>
      </c>
    </row>
    <row r="21" spans="1:3" x14ac:dyDescent="0.25">
      <c r="A21" s="141" t="s">
        <v>220</v>
      </c>
      <c r="B21" s="142" t="s">
        <v>221</v>
      </c>
      <c r="C21" s="140">
        <v>9600</v>
      </c>
    </row>
    <row r="22" spans="1:3" x14ac:dyDescent="0.25">
      <c r="A22" s="141" t="s">
        <v>222</v>
      </c>
      <c r="B22" s="142" t="s">
        <v>223</v>
      </c>
      <c r="C22" s="140">
        <v>9600</v>
      </c>
    </row>
    <row r="23" spans="1:3" x14ac:dyDescent="0.25">
      <c r="A23" s="141" t="s">
        <v>224</v>
      </c>
      <c r="B23" s="142" t="s">
        <v>225</v>
      </c>
      <c r="C23" s="140">
        <v>9783.9699999999993</v>
      </c>
    </row>
    <row r="24" spans="1:3" x14ac:dyDescent="0.25">
      <c r="A24" s="120"/>
      <c r="B24" s="120"/>
      <c r="C24" s="120"/>
    </row>
    <row r="25" spans="1:3" x14ac:dyDescent="0.25">
      <c r="A25" s="139" t="s">
        <v>226</v>
      </c>
      <c r="B25" s="139"/>
      <c r="C25" s="140">
        <f>C26+C27+C28</f>
        <v>28983.97</v>
      </c>
    </row>
    <row r="26" spans="1:3" x14ac:dyDescent="0.25">
      <c r="A26" s="141" t="s">
        <v>227</v>
      </c>
      <c r="B26" s="142" t="s">
        <v>228</v>
      </c>
      <c r="C26" s="140">
        <v>9600</v>
      </c>
    </row>
    <row r="27" spans="1:3" x14ac:dyDescent="0.25">
      <c r="A27" s="141" t="s">
        <v>229</v>
      </c>
      <c r="B27" s="142" t="s">
        <v>230</v>
      </c>
      <c r="C27" s="140">
        <v>9600</v>
      </c>
    </row>
    <row r="28" spans="1:3" x14ac:dyDescent="0.25">
      <c r="A28" s="141" t="s">
        <v>231</v>
      </c>
      <c r="B28" s="142" t="s">
        <v>232</v>
      </c>
      <c r="C28" s="140">
        <v>9783.9699999999993</v>
      </c>
    </row>
    <row r="29" spans="1:3" x14ac:dyDescent="0.25">
      <c r="A29" s="141" t="s">
        <v>233</v>
      </c>
      <c r="B29" s="142" t="s">
        <v>234</v>
      </c>
      <c r="C29" s="140">
        <v>6721</v>
      </c>
    </row>
    <row r="30" spans="1:3" x14ac:dyDescent="0.25">
      <c r="A30" s="141" t="s">
        <v>231</v>
      </c>
      <c r="B30" s="142" t="s">
        <v>235</v>
      </c>
      <c r="C30" s="140">
        <v>6721</v>
      </c>
    </row>
    <row r="31" spans="1:3" x14ac:dyDescent="0.25">
      <c r="A31" s="120"/>
      <c r="B31" s="120"/>
      <c r="C31" s="120"/>
    </row>
    <row r="32" spans="1:3" x14ac:dyDescent="0.25">
      <c r="A32" s="139" t="s">
        <v>236</v>
      </c>
      <c r="B32" s="139"/>
      <c r="C32" s="140">
        <f>C33+C34+C35</f>
        <v>28983.97</v>
      </c>
    </row>
    <row r="33" spans="1:3" x14ac:dyDescent="0.25">
      <c r="A33" s="141" t="s">
        <v>237</v>
      </c>
      <c r="B33" s="142" t="s">
        <v>238</v>
      </c>
      <c r="C33" s="140">
        <v>9600</v>
      </c>
    </row>
    <row r="34" spans="1:3" x14ac:dyDescent="0.25">
      <c r="A34" s="141" t="s">
        <v>239</v>
      </c>
      <c r="B34" s="142" t="s">
        <v>240</v>
      </c>
      <c r="C34" s="140">
        <v>9600</v>
      </c>
    </row>
    <row r="35" spans="1:3" x14ac:dyDescent="0.25">
      <c r="A35" s="141" t="s">
        <v>241</v>
      </c>
      <c r="B35" s="142" t="s">
        <v>242</v>
      </c>
      <c r="C35" s="140">
        <v>9783.9699999999993</v>
      </c>
    </row>
    <row r="36" spans="1:3" x14ac:dyDescent="0.25">
      <c r="A36" s="120"/>
      <c r="B36" s="120"/>
      <c r="C36" s="120"/>
    </row>
    <row r="37" spans="1:3" x14ac:dyDescent="0.25">
      <c r="A37" s="219" t="s">
        <v>243</v>
      </c>
      <c r="B37" s="220"/>
      <c r="C37" s="220"/>
    </row>
    <row r="38" spans="1:3" x14ac:dyDescent="0.25">
      <c r="A38" s="145"/>
      <c r="B38" s="146"/>
      <c r="C38" s="146"/>
    </row>
    <row r="39" spans="1:3" x14ac:dyDescent="0.25">
      <c r="A39" s="139" t="s">
        <v>244</v>
      </c>
      <c r="B39" s="147"/>
      <c r="C39" s="148">
        <f>C40+C41+C42</f>
        <v>29586.059999999998</v>
      </c>
    </row>
    <row r="40" spans="1:3" x14ac:dyDescent="0.25">
      <c r="A40" s="141" t="s">
        <v>245</v>
      </c>
      <c r="B40" s="142" t="s">
        <v>246</v>
      </c>
      <c r="C40" s="140">
        <v>9800</v>
      </c>
    </row>
    <row r="41" spans="1:3" x14ac:dyDescent="0.25">
      <c r="A41" s="141" t="s">
        <v>247</v>
      </c>
      <c r="B41" s="142" t="s">
        <v>248</v>
      </c>
      <c r="C41" s="140">
        <v>9800</v>
      </c>
    </row>
    <row r="42" spans="1:3" x14ac:dyDescent="0.25">
      <c r="A42" s="141" t="s">
        <v>249</v>
      </c>
      <c r="B42" s="142" t="s">
        <v>250</v>
      </c>
      <c r="C42" s="140">
        <v>9986.06</v>
      </c>
    </row>
    <row r="43" spans="1:3" x14ac:dyDescent="0.25">
      <c r="A43" s="149" t="s">
        <v>251</v>
      </c>
      <c r="B43" s="142" t="s">
        <v>172</v>
      </c>
      <c r="C43" s="140">
        <v>3746</v>
      </c>
    </row>
    <row r="44" spans="1:3" x14ac:dyDescent="0.25">
      <c r="A44" s="120"/>
      <c r="B44" s="120"/>
      <c r="C44" s="120"/>
    </row>
    <row r="45" spans="1:3" x14ac:dyDescent="0.25">
      <c r="A45" s="139" t="s">
        <v>252</v>
      </c>
      <c r="B45" s="139"/>
      <c r="C45" s="140">
        <f>C46+C47+C48</f>
        <v>29602.79</v>
      </c>
    </row>
    <row r="46" spans="1:3" x14ac:dyDescent="0.25">
      <c r="A46" s="141" t="s">
        <v>253</v>
      </c>
      <c r="B46" s="142" t="s">
        <v>254</v>
      </c>
      <c r="C46" s="140">
        <v>9860</v>
      </c>
    </row>
    <row r="47" spans="1:3" x14ac:dyDescent="0.25">
      <c r="A47" s="150" t="s">
        <v>255</v>
      </c>
      <c r="B47" s="142" t="s">
        <v>256</v>
      </c>
      <c r="C47" s="140">
        <v>9860</v>
      </c>
    </row>
    <row r="48" spans="1:3" x14ac:dyDescent="0.25">
      <c r="A48" s="141" t="s">
        <v>257</v>
      </c>
      <c r="B48" s="142" t="s">
        <v>258</v>
      </c>
      <c r="C48" s="140">
        <v>9882.7900000000009</v>
      </c>
    </row>
    <row r="49" spans="1:3" x14ac:dyDescent="0.25">
      <c r="A49" s="141" t="s">
        <v>259</v>
      </c>
      <c r="B49" s="142"/>
      <c r="C49" s="140">
        <v>6861.5</v>
      </c>
    </row>
    <row r="50" spans="1:3" x14ac:dyDescent="0.25">
      <c r="A50" s="141" t="s">
        <v>260</v>
      </c>
      <c r="B50" s="142"/>
      <c r="C50" s="140">
        <v>6861.5</v>
      </c>
    </row>
    <row r="51" spans="1:3" x14ac:dyDescent="0.25">
      <c r="A51" s="120"/>
      <c r="B51" s="120"/>
      <c r="C51" s="120"/>
    </row>
    <row r="52" spans="1:3" x14ac:dyDescent="0.25">
      <c r="A52" s="139" t="s">
        <v>261</v>
      </c>
      <c r="B52" s="139"/>
      <c r="C52" s="140">
        <f>C53+C54+C55</f>
        <v>29602.79</v>
      </c>
    </row>
    <row r="53" spans="1:3" x14ac:dyDescent="0.25">
      <c r="A53" s="141" t="s">
        <v>262</v>
      </c>
      <c r="B53" s="142" t="s">
        <v>263</v>
      </c>
      <c r="C53" s="140">
        <v>9867</v>
      </c>
    </row>
    <row r="54" spans="1:3" x14ac:dyDescent="0.25">
      <c r="A54" s="150" t="s">
        <v>264</v>
      </c>
      <c r="B54" s="142" t="s">
        <v>265</v>
      </c>
      <c r="C54" s="140">
        <v>9867</v>
      </c>
    </row>
    <row r="55" spans="1:3" x14ac:dyDescent="0.25">
      <c r="A55" s="141" t="s">
        <v>266</v>
      </c>
      <c r="B55" s="142" t="s">
        <v>267</v>
      </c>
      <c r="C55" s="140">
        <v>9868.7900000000009</v>
      </c>
    </row>
    <row r="56" spans="1:3" x14ac:dyDescent="0.25">
      <c r="A56" s="120"/>
      <c r="B56" s="120"/>
      <c r="C56" s="120"/>
    </row>
    <row r="57" spans="1:3" x14ac:dyDescent="0.25">
      <c r="A57" s="139" t="s">
        <v>268</v>
      </c>
      <c r="B57" s="139"/>
      <c r="C57" s="140">
        <f>C58+C59+C60</f>
        <v>29602.43</v>
      </c>
    </row>
    <row r="58" spans="1:3" x14ac:dyDescent="0.25">
      <c r="A58" s="141" t="s">
        <v>269</v>
      </c>
      <c r="B58" s="142" t="s">
        <v>270</v>
      </c>
      <c r="C58" s="140">
        <v>9867</v>
      </c>
    </row>
    <row r="59" spans="1:3" x14ac:dyDescent="0.25">
      <c r="A59" s="150" t="s">
        <v>271</v>
      </c>
      <c r="B59" s="142" t="s">
        <v>272</v>
      </c>
      <c r="C59" s="140">
        <v>9867</v>
      </c>
    </row>
    <row r="60" spans="1:3" x14ac:dyDescent="0.25">
      <c r="A60" s="141" t="s">
        <v>273</v>
      </c>
      <c r="B60" s="142" t="s">
        <v>274</v>
      </c>
      <c r="C60" s="140">
        <v>9868.43</v>
      </c>
    </row>
    <row r="61" spans="1:3" x14ac:dyDescent="0.25">
      <c r="A61" s="120"/>
      <c r="B61" s="120"/>
      <c r="C61" s="120"/>
    </row>
    <row r="62" spans="1:3" x14ac:dyDescent="0.25">
      <c r="A62" s="139" t="s">
        <v>275</v>
      </c>
      <c r="B62" s="139"/>
      <c r="C62" s="140">
        <f>C63+C64+C65</f>
        <v>29602.43</v>
      </c>
    </row>
    <row r="63" spans="1:3" x14ac:dyDescent="0.25">
      <c r="A63" s="141" t="s">
        <v>276</v>
      </c>
      <c r="B63" s="142" t="s">
        <v>277</v>
      </c>
      <c r="C63" s="140">
        <v>9867</v>
      </c>
    </row>
    <row r="64" spans="1:3" x14ac:dyDescent="0.25">
      <c r="A64" s="150" t="s">
        <v>278</v>
      </c>
      <c r="B64" s="142" t="s">
        <v>279</v>
      </c>
      <c r="C64" s="140">
        <v>9867</v>
      </c>
    </row>
    <row r="65" spans="1:3" x14ac:dyDescent="0.25">
      <c r="A65" s="141" t="s">
        <v>280</v>
      </c>
      <c r="B65" s="142" t="s">
        <v>281</v>
      </c>
      <c r="C65" s="140">
        <v>9868.43</v>
      </c>
    </row>
    <row r="66" spans="1:3" x14ac:dyDescent="0.25">
      <c r="A66" s="120"/>
      <c r="B66" s="120"/>
      <c r="C66" s="120"/>
    </row>
    <row r="67" spans="1:3" x14ac:dyDescent="0.25">
      <c r="A67" s="139" t="s">
        <v>282</v>
      </c>
      <c r="B67" s="151"/>
      <c r="C67" s="140">
        <f>C68+C69+C70</f>
        <v>30459.940000000002</v>
      </c>
    </row>
    <row r="68" spans="1:3" x14ac:dyDescent="0.25">
      <c r="A68" s="141" t="s">
        <v>283</v>
      </c>
      <c r="B68" s="142" t="s">
        <v>284</v>
      </c>
      <c r="C68" s="140">
        <v>10153</v>
      </c>
    </row>
    <row r="69" spans="1:3" x14ac:dyDescent="0.25">
      <c r="A69" s="150" t="s">
        <v>229</v>
      </c>
      <c r="B69" s="142" t="s">
        <v>285</v>
      </c>
      <c r="C69" s="140">
        <v>10153</v>
      </c>
    </row>
    <row r="70" spans="1:3" x14ac:dyDescent="0.25">
      <c r="A70" s="141" t="s">
        <v>286</v>
      </c>
      <c r="B70" s="142" t="s">
        <v>287</v>
      </c>
      <c r="C70" s="140">
        <v>10153.94</v>
      </c>
    </row>
    <row r="71" spans="1:3" x14ac:dyDescent="0.25">
      <c r="A71" s="120"/>
      <c r="B71" s="120"/>
      <c r="C71" s="120"/>
    </row>
    <row r="72" spans="1:3" x14ac:dyDescent="0.25">
      <c r="A72" s="139" t="s">
        <v>288</v>
      </c>
      <c r="B72" s="139"/>
      <c r="C72" s="140">
        <f>C73+C74+C75</f>
        <v>30459.940000000002</v>
      </c>
    </row>
    <row r="73" spans="1:3" x14ac:dyDescent="0.25">
      <c r="A73" s="141" t="s">
        <v>262</v>
      </c>
      <c r="B73" s="142" t="s">
        <v>289</v>
      </c>
      <c r="C73" s="140">
        <v>10153</v>
      </c>
    </row>
    <row r="74" spans="1:3" x14ac:dyDescent="0.25">
      <c r="A74" s="150" t="s">
        <v>290</v>
      </c>
      <c r="B74" s="142" t="s">
        <v>291</v>
      </c>
      <c r="C74" s="140">
        <v>10153</v>
      </c>
    </row>
    <row r="75" spans="1:3" x14ac:dyDescent="0.25">
      <c r="A75" s="141" t="s">
        <v>292</v>
      </c>
      <c r="B75" s="142" t="s">
        <v>293</v>
      </c>
      <c r="C75" s="140">
        <v>10153.94</v>
      </c>
    </row>
    <row r="76" spans="1:3" x14ac:dyDescent="0.25">
      <c r="A76" s="120"/>
      <c r="B76" s="120"/>
      <c r="C76" s="120"/>
    </row>
    <row r="77" spans="1:3" x14ac:dyDescent="0.25">
      <c r="A77" s="139" t="s">
        <v>294</v>
      </c>
      <c r="B77" s="139"/>
      <c r="C77" s="140">
        <f>C78+C79+C80</f>
        <v>30322.300000000003</v>
      </c>
    </row>
    <row r="78" spans="1:3" x14ac:dyDescent="0.25">
      <c r="A78" s="141" t="s">
        <v>295</v>
      </c>
      <c r="B78" s="142" t="s">
        <v>296</v>
      </c>
      <c r="C78" s="140">
        <v>10108</v>
      </c>
    </row>
    <row r="79" spans="1:3" x14ac:dyDescent="0.25">
      <c r="A79" s="150" t="s">
        <v>271</v>
      </c>
      <c r="B79" s="142" t="s">
        <v>297</v>
      </c>
      <c r="C79" s="140">
        <v>10107.15</v>
      </c>
    </row>
    <row r="80" spans="1:3" x14ac:dyDescent="0.25">
      <c r="A80" s="141" t="s">
        <v>298</v>
      </c>
      <c r="B80" s="142" t="s">
        <v>299</v>
      </c>
      <c r="C80" s="140">
        <v>10107.15</v>
      </c>
    </row>
    <row r="81" spans="1:3" x14ac:dyDescent="0.25">
      <c r="A81" s="120"/>
      <c r="B81" s="120"/>
      <c r="C81" s="120"/>
    </row>
    <row r="82" spans="1:3" x14ac:dyDescent="0.25">
      <c r="A82" s="139" t="s">
        <v>300</v>
      </c>
      <c r="B82" s="139"/>
      <c r="C82" s="140">
        <f>C83+C84+C85</f>
        <v>20215.150000000001</v>
      </c>
    </row>
    <row r="83" spans="1:3" x14ac:dyDescent="0.25">
      <c r="A83" s="141" t="s">
        <v>301</v>
      </c>
      <c r="B83" s="142" t="s">
        <v>302</v>
      </c>
      <c r="C83" s="140">
        <v>10108</v>
      </c>
    </row>
    <row r="84" spans="1:3" x14ac:dyDescent="0.25">
      <c r="A84" s="150" t="s">
        <v>303</v>
      </c>
      <c r="B84" s="142" t="s">
        <v>304</v>
      </c>
      <c r="C84" s="140">
        <v>10107.15</v>
      </c>
    </row>
    <row r="85" spans="1:3" x14ac:dyDescent="0.25">
      <c r="A85" s="141" t="s">
        <v>305</v>
      </c>
      <c r="B85" s="142" t="s">
        <v>306</v>
      </c>
      <c r="C85" s="140"/>
    </row>
    <row r="86" spans="1:3" x14ac:dyDescent="0.25">
      <c r="A86" s="120"/>
      <c r="B86" s="120"/>
      <c r="C86" s="120"/>
    </row>
    <row r="87" spans="1:3" x14ac:dyDescent="0.25">
      <c r="A87" s="120"/>
      <c r="B87" s="120"/>
      <c r="C87" s="120"/>
    </row>
    <row r="88" spans="1:3" x14ac:dyDescent="0.25">
      <c r="A88" s="120"/>
      <c r="B88" s="120"/>
      <c r="C88" s="120"/>
    </row>
    <row r="89" spans="1:3" x14ac:dyDescent="0.25">
      <c r="A89" s="120"/>
      <c r="B89" s="120"/>
      <c r="C89" s="120"/>
    </row>
  </sheetData>
  <mergeCells count="1">
    <mergeCell ref="A37:C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3"/>
  <sheetViews>
    <sheetView workbookViewId="0">
      <selection activeCell="I8" sqref="I8"/>
    </sheetView>
  </sheetViews>
  <sheetFormatPr baseColWidth="10" defaultRowHeight="15" x14ac:dyDescent="0.25"/>
  <sheetData>
    <row r="2" spans="1:6" x14ac:dyDescent="0.25">
      <c r="A2" s="152" t="s">
        <v>307</v>
      </c>
      <c r="B2" s="152"/>
      <c r="C2" s="152"/>
      <c r="D2" s="152"/>
      <c r="E2" s="152"/>
      <c r="F2" s="113"/>
    </row>
    <row r="3" spans="1:6" x14ac:dyDescent="0.25">
      <c r="A3" s="152" t="s">
        <v>308</v>
      </c>
      <c r="B3" s="153">
        <v>22936</v>
      </c>
      <c r="C3" s="154" t="s">
        <v>309</v>
      </c>
      <c r="D3" s="152" t="s">
        <v>310</v>
      </c>
      <c r="E3" s="152"/>
      <c r="F3" s="113"/>
    </row>
    <row r="4" spans="1:6" x14ac:dyDescent="0.25">
      <c r="A4" s="155" t="s">
        <v>311</v>
      </c>
      <c r="B4" s="156">
        <v>2000</v>
      </c>
      <c r="C4" s="157" t="s">
        <v>312</v>
      </c>
      <c r="D4" s="158">
        <v>42811</v>
      </c>
      <c r="E4" s="155" t="s">
        <v>313</v>
      </c>
      <c r="F4" s="159"/>
    </row>
    <row r="5" spans="1:6" x14ac:dyDescent="0.25">
      <c r="A5" s="155" t="s">
        <v>314</v>
      </c>
      <c r="B5" s="156">
        <v>3000</v>
      </c>
      <c r="C5" s="157" t="s">
        <v>315</v>
      </c>
      <c r="D5" s="157" t="s">
        <v>316</v>
      </c>
      <c r="E5" s="155" t="s">
        <v>313</v>
      </c>
      <c r="F5" s="159"/>
    </row>
    <row r="6" spans="1:6" x14ac:dyDescent="0.25">
      <c r="A6" s="155" t="s">
        <v>317</v>
      </c>
      <c r="B6" s="156">
        <v>2500</v>
      </c>
      <c r="C6" s="157" t="s">
        <v>318</v>
      </c>
      <c r="D6" s="158">
        <v>42909</v>
      </c>
      <c r="E6" s="155" t="s">
        <v>319</v>
      </c>
      <c r="F6" s="159"/>
    </row>
    <row r="7" spans="1:6" x14ac:dyDescent="0.25">
      <c r="A7" s="155" t="s">
        <v>320</v>
      </c>
      <c r="B7" s="156">
        <v>1000</v>
      </c>
      <c r="C7" s="157" t="s">
        <v>321</v>
      </c>
      <c r="D7" s="158">
        <v>42997</v>
      </c>
      <c r="E7" s="155" t="s">
        <v>313</v>
      </c>
      <c r="F7" s="159"/>
    </row>
    <row r="8" spans="1:6" x14ac:dyDescent="0.25">
      <c r="A8" s="155" t="s">
        <v>322</v>
      </c>
      <c r="B8" s="156">
        <v>350</v>
      </c>
      <c r="C8" s="157" t="s">
        <v>323</v>
      </c>
      <c r="D8" s="157" t="s">
        <v>324</v>
      </c>
      <c r="E8" s="155" t="s">
        <v>325</v>
      </c>
      <c r="F8" s="159"/>
    </row>
    <row r="9" spans="1:6" x14ac:dyDescent="0.25">
      <c r="A9" s="155" t="s">
        <v>317</v>
      </c>
      <c r="B9" s="156">
        <v>2500</v>
      </c>
      <c r="C9" s="157" t="s">
        <v>326</v>
      </c>
      <c r="D9" s="158">
        <v>43236</v>
      </c>
      <c r="E9" s="155" t="s">
        <v>327</v>
      </c>
      <c r="F9" s="159"/>
    </row>
    <row r="10" spans="1:6" x14ac:dyDescent="0.25">
      <c r="A10" s="160" t="s">
        <v>317</v>
      </c>
      <c r="B10" s="161">
        <v>2500</v>
      </c>
      <c r="C10" s="162" t="s">
        <v>328</v>
      </c>
      <c r="D10" s="163" t="s">
        <v>329</v>
      </c>
      <c r="E10" s="160"/>
      <c r="F10" s="164"/>
    </row>
    <row r="11" spans="1:6" x14ac:dyDescent="0.25">
      <c r="A11" s="165" t="s">
        <v>311</v>
      </c>
      <c r="B11" s="153">
        <v>2000</v>
      </c>
      <c r="C11" s="153" t="s">
        <v>330</v>
      </c>
      <c r="D11" s="166">
        <v>43369</v>
      </c>
      <c r="E11" s="113"/>
      <c r="F11" s="113"/>
    </row>
    <row r="12" spans="1:6" x14ac:dyDescent="0.25">
      <c r="A12" s="167" t="s">
        <v>331</v>
      </c>
      <c r="B12" s="168">
        <v>500</v>
      </c>
      <c r="C12" s="169" t="s">
        <v>332</v>
      </c>
      <c r="D12" s="163" t="s">
        <v>333</v>
      </c>
      <c r="E12" s="113"/>
      <c r="F12" s="113"/>
    </row>
    <row r="13" spans="1:6" x14ac:dyDescent="0.25">
      <c r="A13" s="155" t="s">
        <v>334</v>
      </c>
      <c r="B13" s="156">
        <v>2395.1999999999998</v>
      </c>
      <c r="C13" s="157" t="s">
        <v>335</v>
      </c>
      <c r="D13" s="157" t="s">
        <v>336</v>
      </c>
      <c r="E13" s="113"/>
      <c r="F13" s="113"/>
    </row>
    <row r="14" spans="1:6" x14ac:dyDescent="0.25">
      <c r="A14" s="167" t="s">
        <v>337</v>
      </c>
      <c r="B14" s="168">
        <v>1962</v>
      </c>
      <c r="C14" s="154" t="s">
        <v>338</v>
      </c>
      <c r="D14" s="170">
        <v>43781</v>
      </c>
      <c r="E14" s="113"/>
      <c r="F14" s="113"/>
    </row>
    <row r="15" spans="1:6" x14ac:dyDescent="0.25">
      <c r="A15" s="152" t="s">
        <v>334</v>
      </c>
      <c r="B15" s="153">
        <v>3000</v>
      </c>
      <c r="C15" s="154" t="s">
        <v>339</v>
      </c>
      <c r="D15" s="166">
        <v>43850</v>
      </c>
      <c r="E15" s="120"/>
      <c r="F15" s="120"/>
    </row>
    <row r="16" spans="1:6" x14ac:dyDescent="0.25">
      <c r="A16" s="152" t="s">
        <v>334</v>
      </c>
      <c r="B16" s="153">
        <v>3000</v>
      </c>
      <c r="C16" s="154" t="s">
        <v>340</v>
      </c>
      <c r="D16" s="166">
        <v>44186</v>
      </c>
      <c r="E16" s="120"/>
      <c r="F16" s="120"/>
    </row>
    <row r="17" spans="1:6" x14ac:dyDescent="0.25">
      <c r="A17" s="155" t="s">
        <v>341</v>
      </c>
      <c r="B17" s="156">
        <v>2000</v>
      </c>
      <c r="C17" s="157" t="s">
        <v>342</v>
      </c>
      <c r="D17" s="158">
        <v>44434</v>
      </c>
      <c r="E17" s="159" t="s">
        <v>343</v>
      </c>
      <c r="F17" s="159"/>
    </row>
    <row r="18" spans="1:6" x14ac:dyDescent="0.25">
      <c r="A18" s="152" t="s">
        <v>311</v>
      </c>
      <c r="B18" s="153">
        <v>2000</v>
      </c>
      <c r="C18" s="153" t="s">
        <v>344</v>
      </c>
      <c r="D18" s="154" t="s">
        <v>345</v>
      </c>
      <c r="E18" s="120"/>
      <c r="F18" s="120"/>
    </row>
    <row r="19" spans="1:6" x14ac:dyDescent="0.25">
      <c r="A19" s="171" t="s">
        <v>346</v>
      </c>
      <c r="B19" s="172">
        <v>150</v>
      </c>
      <c r="C19" s="173" t="s">
        <v>347</v>
      </c>
      <c r="D19" s="162" t="s">
        <v>345</v>
      </c>
      <c r="E19" s="120"/>
      <c r="F19" s="120"/>
    </row>
    <row r="20" spans="1:6" x14ac:dyDescent="0.25">
      <c r="A20" s="160" t="s">
        <v>341</v>
      </c>
      <c r="B20" s="153">
        <v>10000</v>
      </c>
      <c r="C20" s="154" t="s">
        <v>348</v>
      </c>
      <c r="D20" s="174" t="s">
        <v>349</v>
      </c>
      <c r="E20" s="120"/>
      <c r="F20" s="120"/>
    </row>
    <row r="21" spans="1:6" x14ac:dyDescent="0.25">
      <c r="A21" s="171" t="s">
        <v>350</v>
      </c>
      <c r="B21" s="172">
        <v>1500</v>
      </c>
      <c r="C21" s="173" t="s">
        <v>351</v>
      </c>
      <c r="D21" s="170">
        <v>44699</v>
      </c>
      <c r="E21" s="120"/>
      <c r="F21" s="120"/>
    </row>
    <row r="22" spans="1:6" x14ac:dyDescent="0.25">
      <c r="A22" s="120"/>
      <c r="B22" s="120"/>
      <c r="C22" s="120"/>
      <c r="D22" s="120"/>
      <c r="E22" s="120"/>
      <c r="F22" s="120"/>
    </row>
    <row r="23" spans="1:6" x14ac:dyDescent="0.25">
      <c r="A23" s="120"/>
      <c r="B23" s="120"/>
      <c r="C23" s="120"/>
      <c r="D23" s="120"/>
      <c r="E23" s="120"/>
      <c r="F23" s="12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30" sqref="J30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51"/>
  <sheetViews>
    <sheetView topLeftCell="A10" workbookViewId="0">
      <selection activeCell="B19" sqref="B19:B24"/>
    </sheetView>
  </sheetViews>
  <sheetFormatPr baseColWidth="10" defaultRowHeight="15" x14ac:dyDescent="0.25"/>
  <cols>
    <col min="1" max="1" width="29.140625" customWidth="1"/>
    <col min="3" max="3" width="45.85546875" customWidth="1"/>
  </cols>
  <sheetData>
    <row r="3" spans="1:3" x14ac:dyDescent="0.25">
      <c r="A3" s="183" t="s">
        <v>396</v>
      </c>
      <c r="B3" s="183" t="s">
        <v>380</v>
      </c>
      <c r="C3" s="183" t="s">
        <v>379</v>
      </c>
    </row>
    <row r="4" spans="1:3" x14ac:dyDescent="0.25">
      <c r="A4" s="224">
        <v>44817</v>
      </c>
      <c r="B4" s="183"/>
      <c r="C4" s="183"/>
    </row>
    <row r="5" spans="1:3" x14ac:dyDescent="0.25">
      <c r="A5" s="225"/>
      <c r="B5" s="183">
        <v>12.98</v>
      </c>
      <c r="C5" s="183" t="s">
        <v>382</v>
      </c>
    </row>
    <row r="6" spans="1:3" x14ac:dyDescent="0.25">
      <c r="A6" s="225"/>
      <c r="B6" s="183">
        <v>19.34</v>
      </c>
      <c r="C6" s="183" t="s">
        <v>381</v>
      </c>
    </row>
    <row r="7" spans="1:3" x14ac:dyDescent="0.25">
      <c r="A7" s="225"/>
      <c r="B7" s="183">
        <v>83.8</v>
      </c>
      <c r="C7" s="183" t="s">
        <v>381</v>
      </c>
    </row>
    <row r="8" spans="1:3" x14ac:dyDescent="0.25">
      <c r="A8" s="225"/>
      <c r="B8" s="183">
        <v>600.28</v>
      </c>
      <c r="C8" s="183" t="s">
        <v>381</v>
      </c>
    </row>
    <row r="9" spans="1:3" x14ac:dyDescent="0.25">
      <c r="A9" s="225"/>
      <c r="B9" s="183">
        <v>6.55</v>
      </c>
      <c r="C9" s="183" t="s">
        <v>383</v>
      </c>
    </row>
    <row r="10" spans="1:3" x14ac:dyDescent="0.25">
      <c r="A10" s="225"/>
      <c r="B10" s="183">
        <v>8.02</v>
      </c>
      <c r="C10" s="183" t="s">
        <v>384</v>
      </c>
    </row>
    <row r="11" spans="1:3" x14ac:dyDescent="0.25">
      <c r="A11" s="225"/>
      <c r="B11" s="183">
        <v>44.24</v>
      </c>
      <c r="C11" s="183" t="s">
        <v>385</v>
      </c>
    </row>
    <row r="12" spans="1:3" x14ac:dyDescent="0.25">
      <c r="A12" s="225"/>
      <c r="B12" s="183">
        <v>5.71</v>
      </c>
      <c r="C12" s="183" t="s">
        <v>381</v>
      </c>
    </row>
    <row r="13" spans="1:3" x14ac:dyDescent="0.25">
      <c r="A13" s="225"/>
      <c r="B13" s="183">
        <v>25.72</v>
      </c>
      <c r="C13" s="183" t="s">
        <v>386</v>
      </c>
    </row>
    <row r="14" spans="1:3" x14ac:dyDescent="0.25">
      <c r="A14" s="225"/>
      <c r="B14" s="183">
        <v>39.840000000000003</v>
      </c>
      <c r="C14" s="183" t="s">
        <v>381</v>
      </c>
    </row>
    <row r="15" spans="1:3" ht="15.75" thickBot="1" x14ac:dyDescent="0.3">
      <c r="A15" s="226"/>
      <c r="B15" s="187">
        <v>1454.44</v>
      </c>
      <c r="C15" s="187" t="s">
        <v>381</v>
      </c>
    </row>
    <row r="16" spans="1:3" x14ac:dyDescent="0.25">
      <c r="A16" s="221">
        <v>44816</v>
      </c>
      <c r="B16" s="185">
        <v>2109.39</v>
      </c>
      <c r="C16" s="185" t="s">
        <v>387</v>
      </c>
    </row>
    <row r="17" spans="1:3" x14ac:dyDescent="0.25">
      <c r="A17" s="222"/>
      <c r="B17" s="184">
        <v>223.57</v>
      </c>
      <c r="C17" s="184" t="s">
        <v>388</v>
      </c>
    </row>
    <row r="18" spans="1:3" ht="15.75" thickBot="1" x14ac:dyDescent="0.3">
      <c r="A18" s="223"/>
      <c r="B18" s="186">
        <v>639.1</v>
      </c>
      <c r="C18" s="186" t="s">
        <v>389</v>
      </c>
    </row>
    <row r="19" spans="1:3" x14ac:dyDescent="0.25">
      <c r="A19" s="221">
        <v>44813</v>
      </c>
      <c r="B19" s="185">
        <v>988.17</v>
      </c>
      <c r="C19" s="185" t="s">
        <v>390</v>
      </c>
    </row>
    <row r="20" spans="1:3" x14ac:dyDescent="0.25">
      <c r="A20" s="222"/>
      <c r="B20" s="184">
        <v>1484.09</v>
      </c>
      <c r="C20" s="184" t="s">
        <v>391</v>
      </c>
    </row>
    <row r="21" spans="1:3" x14ac:dyDescent="0.25">
      <c r="A21" s="222"/>
      <c r="B21" s="184">
        <v>17.989999999999998</v>
      </c>
      <c r="C21" s="184" t="s">
        <v>392</v>
      </c>
    </row>
    <row r="22" spans="1:3" x14ac:dyDescent="0.25">
      <c r="A22" s="222"/>
      <c r="B22" s="184">
        <v>1193.21</v>
      </c>
      <c r="C22" s="184" t="s">
        <v>393</v>
      </c>
    </row>
    <row r="23" spans="1:3" x14ac:dyDescent="0.25">
      <c r="A23" s="222"/>
      <c r="B23" s="184">
        <v>94.16</v>
      </c>
      <c r="C23" s="184" t="s">
        <v>394</v>
      </c>
    </row>
    <row r="24" spans="1:3" ht="15.75" thickBot="1" x14ac:dyDescent="0.3">
      <c r="A24" s="223"/>
      <c r="B24" s="186">
        <v>586.4</v>
      </c>
      <c r="C24" s="186" t="s">
        <v>395</v>
      </c>
    </row>
    <row r="25" spans="1:3" x14ac:dyDescent="0.25">
      <c r="A25" s="221">
        <v>44806</v>
      </c>
      <c r="B25" s="185">
        <v>511.6</v>
      </c>
      <c r="C25" s="185" t="s">
        <v>399</v>
      </c>
    </row>
    <row r="26" spans="1:3" x14ac:dyDescent="0.25">
      <c r="A26" s="222"/>
      <c r="B26" s="184">
        <v>273.54000000000002</v>
      </c>
      <c r="C26" s="184" t="s">
        <v>400</v>
      </c>
    </row>
    <row r="27" spans="1:3" x14ac:dyDescent="0.25">
      <c r="A27" s="222"/>
      <c r="B27" s="184">
        <v>879.23</v>
      </c>
      <c r="C27" s="183" t="s">
        <v>398</v>
      </c>
    </row>
    <row r="28" spans="1:3" x14ac:dyDescent="0.25">
      <c r="A28" s="222"/>
      <c r="B28" s="184">
        <v>1169.0899999999999</v>
      </c>
      <c r="C28" s="183" t="s">
        <v>397</v>
      </c>
    </row>
    <row r="29" spans="1:3" x14ac:dyDescent="0.25">
      <c r="A29" s="222"/>
      <c r="B29" s="184">
        <v>1591.82</v>
      </c>
      <c r="C29" s="183" t="s">
        <v>401</v>
      </c>
    </row>
    <row r="30" spans="1:3" x14ac:dyDescent="0.25">
      <c r="A30" s="222"/>
      <c r="B30" s="184">
        <v>1191.3699999999999</v>
      </c>
      <c r="C30" s="184" t="s">
        <v>405</v>
      </c>
    </row>
    <row r="31" spans="1:3" x14ac:dyDescent="0.25">
      <c r="A31" s="222"/>
      <c r="B31" s="184">
        <v>213.92</v>
      </c>
      <c r="C31" s="183" t="s">
        <v>404</v>
      </c>
    </row>
    <row r="32" spans="1:3" x14ac:dyDescent="0.25">
      <c r="A32" s="222"/>
      <c r="B32" s="184">
        <v>458.71</v>
      </c>
      <c r="C32" s="183" t="s">
        <v>403</v>
      </c>
    </row>
    <row r="33" spans="1:3" x14ac:dyDescent="0.25">
      <c r="A33" s="222"/>
      <c r="B33" s="184">
        <v>135.38999999999999</v>
      </c>
      <c r="C33" s="183" t="s">
        <v>402</v>
      </c>
    </row>
    <row r="34" spans="1:3" ht="15.75" thickBot="1" x14ac:dyDescent="0.3">
      <c r="A34" s="223"/>
      <c r="B34" s="186">
        <v>345.41</v>
      </c>
      <c r="C34" s="187" t="s">
        <v>406</v>
      </c>
    </row>
    <row r="35" spans="1:3" x14ac:dyDescent="0.25">
      <c r="A35" s="221" t="s">
        <v>421</v>
      </c>
      <c r="B35" s="185">
        <v>587.5</v>
      </c>
      <c r="C35" s="185" t="s">
        <v>407</v>
      </c>
    </row>
    <row r="36" spans="1:3" x14ac:dyDescent="0.25">
      <c r="A36" s="222"/>
      <c r="B36" s="184">
        <v>290.39</v>
      </c>
      <c r="C36" s="184" t="s">
        <v>408</v>
      </c>
    </row>
    <row r="37" spans="1:3" x14ac:dyDescent="0.25">
      <c r="A37" s="222"/>
      <c r="B37" s="184">
        <v>1685.59</v>
      </c>
      <c r="C37" s="184" t="s">
        <v>409</v>
      </c>
    </row>
    <row r="38" spans="1:3" ht="15.75" thickBot="1" x14ac:dyDescent="0.3">
      <c r="A38" s="223"/>
      <c r="B38" s="186">
        <v>315.92</v>
      </c>
      <c r="C38" s="186" t="s">
        <v>410</v>
      </c>
    </row>
    <row r="39" spans="1:3" x14ac:dyDescent="0.25">
      <c r="A39" s="221" t="s">
        <v>422</v>
      </c>
      <c r="B39" s="185">
        <v>1768.14</v>
      </c>
      <c r="C39" s="185" t="s">
        <v>413</v>
      </c>
    </row>
    <row r="40" spans="1:3" x14ac:dyDescent="0.25">
      <c r="A40" s="222"/>
      <c r="B40" s="184">
        <v>1462.42</v>
      </c>
      <c r="C40" s="184" t="s">
        <v>414</v>
      </c>
    </row>
    <row r="41" spans="1:3" x14ac:dyDescent="0.25">
      <c r="A41" s="222"/>
      <c r="B41" s="184">
        <v>178.53</v>
      </c>
      <c r="C41" s="184" t="s">
        <v>415</v>
      </c>
    </row>
    <row r="42" spans="1:3" ht="15.75" thickBot="1" x14ac:dyDescent="0.3">
      <c r="A42" s="223"/>
      <c r="B42" s="188">
        <v>521.86</v>
      </c>
      <c r="C42" s="188" t="s">
        <v>415</v>
      </c>
    </row>
    <row r="43" spans="1:3" x14ac:dyDescent="0.25">
      <c r="A43" s="221" t="s">
        <v>423</v>
      </c>
      <c r="B43" s="184">
        <v>221.56</v>
      </c>
      <c r="C43" s="184" t="s">
        <v>411</v>
      </c>
    </row>
    <row r="44" spans="1:3" x14ac:dyDescent="0.25">
      <c r="A44" s="222"/>
      <c r="B44" s="184">
        <v>346.64</v>
      </c>
      <c r="C44" s="184" t="s">
        <v>412</v>
      </c>
    </row>
    <row r="45" spans="1:3" x14ac:dyDescent="0.25">
      <c r="A45" s="222"/>
      <c r="B45" s="184">
        <v>1753.52</v>
      </c>
      <c r="C45" s="184" t="s">
        <v>412</v>
      </c>
    </row>
    <row r="46" spans="1:3" x14ac:dyDescent="0.25">
      <c r="A46" s="222"/>
      <c r="B46" s="184">
        <v>692.1</v>
      </c>
      <c r="C46" s="184" t="s">
        <v>416</v>
      </c>
    </row>
    <row r="47" spans="1:3" x14ac:dyDescent="0.25">
      <c r="A47" s="222"/>
      <c r="B47" s="184">
        <v>16.39</v>
      </c>
      <c r="C47" s="184" t="s">
        <v>417</v>
      </c>
    </row>
    <row r="48" spans="1:3" x14ac:dyDescent="0.25">
      <c r="A48" s="222"/>
      <c r="B48" s="184">
        <v>181.5</v>
      </c>
      <c r="C48" s="184" t="s">
        <v>418</v>
      </c>
    </row>
    <row r="49" spans="1:3" x14ac:dyDescent="0.25">
      <c r="A49" s="222"/>
      <c r="B49" s="184">
        <v>232.32</v>
      </c>
      <c r="C49" s="184" t="s">
        <v>419</v>
      </c>
    </row>
    <row r="50" spans="1:3" x14ac:dyDescent="0.25">
      <c r="A50" s="222"/>
      <c r="B50" s="188">
        <v>793.29</v>
      </c>
      <c r="C50" s="188" t="s">
        <v>410</v>
      </c>
    </row>
    <row r="51" spans="1:3" x14ac:dyDescent="0.25">
      <c r="A51" s="189">
        <v>44743</v>
      </c>
      <c r="B51" s="184">
        <v>1194.6500000000001</v>
      </c>
      <c r="C51" s="184" t="s">
        <v>420</v>
      </c>
    </row>
  </sheetData>
  <mergeCells count="7">
    <mergeCell ref="A35:A38"/>
    <mergeCell ref="A39:A42"/>
    <mergeCell ref="A43:A50"/>
    <mergeCell ref="A4:A15"/>
    <mergeCell ref="A16:A18"/>
    <mergeCell ref="A19:A24"/>
    <mergeCell ref="A25:A3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DETAILS</vt:lpstr>
      <vt:lpstr>ASP 2019 à2022</vt:lpstr>
      <vt:lpstr>ASP-RECAP-JD</vt:lpstr>
      <vt:lpstr>TAXES</vt:lpstr>
      <vt:lpstr>DONS</vt:lpstr>
      <vt:lpstr>LOYER</vt:lpstr>
      <vt:lpstr>CAUTIONS</vt:lpstr>
      <vt:lpstr>GRAPHIQUE</vt:lpstr>
      <vt:lpstr>REMISE CHEQUE SEPTEMBRE -DECEMB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FASSIRY DIAWARA (X180611)</dc:creator>
  <cp:lastModifiedBy>FASSIRY DIAWARA (X180611)</cp:lastModifiedBy>
  <dcterms:created xsi:type="dcterms:W3CDTF">2022-09-12T20:55:34Z</dcterms:created>
  <dcterms:modified xsi:type="dcterms:W3CDTF">2022-09-13T20:43:10Z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2022-09-12T23:37:45Z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e9c53bf5-3363-4255-baa8-a7fe3ee19a98</vt:lpwstr>
  </property>
  <property fmtid="{D5CDD505-2E9C-101B-9397-08002B2CF9AE}" pid="8" name="MSIP_Label_1aaa69c8-0478-4e13-9e4c-38511e3b6774_ContentBits">
    <vt:lpwstr>0</vt:lpwstr>
  </property>
</Properties>
</file>