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Trésorerie 2022\Trésorerie-07.2022\"/>
    </mc:Choice>
  </mc:AlternateContent>
  <bookViews>
    <workbookView xWindow="0" yWindow="0" windowWidth="15360" windowHeight="7155" activeTab="1"/>
  </bookViews>
  <sheets>
    <sheet name="Global" sheetId="2" r:id="rId1"/>
    <sheet name="Détail" sheetId="1" r:id="rId2"/>
    <sheet name="ASP 2019à2022" sheetId="8" r:id="rId3"/>
    <sheet name="ASP-récap-JD" sheetId="10" r:id="rId4"/>
    <sheet name="Taxes" sheetId="4" r:id="rId5"/>
    <sheet name="Dons" sheetId="5" r:id="rId6"/>
    <sheet name="Loyer" sheetId="6" r:id="rId7"/>
    <sheet name="Caution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1" l="1"/>
  <c r="C183" i="1"/>
  <c r="C46" i="1"/>
  <c r="E30" i="1" l="1"/>
  <c r="C31" i="1" l="1"/>
  <c r="C30" i="1"/>
  <c r="C194" i="1" l="1"/>
  <c r="C82" i="6" l="1"/>
  <c r="E68" i="1" l="1"/>
  <c r="D78" i="1"/>
  <c r="D178" i="1"/>
  <c r="D179" i="1"/>
  <c r="D180" i="1"/>
  <c r="D183" i="1"/>
  <c r="D118" i="1"/>
  <c r="D140" i="1"/>
  <c r="D133" i="1"/>
  <c r="D99" i="1"/>
  <c r="D182" i="1"/>
  <c r="D112" i="1"/>
  <c r="D150" i="1"/>
  <c r="D177" i="1"/>
  <c r="D181" i="1"/>
  <c r="D184" i="1"/>
  <c r="D185" i="1"/>
  <c r="D186" i="1"/>
  <c r="D187" i="1"/>
  <c r="D188" i="1"/>
  <c r="D189" i="1"/>
  <c r="D98" i="1"/>
  <c r="D125" i="1"/>
  <c r="D128" i="1"/>
  <c r="D121" i="1"/>
  <c r="D147" i="1"/>
  <c r="D153" i="1"/>
  <c r="D141" i="1"/>
  <c r="B20" i="2"/>
  <c r="D122" i="1" l="1"/>
  <c r="D160" i="1"/>
  <c r="D76" i="1"/>
  <c r="D75" i="1"/>
  <c r="D72" i="1"/>
  <c r="C29" i="2"/>
  <c r="C77" i="6"/>
  <c r="D129" i="1"/>
  <c r="D110" i="1"/>
  <c r="D134" i="1"/>
  <c r="D109" i="1"/>
  <c r="D142" i="1"/>
  <c r="D167" i="1"/>
  <c r="D108" i="1" l="1"/>
  <c r="D105" i="1"/>
  <c r="D165" i="1"/>
  <c r="D119" i="1"/>
  <c r="D168" i="1"/>
  <c r="D166" i="1"/>
  <c r="D169" i="1"/>
  <c r="D170" i="1"/>
  <c r="D171" i="1"/>
  <c r="D172" i="1"/>
  <c r="D173" i="1"/>
  <c r="D174" i="1"/>
  <c r="D175" i="1"/>
  <c r="D176" i="1"/>
  <c r="D103" i="1"/>
  <c r="D97" i="1"/>
  <c r="D164" i="1"/>
  <c r="D163" i="1"/>
  <c r="D88" i="1"/>
  <c r="D84" i="1" l="1"/>
  <c r="D95" i="1"/>
  <c r="D117" i="1"/>
  <c r="D137" i="1" l="1"/>
  <c r="D113" i="1"/>
  <c r="D151" i="1"/>
  <c r="D93" i="1"/>
  <c r="D77" i="1"/>
  <c r="D138" i="1"/>
  <c r="D191" i="1" l="1"/>
  <c r="D148" i="1"/>
  <c r="D132" i="1"/>
  <c r="D126" i="1"/>
  <c r="D127" i="1"/>
  <c r="D120" i="1"/>
  <c r="D114" i="1"/>
  <c r="D104" i="1"/>
  <c r="G22" i="1"/>
  <c r="D89" i="1" s="1"/>
  <c r="G15" i="1"/>
  <c r="D155" i="1" l="1"/>
  <c r="E86" i="1" l="1"/>
  <c r="D5" i="1" l="1"/>
  <c r="C15" i="2" l="1"/>
  <c r="D111" i="1" l="1"/>
  <c r="C72" i="6" l="1"/>
  <c r="E46" i="5" l="1"/>
  <c r="F48" i="5" s="1"/>
  <c r="E30" i="5"/>
  <c r="F32" i="5" s="1"/>
  <c r="E10" i="5"/>
  <c r="F12" i="5" s="1"/>
  <c r="E116" i="8" l="1"/>
  <c r="E25" i="10" l="1"/>
  <c r="K48" i="10" l="1"/>
  <c r="C46" i="10"/>
  <c r="K23" i="10"/>
  <c r="G20" i="10"/>
  <c r="C22" i="10"/>
  <c r="L59" i="8" l="1"/>
  <c r="L57" i="8"/>
  <c r="L54" i="8"/>
  <c r="L61" i="8" s="1"/>
  <c r="C67" i="6" l="1"/>
  <c r="E45" i="1" l="1"/>
  <c r="C62" i="6" l="1"/>
  <c r="C57" i="6"/>
  <c r="C10" i="2" l="1"/>
  <c r="C52" i="6" l="1"/>
  <c r="J88" i="8" l="1"/>
  <c r="C81" i="8" l="1"/>
  <c r="C45" i="6" l="1"/>
  <c r="C39" i="6" l="1"/>
  <c r="C32" i="6" l="1"/>
  <c r="E204" i="1" l="1"/>
  <c r="F35" i="8" l="1"/>
  <c r="C54" i="8" l="1"/>
  <c r="C71" i="8" s="1"/>
  <c r="G55" i="8"/>
  <c r="G76" i="8" s="1"/>
  <c r="C35" i="8" l="1"/>
  <c r="B35" i="8"/>
  <c r="E34" i="8"/>
  <c r="E33" i="8"/>
  <c r="E35" i="8" s="1"/>
  <c r="E32" i="8"/>
  <c r="J18" i="8"/>
  <c r="J16" i="8"/>
  <c r="G5" i="8"/>
  <c r="J14" i="8" s="1"/>
  <c r="C25" i="6" l="1"/>
  <c r="C20" i="6" l="1"/>
  <c r="C14" i="6" l="1"/>
  <c r="C9" i="6"/>
  <c r="C3" i="6"/>
  <c r="C9" i="2" l="1"/>
  <c r="B6" i="2" l="1"/>
  <c r="C6" i="2" l="1"/>
  <c r="B23" i="2" l="1"/>
  <c r="B24" i="2" s="1"/>
  <c r="K141" i="8" l="1"/>
  <c r="C137" i="8"/>
  <c r="K114" i="8"/>
  <c r="G111" i="8"/>
  <c r="C113" i="8"/>
  <c r="E90" i="1" l="1"/>
  <c r="D196" i="1"/>
  <c r="B7" i="2" l="1"/>
  <c r="B8" i="2" s="1"/>
  <c r="C196" i="1"/>
  <c r="C7" i="2"/>
  <c r="C8" i="2" s="1"/>
  <c r="C11" i="2" s="1"/>
</calcChain>
</file>

<file path=xl/sharedStrings.xml><?xml version="1.0" encoding="utf-8"?>
<sst xmlns="http://schemas.openxmlformats.org/spreadsheetml/2006/main" count="969" uniqueCount="597">
  <si>
    <t xml:space="preserve">Remise chq du </t>
  </si>
  <si>
    <t xml:space="preserve">Frais SIFA (-400,00) Prélèvt le </t>
  </si>
  <si>
    <t>Solde Théorique BNP</t>
  </si>
  <si>
    <t xml:space="preserve">Insuffisance - - - / Reste Potentiel + + + </t>
  </si>
  <si>
    <t>Solde réel S.A.</t>
  </si>
  <si>
    <t>LA TABLE DE CANA S.A. : BNP PARIBAS</t>
  </si>
  <si>
    <t xml:space="preserve">Cautions versées : </t>
  </si>
  <si>
    <t>VIPARIS</t>
  </si>
  <si>
    <t>EASY FROID</t>
  </si>
  <si>
    <t>AKTUEL</t>
  </si>
  <si>
    <t>MUSÉE ART FORAINS</t>
  </si>
  <si>
    <t>KILOUTOU</t>
  </si>
  <si>
    <t>CHQ 9193</t>
  </si>
  <si>
    <t>CHQ 9256</t>
  </si>
  <si>
    <t>CHQ 4480</t>
  </si>
  <si>
    <t>CHQ 4653</t>
  </si>
  <si>
    <t>CHQ 4682</t>
  </si>
  <si>
    <t>CHQ 1615</t>
  </si>
  <si>
    <t>00/05/2017</t>
  </si>
  <si>
    <t>00/10/2017</t>
  </si>
  <si>
    <t>rendu 22/05/2018</t>
  </si>
  <si>
    <t>rendu 20/07/2018</t>
  </si>
  <si>
    <t xml:space="preserve">LA TABLE DE CANA SA  -  TRÉSORERIE CONSOLIDÉE </t>
  </si>
  <si>
    <t xml:space="preserve">GLOBAL </t>
  </si>
  <si>
    <t>BNP</t>
  </si>
  <si>
    <t>chèques à placer + dépôt espèces + CB</t>
  </si>
  <si>
    <t>virements en attente</t>
  </si>
  <si>
    <t>Insuffisance - - -  /  Reste potentiel + + +</t>
  </si>
  <si>
    <t xml:space="preserve">Reste dû </t>
  </si>
  <si>
    <t xml:space="preserve">  </t>
  </si>
  <si>
    <t>CHQ7509</t>
  </si>
  <si>
    <t xml:space="preserve"> </t>
  </si>
  <si>
    <t>M2 - T3 - 2018</t>
  </si>
  <si>
    <t>M3 - T3 - 2018</t>
  </si>
  <si>
    <t>PARISEINE caution</t>
  </si>
  <si>
    <t xml:space="preserve">M1 - T3 - 2018 </t>
  </si>
  <si>
    <t xml:space="preserve">ESIS - 3è trimestre 2018  :  27.930,31                         </t>
  </si>
  <si>
    <t>Règlements en attente (acomptes + factures)</t>
  </si>
  <si>
    <t>Taxe foncière 2018  :  13.363,00   -   Virt le 14/11/2018</t>
  </si>
  <si>
    <t xml:space="preserve">ESIS - 4è trimestre 2018  :  27.930,31                         </t>
  </si>
  <si>
    <t xml:space="preserve">M1 - T4 - 2018 </t>
  </si>
  <si>
    <t>M2 - T4 - 2018</t>
  </si>
  <si>
    <t>M3 - T4 - 2018</t>
  </si>
  <si>
    <t>M2 - T1 - 2019</t>
  </si>
  <si>
    <t>M3 - T1 - 2019</t>
  </si>
  <si>
    <t xml:space="preserve">ESIS - 1er trimestre 2019  :  27.930,31                         </t>
  </si>
  <si>
    <t>M1 - T1 - 2019</t>
  </si>
  <si>
    <t>régul.</t>
  </si>
  <si>
    <t>CG91 - solde 2018</t>
  </si>
  <si>
    <t>CICE 2018</t>
  </si>
  <si>
    <t>début 2017 ??</t>
  </si>
  <si>
    <t>Taxe foncière  ( 40100000 Esis )</t>
  </si>
  <si>
    <t>Taxe bureaux  ( 40810000 )</t>
  </si>
  <si>
    <t>M1 - T2 - 2019</t>
  </si>
  <si>
    <t>M2 - T2 - 2019</t>
  </si>
  <si>
    <t>M3 - T2 - 2019</t>
  </si>
  <si>
    <t>Virt le 23/10/2018</t>
  </si>
  <si>
    <t>Virt le 20/11/2018</t>
  </si>
  <si>
    <t>Virt le 13/12/2018</t>
  </si>
  <si>
    <t>Virt le 15/01/2019</t>
  </si>
  <si>
    <t>Virt le 19/02/2019</t>
  </si>
  <si>
    <t>Virt le 28/03/2019</t>
  </si>
  <si>
    <t>Virt le 25/04/2019</t>
  </si>
  <si>
    <t>Taxe sur bureaux 2019 : 3.708,00 - Virt le 25/04/2019</t>
  </si>
  <si>
    <t>TROUILLET</t>
  </si>
  <si>
    <t>déposé 17/05</t>
  </si>
  <si>
    <t>Virt le 17/05/2019</t>
  </si>
  <si>
    <t>Weiner</t>
  </si>
  <si>
    <t>chq</t>
  </si>
  <si>
    <t>CHQ7557</t>
  </si>
  <si>
    <t>00/10/2018</t>
  </si>
  <si>
    <t>CG91 - acpte 2019</t>
  </si>
  <si>
    <t>Virt le 17/06/2019</t>
  </si>
  <si>
    <t xml:space="preserve">ESIS - 2è trimestre 2019  :  28.983,97                  </t>
  </si>
  <si>
    <t>virt</t>
  </si>
  <si>
    <t>rendu 01/07/2019</t>
  </si>
  <si>
    <t>Virt le 23/07/2019</t>
  </si>
  <si>
    <t>Virt le 26/08/2019</t>
  </si>
  <si>
    <t xml:space="preserve">CD92 - acpte 2019 </t>
  </si>
  <si>
    <t>Virt le 16/09/2019</t>
  </si>
  <si>
    <t xml:space="preserve">ESIS - 3è trimestre 2019  :  28.983,97                  </t>
  </si>
  <si>
    <t>M1 - T3 - 2019</t>
  </si>
  <si>
    <t>M2 - T3 - 2019</t>
  </si>
  <si>
    <t>M3 - T3 - 2019</t>
  </si>
  <si>
    <t>Fondation Air Liquide</t>
  </si>
  <si>
    <t>Virt le 18/10</t>
  </si>
  <si>
    <t xml:space="preserve">TROUILLET </t>
  </si>
  <si>
    <t>VIRT</t>
  </si>
  <si>
    <t>Virt le 18/11</t>
  </si>
  <si>
    <t>Taxe foncière 2019 : 13.442 (en 2 fois ) Virt le 18/11</t>
  </si>
  <si>
    <t>Règlement 1/2</t>
  </si>
  <si>
    <t>Règlement 2/2</t>
  </si>
  <si>
    <t xml:space="preserve">Rembt Prêts SIFA 1-2 (-722,13-722,13) Prélèvt le </t>
  </si>
  <si>
    <t>Virt le 10/12</t>
  </si>
  <si>
    <t xml:space="preserve">ESIS - 4è trimestre 2019  :  28.983,97                  </t>
  </si>
  <si>
    <t>M1 - T4 - 2019</t>
  </si>
  <si>
    <t>M2 - T4 - 2019</t>
  </si>
  <si>
    <t>M3 - T4 - 2019</t>
  </si>
  <si>
    <t>CD92 - solde 2018</t>
  </si>
  <si>
    <t>Thévenet</t>
  </si>
  <si>
    <t>acpte 2019</t>
  </si>
  <si>
    <t>solde 2019</t>
  </si>
  <si>
    <t>à nouveau</t>
  </si>
  <si>
    <t>acpte 2018</t>
  </si>
  <si>
    <t>solde 2018</t>
  </si>
  <si>
    <t>rembt 2019</t>
  </si>
  <si>
    <t>CVAE  ( 44860600 )</t>
  </si>
  <si>
    <t>CFE  ( 44860501 )</t>
  </si>
  <si>
    <t>régul. 2018</t>
  </si>
  <si>
    <t>2019 - 1er</t>
  </si>
  <si>
    <t>2019 - 2è</t>
  </si>
  <si>
    <t>TERMINÉ</t>
  </si>
  <si>
    <t xml:space="preserve">Rembt Prêt HDSI France Active (6.855,31) Prélèvt le </t>
  </si>
  <si>
    <t>CHQ4579</t>
  </si>
  <si>
    <t>Virt le 16/01</t>
  </si>
  <si>
    <t>annulat° en 2018</t>
  </si>
  <si>
    <t>CHQ ????</t>
  </si>
  <si>
    <t>00/05/2018</t>
  </si>
  <si>
    <t xml:space="preserve">LOYER </t>
  </si>
  <si>
    <t>depuis arrivée ??</t>
  </si>
  <si>
    <t>dépôt garantie</t>
  </si>
  <si>
    <t>régul. 01/2019</t>
  </si>
  <si>
    <t>modulation</t>
  </si>
  <si>
    <t>régul.août 2018</t>
  </si>
  <si>
    <t>rembt 01/2019</t>
  </si>
  <si>
    <t>mai+régul.2019</t>
  </si>
  <si>
    <t>CD 75 - 2019</t>
  </si>
  <si>
    <t>CD 91 - 2019</t>
  </si>
  <si>
    <t>régul.2019</t>
  </si>
  <si>
    <t>CD 92 - 2019</t>
  </si>
  <si>
    <t>août+régul.2019</t>
  </si>
  <si>
    <t>nov.+régul.2019</t>
  </si>
  <si>
    <t>nov.2019+régul.</t>
  </si>
  <si>
    <t>Virt le 18/02</t>
  </si>
  <si>
    <t>Année 2019</t>
  </si>
  <si>
    <t>régul.01+02/2020</t>
  </si>
  <si>
    <t>Année 2020</t>
  </si>
  <si>
    <t>Paulus</t>
  </si>
  <si>
    <t>Robine</t>
  </si>
  <si>
    <t>URSSAF EXO CH.PATRONALES 02à05</t>
  </si>
  <si>
    <t>Jegu</t>
  </si>
  <si>
    <t>Ananie et Saphire</t>
  </si>
  <si>
    <t>CD 92  -  ASP  -  2019</t>
  </si>
  <si>
    <t>CD 75  -  ASP  -  2019</t>
  </si>
  <si>
    <t>CD 91 -  DIVERS  -  2019</t>
  </si>
  <si>
    <t>ASP  -  Chômage partiel  -  2020</t>
  </si>
  <si>
    <t>Virt le 22/06</t>
  </si>
  <si>
    <t>M1 - T2 - 2020</t>
  </si>
  <si>
    <t>M2 - T2 - 2020</t>
  </si>
  <si>
    <t>M3 - T2 - 2020</t>
  </si>
  <si>
    <t>Associat° Éducat° Santé Jeunes</t>
  </si>
  <si>
    <t>Virt le 17/07/2020</t>
  </si>
  <si>
    <t>Échéancier URSSAF 02/2020 pour Antony = -44.855,00</t>
  </si>
  <si>
    <t>Prélèvt le 5 du mois de mars à août 2020 = -7.476,00</t>
  </si>
  <si>
    <t>Urssaf 02/2020 = -45.939,42</t>
  </si>
  <si>
    <t>Virt le 07/09/2020</t>
  </si>
  <si>
    <t>Virt le 18/09/2020</t>
  </si>
  <si>
    <t>M1 - T3 - 2020</t>
  </si>
  <si>
    <t>M2 - T3 - 2020</t>
  </si>
  <si>
    <t>M3 - T3 - 2020</t>
  </si>
  <si>
    <t>UT 92  -  ASP  -  2020</t>
  </si>
  <si>
    <t>UT 75  -  ASP  -  2020</t>
  </si>
  <si>
    <t>CD -  DIVERS  -  2020</t>
  </si>
  <si>
    <t>CD 75</t>
  </si>
  <si>
    <t>CD 92 - acpte 2020</t>
  </si>
  <si>
    <t>CD 91 - acpte 2020</t>
  </si>
  <si>
    <t>CD 91 - solde 2019</t>
  </si>
  <si>
    <t>CD 92 - solde 2019</t>
  </si>
  <si>
    <t xml:space="preserve">ESIS - 2è trimestre 2020  :  29.586,06            </t>
  </si>
  <si>
    <t>Taxe sur bureaux 2020 : 3.746,00 - Virt le 17/07/2020</t>
  </si>
  <si>
    <t>ESIS - 1er trimestre 2020  : 29.586,06 - Offert par propriétaire - Pandémie Covid19</t>
  </si>
  <si>
    <t>Martin Philippe</t>
  </si>
  <si>
    <t>Mure Thierry</t>
  </si>
  <si>
    <t>Fraisse Henri</t>
  </si>
  <si>
    <t xml:space="preserve">ESIS - 3è trimestre 2020  :  29.602,79           </t>
  </si>
  <si>
    <t>Virt le 14/10</t>
  </si>
  <si>
    <t>Taxes Foncières 2020 - 1/2 de 13.723,00 - Virt le 20/11</t>
  </si>
  <si>
    <t>Virt le 20/11</t>
  </si>
  <si>
    <t>2020 - 1er</t>
  </si>
  <si>
    <t>2020 - 2è</t>
  </si>
  <si>
    <t>Macé Patrice</t>
  </si>
  <si>
    <t>Virt le 15/12</t>
  </si>
  <si>
    <t>Taxes Foncières 2020 - 2/2 de 13.723,00 - Virt le 15/12</t>
  </si>
  <si>
    <t xml:space="preserve">ESIS - 4è trimestre 2020  :  29.602,79           </t>
  </si>
  <si>
    <t>M1 - T4 - 2020</t>
  </si>
  <si>
    <t>M3 - T4 - 2020</t>
  </si>
  <si>
    <t>M2 - T4 - 2020</t>
  </si>
  <si>
    <t>2019 - 12ème</t>
  </si>
  <si>
    <t>Letourneur Sandrine</t>
  </si>
  <si>
    <t>CHQ1873</t>
  </si>
  <si>
    <t>Mahé Jean</t>
  </si>
  <si>
    <t>2020 - Paris</t>
  </si>
  <si>
    <t>année 2020</t>
  </si>
  <si>
    <t>Carles Marie-Josèphe</t>
  </si>
  <si>
    <t>TRÉSORERIE 2021</t>
  </si>
  <si>
    <t>aide except.Paris</t>
  </si>
  <si>
    <t>fds solidarité Covid</t>
  </si>
  <si>
    <t>Aides exceptionnelles 2020 - Covid</t>
  </si>
  <si>
    <t xml:space="preserve">TAXE Effort Construction  Virt le </t>
  </si>
  <si>
    <t>Année 2021</t>
  </si>
  <si>
    <t>Virt le 18/01</t>
  </si>
  <si>
    <t>UT 92  -  ASP  -  2021</t>
  </si>
  <si>
    <t>UT 75  -  ASP  -  2021</t>
  </si>
  <si>
    <t>CD -  DIVERS  -  2021</t>
  </si>
  <si>
    <t>apprentie CD 75</t>
  </si>
  <si>
    <t>ASP  -  Chômage partiel  -  2021</t>
  </si>
  <si>
    <t>Mialaret Benoît</t>
  </si>
  <si>
    <t>FDI 1 - 75</t>
  </si>
  <si>
    <t>FDI 1 - 92</t>
  </si>
  <si>
    <t>FDI 2 - 92</t>
  </si>
  <si>
    <t>total 66.846</t>
  </si>
  <si>
    <t>FDI 2 - 75</t>
  </si>
  <si>
    <t>total 18.849</t>
  </si>
  <si>
    <t>Thévenet Jean-Pierre</t>
  </si>
  <si>
    <t>Leridon Hervé</t>
  </si>
  <si>
    <t>Duchamp Jegu Catherine</t>
  </si>
  <si>
    <t>Caillet Denis</t>
  </si>
  <si>
    <t>Virt le 17/02</t>
  </si>
  <si>
    <t>12/02 rembt</t>
  </si>
  <si>
    <t>19/02 rembt</t>
  </si>
  <si>
    <t>19/02 retenu</t>
  </si>
  <si>
    <t>Aides exceptionnelles 2021 - Covid</t>
  </si>
  <si>
    <t>Fds solidarité Covid</t>
  </si>
  <si>
    <t>26/02 retenu</t>
  </si>
  <si>
    <t>26/02 rembt</t>
  </si>
  <si>
    <t>02/03 rembt</t>
  </si>
  <si>
    <t>déduit de 26.615</t>
  </si>
  <si>
    <t>apprentie CD 75 (3)</t>
  </si>
  <si>
    <t>CD 91 - acpte 2021</t>
  </si>
  <si>
    <t>reçu</t>
  </si>
  <si>
    <t>déduit de 11.309,40</t>
  </si>
  <si>
    <t>déduit de 5.766,58</t>
  </si>
  <si>
    <t>Virt le 16/03</t>
  </si>
  <si>
    <t>M1 - T1 - 2021</t>
  </si>
  <si>
    <t>M2 - T1 - 2021</t>
  </si>
  <si>
    <t>M3 - T1 - 2021</t>
  </si>
  <si>
    <t>((  L'HÔTELLERIE  (arrêt fin 12/2020)  Prélèvt mensuel de 10,00  ))</t>
  </si>
  <si>
    <t>01/2021 rembt</t>
  </si>
  <si>
    <t>retenu</t>
  </si>
  <si>
    <t>HERNAS  CHQ1919 pour 72,48 - bnp pris 74,49 - régul de 2,01 le 26/03</t>
  </si>
  <si>
    <t>apprentie CD75</t>
  </si>
  <si>
    <t>arriéré 2019</t>
  </si>
  <si>
    <t>Subv.except.Paris</t>
  </si>
  <si>
    <t>De Boischevalier Bernard</t>
  </si>
  <si>
    <t>Virt le 22/04</t>
  </si>
  <si>
    <t>Virt le 18/05</t>
  </si>
  <si>
    <t>acpte 2021</t>
  </si>
  <si>
    <t>Virt le 15/06</t>
  </si>
  <si>
    <t xml:space="preserve">NEXITY (ESIS) - 1er trimestre 2021  :  29.602,43 </t>
  </si>
  <si>
    <t>M1 - T2 - 2021</t>
  </si>
  <si>
    <t>M2 - T2 - 2021</t>
  </si>
  <si>
    <t>M3 - T2 - 2021</t>
  </si>
  <si>
    <t xml:space="preserve">Frais Commiss° Actualisation Administrative  Prélèvt le </t>
  </si>
  <si>
    <t>NEXITY (ESIS) - 2è trimestre 2021  :  29,602,43</t>
  </si>
  <si>
    <t>70% de 37.600</t>
  </si>
  <si>
    <t>CD92 - acpte 2021</t>
  </si>
  <si>
    <t>Virt le 16/07</t>
  </si>
  <si>
    <t>Nexity : 9.867,00 + 9.867,00 + 9.868,43 soit 29.602,43 jusque fin septembre 2021</t>
  </si>
  <si>
    <t xml:space="preserve">Nexity 4è tri.2021 : 10.153,00 + 10.153,00 + 10.153,94 soit 30.459,94 </t>
  </si>
  <si>
    <t xml:space="preserve">modulation </t>
  </si>
  <si>
    <t xml:space="preserve">Virt UT-92 Modulation  reçu le </t>
  </si>
  <si>
    <t>FDI - 92</t>
  </si>
  <si>
    <t>Virt le 17/08</t>
  </si>
  <si>
    <t>LOCA  RECEPTION</t>
  </si>
  <si>
    <t>CHQ3559</t>
  </si>
  <si>
    <t>(Ensam -53,64)</t>
  </si>
  <si>
    <t>Rembt Clt Vasseur (7956)  CHQ4538 de -72,60 (20.07.2017)</t>
  </si>
  <si>
    <t>Virt le 24/09</t>
  </si>
  <si>
    <t xml:space="preserve">BND Redevance --------  -  Cana en Seine Redevance  Virt le </t>
  </si>
  <si>
    <t>M1 - T3 - 2021</t>
  </si>
  <si>
    <t>M2 - T3 - 2021</t>
  </si>
  <si>
    <t>M3 - T3 - 2021</t>
  </si>
  <si>
    <t>BARNUM  Virt le  ? ? ? ?  -  GODARD proforma  Virt le ? ?</t>
  </si>
  <si>
    <t>solde subv.Labo75</t>
  </si>
  <si>
    <t>CD92 - solde 2020</t>
  </si>
  <si>
    <t>NEXITY (ESIS) - 3è trimestre 2021  :  30 459,94</t>
  </si>
  <si>
    <t xml:space="preserve">Nexity : Infos ci-dessus erronées : changement du tarif au 1er juillet 2021 </t>
  </si>
  <si>
    <t xml:space="preserve">soit à compter du 3ème trimestre : 30.459,94 </t>
  </si>
  <si>
    <t>Virt le 20/10</t>
  </si>
  <si>
    <t>FDI - 75</t>
  </si>
  <si>
    <t>SFR -30,01</t>
  </si>
  <si>
    <t>Virt 01.04/01.07/01.10/01.01=681,95</t>
  </si>
  <si>
    <t>régul.01 + 04 + 08</t>
  </si>
  <si>
    <t>CHQ3571</t>
  </si>
  <si>
    <t>Rendues</t>
  </si>
  <si>
    <t xml:space="preserve">Cautions versées </t>
  </si>
  <si>
    <t>00/11/2021</t>
  </si>
  <si>
    <t>Centre Nat.Gestion</t>
  </si>
  <si>
    <t>rendu 15/11/2021</t>
  </si>
  <si>
    <t>CHQ 7509</t>
  </si>
  <si>
    <t>CHQ 7557</t>
  </si>
  <si>
    <t>CHQ 0115</t>
  </si>
  <si>
    <t>CHQ 4579</t>
  </si>
  <si>
    <t>CHQ 1873</t>
  </si>
  <si>
    <t>CHQ 3559</t>
  </si>
  <si>
    <t>CHQ 3571</t>
  </si>
  <si>
    <t>aide alim.Driets</t>
  </si>
  <si>
    <t>LES CANAUX caution</t>
  </si>
  <si>
    <t xml:space="preserve">CIDRE SEHEDIC  Prélèvt le </t>
  </si>
  <si>
    <t>Salaire Juillet 2021  Vacataire Garance Pierrard   CHQ3553</t>
  </si>
  <si>
    <r>
      <t>Salaire Septembre 2021  Vacataire Hugo Lesage   CHQ3563</t>
    </r>
    <r>
      <rPr>
        <b/>
        <sz val="8"/>
        <color rgb="FF0070C0"/>
        <rFont val="Calibri"/>
        <family val="2"/>
        <scheme val="minor"/>
      </rPr>
      <t xml:space="preserve"> </t>
    </r>
  </si>
  <si>
    <t>solde 2021</t>
  </si>
  <si>
    <t>2021 - Paris</t>
  </si>
  <si>
    <t>Subv.except.Appos</t>
  </si>
  <si>
    <t>mois -72,00</t>
  </si>
  <si>
    <t>Virt le 20/12</t>
  </si>
  <si>
    <t>M1 - T4 - 2021</t>
  </si>
  <si>
    <t>M2 - T4 - 2021</t>
  </si>
  <si>
    <t>M3 - T4 - 2021</t>
  </si>
  <si>
    <t xml:space="preserve">Virt CD92 solde 2021  reçu le </t>
  </si>
  <si>
    <t xml:space="preserve">ESIS Taxe Foncière 2021 (total ? ? ? ? )   Virt le </t>
  </si>
  <si>
    <t xml:space="preserve">ESIS Taxe sur les Bureaux  Virt le </t>
  </si>
  <si>
    <t xml:space="preserve">CFE 2022 Paris 12è   Prélèvt le </t>
  </si>
  <si>
    <t>2021 - 23/12 - 4.189,00</t>
  </si>
  <si>
    <t xml:space="preserve">PEEC Année 2022  Virt le </t>
  </si>
  <si>
    <t>Weiner John</t>
  </si>
  <si>
    <t>régul.2021</t>
  </si>
  <si>
    <t>AAP-AMI Ville Paris</t>
  </si>
  <si>
    <t>NEXITY (Loyer) - 4è trimestre 2021  :  30 459,94</t>
  </si>
  <si>
    <t>Année 2022</t>
  </si>
  <si>
    <t>UT 92  -  ASP  -  2022</t>
  </si>
  <si>
    <t>UT 75  -  ASP  -  2022</t>
  </si>
  <si>
    <t>CD -  DIVERS  -  2022</t>
  </si>
  <si>
    <t>ASP  -  Chômage partiel  -  2022</t>
  </si>
  <si>
    <t xml:space="preserve">Aides exceptionnelles Covid  - 2021 </t>
  </si>
  <si>
    <t>Association S.I.A.</t>
  </si>
  <si>
    <t>Pomona - Don 2021</t>
  </si>
  <si>
    <t>Rembt ASP-092 année 2021 :</t>
  </si>
  <si>
    <t>Oct.2021 : reçu 26.877,50 au lieu de 23.002,14 = -3.875,36</t>
  </si>
  <si>
    <t>Nov.2021 : reçu 26.877,50 au lieu de 24.309,40 = -2.568,10</t>
  </si>
  <si>
    <t>Déc.2021 : reçu 26.877,50 au lieu de 25.523,80 = -1.353,70</t>
  </si>
  <si>
    <t>Trop perçu</t>
  </si>
  <si>
    <t>CHQ3580</t>
  </si>
  <si>
    <t xml:space="preserve">NEOPOST QUADIENT (machine)  Prélèvt le </t>
  </si>
  <si>
    <t>T3 virt 26/01</t>
  </si>
  <si>
    <t>VALLEE SUD (Ord.non ménagères T1-2022)  Virt le ? ? ? ?</t>
  </si>
  <si>
    <t xml:space="preserve">MUT.StCHRISTOPHE R.Civile Tip  Prélèvt le </t>
  </si>
  <si>
    <t xml:space="preserve">MUT.StCHRISTOPHE D.Biens Tip  Prélèvt le </t>
  </si>
  <si>
    <t>CHQ 3580</t>
  </si>
  <si>
    <t>03à10/2021 -491,11</t>
  </si>
  <si>
    <t xml:space="preserve">LA POSTE (collecte 844,80 le 25/02/2021)  Prélèvt le </t>
  </si>
  <si>
    <t>Virt le 15/02</t>
  </si>
  <si>
    <t>TAXE Apprent.Appr.Auteuil  Virt ?????? - Format° Virt ??????</t>
  </si>
  <si>
    <t>Commandes en cours (jusqu'au 31/12 - acomptes déduits)</t>
  </si>
  <si>
    <t>Impayés (depuis 01/01/2016)</t>
  </si>
  <si>
    <t>Fondation Entreprise Monoprix</t>
  </si>
  <si>
    <t>2021 - 2022</t>
  </si>
  <si>
    <t>Repas Solidaires</t>
  </si>
  <si>
    <t>Drietts</t>
  </si>
  <si>
    <t>Association SIA</t>
  </si>
  <si>
    <t>CASHMAG TPE (-61,20)  Prélèvt le 25/06</t>
  </si>
  <si>
    <t xml:space="preserve">ALLIANZ Vie  Prélèvt le </t>
  </si>
  <si>
    <t>FRESCA</t>
  </si>
  <si>
    <t>Virt le 01/04</t>
  </si>
  <si>
    <t>M1 - T1 - 2022</t>
  </si>
  <si>
    <t>M2 - T1 - 2022</t>
  </si>
  <si>
    <t>M3 - T1 - 2022</t>
  </si>
  <si>
    <t>CD 91 - solde 2021</t>
  </si>
  <si>
    <t>MDB Multimedia FA4515  Virt 01/04-01/07-01/10-01/01/23</t>
  </si>
  <si>
    <t>3359,81=839,96x4</t>
  </si>
  <si>
    <t>NEXITY (Loyer) - 1er trimestre 2022  :  30 322,30</t>
  </si>
  <si>
    <t>Virt le 15/04</t>
  </si>
  <si>
    <t>Activity acpte 2022</t>
  </si>
  <si>
    <t>Facture du 01/02 au 30/04/2022 = 30.322,30 - Nexity relance du 21/02/2022</t>
  </si>
  <si>
    <t>Rappel dépôt de garantie</t>
  </si>
  <si>
    <t>10 052,50 x 2</t>
  </si>
  <si>
    <t>mai 2022 + juin 2022</t>
  </si>
  <si>
    <t>solde antérieur</t>
  </si>
  <si>
    <t>Facture du 20/01/2022 = 31.383,54 + 18.511,87 = 49.895,41</t>
  </si>
  <si>
    <t>Remise Chq Porte Dorée   Avril - Mai 2022</t>
  </si>
  <si>
    <t xml:space="preserve">Virt ASP activité partielle reçu le </t>
  </si>
  <si>
    <t xml:space="preserve">Virt CD91 acompte 2021  reçu le </t>
  </si>
  <si>
    <t xml:space="preserve">Virt CD92+CD78 Activity solde 2022  reçu le </t>
  </si>
  <si>
    <t>Fournisseurs + autres Mai 2022</t>
  </si>
  <si>
    <t xml:space="preserve">SEKRI VALENTIN  F----------  Virt le </t>
  </si>
  <si>
    <t>ORANGE Alarme  Prélèvt le 21/05</t>
  </si>
  <si>
    <t>SEXTANT CPLM (Planet Monetic) Prélèvt le 04/07</t>
  </si>
  <si>
    <t xml:space="preserve">EAU DE PARIS Prélèvt le </t>
  </si>
  <si>
    <t xml:space="preserve">KLESIA Prévoyance T1-2022  Prélèvt le 27/06 </t>
  </si>
  <si>
    <t>Redevances 2022  BERGES  Virt le --------  - PALAIS Virt le --------</t>
  </si>
  <si>
    <t>MAI</t>
  </si>
  <si>
    <t>Virt CPAM-75  reçu le ------------- - CPAM-78  reçu le --------------</t>
  </si>
  <si>
    <t>Virt CPAM-91  reçu le ------------- - CPAM-92  reçu le --------------</t>
  </si>
  <si>
    <t>de 05/2022 à 04/2026</t>
  </si>
  <si>
    <t>????</t>
  </si>
  <si>
    <t>34.000</t>
  </si>
  <si>
    <t>11.000</t>
  </si>
  <si>
    <t>Jean-Pierre Thévenet</t>
  </si>
  <si>
    <t>AVP ARCHENAULT</t>
  </si>
  <si>
    <t>BARTHOLUS</t>
  </si>
  <si>
    <t>BRANDECISION</t>
  </si>
  <si>
    <t>CAFES RICHARD</t>
  </si>
  <si>
    <t>COUP DE PATES</t>
  </si>
  <si>
    <t>DE FACTO</t>
  </si>
  <si>
    <t>DM CUISINE</t>
  </si>
  <si>
    <t>DOMAFRAIS</t>
  </si>
  <si>
    <t>EURO GLACONS</t>
  </si>
  <si>
    <t>PEDONE GLACIER</t>
  </si>
  <si>
    <t>HIRSCHFELD</t>
  </si>
  <si>
    <t>MAZE ET FILS</t>
  </si>
  <si>
    <t>POMONA EPISAVEURS</t>
  </si>
  <si>
    <t>PURATOS</t>
  </si>
  <si>
    <t>REBIFFE</t>
  </si>
  <si>
    <t>SET DE TABLE</t>
  </si>
  <si>
    <t>VAL DE SEINE</t>
  </si>
  <si>
    <t>CHQ0509</t>
  </si>
  <si>
    <t xml:space="preserve">Virt UT-92 FDI-Axe ??   reçu le </t>
  </si>
  <si>
    <t>REDE Paris 01.07au31.10.2020  CHQ---- ou Virt le</t>
  </si>
  <si>
    <t>Remises chèques MARS 2022 perdues par BNP</t>
  </si>
  <si>
    <t xml:space="preserve">Remise chq du 24/03                           </t>
  </si>
  <si>
    <t xml:space="preserve">Remise chq du 23/03  ( 22 + 23 )    </t>
  </si>
  <si>
    <t xml:space="preserve">Remise chq du 25/03                           </t>
  </si>
  <si>
    <t>Remise Chq BND 25/03</t>
  </si>
  <si>
    <t xml:space="preserve">Aides exceptionnelles  -  2022 </t>
  </si>
  <si>
    <t>Région IDF Pm'Up - 1</t>
  </si>
  <si>
    <t>Chambre Com.Ind.</t>
  </si>
  <si>
    <t>Fds Solidarité Covid</t>
  </si>
  <si>
    <t>00/05/2022</t>
  </si>
  <si>
    <t>Bernard Hullin De Boischevalier</t>
  </si>
  <si>
    <t>FDI 75</t>
  </si>
  <si>
    <t>FRAIKIN</t>
  </si>
  <si>
    <t>CHQ0512</t>
  </si>
  <si>
    <t>BROKLOC</t>
  </si>
  <si>
    <t>PASCON</t>
  </si>
  <si>
    <t>Rejet Salaire Mai 2022 Obe Wagge Youssouf  Virt le 01/06</t>
  </si>
  <si>
    <t>JUIN</t>
  </si>
  <si>
    <t>Remise Chq Amis de Cluny   Mai - Juin 2022</t>
  </si>
  <si>
    <t>Remise Chq Les Berges  Mai - Juin 2022</t>
  </si>
  <si>
    <t>Remise T.Resto BND   Avril  - Mai 2022</t>
  </si>
  <si>
    <t>Remise Chq BND  Mai - Juin 2022  TélécollectePassResto</t>
  </si>
  <si>
    <t xml:space="preserve">Virt UT-75 FDI-Axe 2   reçu le </t>
  </si>
  <si>
    <t xml:space="preserve">Virt Pm'up aide région IDF  reçu le </t>
  </si>
  <si>
    <t>Fournisseurs + autres Juin 2022</t>
  </si>
  <si>
    <t>CB Corporate  Mai 2022   Prélèvt le 30/06</t>
  </si>
  <si>
    <t>CB Corporate  Juin 2022   Prélèvt le 31/05</t>
  </si>
  <si>
    <t>HERNAS proforma Virt le ---------- -  SIDMA proforma Virt le ? ?</t>
  </si>
  <si>
    <t>TROUILLET (mensuel 1.177,20)   Prélèvt le 16/06</t>
  </si>
  <si>
    <t xml:space="preserve">BRULE Simon  F22----------  Virt le </t>
  </si>
  <si>
    <t>MDB Multimedia (trimestre 681,94)  (26/10) Virt le 01/07</t>
  </si>
  <si>
    <t>SFR Business Berges (-22,99)  Prélèvt le 16/06</t>
  </si>
  <si>
    <t>ORANGE Fixe  TIP  Prélèvt le 23/06</t>
  </si>
  <si>
    <t>CASHMAG TPE (-79,20) Prélèvt le 17/08</t>
  </si>
  <si>
    <t xml:space="preserve">ALARME 7/7   Prélèvt le 01/07 </t>
  </si>
  <si>
    <t>APOGEA -  SAGE (mois -366,95-379,70) Prélèvt le 30/06</t>
  </si>
  <si>
    <t>FEI (579,78 le 30 du mois - 03à11/2022 ) Prélèvt 30/06</t>
  </si>
  <si>
    <t>T1-2022  19/05 = -4149,32</t>
  </si>
  <si>
    <t>T1-2022  19/05 = -1857,70</t>
  </si>
  <si>
    <t>ALLIANZ Santé T2-2022 N.Cadres  Prélèvt le 19/08</t>
  </si>
  <si>
    <t>ALLIANZ Santé T2-2022 Cadres  Prélèvt le 19/08</t>
  </si>
  <si>
    <t xml:space="preserve">ENVIRON </t>
  </si>
  <si>
    <t>acpte 2022</t>
  </si>
  <si>
    <t xml:space="preserve">CVAE acompte année 2022   Prélèvt le </t>
  </si>
  <si>
    <t xml:space="preserve">BND Loyer  (1.080,00)  F2022-2180+2193  Virt le </t>
  </si>
  <si>
    <t>ALLIANZ Auto (mensuel -428,60)  Prélèvt le 07/06</t>
  </si>
  <si>
    <t>Rembt Client (10760)  Jacquin  Virt le 02/06</t>
  </si>
  <si>
    <t>Rembt Prêt BNP Investisst (408.432,97) Prélèvt le 03/06</t>
  </si>
  <si>
    <t>Rembt Prêt BNP Investisst-68 Prélèvt le 02/06</t>
  </si>
  <si>
    <t>Rembt Prêt BNP Investisst-50 Prélèvt le 24/06</t>
  </si>
  <si>
    <t>Rembt Prêt BNP Investisst-32 Prélèvt le 09/06</t>
  </si>
  <si>
    <t>Salaires Mai 2022 Insertions  Virt le 01/06</t>
  </si>
  <si>
    <t>Remise CB Amis de Cluny  Mai (72,20) - Juin 2022</t>
  </si>
  <si>
    <t>Frais de CB Amis de Cluny  Mai (-1,95) - Juin 2022</t>
  </si>
  <si>
    <t>Virt 01/06</t>
  </si>
  <si>
    <t>AU BON PAIN</t>
  </si>
  <si>
    <t>CARLIMPEX</t>
  </si>
  <si>
    <t>COMPTOIR BRETAGNE</t>
  </si>
  <si>
    <t>COTE NATURE</t>
  </si>
  <si>
    <t>LA PARISIENNE</t>
  </si>
  <si>
    <t>LBV ASSOCIES  F0820+F0856  Virt le 01/06</t>
  </si>
  <si>
    <t>OJETABLES</t>
  </si>
  <si>
    <t>PAREDES</t>
  </si>
  <si>
    <t>DENISOMER</t>
  </si>
  <si>
    <t>VEOLIA par Tip le ? ? ? ? - Prélèvt le 03/06</t>
  </si>
  <si>
    <t>OXSTAL proforma Virt le 02/06  -  SACEM Prélèvt le ------</t>
  </si>
  <si>
    <t>Salaire Mai 2022 G.Tardivet Permanent  Virt le 02/06</t>
  </si>
  <si>
    <t>LA POSTE (affranchisst) Prélèvt le 13/06</t>
  </si>
  <si>
    <t>Frais Financiers+Intérêts+Commiss° Prélèvt le 02/06</t>
  </si>
  <si>
    <t>Salaires Avril 2022 STC SI  Hafidi  CHQ0506</t>
  </si>
  <si>
    <t>Salaire Mai 2022 PE-Prod. M.Mantovani  Virt le 03/06</t>
  </si>
  <si>
    <t>Salaires Mai 2022  Vacataires Service  Virt le 03/06</t>
  </si>
  <si>
    <t>5ème AVENUE  Prélèvt le 07/06</t>
  </si>
  <si>
    <t>apprenties</t>
  </si>
  <si>
    <t>EQUALOG (mensuel -72,00)  Prélèvt le 04/06</t>
  </si>
  <si>
    <t>TOTAL ENERGIE GAZ-EDF  Prélèvt le 07/06</t>
  </si>
  <si>
    <t>ATD (Manu)  CHQ0520 - ATD (Orlando)  CHQ0521</t>
  </si>
  <si>
    <t>PROMOCASH</t>
  </si>
  <si>
    <t>Salaire Mai 2022  SI Service Tesfamariam  CHQ0531</t>
  </si>
  <si>
    <t>0527 Audoux</t>
  </si>
  <si>
    <t>0528 Clementi</t>
  </si>
  <si>
    <t>0529 Cretel</t>
  </si>
  <si>
    <t>0530 Isele</t>
  </si>
  <si>
    <t>Remise Chq BND    Juin 2022</t>
  </si>
  <si>
    <t>Thierry Mure</t>
  </si>
  <si>
    <t>08/07 = -500,40</t>
  </si>
  <si>
    <t>Virt CPAM-93  reçu le 10/06</t>
  </si>
  <si>
    <t>OVH  Prélèvt le 13/06  -  FRAIKIN  Virt le ---------------</t>
  </si>
  <si>
    <t>Rembt Prêt NSM Lave-verres (36mois)  Prélèvt le 15/06</t>
  </si>
  <si>
    <t>Impôts Salariés  Prélèvt le 15/06</t>
  </si>
  <si>
    <t>TITAN</t>
  </si>
  <si>
    <t>Virt 14/06</t>
  </si>
  <si>
    <t>SARL SOTRIMAT</t>
  </si>
  <si>
    <t>GRUET</t>
  </si>
  <si>
    <t>Rembt Client (6314)  Warck  CHQ0532</t>
  </si>
  <si>
    <t>METAL 2000</t>
  </si>
  <si>
    <t>IVECO LINAS VI (mensuel -351,97) Prélèvt le 15/06</t>
  </si>
  <si>
    <t>TROUILLET Frais Gestion Amende + Autres   Prélèvt le 15/06</t>
  </si>
  <si>
    <t>CFE acompte 2022  Prélèvt le 27/06</t>
  </si>
  <si>
    <t>SFR (Ensam-25,01)  ? ? ? ?  Prélèvt le 16/06</t>
  </si>
  <si>
    <t>Rembt Client (10858)  De Vregille  Virt le 16/06</t>
  </si>
  <si>
    <t>URSSAF  (44.855:6 mois)  Prélèvt le 08/06 - 17/06</t>
  </si>
  <si>
    <t>NEXITY Loyer  (M3-T1-2022) Virt le 17/06</t>
  </si>
  <si>
    <t>OPSIDIUM F4206006  Virt le 17/06</t>
  </si>
  <si>
    <t>VALLEE SUD (Ord.non ménagères T4-2021)  Virt le 17/06</t>
  </si>
  <si>
    <t>MDB Multimedia FA00004529  Virt le 17/06</t>
  </si>
  <si>
    <t>Remise chq du 21/06  ( 20 + 21 )</t>
  </si>
  <si>
    <t>ATD (Chaira) CHQ0523 - (Fatoux) CHQ0524 - (Bourangon) CHQ0525</t>
  </si>
  <si>
    <t>Salaire Juin 2022 SI Prod.  Virt le 20/06</t>
  </si>
  <si>
    <t>Salaire Acompte Juin 2022  Virt le 20/06</t>
  </si>
  <si>
    <t>Virt le 17/06</t>
  </si>
  <si>
    <r>
      <t>Remise T.Resto Porte Dorée   Avril</t>
    </r>
    <r>
      <rPr>
        <b/>
        <sz val="8"/>
        <color rgb="FF0070C0"/>
        <rFont val="Calibri"/>
        <family val="2"/>
        <scheme val="minor"/>
      </rPr>
      <t xml:space="preserve"> - Mai</t>
    </r>
    <r>
      <rPr>
        <b/>
        <sz val="8"/>
        <color rgb="FFFF0000"/>
        <rFont val="Calibri"/>
        <family val="2"/>
        <scheme val="minor"/>
      </rPr>
      <t xml:space="preserve"> 2022</t>
    </r>
  </si>
  <si>
    <t>NEXITY (Loyer) - 2è trimestre 2022  :  30 322,30</t>
  </si>
  <si>
    <t>M1 - T2 - 2022</t>
  </si>
  <si>
    <t>M2 - T2 - 2022</t>
  </si>
  <si>
    <t>M3 - T2 - 2022</t>
  </si>
  <si>
    <t>Virt UT-75 Modulation  reçu le 21/06</t>
  </si>
  <si>
    <t>Virt ASP 92 (39.816,17)  reçu le 02/06 - le 21/06</t>
  </si>
  <si>
    <t>Virt ASP 75 (4.317,92)  reçu le 02/06 - le 21/06</t>
  </si>
  <si>
    <t>LELIEVRE  Prélèvt 01/06 - 08/06 - 15/06 - 16/06 - 22/06</t>
  </si>
  <si>
    <t>DELICES DES ANTILLES</t>
  </si>
  <si>
    <t>Virt 22/06</t>
  </si>
  <si>
    <t>Remise chq du 24/06  ( 22 + 24 )</t>
  </si>
  <si>
    <t xml:space="preserve">KLESIA Retraite  Prélèvt le 27/06           </t>
  </si>
  <si>
    <t xml:space="preserve">TVA 05/2022  Prélèvt le 27/06                   </t>
  </si>
  <si>
    <t>CASHMAG ? ? ? ?   Prélèvt le 10/06 - le 17/06 - le 27/06</t>
  </si>
  <si>
    <t>COMATEC LCR  Prélèvt le 12/06 - 19/06 - 22/06 - 28/06</t>
  </si>
  <si>
    <t>LYRECO Prélèvt le 27/06 -  CONCEPTA Prélèvt le ------------</t>
  </si>
  <si>
    <t>ORANGE Business  Prélèvt le 08/06 - le 27,06</t>
  </si>
  <si>
    <t>L'HOTELLERIE  (10,00)  Prélèvt le 28/06</t>
  </si>
  <si>
    <t>Remise chq du 30/06  ( 29 + 30 )</t>
  </si>
  <si>
    <t>Lyreco 03/07 -276,48</t>
  </si>
  <si>
    <t>Salaires Juin 2022  Insertions   Virt le 29/06 - le 30/06</t>
  </si>
  <si>
    <t>Salaires Juin 2022  Permanents  Virt le 29/06 - le 30/06</t>
  </si>
  <si>
    <t>Salaires Juin 2022  Stagiaires  Virt le 30/06</t>
  </si>
  <si>
    <t>Virt ASP 75 Aide Unique Apprentie (666,66) reçu le 07/06</t>
  </si>
  <si>
    <t xml:space="preserve">Maïssa 27/09 </t>
  </si>
  <si>
    <t xml:space="preserve">Rebecca 06/09 </t>
  </si>
  <si>
    <t>ASSOCIATION 18/24</t>
  </si>
  <si>
    <t>CELLIER DES MARCHES</t>
  </si>
  <si>
    <t>VITAMONT</t>
  </si>
  <si>
    <t>FIRPLAST</t>
  </si>
  <si>
    <t>FIRSTPACK</t>
  </si>
  <si>
    <t>GAUMER BOULANGERIE</t>
  </si>
  <si>
    <t>LA SAVOUREUSE</t>
  </si>
  <si>
    <t>MILORD</t>
  </si>
  <si>
    <t>MOULINOT</t>
  </si>
  <si>
    <t>O.JETABLES</t>
  </si>
  <si>
    <t>POMONA PASSION FROID</t>
  </si>
  <si>
    <t>SAGET LA PERRIERE</t>
  </si>
  <si>
    <t>SANIPOUSSE</t>
  </si>
  <si>
    <t>SHIBAS</t>
  </si>
  <si>
    <t>THOUY</t>
  </si>
  <si>
    <t>FRAIKIN ASSETS</t>
  </si>
  <si>
    <t>DEMARNE</t>
  </si>
  <si>
    <t>LINAS VEHICULES IND.</t>
  </si>
  <si>
    <t xml:space="preserve">REZO SOCIAL  F2205-14090  Virt </t>
  </si>
  <si>
    <t>ALLIANZ Iard  Prélèvt le 05/07</t>
  </si>
  <si>
    <t>LOCAM (ancien -36,00)  Prélèvt le 30/06</t>
  </si>
  <si>
    <t>Virt 29/06</t>
  </si>
  <si>
    <t>SEBELEC</t>
  </si>
  <si>
    <t>Virt 01/07</t>
  </si>
  <si>
    <t>Virt clients du 01/07</t>
  </si>
  <si>
    <t>Remise chq du 01/07</t>
  </si>
  <si>
    <t>Virt I.J.Rente Colonna Facility  reçu le 30/06</t>
  </si>
  <si>
    <r>
      <t>Salaires Mai 2022  Vacataires   CHQ0527-0528</t>
    </r>
    <r>
      <rPr>
        <b/>
        <sz val="8"/>
        <color rgb="FF0070C0"/>
        <rFont val="Calibri"/>
        <family val="2"/>
        <scheme val="minor"/>
      </rPr>
      <t>-0529-0530</t>
    </r>
  </si>
  <si>
    <t>Paris  - DAE</t>
  </si>
  <si>
    <t>Virt Paris 75 DAE  reçu le 01/07</t>
  </si>
  <si>
    <r>
      <rPr>
        <b/>
        <sz val="8"/>
        <color rgb="FFFF0000"/>
        <rFont val="Calibri"/>
        <family val="2"/>
        <scheme val="minor"/>
      </rPr>
      <t>P.PRO  (Intérim)  Prélèvt</t>
    </r>
    <r>
      <rPr>
        <b/>
        <sz val="8"/>
        <color rgb="FF0070C0"/>
        <rFont val="Calibri"/>
        <family val="2"/>
        <scheme val="minor"/>
      </rPr>
      <t xml:space="preserve"> 02/06-16/06-23/06-29/06-30/06</t>
    </r>
  </si>
  <si>
    <t>01/07 =-170,50-170,50</t>
  </si>
  <si>
    <t>01/07 -272,89</t>
  </si>
  <si>
    <t xml:space="preserve">ENGIE GNVERT  Prélèvt le 01/07     </t>
  </si>
  <si>
    <r>
      <rPr>
        <b/>
        <sz val="8"/>
        <color rgb="FF0070C0"/>
        <rFont val="Calibri"/>
        <family val="2"/>
        <scheme val="minor"/>
      </rPr>
      <t xml:space="preserve">SOLIA  Prélèvt le ------ - </t>
    </r>
    <r>
      <rPr>
        <b/>
        <sz val="8"/>
        <color rgb="FFFF0000"/>
        <rFont val="Calibri"/>
        <family val="2"/>
        <scheme val="minor"/>
      </rPr>
      <t>DE LAGE LANDEN  Prélèvt le 01/07</t>
    </r>
  </si>
  <si>
    <t>NEXITY (Loyer) - 2eme trimestre 2022  :  30 322,30</t>
  </si>
  <si>
    <t>Virt le 12/07</t>
  </si>
  <si>
    <t>Virt le 08/08</t>
  </si>
  <si>
    <t>Virt le 12/09</t>
  </si>
  <si>
    <t>Remise chq du 27/06 (date d'operation du 04/07/2022)</t>
  </si>
  <si>
    <t xml:space="preserve">VERST ESPECES CAISSE DIRECTION LE </t>
  </si>
  <si>
    <t>Remise CB Porte Dorée  Juillet 2022</t>
  </si>
  <si>
    <t>Frais de CB Porte Dorée   Juillet2022</t>
  </si>
  <si>
    <t>Remise CB Les Berges  Juillet 2022</t>
  </si>
  <si>
    <t>Frais de CB Les Berges  Juillet 2022</t>
  </si>
  <si>
    <t>Remise T.Resto Amis de Cluny  Juillet 2022</t>
  </si>
  <si>
    <t>Remise CB BND   Juillet 2022</t>
  </si>
  <si>
    <t>Frais de CB BND   Juillet 2022</t>
  </si>
  <si>
    <t xml:space="preserve">Virt clients du </t>
  </si>
  <si>
    <t>Virt clients du</t>
  </si>
  <si>
    <t>ORANGE Lease   Prélèvt le 01/07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</si>
</sst>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_ ;[Red]\-#,##0.00\ "/>
  </numFmts>
  <fonts count="2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1" fillId="0" borderId="0" xfId="0" applyFont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" fontId="9" fillId="0" borderId="1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vertical="center"/>
    </xf>
    <xf numFmtId="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0" fillId="0" borderId="0" xfId="0" applyNumberFormat="1" applyFont="1" applyFill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4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" fontId="1" fillId="0" borderId="0" xfId="0" applyNumberFormat="1" applyFont="1" applyAlignment="1">
      <alignment vertical="center"/>
    </xf>
    <xf numFmtId="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4" fontId="21" fillId="0" borderId="0" xfId="0" applyNumberFormat="1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14" fontId="11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14" fontId="21" fillId="0" borderId="0" xfId="0" applyNumberFormat="1" applyFont="1" applyAlignment="1">
      <alignment horizontal="center"/>
    </xf>
    <xf numFmtId="4" fontId="21" fillId="0" borderId="0" xfId="0" applyNumberFormat="1" applyFont="1" applyAlignment="1">
      <alignment horizontal="center"/>
    </xf>
    <xf numFmtId="17" fontId="21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4" fontId="18" fillId="0" borderId="0" xfId="0" applyNumberFormat="1" applyFont="1" applyBorder="1" applyAlignment="1">
      <alignment horizontal="center" vertical="center"/>
    </xf>
    <xf numFmtId="4" fontId="9" fillId="0" borderId="0" xfId="0" applyNumberFormat="1" applyFont="1" applyFill="1" applyAlignment="1">
      <alignment horizontal="left" vertical="center"/>
    </xf>
    <xf numFmtId="14" fontId="19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4" fontId="9" fillId="0" borderId="1" xfId="0" applyNumberFormat="1" applyFont="1" applyFill="1" applyBorder="1" applyAlignment="1">
      <alignment horizontal="left" vertical="center"/>
    </xf>
    <xf numFmtId="14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4" fontId="21" fillId="3" borderId="0" xfId="0" applyNumberFormat="1" applyFont="1" applyFill="1" applyAlignment="1">
      <alignment horizontal="center"/>
    </xf>
    <xf numFmtId="14" fontId="21" fillId="4" borderId="0" xfId="0" applyNumberFormat="1" applyFont="1" applyFill="1" applyAlignment="1">
      <alignment horizontal="center"/>
    </xf>
    <xf numFmtId="17" fontId="21" fillId="4" borderId="0" xfId="0" applyNumberFormat="1" applyFont="1" applyFill="1" applyAlignment="1">
      <alignment horizontal="center"/>
    </xf>
    <xf numFmtId="4" fontId="21" fillId="4" borderId="0" xfId="0" applyNumberFormat="1" applyFont="1" applyFill="1" applyAlignment="1">
      <alignment horizontal="center"/>
    </xf>
    <xf numFmtId="14" fontId="21" fillId="5" borderId="0" xfId="0" applyNumberFormat="1" applyFont="1" applyFill="1" applyAlignment="1">
      <alignment horizontal="center"/>
    </xf>
    <xf numFmtId="17" fontId="21" fillId="5" borderId="0" xfId="0" applyNumberFormat="1" applyFont="1" applyFill="1" applyAlignment="1">
      <alignment horizontal="center"/>
    </xf>
    <xf numFmtId="4" fontId="21" fillId="5" borderId="0" xfId="0" applyNumberFormat="1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0" fillId="3" borderId="0" xfId="0" applyFont="1" applyFill="1" applyAlignment="1">
      <alignment vertical="center"/>
    </xf>
    <xf numFmtId="17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8" fillId="0" borderId="0" xfId="0" applyNumberFormat="1" applyFont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21" fillId="0" borderId="0" xfId="0" applyNumberFormat="1" applyFont="1"/>
    <xf numFmtId="0" fontId="21" fillId="0" borderId="0" xfId="0" applyFont="1" applyFill="1"/>
    <xf numFmtId="4" fontId="21" fillId="0" borderId="0" xfId="0" applyNumberFormat="1" applyFont="1" applyFill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4" fontId="8" fillId="0" borderId="0" xfId="0" applyNumberFormat="1" applyFont="1" applyFill="1" applyAlignment="1">
      <alignment vertical="center"/>
    </xf>
    <xf numFmtId="14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3" fillId="2" borderId="0" xfId="0" applyNumberFormat="1" applyFont="1" applyFill="1" applyAlignment="1">
      <alignment horizontal="center"/>
    </xf>
    <xf numFmtId="4" fontId="23" fillId="8" borderId="0" xfId="0" applyNumberFormat="1" applyFont="1" applyFill="1" applyAlignment="1">
      <alignment horizontal="center"/>
    </xf>
    <xf numFmtId="4" fontId="23" fillId="9" borderId="0" xfId="0" applyNumberFormat="1" applyFont="1" applyFill="1" applyAlignment="1">
      <alignment horizontal="center"/>
    </xf>
    <xf numFmtId="4" fontId="23" fillId="1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4" fontId="9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2" fontId="10" fillId="0" borderId="0" xfId="0" applyNumberFormat="1" applyFont="1" applyAlignment="1">
      <alignment horizontal="left" vertical="center"/>
    </xf>
    <xf numFmtId="16" fontId="3" fillId="0" borderId="0" xfId="0" applyNumberFormat="1" applyFont="1" applyFill="1" applyAlignment="1">
      <alignment horizontal="center" vertical="center"/>
    </xf>
    <xf numFmtId="165" fontId="21" fillId="0" borderId="0" xfId="0" applyNumberFormat="1" applyFont="1" applyAlignment="1">
      <alignment horizontal="center"/>
    </xf>
    <xf numFmtId="4" fontId="10" fillId="0" borderId="0" xfId="0" applyNumberFormat="1" applyFont="1" applyFill="1" applyBorder="1" applyAlignment="1">
      <alignment horizontal="left" vertical="center"/>
    </xf>
    <xf numFmtId="4" fontId="23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vertical="center"/>
    </xf>
    <xf numFmtId="4" fontId="19" fillId="0" borderId="0" xfId="0" applyNumberFormat="1" applyFont="1" applyFill="1" applyBorder="1" applyAlignment="1">
      <alignment horizontal="left" vertical="center"/>
    </xf>
    <xf numFmtId="4" fontId="19" fillId="0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/>
    <xf numFmtId="4" fontId="1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4" fontId="1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" fontId="9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2" fontId="10" fillId="0" borderId="2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4" fontId="23" fillId="3" borderId="0" xfId="0" applyNumberFormat="1" applyFont="1" applyFill="1" applyAlignment="1">
      <alignment horizontal="center"/>
    </xf>
    <xf numFmtId="4" fontId="23" fillId="4" borderId="0" xfId="0" applyNumberFormat="1" applyFont="1" applyFill="1" applyAlignment="1">
      <alignment horizontal="center"/>
    </xf>
    <xf numFmtId="4" fontId="23" fillId="5" borderId="0" xfId="0" applyNumberFormat="1" applyFont="1" applyFill="1" applyAlignment="1">
      <alignment horizontal="center"/>
    </xf>
    <xf numFmtId="4" fontId="23" fillId="7" borderId="0" xfId="0" applyNumberFormat="1" applyFont="1" applyFill="1" applyAlignment="1">
      <alignment horizontal="center"/>
    </xf>
    <xf numFmtId="0" fontId="21" fillId="12" borderId="0" xfId="0" applyFont="1" applyFill="1"/>
    <xf numFmtId="4" fontId="23" fillId="12" borderId="0" xfId="0" applyNumberFormat="1" applyFont="1" applyFill="1" applyAlignment="1">
      <alignment horizontal="center"/>
    </xf>
    <xf numFmtId="4" fontId="21" fillId="12" borderId="0" xfId="0" applyNumberFormat="1" applyFont="1" applyFill="1"/>
    <xf numFmtId="0" fontId="0" fillId="0" borderId="0" xfId="0" applyAlignment="1">
      <alignment vertical="center"/>
    </xf>
    <xf numFmtId="0" fontId="1" fillId="0" borderId="0" xfId="0" applyFont="1" applyAlignment="1"/>
    <xf numFmtId="4" fontId="11" fillId="0" borderId="0" xfId="0" applyNumberFormat="1" applyFont="1" applyAlignment="1">
      <alignment horizontal="center"/>
    </xf>
    <xf numFmtId="4" fontId="11" fillId="2" borderId="0" xfId="0" applyNumberFormat="1" applyFont="1" applyFill="1" applyAlignment="1">
      <alignment horizontal="center"/>
    </xf>
    <xf numFmtId="4" fontId="11" fillId="6" borderId="0" xfId="0" applyNumberFormat="1" applyFont="1" applyFill="1" applyAlignment="1">
      <alignment horizontal="center"/>
    </xf>
    <xf numFmtId="4" fontId="11" fillId="3" borderId="0" xfId="0" applyNumberFormat="1" applyFont="1" applyFill="1" applyAlignment="1">
      <alignment horizontal="center"/>
    </xf>
    <xf numFmtId="4" fontId="11" fillId="10" borderId="0" xfId="0" applyNumberFormat="1" applyFont="1" applyFill="1" applyAlignment="1">
      <alignment horizontal="center"/>
    </xf>
    <xf numFmtId="4" fontId="11" fillId="9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vertical="center"/>
    </xf>
    <xf numFmtId="4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1" borderId="1" xfId="0" applyFill="1" applyBorder="1" applyAlignment="1">
      <alignment vertical="center"/>
    </xf>
    <xf numFmtId="4" fontId="21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/>
    </xf>
    <xf numFmtId="4" fontId="18" fillId="11" borderId="1" xfId="0" applyNumberFormat="1" applyFont="1" applyFill="1" applyBorder="1" applyAlignment="1">
      <alignment horizontal="right" vertical="center"/>
    </xf>
    <xf numFmtId="0" fontId="17" fillId="11" borderId="1" xfId="0" applyFont="1" applyFill="1" applyBorder="1" applyAlignment="1">
      <alignment vertical="center"/>
    </xf>
    <xf numFmtId="17" fontId="21" fillId="0" borderId="0" xfId="0" applyNumberFormat="1" applyFont="1"/>
    <xf numFmtId="0" fontId="10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" fontId="1" fillId="4" borderId="0" xfId="0" applyNumberFormat="1" applyFont="1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" fontId="12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17" fillId="0" borderId="1" xfId="0" applyFont="1" applyFill="1" applyBorder="1" applyAlignment="1">
      <alignment vertical="center"/>
    </xf>
    <xf numFmtId="4" fontId="17" fillId="0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4" fontId="18" fillId="3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4" fontId="18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7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7" fillId="3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4" fontId="3" fillId="2" borderId="0" xfId="0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/>
    </xf>
    <xf numFmtId="4" fontId="19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16" fontId="19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4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4" fontId="19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" fontId="17" fillId="0" borderId="1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Alignment="1">
      <alignment vertical="center"/>
    </xf>
    <xf numFmtId="4" fontId="3" fillId="2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4" fontId="19" fillId="2" borderId="0" xfId="0" applyNumberFormat="1" applyFont="1" applyFill="1" applyAlignment="1">
      <alignment horizontal="left" vertical="center"/>
    </xf>
    <xf numFmtId="0" fontId="23" fillId="4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/>
    </xf>
    <xf numFmtId="0" fontId="1" fillId="0" borderId="0" xfId="0" applyFont="1" applyAlignment="1"/>
    <xf numFmtId="0" fontId="11" fillId="1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8" fillId="11" borderId="0" xfId="0" applyFon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4" fontId="9" fillId="13" borderId="1" xfId="0" applyNumberFormat="1" applyFont="1" applyFill="1" applyBorder="1" applyAlignment="1">
      <alignment horizontal="center" vertical="center"/>
    </xf>
    <xf numFmtId="4" fontId="10" fillId="13" borderId="1" xfId="0" applyNumberFormat="1" applyFont="1" applyFill="1" applyBorder="1" applyAlignment="1">
      <alignment horizontal="center" vertical="center"/>
    </xf>
    <xf numFmtId="4" fontId="10" fillId="13" borderId="0" xfId="0" applyNumberFormat="1" applyFont="1" applyFill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horizontal="center" vertical="center"/>
    </xf>
    <xf numFmtId="4" fontId="10" fillId="4" borderId="1" xfId="0" applyNumberFormat="1" applyFont="1" applyFill="1" applyBorder="1" applyAlignment="1">
      <alignment horizontal="center" vertical="center"/>
    </xf>
    <xf numFmtId="4" fontId="10" fillId="9" borderId="0" xfId="0" applyNumberFormat="1" applyFont="1" applyFill="1" applyAlignment="1">
      <alignment horizontal="center" vertical="center"/>
    </xf>
    <xf numFmtId="4" fontId="25" fillId="0" borderId="1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4" fontId="10" fillId="1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50.7109375" style="223" customWidth="1"/>
    <col min="2" max="3" width="18.7109375" style="223" customWidth="1"/>
    <col min="4" max="5" width="16" style="223" customWidth="1"/>
    <col min="6" max="16384" width="11.42578125" style="223"/>
  </cols>
  <sheetData>
    <row r="1" spans="1:5" ht="33" customHeight="1" x14ac:dyDescent="0.25">
      <c r="A1" s="54" t="s">
        <v>194</v>
      </c>
      <c r="B1" s="224"/>
      <c r="C1" s="224"/>
    </row>
    <row r="2" spans="1:5" ht="15.75" x14ac:dyDescent="0.25">
      <c r="A2" s="225" t="s">
        <v>22</v>
      </c>
      <c r="B2" s="226"/>
      <c r="C2" s="226"/>
    </row>
    <row r="3" spans="1:5" x14ac:dyDescent="0.25">
      <c r="A3" s="226"/>
      <c r="B3" s="226"/>
      <c r="C3" s="226"/>
    </row>
    <row r="4" spans="1:5" ht="15.75" x14ac:dyDescent="0.25">
      <c r="A4" s="227">
        <v>44743</v>
      </c>
      <c r="B4" s="228" t="s">
        <v>23</v>
      </c>
      <c r="C4" s="228" t="s">
        <v>24</v>
      </c>
    </row>
    <row r="5" spans="1:5" x14ac:dyDescent="0.25">
      <c r="A5" s="226"/>
      <c r="B5" s="226"/>
      <c r="C5" s="226"/>
    </row>
    <row r="6" spans="1:5" ht="15.75" x14ac:dyDescent="0.25">
      <c r="A6" s="225" t="s">
        <v>31</v>
      </c>
      <c r="B6" s="229">
        <f>Détail!C194</f>
        <v>529840.01000000013</v>
      </c>
      <c r="C6" s="229">
        <f>Détail!C194</f>
        <v>529840.01000000013</v>
      </c>
    </row>
    <row r="7" spans="1:5" x14ac:dyDescent="0.25">
      <c r="A7" s="230"/>
      <c r="B7" s="231">
        <f>Détail!D196</f>
        <v>23483.609999999982</v>
      </c>
      <c r="C7" s="231">
        <f>Détail!D196</f>
        <v>23483.609999999982</v>
      </c>
      <c r="E7" s="223" t="s">
        <v>29</v>
      </c>
    </row>
    <row r="8" spans="1:5" x14ac:dyDescent="0.25">
      <c r="A8" s="232"/>
      <c r="B8" s="233">
        <f>B6+B7</f>
        <v>553323.62000000011</v>
      </c>
      <c r="C8" s="233">
        <f>C6+C7</f>
        <v>553323.62000000011</v>
      </c>
    </row>
    <row r="9" spans="1:5" x14ac:dyDescent="0.25">
      <c r="A9" s="230" t="s">
        <v>25</v>
      </c>
      <c r="B9" s="231"/>
      <c r="C9" s="231">
        <f>Détail!E45</f>
        <v>10043.23</v>
      </c>
      <c r="D9" s="223" t="s">
        <v>31</v>
      </c>
    </row>
    <row r="10" spans="1:5" x14ac:dyDescent="0.25">
      <c r="A10" s="230" t="s">
        <v>26</v>
      </c>
      <c r="B10" s="231"/>
      <c r="C10" s="231">
        <f>Détail!E86</f>
        <v>5585.9000000000005</v>
      </c>
    </row>
    <row r="11" spans="1:5" ht="15.75" x14ac:dyDescent="0.25">
      <c r="A11" s="228" t="s">
        <v>27</v>
      </c>
      <c r="B11" s="234"/>
      <c r="C11" s="235">
        <f>C8+C9+C10</f>
        <v>568952.75000000012</v>
      </c>
      <c r="D11" s="236"/>
    </row>
    <row r="12" spans="1:5" x14ac:dyDescent="0.25">
      <c r="A12" s="224"/>
      <c r="B12" s="224"/>
      <c r="C12" s="224"/>
    </row>
    <row r="13" spans="1:5" x14ac:dyDescent="0.25">
      <c r="A13" s="224"/>
      <c r="B13" s="224"/>
      <c r="C13" s="224"/>
      <c r="E13" s="223" t="s">
        <v>31</v>
      </c>
    </row>
    <row r="14" spans="1:5" x14ac:dyDescent="0.25">
      <c r="A14" s="237"/>
      <c r="B14" s="237"/>
      <c r="C14" s="238"/>
    </row>
    <row r="15" spans="1:5" x14ac:dyDescent="0.25">
      <c r="A15" s="237" t="s">
        <v>520</v>
      </c>
      <c r="B15" s="237"/>
      <c r="C15" s="238">
        <f>C16+C17+C18</f>
        <v>30322.300000000003</v>
      </c>
      <c r="E15" s="223" t="s">
        <v>31</v>
      </c>
    </row>
    <row r="16" spans="1:5" x14ac:dyDescent="0.25">
      <c r="A16" s="243"/>
      <c r="B16" s="242" t="s">
        <v>521</v>
      </c>
      <c r="C16" s="238">
        <v>10108</v>
      </c>
      <c r="E16" s="223" t="s">
        <v>31</v>
      </c>
    </row>
    <row r="17" spans="1:4" x14ac:dyDescent="0.25">
      <c r="A17" s="295"/>
      <c r="B17" s="242" t="s">
        <v>522</v>
      </c>
      <c r="C17" s="238">
        <v>10107.15</v>
      </c>
      <c r="D17" s="236"/>
    </row>
    <row r="18" spans="1:4" x14ac:dyDescent="0.25">
      <c r="A18" s="243"/>
      <c r="B18" s="242" t="s">
        <v>523</v>
      </c>
      <c r="C18" s="238">
        <v>10107.15</v>
      </c>
    </row>
    <row r="19" spans="1:4" x14ac:dyDescent="0.25">
      <c r="A19" s="224"/>
      <c r="B19" s="224"/>
      <c r="C19" s="224"/>
    </row>
    <row r="20" spans="1:4" x14ac:dyDescent="0.25">
      <c r="A20" s="244" t="s">
        <v>343</v>
      </c>
      <c r="B20" s="245">
        <f>481457.5-92320.71</f>
        <v>389136.79</v>
      </c>
      <c r="C20" s="224"/>
    </row>
    <row r="21" spans="1:4" x14ac:dyDescent="0.25">
      <c r="A21" s="224"/>
      <c r="B21" s="224"/>
      <c r="C21" s="224"/>
    </row>
    <row r="22" spans="1:4" x14ac:dyDescent="0.25">
      <c r="A22" s="244" t="s">
        <v>344</v>
      </c>
      <c r="B22" s="245">
        <v>225232.55</v>
      </c>
      <c r="C22" s="224"/>
    </row>
    <row r="23" spans="1:4" x14ac:dyDescent="0.25">
      <c r="A23" s="246" t="s">
        <v>37</v>
      </c>
      <c r="B23" s="245">
        <f>Détail!E45+Détail!E85</f>
        <v>10043.23</v>
      </c>
      <c r="C23" s="224"/>
    </row>
    <row r="24" spans="1:4" x14ac:dyDescent="0.25">
      <c r="A24" s="247" t="s">
        <v>28</v>
      </c>
      <c r="B24" s="3">
        <f>B22-B23</f>
        <v>215189.31999999998</v>
      </c>
      <c r="C24" s="224"/>
    </row>
    <row r="25" spans="1:4" x14ac:dyDescent="0.25">
      <c r="A25" s="226"/>
      <c r="B25" s="226"/>
      <c r="C25" s="224"/>
    </row>
    <row r="26" spans="1:4" x14ac:dyDescent="0.25">
      <c r="A26" s="224"/>
      <c r="B26" s="224"/>
      <c r="C26" s="224"/>
    </row>
    <row r="27" spans="1:4" x14ac:dyDescent="0.25">
      <c r="A27" s="248"/>
      <c r="B27" s="248"/>
      <c r="C27" s="249"/>
    </row>
    <row r="28" spans="1:4" x14ac:dyDescent="0.25">
      <c r="A28" s="250"/>
      <c r="B28" s="251"/>
      <c r="C28" s="252"/>
    </row>
    <row r="29" spans="1:4" x14ac:dyDescent="0.25">
      <c r="A29" s="253" t="s">
        <v>360</v>
      </c>
      <c r="B29" s="253"/>
      <c r="C29" s="241">
        <f>C30+C31+C32</f>
        <v>30322.300000000003</v>
      </c>
    </row>
    <row r="30" spans="1:4" x14ac:dyDescent="0.25">
      <c r="A30" s="239" t="s">
        <v>361</v>
      </c>
      <c r="B30" s="240" t="s">
        <v>354</v>
      </c>
      <c r="C30" s="241">
        <v>10108</v>
      </c>
    </row>
    <row r="31" spans="1:4" x14ac:dyDescent="0.25">
      <c r="A31" s="254" t="s">
        <v>245</v>
      </c>
      <c r="B31" s="240" t="s">
        <v>355</v>
      </c>
      <c r="C31" s="241">
        <v>10107.15</v>
      </c>
    </row>
    <row r="32" spans="1:4" x14ac:dyDescent="0.25">
      <c r="A32" s="239" t="s">
        <v>518</v>
      </c>
      <c r="B32" s="240" t="s">
        <v>356</v>
      </c>
      <c r="C32" s="241">
        <v>10107.15</v>
      </c>
    </row>
    <row r="34" spans="1:3" x14ac:dyDescent="0.25">
      <c r="A34" s="255" t="s">
        <v>257</v>
      </c>
      <c r="B34" s="255"/>
    </row>
    <row r="35" spans="1:3" x14ac:dyDescent="0.25">
      <c r="A35" s="255" t="s">
        <v>258</v>
      </c>
      <c r="B35" s="255"/>
    </row>
    <row r="37" spans="1:3" x14ac:dyDescent="0.25">
      <c r="A37" s="255" t="s">
        <v>276</v>
      </c>
      <c r="B37" s="255"/>
    </row>
    <row r="38" spans="1:3" x14ac:dyDescent="0.25">
      <c r="A38" s="255" t="s">
        <v>277</v>
      </c>
      <c r="B38" s="255"/>
    </row>
    <row r="40" spans="1:3" x14ac:dyDescent="0.25">
      <c r="A40" s="255" t="s">
        <v>363</v>
      </c>
    </row>
    <row r="41" spans="1:3" x14ac:dyDescent="0.25">
      <c r="A41" s="257">
        <v>44409</v>
      </c>
      <c r="B41" s="268">
        <v>29463.07</v>
      </c>
      <c r="C41" s="268">
        <v>-859.23</v>
      </c>
    </row>
    <row r="42" spans="1:3" x14ac:dyDescent="0.25">
      <c r="A42" s="257">
        <v>44501</v>
      </c>
      <c r="B42" s="268">
        <v>30322.3</v>
      </c>
      <c r="C42" s="268">
        <v>19463.740000000002</v>
      </c>
    </row>
    <row r="43" spans="1:3" x14ac:dyDescent="0.25">
      <c r="A43" s="257">
        <v>44593</v>
      </c>
      <c r="B43" s="268">
        <v>30322.3</v>
      </c>
      <c r="C43" s="268">
        <v>30322.3</v>
      </c>
    </row>
    <row r="44" spans="1:3" x14ac:dyDescent="0.25">
      <c r="A44" s="257"/>
      <c r="B44" s="258"/>
      <c r="C44" s="258"/>
    </row>
    <row r="45" spans="1:3" x14ac:dyDescent="0.25">
      <c r="A45" s="257" t="s">
        <v>368</v>
      </c>
      <c r="B45" s="258"/>
      <c r="C45" s="258"/>
    </row>
    <row r="46" spans="1:3" x14ac:dyDescent="0.25">
      <c r="A46" s="255" t="s">
        <v>364</v>
      </c>
      <c r="B46" s="255"/>
      <c r="C46" s="268">
        <v>761.08</v>
      </c>
    </row>
    <row r="47" spans="1:3" x14ac:dyDescent="0.25">
      <c r="A47" s="256" t="s">
        <v>366</v>
      </c>
      <c r="B47" s="269" t="s">
        <v>365</v>
      </c>
      <c r="C47" s="268">
        <v>20105</v>
      </c>
    </row>
    <row r="48" spans="1:3" x14ac:dyDescent="0.25">
      <c r="A48" s="257">
        <v>44743</v>
      </c>
      <c r="B48" s="255"/>
      <c r="C48" s="268">
        <v>10517.46</v>
      </c>
    </row>
    <row r="49" spans="1:3" x14ac:dyDescent="0.25">
      <c r="A49" s="256" t="s">
        <v>367</v>
      </c>
      <c r="B49" s="255"/>
      <c r="C49" s="268">
        <v>18511.87</v>
      </c>
    </row>
  </sheetData>
  <printOptions horizontalCentered="1" vertic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0"/>
  <sheetViews>
    <sheetView tabSelected="1" topLeftCell="D76" workbookViewId="0">
      <selection activeCell="D182" sqref="D182"/>
    </sheetView>
  </sheetViews>
  <sheetFormatPr baseColWidth="10" defaultRowHeight="11.25" x14ac:dyDescent="0.25"/>
  <cols>
    <col min="1" max="1" width="4.7109375" style="1" customWidth="1"/>
    <col min="2" max="2" width="42.7109375" style="1" customWidth="1"/>
    <col min="3" max="4" width="11.42578125" style="1"/>
    <col min="5" max="5" width="21.28515625" style="1" customWidth="1"/>
    <col min="6" max="6" width="15.7109375" style="1" customWidth="1"/>
    <col min="7" max="16384" width="11.42578125" style="1"/>
  </cols>
  <sheetData>
    <row r="2" spans="2:11" x14ac:dyDescent="0.25">
      <c r="F2" s="13" t="s">
        <v>285</v>
      </c>
      <c r="G2" s="12"/>
      <c r="H2" s="12"/>
      <c r="I2" s="12"/>
      <c r="J2" s="13" t="s">
        <v>284</v>
      </c>
    </row>
    <row r="3" spans="2:11" ht="15" x14ac:dyDescent="0.25">
      <c r="B3" s="28" t="s">
        <v>5</v>
      </c>
      <c r="C3" s="29"/>
      <c r="D3" s="29"/>
      <c r="F3" s="12" t="s">
        <v>9</v>
      </c>
      <c r="G3" s="6">
        <v>2500</v>
      </c>
      <c r="H3" s="13" t="s">
        <v>116</v>
      </c>
      <c r="I3" s="13" t="s">
        <v>117</v>
      </c>
      <c r="J3" s="83"/>
    </row>
    <row r="4" spans="2:11" ht="12" customHeight="1" x14ac:dyDescent="0.25">
      <c r="B4" s="29"/>
      <c r="C4" s="2">
        <v>44742</v>
      </c>
      <c r="D4" s="30">
        <v>44743</v>
      </c>
      <c r="F4" s="41" t="s">
        <v>7</v>
      </c>
      <c r="G4" s="6">
        <v>2000</v>
      </c>
      <c r="H4" s="6" t="s">
        <v>30</v>
      </c>
      <c r="I4" s="14">
        <v>43369</v>
      </c>
      <c r="J4" s="83"/>
    </row>
    <row r="5" spans="2:11" ht="12" customHeight="1" x14ac:dyDescent="0.25">
      <c r="B5" s="31" t="s">
        <v>4</v>
      </c>
      <c r="C5" s="3">
        <v>511291.9</v>
      </c>
      <c r="D5" s="3">
        <f>SUM(C5:C192)</f>
        <v>529840.01000000013</v>
      </c>
      <c r="F5" s="65" t="s">
        <v>34</v>
      </c>
      <c r="G5" s="66">
        <v>500</v>
      </c>
      <c r="H5" s="67" t="s">
        <v>69</v>
      </c>
      <c r="I5" s="64" t="s">
        <v>70</v>
      </c>
      <c r="J5" s="83"/>
      <c r="K5" s="48"/>
    </row>
    <row r="6" spans="2:11" x14ac:dyDescent="0.25">
      <c r="B6" s="4"/>
      <c r="C6" s="4"/>
      <c r="D6" s="32"/>
      <c r="F6" s="65" t="s">
        <v>86</v>
      </c>
      <c r="G6" s="66">
        <v>1962</v>
      </c>
      <c r="H6" s="13" t="s">
        <v>87</v>
      </c>
      <c r="I6" s="78">
        <v>43781</v>
      </c>
      <c r="J6" s="12"/>
    </row>
    <row r="7" spans="2:11" x14ac:dyDescent="0.25">
      <c r="B7" s="34" t="s">
        <v>514</v>
      </c>
      <c r="C7" s="26"/>
      <c r="D7" s="25"/>
      <c r="E7" s="24">
        <v>2760.79</v>
      </c>
      <c r="F7" s="12" t="s">
        <v>64</v>
      </c>
      <c r="G7" s="6">
        <v>3000</v>
      </c>
      <c r="H7" s="13" t="s">
        <v>113</v>
      </c>
      <c r="I7" s="14">
        <v>43850</v>
      </c>
      <c r="J7" s="83"/>
      <c r="K7" s="48"/>
    </row>
    <row r="8" spans="2:11" x14ac:dyDescent="0.25">
      <c r="B8" s="39" t="s">
        <v>530</v>
      </c>
      <c r="C8" s="26"/>
      <c r="D8" s="25"/>
      <c r="E8" s="24">
        <v>2143.86</v>
      </c>
      <c r="F8" s="12" t="s">
        <v>64</v>
      </c>
      <c r="G8" s="6">
        <v>3000</v>
      </c>
      <c r="H8" s="13" t="s">
        <v>189</v>
      </c>
      <c r="I8" s="14">
        <v>44186</v>
      </c>
      <c r="J8" s="83"/>
      <c r="K8" s="48"/>
    </row>
    <row r="9" spans="2:11" x14ac:dyDescent="0.25">
      <c r="B9" s="34" t="s">
        <v>585</v>
      </c>
      <c r="C9" s="26"/>
      <c r="D9" s="25"/>
      <c r="E9" s="8">
        <v>1649.93</v>
      </c>
      <c r="F9" s="83" t="s">
        <v>263</v>
      </c>
      <c r="G9" s="84">
        <v>2000</v>
      </c>
      <c r="H9" s="85" t="s">
        <v>264</v>
      </c>
      <c r="I9" s="64">
        <v>44434</v>
      </c>
      <c r="J9" s="14">
        <v>44515</v>
      </c>
    </row>
    <row r="10" spans="2:11" x14ac:dyDescent="0.25">
      <c r="B10" s="39" t="s">
        <v>538</v>
      </c>
      <c r="C10" s="26"/>
      <c r="D10" s="25"/>
      <c r="E10" s="24">
        <v>610.99</v>
      </c>
      <c r="F10" s="12" t="s">
        <v>7</v>
      </c>
      <c r="G10" s="6">
        <v>2000</v>
      </c>
      <c r="H10" s="6" t="s">
        <v>283</v>
      </c>
      <c r="I10" s="13" t="s">
        <v>286</v>
      </c>
    </row>
    <row r="11" spans="2:11" x14ac:dyDescent="0.25">
      <c r="B11" s="39" t="s">
        <v>571</v>
      </c>
      <c r="C11" s="26"/>
      <c r="D11" s="25"/>
      <c r="E11" s="24">
        <v>1194.6500000000001</v>
      </c>
      <c r="F11" s="63" t="s">
        <v>297</v>
      </c>
      <c r="G11" s="156">
        <v>150</v>
      </c>
      <c r="H11" s="213" t="s">
        <v>332</v>
      </c>
      <c r="I11" s="85" t="s">
        <v>286</v>
      </c>
    </row>
    <row r="12" spans="2:11" x14ac:dyDescent="0.25">
      <c r="B12" s="36" t="s">
        <v>0</v>
      </c>
      <c r="C12" s="26"/>
      <c r="D12" s="25"/>
      <c r="E12" s="24"/>
      <c r="F12" s="83" t="s">
        <v>263</v>
      </c>
      <c r="G12" s="6">
        <v>10000</v>
      </c>
      <c r="H12" s="13" t="s">
        <v>405</v>
      </c>
      <c r="I12" s="280" t="s">
        <v>417</v>
      </c>
    </row>
    <row r="13" spans="2:11" x14ac:dyDescent="0.25">
      <c r="B13" s="36" t="s">
        <v>0</v>
      </c>
      <c r="C13" s="26"/>
      <c r="D13" s="25"/>
      <c r="E13" s="24"/>
      <c r="F13" s="63" t="s">
        <v>420</v>
      </c>
      <c r="G13" s="156">
        <v>1500</v>
      </c>
      <c r="H13" s="213" t="s">
        <v>421</v>
      </c>
      <c r="I13" s="78">
        <v>44699</v>
      </c>
      <c r="J13" s="48"/>
    </row>
    <row r="14" spans="2:11" x14ac:dyDescent="0.25">
      <c r="B14" s="36" t="s">
        <v>0</v>
      </c>
      <c r="C14" s="26"/>
      <c r="D14" s="25"/>
      <c r="E14" s="24"/>
      <c r="F14" s="37"/>
      <c r="G14" s="24"/>
      <c r="H14" s="46"/>
      <c r="I14" s="49"/>
      <c r="J14" s="49"/>
    </row>
    <row r="15" spans="2:11" x14ac:dyDescent="0.25">
      <c r="B15" s="36" t="s">
        <v>0</v>
      </c>
      <c r="C15" s="26"/>
      <c r="D15" s="25"/>
      <c r="E15" s="24"/>
      <c r="F15" s="291" t="s">
        <v>380</v>
      </c>
      <c r="G15" s="292">
        <f>SUM(G16:G20)</f>
        <v>5959.07</v>
      </c>
      <c r="H15" s="42"/>
      <c r="I15" s="44"/>
    </row>
    <row r="16" spans="2:11" x14ac:dyDescent="0.25">
      <c r="B16" s="36" t="s">
        <v>0</v>
      </c>
      <c r="C16" s="26"/>
      <c r="D16" s="25"/>
      <c r="E16" s="24"/>
      <c r="F16" s="264" t="s">
        <v>263</v>
      </c>
      <c r="G16" s="265">
        <v>3274.87</v>
      </c>
      <c r="H16" s="266">
        <v>510</v>
      </c>
      <c r="I16" s="42"/>
    </row>
    <row r="17" spans="2:10" x14ac:dyDescent="0.25">
      <c r="B17" s="36" t="s">
        <v>0</v>
      </c>
      <c r="C17" s="26"/>
      <c r="D17" s="25"/>
      <c r="F17" s="264" t="s">
        <v>420</v>
      </c>
      <c r="G17" s="287">
        <v>565.20000000000005</v>
      </c>
      <c r="H17" s="266">
        <v>513</v>
      </c>
    </row>
    <row r="18" spans="2:10" x14ac:dyDescent="0.25">
      <c r="B18" s="36" t="s">
        <v>0</v>
      </c>
      <c r="C18" s="26"/>
      <c r="D18" s="25"/>
      <c r="F18" s="264" t="s">
        <v>422</v>
      </c>
      <c r="G18" s="265">
        <v>1485</v>
      </c>
      <c r="H18" s="266">
        <v>514</v>
      </c>
      <c r="I18" s="48"/>
      <c r="J18" s="48"/>
    </row>
    <row r="19" spans="2:10" x14ac:dyDescent="0.25">
      <c r="B19" s="36" t="s">
        <v>0</v>
      </c>
      <c r="C19" s="26"/>
      <c r="D19" s="25"/>
      <c r="F19" s="264" t="s">
        <v>423</v>
      </c>
      <c r="G19" s="265">
        <v>305.77999999999997</v>
      </c>
      <c r="H19" s="266">
        <v>516</v>
      </c>
      <c r="I19" s="49"/>
      <c r="J19" s="48"/>
    </row>
    <row r="20" spans="2:10" x14ac:dyDescent="0.25">
      <c r="B20" s="36" t="s">
        <v>0</v>
      </c>
      <c r="C20" s="26"/>
      <c r="D20" s="25"/>
      <c r="F20" s="264" t="s">
        <v>423</v>
      </c>
      <c r="G20" s="265">
        <v>328.22</v>
      </c>
      <c r="H20" s="266">
        <v>518</v>
      </c>
      <c r="I20" s="68"/>
    </row>
    <row r="21" spans="2:10" x14ac:dyDescent="0.25">
      <c r="B21" s="36" t="s">
        <v>0</v>
      </c>
      <c r="C21" s="26"/>
      <c r="D21" s="25"/>
      <c r="F21" s="49"/>
      <c r="G21" s="68"/>
      <c r="H21" s="42"/>
      <c r="I21" s="49"/>
    </row>
    <row r="22" spans="2:10" x14ac:dyDescent="0.25">
      <c r="B22" s="33" t="s">
        <v>0</v>
      </c>
      <c r="C22" s="26"/>
      <c r="D22" s="25"/>
      <c r="E22" s="24"/>
      <c r="F22" s="20" t="s">
        <v>425</v>
      </c>
      <c r="G22" s="8">
        <f xml:space="preserve"> SUM(G23:G103)</f>
        <v>185269.5</v>
      </c>
      <c r="I22" s="49"/>
    </row>
    <row r="23" spans="2:10" x14ac:dyDescent="0.25">
      <c r="B23" s="36" t="s">
        <v>0</v>
      </c>
      <c r="C23" s="26"/>
      <c r="D23" s="25"/>
      <c r="E23" s="24"/>
      <c r="F23" s="264" t="s">
        <v>388</v>
      </c>
      <c r="G23" s="265">
        <v>5269.69</v>
      </c>
      <c r="H23" s="266" t="s">
        <v>462</v>
      </c>
      <c r="I23" s="11"/>
    </row>
    <row r="24" spans="2:10" x14ac:dyDescent="0.25">
      <c r="B24" s="33" t="s">
        <v>0</v>
      </c>
      <c r="C24" s="5"/>
      <c r="D24" s="7"/>
      <c r="E24" s="8"/>
      <c r="F24" s="264" t="s">
        <v>463</v>
      </c>
      <c r="G24" s="265">
        <v>2243.77</v>
      </c>
      <c r="H24" s="266" t="s">
        <v>462</v>
      </c>
    </row>
    <row r="25" spans="2:10" x14ac:dyDescent="0.25">
      <c r="B25" s="33" t="s">
        <v>0</v>
      </c>
      <c r="C25" s="5"/>
      <c r="D25" s="7"/>
      <c r="E25" s="8"/>
      <c r="F25" s="264" t="s">
        <v>389</v>
      </c>
      <c r="G25" s="265">
        <v>203.53</v>
      </c>
      <c r="H25" s="266" t="s">
        <v>462</v>
      </c>
    </row>
    <row r="26" spans="2:10" x14ac:dyDescent="0.25">
      <c r="B26" s="33" t="s">
        <v>0</v>
      </c>
      <c r="C26" s="5"/>
      <c r="D26" s="7"/>
      <c r="E26" s="8"/>
      <c r="F26" s="264" t="s">
        <v>390</v>
      </c>
      <c r="G26" s="265">
        <v>1893.61</v>
      </c>
      <c r="H26" s="266" t="s">
        <v>462</v>
      </c>
    </row>
    <row r="27" spans="2:10" x14ac:dyDescent="0.25">
      <c r="B27" s="33" t="s">
        <v>586</v>
      </c>
      <c r="C27" s="5"/>
      <c r="D27" s="7"/>
      <c r="E27" s="8"/>
      <c r="F27" s="264" t="s">
        <v>391</v>
      </c>
      <c r="G27" s="265">
        <v>1962.93</v>
      </c>
      <c r="H27" s="266" t="s">
        <v>462</v>
      </c>
      <c r="I27" s="48"/>
    </row>
    <row r="28" spans="2:10" x14ac:dyDescent="0.25">
      <c r="B28" s="34"/>
      <c r="C28" s="7"/>
      <c r="D28" s="7"/>
      <c r="E28" s="8"/>
      <c r="F28" s="264" t="s">
        <v>464</v>
      </c>
      <c r="G28" s="265">
        <v>743.04</v>
      </c>
      <c r="H28" s="266" t="s">
        <v>462</v>
      </c>
      <c r="I28" s="48"/>
    </row>
    <row r="29" spans="2:10" x14ac:dyDescent="0.25">
      <c r="B29" s="335" t="s">
        <v>519</v>
      </c>
      <c r="C29" s="337"/>
      <c r="D29" s="338"/>
      <c r="E29" s="8">
        <v>1308.69</v>
      </c>
      <c r="F29" s="264" t="s">
        <v>465</v>
      </c>
      <c r="G29" s="265">
        <v>1118.1600000000001</v>
      </c>
      <c r="H29" s="266" t="s">
        <v>462</v>
      </c>
      <c r="I29" s="49"/>
    </row>
    <row r="30" spans="2:10" x14ac:dyDescent="0.25">
      <c r="B30" s="335" t="s">
        <v>587</v>
      </c>
      <c r="C30" s="338">
        <f>345.5+102.5</f>
        <v>448</v>
      </c>
      <c r="D30" s="338"/>
      <c r="E30" s="24">
        <f>380.46-6.14</f>
        <v>374.32</v>
      </c>
      <c r="F30" s="264" t="s">
        <v>466</v>
      </c>
      <c r="G30" s="265">
        <v>1585.08</v>
      </c>
      <c r="H30" s="266" t="s">
        <v>462</v>
      </c>
      <c r="I30" s="48"/>
      <c r="J30" s="48"/>
    </row>
    <row r="31" spans="2:10" x14ac:dyDescent="0.25">
      <c r="B31" s="335" t="s">
        <v>588</v>
      </c>
      <c r="C31" s="338">
        <f>-11.04-3.95</f>
        <v>-14.989999999999998</v>
      </c>
      <c r="D31" s="338"/>
      <c r="E31" s="8"/>
      <c r="F31" s="264" t="s">
        <v>392</v>
      </c>
      <c r="G31" s="265">
        <v>668.44</v>
      </c>
      <c r="H31" s="266" t="s">
        <v>462</v>
      </c>
      <c r="J31" s="48"/>
    </row>
    <row r="32" spans="2:10" x14ac:dyDescent="0.25">
      <c r="B32" s="336" t="s">
        <v>369</v>
      </c>
      <c r="C32" s="338"/>
      <c r="D32" s="338"/>
      <c r="E32" s="24"/>
      <c r="F32" s="264" t="s">
        <v>393</v>
      </c>
      <c r="G32" s="265">
        <v>1042.31</v>
      </c>
      <c r="H32" s="266" t="s">
        <v>462</v>
      </c>
      <c r="I32" s="146"/>
      <c r="J32" s="48"/>
    </row>
    <row r="33" spans="2:10" x14ac:dyDescent="0.25">
      <c r="B33" s="335" t="s">
        <v>428</v>
      </c>
      <c r="C33" s="338"/>
      <c r="D33" s="338"/>
      <c r="E33" s="8"/>
      <c r="F33" s="264" t="s">
        <v>394</v>
      </c>
      <c r="G33" s="265">
        <v>2593.1999999999998</v>
      </c>
      <c r="H33" s="266" t="s">
        <v>462</v>
      </c>
      <c r="J33" s="48"/>
    </row>
    <row r="34" spans="2:10" x14ac:dyDescent="0.25">
      <c r="B34" s="335" t="s">
        <v>592</v>
      </c>
      <c r="C34" s="338">
        <v>465.8</v>
      </c>
      <c r="D34" s="338"/>
      <c r="E34" s="8"/>
      <c r="F34" s="264" t="s">
        <v>471</v>
      </c>
      <c r="G34" s="265">
        <v>2400</v>
      </c>
      <c r="H34" s="266" t="s">
        <v>462</v>
      </c>
      <c r="I34" s="44"/>
      <c r="J34" s="48"/>
    </row>
    <row r="35" spans="2:10" x14ac:dyDescent="0.25">
      <c r="B35" s="335" t="s">
        <v>593</v>
      </c>
      <c r="C35" s="338">
        <v>-12.62</v>
      </c>
      <c r="D35" s="338"/>
      <c r="E35" s="8"/>
      <c r="F35" s="264" t="s">
        <v>395</v>
      </c>
      <c r="G35" s="265">
        <v>7096.55</v>
      </c>
      <c r="H35" s="266" t="s">
        <v>462</v>
      </c>
      <c r="I35" s="44"/>
      <c r="J35" s="48"/>
    </row>
    <row r="36" spans="2:10" x14ac:dyDescent="0.25">
      <c r="B36" s="336" t="s">
        <v>491</v>
      </c>
      <c r="C36" s="338"/>
      <c r="D36" s="338"/>
      <c r="E36" s="8"/>
      <c r="F36" s="264" t="s">
        <v>400</v>
      </c>
      <c r="G36" s="265">
        <v>2771.57</v>
      </c>
      <c r="H36" s="266" t="s">
        <v>462</v>
      </c>
      <c r="I36" s="44"/>
      <c r="J36" s="48"/>
    </row>
    <row r="37" spans="2:10" x14ac:dyDescent="0.25">
      <c r="B37" s="336" t="s">
        <v>429</v>
      </c>
      <c r="C37" s="338"/>
      <c r="D37" s="338"/>
      <c r="E37" s="24"/>
      <c r="F37" s="264" t="s">
        <v>396</v>
      </c>
      <c r="G37" s="265">
        <v>121.79</v>
      </c>
      <c r="H37" s="266" t="s">
        <v>462</v>
      </c>
      <c r="I37" s="44"/>
      <c r="J37" s="48"/>
    </row>
    <row r="38" spans="2:10" x14ac:dyDescent="0.25">
      <c r="B38" s="335" t="s">
        <v>589</v>
      </c>
      <c r="C38" s="338"/>
      <c r="D38" s="338"/>
      <c r="E38" s="24"/>
      <c r="F38" s="264" t="s">
        <v>352</v>
      </c>
      <c r="G38" s="265">
        <v>5352.67</v>
      </c>
      <c r="H38" s="266" t="s">
        <v>462</v>
      </c>
      <c r="I38" s="44"/>
      <c r="J38" s="48"/>
    </row>
    <row r="39" spans="2:10" x14ac:dyDescent="0.25">
      <c r="B39" s="335" t="s">
        <v>590</v>
      </c>
      <c r="C39" s="338"/>
      <c r="D39" s="338"/>
      <c r="E39" s="8"/>
      <c r="F39" s="264" t="s">
        <v>398</v>
      </c>
      <c r="G39" s="265">
        <v>4752.18</v>
      </c>
      <c r="H39" s="266" t="s">
        <v>462</v>
      </c>
      <c r="I39" s="49"/>
      <c r="J39" s="48"/>
    </row>
    <row r="40" spans="2:10" x14ac:dyDescent="0.25">
      <c r="B40" s="336" t="s">
        <v>427</v>
      </c>
      <c r="C40" s="338"/>
      <c r="D40" s="338"/>
      <c r="E40" s="24"/>
      <c r="F40" s="264" t="s">
        <v>467</v>
      </c>
      <c r="G40" s="265">
        <v>2557.44</v>
      </c>
      <c r="H40" s="266" t="s">
        <v>462</v>
      </c>
      <c r="I40" s="44"/>
      <c r="J40" s="48"/>
    </row>
    <row r="41" spans="2:10" x14ac:dyDescent="0.25">
      <c r="B41" s="336" t="s">
        <v>591</v>
      </c>
      <c r="C41" s="338"/>
      <c r="D41" s="338"/>
      <c r="E41" s="24"/>
      <c r="F41" s="264" t="s">
        <v>399</v>
      </c>
      <c r="G41" s="265">
        <v>1301.19</v>
      </c>
      <c r="H41" s="266" t="s">
        <v>462</v>
      </c>
      <c r="I41" s="44"/>
      <c r="J41" s="48"/>
    </row>
    <row r="42" spans="2:10" x14ac:dyDescent="0.25">
      <c r="B42" s="335" t="s">
        <v>460</v>
      </c>
      <c r="C42" s="338">
        <v>93.5</v>
      </c>
      <c r="D42" s="338"/>
      <c r="E42" s="8"/>
      <c r="F42" s="264" t="s">
        <v>469</v>
      </c>
      <c r="G42" s="265">
        <v>2136.4699999999998</v>
      </c>
      <c r="H42" s="266" t="s">
        <v>462</v>
      </c>
      <c r="I42" s="44"/>
      <c r="J42" s="48"/>
    </row>
    <row r="43" spans="2:10" x14ac:dyDescent="0.25">
      <c r="B43" s="335" t="s">
        <v>461</v>
      </c>
      <c r="C43" s="338">
        <v>-1.35</v>
      </c>
      <c r="D43" s="338"/>
      <c r="E43" s="24"/>
      <c r="F43" s="264" t="s">
        <v>397</v>
      </c>
      <c r="G43" s="266">
        <v>531.72</v>
      </c>
      <c r="H43" s="266" t="s">
        <v>462</v>
      </c>
      <c r="I43" s="44"/>
      <c r="J43" s="48"/>
    </row>
    <row r="44" spans="2:10" x14ac:dyDescent="0.25">
      <c r="B44" s="335" t="s">
        <v>426</v>
      </c>
      <c r="C44" s="338"/>
      <c r="D44" s="338"/>
      <c r="E44" s="24"/>
      <c r="F44" s="275" t="s">
        <v>470</v>
      </c>
      <c r="G44" s="276">
        <v>363.55</v>
      </c>
      <c r="H44" s="266" t="s">
        <v>462</v>
      </c>
      <c r="I44" s="44"/>
      <c r="J44" s="48"/>
    </row>
    <row r="45" spans="2:10" x14ac:dyDescent="0.25">
      <c r="B45" s="33"/>
      <c r="C45" s="7"/>
      <c r="D45" s="7"/>
      <c r="E45" s="8">
        <f>SUM(E7:E44)</f>
        <v>10043.23</v>
      </c>
      <c r="F45" s="275" t="s">
        <v>401</v>
      </c>
      <c r="G45" s="276">
        <v>1000.19</v>
      </c>
      <c r="H45" s="266" t="s">
        <v>462</v>
      </c>
      <c r="I45" s="44"/>
      <c r="J45" s="48"/>
    </row>
    <row r="46" spans="2:10" x14ac:dyDescent="0.25">
      <c r="B46" s="33" t="s">
        <v>570</v>
      </c>
      <c r="C46" s="5">
        <f>145.16+770.01+211.43+1089.66+338.8+1089.66+1089.66+140.8+1089.66+536.23+35000</f>
        <v>41501.07</v>
      </c>
      <c r="D46" s="7"/>
      <c r="E46" s="8"/>
      <c r="F46" s="275" t="s">
        <v>402</v>
      </c>
      <c r="G46" s="276">
        <v>3178.03</v>
      </c>
      <c r="H46" s="266" t="s">
        <v>462</v>
      </c>
      <c r="I46" s="44"/>
      <c r="J46" s="48"/>
    </row>
    <row r="47" spans="2:10" x14ac:dyDescent="0.25">
      <c r="B47" s="33" t="s">
        <v>594</v>
      </c>
      <c r="C47" s="5"/>
      <c r="D47" s="7"/>
      <c r="E47" s="8"/>
      <c r="F47" s="264" t="s">
        <v>403</v>
      </c>
      <c r="G47" s="265">
        <v>3012.06</v>
      </c>
      <c r="H47" s="266" t="s">
        <v>462</v>
      </c>
      <c r="I47" s="44"/>
      <c r="J47" s="48"/>
    </row>
    <row r="48" spans="2:10" x14ac:dyDescent="0.25">
      <c r="B48" s="33" t="s">
        <v>594</v>
      </c>
      <c r="C48" s="5"/>
      <c r="D48" s="7"/>
      <c r="E48" s="8"/>
      <c r="F48" s="264" t="s">
        <v>404</v>
      </c>
      <c r="G48" s="265">
        <v>1395.37</v>
      </c>
      <c r="H48" s="266" t="s">
        <v>462</v>
      </c>
      <c r="I48" s="44"/>
      <c r="J48" s="48"/>
    </row>
    <row r="49" spans="2:10" x14ac:dyDescent="0.25">
      <c r="B49" s="33" t="s">
        <v>594</v>
      </c>
      <c r="C49" s="5"/>
      <c r="D49" s="7"/>
      <c r="E49" s="8"/>
      <c r="F49" s="264" t="s">
        <v>485</v>
      </c>
      <c r="G49" s="266">
        <v>144.52000000000001</v>
      </c>
      <c r="H49" s="266">
        <v>522</v>
      </c>
      <c r="I49" s="44"/>
      <c r="J49" s="48"/>
    </row>
    <row r="50" spans="2:10" x14ac:dyDescent="0.25">
      <c r="B50" s="33" t="s">
        <v>594</v>
      </c>
      <c r="C50" s="5"/>
      <c r="D50" s="7"/>
      <c r="E50" s="8"/>
      <c r="F50" s="264" t="s">
        <v>485</v>
      </c>
      <c r="G50" s="265">
        <v>2157.29</v>
      </c>
      <c r="H50" s="266">
        <v>526</v>
      </c>
      <c r="I50" s="44"/>
      <c r="J50" s="48"/>
    </row>
    <row r="51" spans="2:10" x14ac:dyDescent="0.25">
      <c r="B51" s="33" t="s">
        <v>594</v>
      </c>
      <c r="C51" s="5"/>
      <c r="D51" s="7"/>
      <c r="E51" s="8"/>
      <c r="F51" s="294" t="s">
        <v>498</v>
      </c>
      <c r="G51" s="265">
        <v>2382</v>
      </c>
      <c r="H51" s="266" t="s">
        <v>499</v>
      </c>
      <c r="I51" s="44"/>
      <c r="J51" s="48"/>
    </row>
    <row r="52" spans="2:10" x14ac:dyDescent="0.25">
      <c r="B52" s="33" t="s">
        <v>594</v>
      </c>
      <c r="C52" s="5"/>
      <c r="D52" s="7"/>
      <c r="E52" s="8"/>
      <c r="F52" s="264" t="s">
        <v>500</v>
      </c>
      <c r="G52" s="265">
        <v>768</v>
      </c>
      <c r="H52" s="266" t="s">
        <v>499</v>
      </c>
      <c r="I52" s="42"/>
      <c r="J52" s="48"/>
    </row>
    <row r="53" spans="2:10" x14ac:dyDescent="0.25">
      <c r="B53" s="33" t="s">
        <v>594</v>
      </c>
      <c r="C53" s="5"/>
      <c r="D53" s="7"/>
      <c r="E53" s="8"/>
      <c r="F53" s="264" t="s">
        <v>501</v>
      </c>
      <c r="G53" s="265">
        <v>3888</v>
      </c>
      <c r="H53" s="266" t="s">
        <v>499</v>
      </c>
      <c r="I53" s="44"/>
      <c r="J53" s="48"/>
    </row>
    <row r="54" spans="2:10" x14ac:dyDescent="0.25">
      <c r="B54" s="33" t="s">
        <v>594</v>
      </c>
      <c r="C54" s="5"/>
      <c r="D54" s="7"/>
      <c r="E54" s="8"/>
      <c r="F54" s="264" t="s">
        <v>9</v>
      </c>
      <c r="G54" s="287">
        <v>297</v>
      </c>
      <c r="H54" s="266" t="s">
        <v>499</v>
      </c>
      <c r="I54" s="44"/>
      <c r="J54" s="48"/>
    </row>
    <row r="55" spans="2:10" x14ac:dyDescent="0.25">
      <c r="B55" s="33" t="s">
        <v>594</v>
      </c>
      <c r="C55" s="5"/>
      <c r="D55" s="7"/>
      <c r="E55" s="27"/>
      <c r="F55" s="11" t="s">
        <v>423</v>
      </c>
      <c r="G55" s="22">
        <v>328.22</v>
      </c>
      <c r="H55" s="21">
        <v>533</v>
      </c>
      <c r="I55" s="49"/>
      <c r="J55" s="48"/>
    </row>
    <row r="56" spans="2:10" x14ac:dyDescent="0.25">
      <c r="B56" s="33" t="s">
        <v>595</v>
      </c>
      <c r="C56" s="5"/>
      <c r="D56" s="7"/>
      <c r="E56" s="27"/>
      <c r="F56" s="264" t="s">
        <v>503</v>
      </c>
      <c r="G56" s="265">
        <v>1704</v>
      </c>
      <c r="H56" s="266">
        <v>534</v>
      </c>
      <c r="I56" s="11"/>
    </row>
    <row r="57" spans="2:10" x14ac:dyDescent="0.25">
      <c r="B57" s="33" t="s">
        <v>594</v>
      </c>
      <c r="C57" s="5"/>
      <c r="D57" s="7"/>
      <c r="E57" s="27"/>
      <c r="F57" s="264" t="s">
        <v>485</v>
      </c>
      <c r="G57" s="265">
        <v>705.36</v>
      </c>
      <c r="H57" s="266">
        <v>535</v>
      </c>
      <c r="I57" s="44"/>
    </row>
    <row r="58" spans="2:10" x14ac:dyDescent="0.25">
      <c r="B58" s="33" t="s">
        <v>594</v>
      </c>
      <c r="C58" s="5"/>
      <c r="D58" s="5"/>
      <c r="E58" s="27"/>
      <c r="F58" s="264" t="s">
        <v>485</v>
      </c>
      <c r="G58" s="265">
        <v>753.07</v>
      </c>
      <c r="H58" s="266">
        <v>536</v>
      </c>
      <c r="I58" s="44"/>
    </row>
    <row r="59" spans="2:10" x14ac:dyDescent="0.25">
      <c r="B59" s="33" t="s">
        <v>594</v>
      </c>
      <c r="C59" s="5"/>
      <c r="D59" s="7"/>
      <c r="E59" s="8"/>
      <c r="F59" s="264" t="s">
        <v>485</v>
      </c>
      <c r="G59" s="265">
        <v>594.64</v>
      </c>
      <c r="H59" s="266">
        <v>537</v>
      </c>
      <c r="I59" s="44"/>
    </row>
    <row r="60" spans="2:10" x14ac:dyDescent="0.25">
      <c r="B60" s="33" t="s">
        <v>594</v>
      </c>
      <c r="C60" s="5"/>
      <c r="D60" s="7"/>
      <c r="E60" s="8"/>
      <c r="F60" s="264" t="s">
        <v>528</v>
      </c>
      <c r="G60" s="265">
        <v>998.03</v>
      </c>
      <c r="H60" s="266" t="s">
        <v>529</v>
      </c>
      <c r="I60" s="44"/>
    </row>
    <row r="61" spans="2:10" x14ac:dyDescent="0.25">
      <c r="B61" s="33" t="s">
        <v>594</v>
      </c>
      <c r="C61" s="5"/>
      <c r="D61" s="7"/>
      <c r="E61" s="8"/>
      <c r="F61" s="264" t="s">
        <v>388</v>
      </c>
      <c r="G61" s="265">
        <v>5153.55</v>
      </c>
      <c r="H61" s="266" t="s">
        <v>567</v>
      </c>
      <c r="I61" s="44"/>
    </row>
    <row r="62" spans="2:10" x14ac:dyDescent="0.25">
      <c r="B62" s="33" t="s">
        <v>594</v>
      </c>
      <c r="C62" s="5"/>
      <c r="D62" s="7"/>
      <c r="E62" s="8"/>
      <c r="F62" s="264" t="s">
        <v>389</v>
      </c>
      <c r="G62" s="265">
        <v>1695.03</v>
      </c>
      <c r="H62" s="266" t="s">
        <v>567</v>
      </c>
      <c r="I62" s="44"/>
    </row>
    <row r="63" spans="2:10" x14ac:dyDescent="0.25">
      <c r="B63" s="33" t="s">
        <v>594</v>
      </c>
      <c r="C63" s="5"/>
      <c r="D63" s="7"/>
      <c r="E63" s="8"/>
      <c r="F63" s="264" t="s">
        <v>546</v>
      </c>
      <c r="G63" s="265">
        <v>1160.71</v>
      </c>
      <c r="H63" s="266" t="s">
        <v>567</v>
      </c>
      <c r="I63" s="49"/>
      <c r="J63" s="23"/>
    </row>
    <row r="64" spans="2:10" x14ac:dyDescent="0.25">
      <c r="B64" s="33" t="s">
        <v>594</v>
      </c>
      <c r="C64" s="5"/>
      <c r="D64" s="7"/>
      <c r="E64" s="8"/>
      <c r="F64" s="264" t="s">
        <v>467</v>
      </c>
      <c r="G64" s="265">
        <v>5054.3999999999996</v>
      </c>
      <c r="H64" s="266" t="s">
        <v>567</v>
      </c>
      <c r="I64" s="11"/>
    </row>
    <row r="65" spans="2:10" x14ac:dyDescent="0.25">
      <c r="B65" s="33" t="s">
        <v>594</v>
      </c>
      <c r="C65" s="5"/>
      <c r="D65" s="7"/>
      <c r="E65" s="8"/>
      <c r="F65" s="296" t="s">
        <v>391</v>
      </c>
      <c r="G65" s="265">
        <v>1759.95</v>
      </c>
      <c r="H65" s="266" t="s">
        <v>567</v>
      </c>
      <c r="I65" s="11"/>
      <c r="J65" s="50"/>
    </row>
    <row r="66" spans="2:10" x14ac:dyDescent="0.25">
      <c r="B66" s="33" t="s">
        <v>595</v>
      </c>
      <c r="C66" s="5"/>
      <c r="D66" s="7"/>
      <c r="E66" s="8"/>
      <c r="F66" s="264" t="s">
        <v>547</v>
      </c>
      <c r="G66" s="265">
        <v>432</v>
      </c>
      <c r="H66" s="266" t="s">
        <v>567</v>
      </c>
      <c r="J66" s="50"/>
    </row>
    <row r="67" spans="2:10" x14ac:dyDescent="0.25">
      <c r="B67" s="33" t="s">
        <v>595</v>
      </c>
      <c r="C67" s="5"/>
      <c r="D67" s="5"/>
      <c r="E67" s="8"/>
      <c r="F67" s="264" t="s">
        <v>393</v>
      </c>
      <c r="G67" s="265">
        <v>2234.3000000000002</v>
      </c>
      <c r="H67" s="266" t="s">
        <v>567</v>
      </c>
    </row>
    <row r="68" spans="2:10" x14ac:dyDescent="0.25">
      <c r="B68" s="334" t="s">
        <v>594</v>
      </c>
      <c r="C68" s="5"/>
      <c r="D68" s="5"/>
      <c r="E68" s="339">
        <f>536.23+1089.66+140.8+1089.66+1089.66+338.8+1089.66+211.43</f>
        <v>5585.9000000000005</v>
      </c>
      <c r="F68" s="264" t="s">
        <v>548</v>
      </c>
      <c r="G68" s="265">
        <v>554.51</v>
      </c>
      <c r="H68" s="266" t="s">
        <v>567</v>
      </c>
      <c r="I68" s="11"/>
    </row>
    <row r="69" spans="2:10" x14ac:dyDescent="0.25">
      <c r="B69" s="34"/>
      <c r="C69" s="5"/>
      <c r="D69" s="7"/>
      <c r="E69" s="8"/>
      <c r="F69" s="264" t="s">
        <v>394</v>
      </c>
      <c r="G69" s="265">
        <v>459.6</v>
      </c>
      <c r="H69" s="266" t="s">
        <v>567</v>
      </c>
      <c r="I69" s="11"/>
    </row>
    <row r="70" spans="2:10" x14ac:dyDescent="0.25">
      <c r="B70" s="33" t="s">
        <v>430</v>
      </c>
      <c r="C70" s="5"/>
      <c r="D70" s="5"/>
      <c r="E70" s="8"/>
      <c r="F70" s="264" t="s">
        <v>395</v>
      </c>
      <c r="G70" s="265">
        <v>15785.28</v>
      </c>
      <c r="H70" s="266" t="s">
        <v>567</v>
      </c>
      <c r="I70" s="11"/>
    </row>
    <row r="71" spans="2:10" x14ac:dyDescent="0.25">
      <c r="B71" s="33" t="s">
        <v>406</v>
      </c>
      <c r="C71" s="5"/>
      <c r="D71" s="5"/>
      <c r="E71" s="24"/>
      <c r="F71" s="264" t="s">
        <v>400</v>
      </c>
      <c r="G71" s="265">
        <v>4723</v>
      </c>
      <c r="H71" s="266" t="s">
        <v>567</v>
      </c>
      <c r="I71" s="11"/>
    </row>
    <row r="72" spans="2:10" x14ac:dyDescent="0.25">
      <c r="B72" s="36" t="s">
        <v>524</v>
      </c>
      <c r="C72" s="26"/>
      <c r="D72" s="26">
        <f>5519.29-5519.29</f>
        <v>0</v>
      </c>
      <c r="E72" s="8"/>
      <c r="F72" s="264" t="s">
        <v>396</v>
      </c>
      <c r="G72" s="265">
        <v>457.14</v>
      </c>
      <c r="H72" s="266" t="s">
        <v>567</v>
      </c>
      <c r="I72" s="11"/>
    </row>
    <row r="73" spans="2:10" x14ac:dyDescent="0.25">
      <c r="B73" s="36" t="s">
        <v>260</v>
      </c>
      <c r="C73" s="26"/>
      <c r="D73" s="26"/>
      <c r="E73" s="8"/>
      <c r="F73" s="264" t="s">
        <v>549</v>
      </c>
      <c r="G73" s="265">
        <v>107.95</v>
      </c>
      <c r="H73" s="266" t="s">
        <v>567</v>
      </c>
      <c r="I73" s="11"/>
    </row>
    <row r="74" spans="2:10" x14ac:dyDescent="0.25">
      <c r="B74" s="36" t="s">
        <v>370</v>
      </c>
      <c r="C74" s="26"/>
      <c r="D74" s="26"/>
      <c r="E74" s="8"/>
      <c r="F74" s="264" t="s">
        <v>550</v>
      </c>
      <c r="G74" s="265">
        <v>2635.58</v>
      </c>
      <c r="H74" s="266" t="s">
        <v>567</v>
      </c>
      <c r="I74" s="11"/>
    </row>
    <row r="75" spans="2:10" x14ac:dyDescent="0.25">
      <c r="B75" s="36" t="s">
        <v>525</v>
      </c>
      <c r="C75" s="26"/>
      <c r="D75" s="26">
        <f>29127.4-29127.4+24859.59-24859.59</f>
        <v>0</v>
      </c>
      <c r="E75" s="24"/>
      <c r="F75" s="264" t="s">
        <v>352</v>
      </c>
      <c r="G75" s="265">
        <v>14263.21</v>
      </c>
      <c r="H75" s="266" t="s">
        <v>567</v>
      </c>
      <c r="I75" s="11"/>
    </row>
    <row r="76" spans="2:10" x14ac:dyDescent="0.25">
      <c r="B76" s="33" t="s">
        <v>526</v>
      </c>
      <c r="C76" s="5"/>
      <c r="D76" s="5">
        <f>606.97-606.97+6446.29-6446.29</f>
        <v>0</v>
      </c>
      <c r="E76" s="24"/>
      <c r="F76" s="297" t="s">
        <v>551</v>
      </c>
      <c r="G76" s="265">
        <v>243.05</v>
      </c>
      <c r="H76" s="266" t="s">
        <v>567</v>
      </c>
      <c r="I76" s="11"/>
    </row>
    <row r="77" spans="2:10" x14ac:dyDescent="0.25">
      <c r="B77" s="33" t="s">
        <v>543</v>
      </c>
      <c r="C77" s="5"/>
      <c r="D77" s="5">
        <f>1333.32-1333.32</f>
        <v>0</v>
      </c>
      <c r="E77" s="44" t="s">
        <v>544</v>
      </c>
      <c r="F77" s="264" t="s">
        <v>398</v>
      </c>
      <c r="G77" s="265">
        <v>16378.44</v>
      </c>
      <c r="H77" s="266" t="s">
        <v>567</v>
      </c>
      <c r="I77" s="11"/>
    </row>
    <row r="78" spans="2:10" x14ac:dyDescent="0.25">
      <c r="B78" s="39" t="s">
        <v>575</v>
      </c>
      <c r="C78" s="25"/>
      <c r="D78" s="25">
        <f>35000</f>
        <v>35000</v>
      </c>
      <c r="E78" s="44" t="s">
        <v>545</v>
      </c>
      <c r="F78" s="264" t="s">
        <v>552</v>
      </c>
      <c r="G78" s="265">
        <v>2890.7</v>
      </c>
      <c r="H78" s="266" t="s">
        <v>567</v>
      </c>
      <c r="I78" s="11"/>
    </row>
    <row r="79" spans="2:10" x14ac:dyDescent="0.25">
      <c r="B79" s="36" t="s">
        <v>371</v>
      </c>
      <c r="C79" s="26"/>
      <c r="D79" s="26"/>
      <c r="E79" s="24"/>
      <c r="F79" s="264" t="s">
        <v>399</v>
      </c>
      <c r="G79" s="265">
        <v>3665.83</v>
      </c>
      <c r="H79" s="266" t="s">
        <v>567</v>
      </c>
      <c r="I79" s="11"/>
    </row>
    <row r="80" spans="2:10" x14ac:dyDescent="0.25">
      <c r="B80" s="36" t="s">
        <v>309</v>
      </c>
      <c r="C80" s="5"/>
      <c r="D80" s="5"/>
      <c r="E80" s="24"/>
      <c r="F80" s="264" t="s">
        <v>553</v>
      </c>
      <c r="G80" s="265">
        <v>651.6</v>
      </c>
      <c r="H80" s="266" t="s">
        <v>567</v>
      </c>
      <c r="I80" s="11"/>
    </row>
    <row r="81" spans="2:9" x14ac:dyDescent="0.25">
      <c r="B81" s="33" t="s">
        <v>372</v>
      </c>
      <c r="C81" s="5"/>
      <c r="D81" s="5"/>
      <c r="E81" s="6"/>
      <c r="F81" s="264" t="s">
        <v>554</v>
      </c>
      <c r="G81" s="265">
        <v>451.2</v>
      </c>
      <c r="H81" s="266" t="s">
        <v>567</v>
      </c>
      <c r="I81" s="11"/>
    </row>
    <row r="82" spans="2:9" x14ac:dyDescent="0.25">
      <c r="B82" s="33" t="s">
        <v>381</v>
      </c>
      <c r="C82" s="5"/>
      <c r="D82" s="5"/>
      <c r="E82" s="6"/>
      <c r="F82" s="264" t="s">
        <v>555</v>
      </c>
      <c r="G82" s="265">
        <v>6606.76</v>
      </c>
      <c r="H82" s="266" t="s">
        <v>567</v>
      </c>
      <c r="I82" s="11"/>
    </row>
    <row r="83" spans="2:9" x14ac:dyDescent="0.25">
      <c r="B83" s="33" t="s">
        <v>382</v>
      </c>
      <c r="C83" s="5"/>
      <c r="D83" s="5"/>
      <c r="E83" s="8"/>
      <c r="F83" s="264" t="s">
        <v>401</v>
      </c>
      <c r="G83" s="265">
        <v>4062.72</v>
      </c>
      <c r="H83" s="266" t="s">
        <v>567</v>
      </c>
      <c r="I83" s="11"/>
    </row>
    <row r="84" spans="2:9" x14ac:dyDescent="0.25">
      <c r="B84" s="33" t="s">
        <v>494</v>
      </c>
      <c r="C84" s="26"/>
      <c r="D84" s="26">
        <f>1886.73-1886.73</f>
        <v>0</v>
      </c>
      <c r="E84" s="8"/>
      <c r="F84" s="264" t="s">
        <v>556</v>
      </c>
      <c r="G84" s="265">
        <v>163.41</v>
      </c>
      <c r="H84" s="266" t="s">
        <v>567</v>
      </c>
      <c r="I84" s="11"/>
    </row>
    <row r="85" spans="2:9" x14ac:dyDescent="0.25">
      <c r="B85" s="36" t="s">
        <v>431</v>
      </c>
      <c r="C85" s="5"/>
      <c r="D85" s="5"/>
      <c r="E85" s="8"/>
      <c r="F85" s="264" t="s">
        <v>402</v>
      </c>
      <c r="G85" s="265">
        <v>7381.33</v>
      </c>
      <c r="H85" s="266" t="s">
        <v>567</v>
      </c>
      <c r="I85" s="11"/>
    </row>
    <row r="86" spans="2:9" x14ac:dyDescent="0.25">
      <c r="B86" s="33" t="s">
        <v>572</v>
      </c>
      <c r="C86" s="5"/>
      <c r="D86" s="5"/>
      <c r="E86" s="8">
        <f>SUM(E46:E85)</f>
        <v>5585.9000000000005</v>
      </c>
      <c r="F86" s="264" t="s">
        <v>557</v>
      </c>
      <c r="G86" s="265">
        <v>925.92</v>
      </c>
      <c r="H86" s="266" t="s">
        <v>567</v>
      </c>
      <c r="I86" s="154"/>
    </row>
    <row r="87" spans="2:9" x14ac:dyDescent="0.25">
      <c r="B87" s="33"/>
      <c r="C87" s="5"/>
      <c r="D87" s="5"/>
      <c r="E87" s="8"/>
      <c r="F87" s="264" t="s">
        <v>558</v>
      </c>
      <c r="G87" s="265">
        <v>795.87</v>
      </c>
      <c r="H87" s="266" t="s">
        <v>567</v>
      </c>
      <c r="I87" s="155"/>
    </row>
    <row r="88" spans="2:9" x14ac:dyDescent="0.25">
      <c r="B88" s="33" t="s">
        <v>373</v>
      </c>
      <c r="C88" s="5"/>
      <c r="D88" s="5">
        <f>-G15+G17+G19+G20+G16+G18</f>
        <v>0</v>
      </c>
      <c r="E88" s="6"/>
      <c r="F88" s="264" t="s">
        <v>403</v>
      </c>
      <c r="G88" s="265">
        <v>6439.62</v>
      </c>
      <c r="H88" s="266" t="s">
        <v>567</v>
      </c>
      <c r="I88" s="155"/>
    </row>
    <row r="89" spans="2:9" x14ac:dyDescent="0.25">
      <c r="B89" s="34" t="s">
        <v>432</v>
      </c>
      <c r="C89" s="7"/>
      <c r="D89" s="7">
        <f>-G22+G24+G23+G25+G26+G27+G28+G29+G30+G31+G32+G34+G33+G35+G37+G38+G39+G40+G41+G42+G44+G45+G43+G36+G46+G47+G48+G49+G56+G54+G53+G52+G51+G57+G50+G58+G59+G60+G61+G62+G63+G64+G65+G66+G67+G68+G69+G70+G71+G72+G73+G74+G75+G76+G77+G78+G79+G80+G81+G82+G83+G84+G85+G86+G87+G88+G89+G90+G91+G92+G93+G94</f>
        <v>-772.22000000001503</v>
      </c>
      <c r="E89" s="8"/>
      <c r="F89" s="264" t="s">
        <v>559</v>
      </c>
      <c r="G89" s="265">
        <v>427.44</v>
      </c>
      <c r="H89" s="266" t="s">
        <v>567</v>
      </c>
      <c r="I89" s="155"/>
    </row>
    <row r="90" spans="2:9" x14ac:dyDescent="0.25">
      <c r="B90" s="36" t="s">
        <v>433</v>
      </c>
      <c r="C90" s="26">
        <v>-12372.33</v>
      </c>
      <c r="D90" s="26"/>
      <c r="E90" s="8">
        <f>D88+D89</f>
        <v>-772.22000000001503</v>
      </c>
      <c r="F90" s="264" t="s">
        <v>560</v>
      </c>
      <c r="G90" s="266">
        <v>697.38</v>
      </c>
      <c r="H90" s="266" t="s">
        <v>567</v>
      </c>
      <c r="I90" s="11"/>
    </row>
    <row r="91" spans="2:9" x14ac:dyDescent="0.25">
      <c r="B91" s="36" t="s">
        <v>434</v>
      </c>
      <c r="C91" s="26"/>
      <c r="D91" s="5"/>
      <c r="E91" s="8"/>
      <c r="F91" s="264" t="s">
        <v>404</v>
      </c>
      <c r="G91" s="265">
        <v>3696.8</v>
      </c>
      <c r="H91" s="266" t="s">
        <v>567</v>
      </c>
      <c r="I91" s="11"/>
    </row>
    <row r="92" spans="2:9" x14ac:dyDescent="0.25">
      <c r="B92" s="36"/>
      <c r="C92" s="26"/>
      <c r="D92" s="26"/>
      <c r="E92" s="6"/>
      <c r="F92" s="264" t="s">
        <v>561</v>
      </c>
      <c r="G92" s="265">
        <v>175.02</v>
      </c>
      <c r="H92" s="266" t="s">
        <v>567</v>
      </c>
      <c r="I92" s="11"/>
    </row>
    <row r="93" spans="2:9" x14ac:dyDescent="0.25">
      <c r="B93" s="33" t="s">
        <v>480</v>
      </c>
      <c r="C93" s="5"/>
      <c r="D93" s="5">
        <f>-34.8+34.8</f>
        <v>0</v>
      </c>
      <c r="E93" s="8"/>
      <c r="F93" s="264" t="s">
        <v>562</v>
      </c>
      <c r="G93" s="266">
        <v>181.99</v>
      </c>
      <c r="H93" s="266" t="s">
        <v>567</v>
      </c>
      <c r="I93" s="11"/>
    </row>
    <row r="94" spans="2:9" x14ac:dyDescent="0.25">
      <c r="B94" s="36" t="s">
        <v>298</v>
      </c>
      <c r="C94" s="26"/>
      <c r="D94" s="26"/>
      <c r="E94" s="6"/>
      <c r="F94" s="264" t="s">
        <v>563</v>
      </c>
      <c r="G94" s="266">
        <v>499.54</v>
      </c>
      <c r="H94" s="266" t="s">
        <v>567</v>
      </c>
      <c r="I94" s="11"/>
    </row>
    <row r="95" spans="2:9" x14ac:dyDescent="0.25">
      <c r="B95" s="36" t="s">
        <v>495</v>
      </c>
      <c r="C95" s="26"/>
      <c r="D95" s="26">
        <f>-34.44+34.44</f>
        <v>0</v>
      </c>
      <c r="E95" s="8"/>
      <c r="F95" s="119" t="s">
        <v>568</v>
      </c>
      <c r="G95" s="45">
        <v>444</v>
      </c>
      <c r="H95" s="298" t="s">
        <v>569</v>
      </c>
      <c r="I95" s="11"/>
    </row>
    <row r="96" spans="2:9" x14ac:dyDescent="0.25">
      <c r="B96" s="39" t="s">
        <v>579</v>
      </c>
      <c r="C96" s="340">
        <v>-420.8</v>
      </c>
      <c r="D96" s="332"/>
      <c r="E96" s="8"/>
      <c r="I96" s="11"/>
    </row>
    <row r="97" spans="2:9" x14ac:dyDescent="0.25">
      <c r="B97" s="36" t="s">
        <v>504</v>
      </c>
      <c r="C97" s="26"/>
      <c r="D97" s="26">
        <f>-351.97+351.97</f>
        <v>0</v>
      </c>
      <c r="E97" s="8"/>
      <c r="F97" s="49"/>
      <c r="G97" s="68"/>
      <c r="I97" s="11"/>
    </row>
    <row r="98" spans="2:9" x14ac:dyDescent="0.25">
      <c r="B98" s="36" t="s">
        <v>535</v>
      </c>
      <c r="C98" s="26"/>
      <c r="D98" s="26">
        <f>-328.39+328.39</f>
        <v>0</v>
      </c>
      <c r="E98" s="10" t="s">
        <v>539</v>
      </c>
      <c r="F98" s="11"/>
      <c r="G98" s="22"/>
      <c r="I98" s="11"/>
    </row>
    <row r="99" spans="2:9" x14ac:dyDescent="0.25">
      <c r="B99" s="36" t="s">
        <v>534</v>
      </c>
      <c r="C99" s="26"/>
      <c r="D99" s="26">
        <f>-3314.24+3314.24-485.04-2035.78+485.04+2035.78-944.03+944.03</f>
        <v>0</v>
      </c>
      <c r="E99" s="141"/>
      <c r="F99" s="11"/>
      <c r="G99" s="62"/>
      <c r="H99" s="21"/>
      <c r="I99" s="11"/>
    </row>
    <row r="100" spans="2:9" x14ac:dyDescent="0.25">
      <c r="B100" s="33" t="s">
        <v>435</v>
      </c>
      <c r="C100" s="5"/>
      <c r="D100" s="5"/>
      <c r="E100" s="10"/>
      <c r="F100" s="11"/>
      <c r="G100" s="62"/>
      <c r="H100" s="21"/>
      <c r="I100" s="11"/>
    </row>
    <row r="101" spans="2:9" x14ac:dyDescent="0.25">
      <c r="B101" s="88" t="s">
        <v>272</v>
      </c>
      <c r="C101" s="26"/>
      <c r="D101" s="26"/>
      <c r="E101" s="10"/>
      <c r="F101" s="11"/>
      <c r="G101" s="62"/>
      <c r="H101" s="11"/>
      <c r="I101" s="11"/>
    </row>
    <row r="102" spans="2:9" x14ac:dyDescent="0.25">
      <c r="B102" s="39" t="s">
        <v>580</v>
      </c>
      <c r="C102" s="340">
        <v>-341.88</v>
      </c>
      <c r="D102" s="332"/>
      <c r="E102" s="8"/>
      <c r="F102" s="11"/>
      <c r="G102" s="62"/>
      <c r="H102" s="11"/>
      <c r="I102" s="11"/>
    </row>
    <row r="103" spans="2:9" x14ac:dyDescent="0.25">
      <c r="B103" s="33" t="s">
        <v>505</v>
      </c>
      <c r="C103" s="26"/>
      <c r="D103" s="5">
        <f>-600-3541.2-600+4741.2</f>
        <v>0</v>
      </c>
      <c r="E103" s="10"/>
      <c r="F103" s="109"/>
      <c r="G103" s="62"/>
      <c r="H103" s="11"/>
      <c r="I103" s="11"/>
    </row>
    <row r="104" spans="2:9" x14ac:dyDescent="0.25">
      <c r="B104" s="34" t="s">
        <v>436</v>
      </c>
      <c r="C104" s="7"/>
      <c r="D104" s="7">
        <f>-2389</f>
        <v>-2389</v>
      </c>
      <c r="E104" s="8"/>
      <c r="F104" s="62"/>
      <c r="G104" s="62"/>
      <c r="H104" s="11"/>
    </row>
    <row r="105" spans="2:9" x14ac:dyDescent="0.25">
      <c r="B105" s="33" t="s">
        <v>473</v>
      </c>
      <c r="C105" s="5"/>
      <c r="D105" s="5">
        <f>-900+900</f>
        <v>0</v>
      </c>
      <c r="E105" s="8"/>
      <c r="F105" s="11"/>
      <c r="G105" s="62"/>
      <c r="H105" s="11"/>
    </row>
    <row r="106" spans="2:9" x14ac:dyDescent="0.25">
      <c r="B106" s="36" t="s">
        <v>437</v>
      </c>
      <c r="C106" s="26"/>
      <c r="D106" s="26"/>
      <c r="E106" s="38"/>
      <c r="F106" s="11"/>
      <c r="G106" s="62"/>
      <c r="H106" s="11"/>
    </row>
    <row r="107" spans="2:9" x14ac:dyDescent="0.25">
      <c r="B107" s="36" t="s">
        <v>374</v>
      </c>
      <c r="C107" s="26"/>
      <c r="D107" s="26"/>
      <c r="E107" s="138"/>
      <c r="F107" s="139"/>
      <c r="G107" s="62"/>
      <c r="H107" s="11"/>
    </row>
    <row r="108" spans="2:9" x14ac:dyDescent="0.25">
      <c r="B108" s="36" t="s">
        <v>468</v>
      </c>
      <c r="C108" s="26"/>
      <c r="D108" s="26">
        <f>-2640+2640</f>
        <v>0</v>
      </c>
      <c r="E108" s="140"/>
      <c r="F108" s="37"/>
      <c r="G108" s="62"/>
      <c r="H108" s="11" t="s">
        <v>31</v>
      </c>
    </row>
    <row r="109" spans="2:9" x14ac:dyDescent="0.25">
      <c r="B109" s="36" t="s">
        <v>513</v>
      </c>
      <c r="C109" s="26"/>
      <c r="D109" s="26">
        <f>-1008+1008</f>
        <v>0</v>
      </c>
      <c r="E109" s="140"/>
      <c r="F109" s="37"/>
      <c r="G109" s="62"/>
      <c r="H109" s="11"/>
    </row>
    <row r="110" spans="2:9" x14ac:dyDescent="0.25">
      <c r="B110" s="36" t="s">
        <v>511</v>
      </c>
      <c r="C110" s="26"/>
      <c r="D110" s="26">
        <f>-115.92+115.92</f>
        <v>0</v>
      </c>
      <c r="E110" s="24"/>
      <c r="F110" s="11"/>
      <c r="G110" s="62"/>
      <c r="H110" s="11"/>
    </row>
    <row r="111" spans="2:9" x14ac:dyDescent="0.25">
      <c r="B111" s="39" t="s">
        <v>358</v>
      </c>
      <c r="C111" s="25"/>
      <c r="D111" s="25">
        <f>-839.96</f>
        <v>-839.96</v>
      </c>
      <c r="E111" s="141" t="s">
        <v>359</v>
      </c>
      <c r="F111" s="11"/>
      <c r="G111" s="23"/>
    </row>
    <row r="112" spans="2:9" x14ac:dyDescent="0.25">
      <c r="B112" s="36" t="s">
        <v>564</v>
      </c>
      <c r="C112" s="26"/>
      <c r="D112" s="26">
        <f>-1404+1404</f>
        <v>0</v>
      </c>
      <c r="E112" s="24"/>
      <c r="F112" s="44"/>
      <c r="G112" s="23"/>
    </row>
    <row r="113" spans="2:7" x14ac:dyDescent="0.25">
      <c r="B113" s="33" t="s">
        <v>482</v>
      </c>
      <c r="C113" s="5"/>
      <c r="D113" s="5">
        <f>-108+108</f>
        <v>0</v>
      </c>
      <c r="E113" s="47"/>
      <c r="F113" s="37"/>
      <c r="G113" s="23"/>
    </row>
    <row r="114" spans="2:7" x14ac:dyDescent="0.25">
      <c r="B114" s="34" t="s">
        <v>438</v>
      </c>
      <c r="C114" s="7"/>
      <c r="D114" s="7">
        <f>-695.96</f>
        <v>-695.96</v>
      </c>
      <c r="E114" s="145" t="s">
        <v>281</v>
      </c>
      <c r="F114" s="263"/>
      <c r="G114" s="23"/>
    </row>
    <row r="115" spans="2:7" x14ac:dyDescent="0.25">
      <c r="B115" s="33" t="s">
        <v>333</v>
      </c>
      <c r="C115" s="7"/>
      <c r="D115" s="7"/>
      <c r="E115" s="8"/>
      <c r="G115" s="23"/>
    </row>
    <row r="116" spans="2:7" x14ac:dyDescent="0.25">
      <c r="B116" s="33" t="s">
        <v>340</v>
      </c>
      <c r="C116" s="5"/>
      <c r="D116" s="5"/>
      <c r="E116" s="24"/>
      <c r="F116" s="11"/>
      <c r="G116" s="23"/>
    </row>
    <row r="117" spans="2:7" x14ac:dyDescent="0.25">
      <c r="B117" s="33" t="s">
        <v>475</v>
      </c>
      <c r="C117" s="5"/>
      <c r="D117" s="5">
        <f>-122.43+122.43</f>
        <v>0</v>
      </c>
      <c r="E117" s="8"/>
      <c r="G117" s="23"/>
    </row>
    <row r="118" spans="2:7" x14ac:dyDescent="0.25">
      <c r="B118" s="36" t="s">
        <v>566</v>
      </c>
      <c r="C118" s="26"/>
      <c r="D118" s="26">
        <f>-72+72</f>
        <v>0</v>
      </c>
      <c r="E118" s="8" t="s">
        <v>304</v>
      </c>
      <c r="G118" s="23"/>
    </row>
    <row r="119" spans="2:7" x14ac:dyDescent="0.25">
      <c r="B119" s="36" t="s">
        <v>507</v>
      </c>
      <c r="C119" s="26"/>
      <c r="D119" s="26">
        <f>-120.48+120.48</f>
        <v>0</v>
      </c>
      <c r="E119" s="8">
        <v>-22.8</v>
      </c>
      <c r="G119" s="23"/>
    </row>
    <row r="120" spans="2:7" x14ac:dyDescent="0.25">
      <c r="B120" s="34" t="s">
        <v>439</v>
      </c>
      <c r="C120" s="7"/>
      <c r="D120" s="7">
        <f>-27.6</f>
        <v>-27.6</v>
      </c>
      <c r="E120" s="24" t="s">
        <v>280</v>
      </c>
      <c r="G120" s="23"/>
    </row>
    <row r="121" spans="2:7" x14ac:dyDescent="0.25">
      <c r="B121" s="36" t="s">
        <v>536</v>
      </c>
      <c r="C121" s="26"/>
      <c r="D121" s="26">
        <f>-499.44+499.44-203.4+203.4</f>
        <v>0</v>
      </c>
      <c r="E121" s="108" t="s">
        <v>493</v>
      </c>
      <c r="F121" s="20"/>
      <c r="G121" s="23"/>
    </row>
    <row r="122" spans="2:7" x14ac:dyDescent="0.25">
      <c r="B122" s="36" t="s">
        <v>440</v>
      </c>
      <c r="C122" s="26"/>
      <c r="D122" s="26">
        <f>-110.08+110.08</f>
        <v>0</v>
      </c>
      <c r="E122" s="24"/>
      <c r="F122" s="20"/>
      <c r="G122" s="23"/>
    </row>
    <row r="123" spans="2:7" x14ac:dyDescent="0.25">
      <c r="B123" s="36" t="s">
        <v>596</v>
      </c>
      <c r="C123" s="331">
        <v>-272.89</v>
      </c>
      <c r="D123" s="26"/>
      <c r="E123" s="24" t="s">
        <v>578</v>
      </c>
      <c r="F123" s="20"/>
      <c r="G123" s="23"/>
    </row>
    <row r="124" spans="2:7" x14ac:dyDescent="0.25">
      <c r="B124" s="33" t="s">
        <v>375</v>
      </c>
      <c r="C124" s="5"/>
      <c r="D124" s="5"/>
      <c r="E124" s="8"/>
      <c r="G124" s="23"/>
    </row>
    <row r="125" spans="2:7" x14ac:dyDescent="0.25">
      <c r="B125" s="36" t="s">
        <v>537</v>
      </c>
      <c r="C125" s="26"/>
      <c r="D125" s="26">
        <f>-10+10</f>
        <v>0</v>
      </c>
      <c r="E125" s="8">
        <v>-10</v>
      </c>
      <c r="F125" s="20"/>
      <c r="G125" s="23"/>
    </row>
    <row r="126" spans="2:7" x14ac:dyDescent="0.25">
      <c r="B126" s="34" t="s">
        <v>441</v>
      </c>
      <c r="C126" s="7"/>
      <c r="D126" s="7">
        <f>-79.2</f>
        <v>-79.2</v>
      </c>
      <c r="E126" s="8">
        <v>-79.2</v>
      </c>
      <c r="G126" s="23"/>
    </row>
    <row r="127" spans="2:7" x14ac:dyDescent="0.25">
      <c r="B127" s="34" t="s">
        <v>350</v>
      </c>
      <c r="C127" s="7"/>
      <c r="D127" s="7">
        <f>-61.2</f>
        <v>-61.2</v>
      </c>
      <c r="E127" s="8">
        <v>-61.2</v>
      </c>
      <c r="G127" s="23"/>
    </row>
    <row r="128" spans="2:7" x14ac:dyDescent="0.25">
      <c r="B128" s="33" t="s">
        <v>533</v>
      </c>
      <c r="C128" s="5"/>
      <c r="D128" s="5">
        <f>-35.88+35.88-124.68+124.68-178.8+178.8</f>
        <v>0</v>
      </c>
      <c r="E128" s="8" t="s">
        <v>265</v>
      </c>
      <c r="G128" s="23"/>
    </row>
    <row r="129" spans="2:8" x14ac:dyDescent="0.25">
      <c r="B129" s="36" t="s">
        <v>512</v>
      </c>
      <c r="C129" s="26"/>
      <c r="D129" s="26">
        <f>-1052.14+1052.14</f>
        <v>0</v>
      </c>
      <c r="E129" s="24" t="s">
        <v>334</v>
      </c>
      <c r="F129" s="48"/>
      <c r="G129" s="23"/>
    </row>
    <row r="130" spans="2:8" x14ac:dyDescent="0.25">
      <c r="B130" s="36" t="s">
        <v>335</v>
      </c>
      <c r="C130" s="26"/>
      <c r="D130" s="26"/>
      <c r="E130" s="24"/>
      <c r="G130" s="23"/>
    </row>
    <row r="131" spans="2:8" x14ac:dyDescent="0.25">
      <c r="B131" s="34" t="s">
        <v>442</v>
      </c>
      <c r="C131" s="341">
        <v>-174.83</v>
      </c>
      <c r="D131" s="332">
        <v>0</v>
      </c>
      <c r="E131" s="8">
        <v>-174.83</v>
      </c>
      <c r="G131" s="23"/>
    </row>
    <row r="132" spans="2:8" x14ac:dyDescent="0.25">
      <c r="B132" s="34" t="s">
        <v>376</v>
      </c>
      <c r="C132" s="7"/>
      <c r="D132" s="7">
        <f>-129.24</f>
        <v>-129.24</v>
      </c>
      <c r="E132" s="8">
        <v>-129.24</v>
      </c>
      <c r="G132" s="23"/>
    </row>
    <row r="133" spans="2:8" x14ac:dyDescent="0.25">
      <c r="B133" s="36" t="s">
        <v>443</v>
      </c>
      <c r="C133" s="26"/>
      <c r="D133" s="26">
        <f>-349.08+349.08</f>
        <v>0</v>
      </c>
      <c r="E133" s="8">
        <v>-402.63</v>
      </c>
    </row>
    <row r="134" spans="2:8" x14ac:dyDescent="0.25">
      <c r="B134" s="36" t="s">
        <v>510</v>
      </c>
      <c r="C134" s="26"/>
      <c r="D134" s="26">
        <f>-10107.15+10107.15</f>
        <v>0</v>
      </c>
      <c r="E134" s="141"/>
    </row>
    <row r="135" spans="2:8" x14ac:dyDescent="0.25">
      <c r="B135" s="36" t="s">
        <v>310</v>
      </c>
      <c r="C135" s="26"/>
      <c r="D135" s="26"/>
      <c r="E135" s="80"/>
      <c r="F135" s="24"/>
    </row>
    <row r="136" spans="2:8" x14ac:dyDescent="0.25">
      <c r="B136" s="36" t="s">
        <v>311</v>
      </c>
      <c r="C136" s="26"/>
      <c r="D136" s="26"/>
      <c r="E136" s="141"/>
      <c r="F136" s="24"/>
    </row>
    <row r="137" spans="2:8" x14ac:dyDescent="0.25">
      <c r="B137" s="36" t="s">
        <v>483</v>
      </c>
      <c r="C137" s="26"/>
      <c r="D137" s="26">
        <f>-3048.95+3048.95</f>
        <v>0</v>
      </c>
      <c r="E137" s="24"/>
      <c r="F137" s="157"/>
    </row>
    <row r="138" spans="2:8" x14ac:dyDescent="0.25">
      <c r="B138" s="36" t="s">
        <v>472</v>
      </c>
      <c r="C138" s="26"/>
      <c r="D138" s="26">
        <f>-284.52+284.52</f>
        <v>0</v>
      </c>
      <c r="E138" s="24"/>
      <c r="F138" s="157"/>
    </row>
    <row r="139" spans="2:8" x14ac:dyDescent="0.25">
      <c r="B139" s="33" t="s">
        <v>377</v>
      </c>
      <c r="C139" s="5"/>
      <c r="D139" s="5"/>
      <c r="E139" s="10"/>
      <c r="F139" s="157"/>
    </row>
    <row r="140" spans="2:8" x14ac:dyDescent="0.25">
      <c r="B140" s="36" t="s">
        <v>444</v>
      </c>
      <c r="C140" s="26"/>
      <c r="D140" s="26">
        <f>-579.78+579.78</f>
        <v>0</v>
      </c>
      <c r="E140" s="10" t="s">
        <v>339</v>
      </c>
      <c r="F140" s="157"/>
    </row>
    <row r="141" spans="2:8" x14ac:dyDescent="0.25">
      <c r="B141" s="36" t="s">
        <v>532</v>
      </c>
      <c r="C141" s="26"/>
      <c r="D141" s="26">
        <f>-2452+2452</f>
        <v>0</v>
      </c>
      <c r="E141" s="8"/>
      <c r="F141" s="108"/>
    </row>
    <row r="142" spans="2:8" x14ac:dyDescent="0.25">
      <c r="B142" s="36" t="s">
        <v>509</v>
      </c>
      <c r="C142" s="26"/>
      <c r="D142" s="26">
        <f>-53303-1061+53303+1061-49+49</f>
        <v>0</v>
      </c>
      <c r="E142" s="24"/>
      <c r="F142" s="143"/>
      <c r="G142" s="108"/>
    </row>
    <row r="143" spans="2:8" x14ac:dyDescent="0.25">
      <c r="B143" s="33" t="s">
        <v>342</v>
      </c>
      <c r="C143" s="5"/>
      <c r="D143" s="5"/>
      <c r="E143" s="8"/>
      <c r="H143" s="1" t="s">
        <v>31</v>
      </c>
    </row>
    <row r="144" spans="2:8" x14ac:dyDescent="0.25">
      <c r="B144" s="36" t="s">
        <v>198</v>
      </c>
      <c r="C144" s="26"/>
      <c r="D144" s="26"/>
      <c r="E144" s="24"/>
    </row>
    <row r="145" spans="2:7" x14ac:dyDescent="0.25">
      <c r="B145" s="36" t="s">
        <v>447</v>
      </c>
      <c r="C145" s="26"/>
      <c r="D145" s="26"/>
      <c r="E145" s="141" t="s">
        <v>445</v>
      </c>
      <c r="F145" s="108"/>
    </row>
    <row r="146" spans="2:7" x14ac:dyDescent="0.25">
      <c r="B146" s="36" t="s">
        <v>448</v>
      </c>
      <c r="C146" s="26"/>
      <c r="D146" s="26"/>
      <c r="E146" s="141" t="s">
        <v>446</v>
      </c>
      <c r="F146" s="53"/>
    </row>
    <row r="147" spans="2:7" x14ac:dyDescent="0.25">
      <c r="B147" s="39" t="s">
        <v>531</v>
      </c>
      <c r="C147" s="25"/>
      <c r="D147" s="25">
        <f>-11376.76-214.74+11376.76+214.74</f>
        <v>2.2737367544323206E-13</v>
      </c>
      <c r="E147" s="24"/>
      <c r="F147" s="142"/>
      <c r="G147" s="108"/>
    </row>
    <row r="148" spans="2:7" x14ac:dyDescent="0.25">
      <c r="B148" s="39" t="s">
        <v>378</v>
      </c>
      <c r="C148" s="26"/>
      <c r="D148" s="25">
        <f>-3500</f>
        <v>-3500</v>
      </c>
      <c r="E148" s="157" t="s">
        <v>449</v>
      </c>
      <c r="F148" s="48"/>
      <c r="G148" s="108"/>
    </row>
    <row r="149" spans="2:7" x14ac:dyDescent="0.25">
      <c r="B149" s="36" t="s">
        <v>351</v>
      </c>
      <c r="C149" s="43"/>
      <c r="D149" s="26"/>
      <c r="E149" s="53"/>
      <c r="F149" s="281"/>
      <c r="G149" s="267"/>
    </row>
    <row r="150" spans="2:7" x14ac:dyDescent="0.25">
      <c r="B150" s="39" t="s">
        <v>565</v>
      </c>
      <c r="C150" s="25"/>
      <c r="D150" s="25">
        <f>-748.29</f>
        <v>-748.29</v>
      </c>
      <c r="E150" s="10"/>
      <c r="F150" s="11"/>
      <c r="G150" s="267"/>
    </row>
    <row r="151" spans="2:7" x14ac:dyDescent="0.25">
      <c r="B151" s="36" t="s">
        <v>453</v>
      </c>
      <c r="C151" s="26"/>
      <c r="D151" s="26">
        <f>-631.96+631.96</f>
        <v>0</v>
      </c>
      <c r="E151" s="53"/>
      <c r="F151" s="281"/>
      <c r="G151" s="11"/>
    </row>
    <row r="152" spans="2:7" x14ac:dyDescent="0.25">
      <c r="B152" s="33" t="s">
        <v>451</v>
      </c>
      <c r="C152" s="5"/>
      <c r="D152" s="5"/>
      <c r="E152" s="10"/>
      <c r="F152" s="281"/>
      <c r="G152" s="267"/>
    </row>
    <row r="153" spans="2:7" x14ac:dyDescent="0.25">
      <c r="B153" s="33" t="s">
        <v>506</v>
      </c>
      <c r="C153" s="5"/>
      <c r="D153" s="5">
        <f>-3416+3416</f>
        <v>0</v>
      </c>
      <c r="E153" s="6"/>
      <c r="F153" s="281"/>
    </row>
    <row r="154" spans="2:7" x14ac:dyDescent="0.25">
      <c r="B154" s="36" t="s">
        <v>312</v>
      </c>
      <c r="C154" s="26"/>
      <c r="D154" s="26"/>
      <c r="E154" s="24"/>
      <c r="F154" s="281"/>
    </row>
    <row r="155" spans="2:7" x14ac:dyDescent="0.25">
      <c r="B155" s="39" t="s">
        <v>407</v>
      </c>
      <c r="C155" s="25"/>
      <c r="D155" s="25">
        <f>-1063.39</f>
        <v>-1063.3900000000001</v>
      </c>
      <c r="E155" s="8"/>
      <c r="F155" s="20"/>
      <c r="G155" s="172"/>
    </row>
    <row r="156" spans="2:7" x14ac:dyDescent="0.25">
      <c r="B156" s="36" t="s">
        <v>452</v>
      </c>
      <c r="C156" s="26"/>
      <c r="D156" s="26"/>
      <c r="E156" s="8">
        <v>-1080</v>
      </c>
      <c r="F156" s="20"/>
    </row>
    <row r="157" spans="2:7" x14ac:dyDescent="0.25">
      <c r="B157" s="36" t="s">
        <v>268</v>
      </c>
      <c r="C157" s="26"/>
      <c r="D157" s="26"/>
      <c r="E157" s="6"/>
      <c r="F157" s="20"/>
    </row>
    <row r="158" spans="2:7" x14ac:dyDescent="0.25">
      <c r="B158" s="36" t="s">
        <v>336</v>
      </c>
      <c r="C158" s="26"/>
      <c r="D158" s="26"/>
      <c r="E158" s="37"/>
      <c r="F158" s="281"/>
    </row>
    <row r="159" spans="2:7" x14ac:dyDescent="0.25">
      <c r="B159" s="36" t="s">
        <v>337</v>
      </c>
      <c r="C159" s="25"/>
      <c r="D159" s="25"/>
      <c r="E159" s="37"/>
      <c r="F159" s="281"/>
    </row>
    <row r="160" spans="2:7" x14ac:dyDescent="0.25">
      <c r="B160" s="33" t="s">
        <v>527</v>
      </c>
      <c r="C160" s="5"/>
      <c r="D160" s="5">
        <f>-337.66+337.66-524.54+524.54-524.98+524.98-170.91+170.91-355.97+355.97</f>
        <v>0</v>
      </c>
      <c r="E160" s="8"/>
      <c r="F160" s="290"/>
    </row>
    <row r="161" spans="2:11" x14ac:dyDescent="0.25">
      <c r="B161" s="34" t="s">
        <v>314</v>
      </c>
      <c r="C161" s="7"/>
      <c r="D161" s="7"/>
      <c r="E161" s="175"/>
      <c r="F161" s="79"/>
    </row>
    <row r="162" spans="2:11" x14ac:dyDescent="0.25">
      <c r="B162" s="36" t="s">
        <v>379</v>
      </c>
      <c r="C162" s="26"/>
      <c r="D162" s="26"/>
      <c r="E162" s="175" t="s">
        <v>313</v>
      </c>
      <c r="F162" s="79"/>
    </row>
    <row r="163" spans="2:11" x14ac:dyDescent="0.25">
      <c r="B163" s="36" t="s">
        <v>454</v>
      </c>
      <c r="C163" s="26"/>
      <c r="D163" s="26">
        <f>-54.4+54.4</f>
        <v>0</v>
      </c>
      <c r="E163" s="24"/>
      <c r="F163" s="290"/>
    </row>
    <row r="164" spans="2:11" x14ac:dyDescent="0.25">
      <c r="B164" s="39" t="s">
        <v>502</v>
      </c>
      <c r="C164" s="25"/>
      <c r="D164" s="25">
        <f>-2.11</f>
        <v>-2.11</v>
      </c>
      <c r="E164" s="24"/>
      <c r="F164" s="281"/>
    </row>
    <row r="165" spans="2:11" x14ac:dyDescent="0.25">
      <c r="B165" s="36" t="s">
        <v>508</v>
      </c>
      <c r="C165" s="26"/>
      <c r="D165" s="26">
        <f>-1091.58+1091.58</f>
        <v>0</v>
      </c>
      <c r="E165" s="24"/>
      <c r="F165" s="273"/>
    </row>
    <row r="166" spans="2:11" x14ac:dyDescent="0.25">
      <c r="B166" s="36" t="s">
        <v>497</v>
      </c>
      <c r="C166" s="26"/>
      <c r="D166" s="26">
        <f>-2374+2374</f>
        <v>0</v>
      </c>
      <c r="E166" s="24"/>
      <c r="F166" s="290"/>
    </row>
    <row r="167" spans="2:11" x14ac:dyDescent="0.25">
      <c r="B167" s="36" t="s">
        <v>515</v>
      </c>
      <c r="C167" s="26"/>
      <c r="D167" s="26">
        <f>-102.44-152-114.4+152+102.44+114.4</f>
        <v>0</v>
      </c>
      <c r="E167" s="212"/>
      <c r="F167" s="290"/>
      <c r="G167" s="177"/>
      <c r="H167" s="177"/>
      <c r="I167" s="27"/>
    </row>
    <row r="168" spans="2:11" x14ac:dyDescent="0.25">
      <c r="B168" s="36" t="s">
        <v>484</v>
      </c>
      <c r="C168" s="197"/>
      <c r="D168" s="5">
        <f>-23-1014+1014+23</f>
        <v>0</v>
      </c>
      <c r="E168" s="212"/>
      <c r="F168" s="176"/>
      <c r="G168" s="177"/>
      <c r="H168" s="177"/>
      <c r="I168" s="27"/>
    </row>
    <row r="169" spans="2:11" x14ac:dyDescent="0.25">
      <c r="B169" s="39" t="s">
        <v>299</v>
      </c>
      <c r="C169" s="178"/>
      <c r="D169" s="7">
        <f>-70.86</f>
        <v>-70.86</v>
      </c>
      <c r="E169" s="212"/>
      <c r="F169" s="176"/>
      <c r="G169" s="27"/>
      <c r="H169" s="27"/>
      <c r="I169" s="27"/>
    </row>
    <row r="170" spans="2:11" x14ac:dyDescent="0.25">
      <c r="B170" s="39" t="s">
        <v>300</v>
      </c>
      <c r="C170" s="178"/>
      <c r="D170" s="7">
        <f>-70.86</f>
        <v>-70.86</v>
      </c>
      <c r="E170" s="77"/>
      <c r="F170" s="150"/>
      <c r="G170" s="27"/>
      <c r="H170" s="27"/>
      <c r="I170" s="177"/>
    </row>
    <row r="171" spans="2:11" x14ac:dyDescent="0.25">
      <c r="B171" s="34" t="s">
        <v>477</v>
      </c>
      <c r="C171" s="7"/>
      <c r="D171" s="7">
        <f>-685.11</f>
        <v>-685.11</v>
      </c>
      <c r="E171" s="170"/>
      <c r="F171" s="150"/>
      <c r="G171" s="177"/>
      <c r="H171" s="177"/>
      <c r="I171" s="177"/>
    </row>
    <row r="172" spans="2:11" x14ac:dyDescent="0.25">
      <c r="B172" s="33" t="s">
        <v>478</v>
      </c>
      <c r="C172" s="5"/>
      <c r="D172" s="5">
        <f>-303.74+303.74</f>
        <v>0</v>
      </c>
      <c r="E172" s="170"/>
      <c r="F172" s="176"/>
      <c r="G172" s="52"/>
      <c r="H172" s="177"/>
      <c r="I172" s="51"/>
      <c r="J172" s="176"/>
      <c r="K172" s="171"/>
    </row>
    <row r="173" spans="2:11" x14ac:dyDescent="0.25">
      <c r="B173" s="33" t="s">
        <v>474</v>
      </c>
      <c r="C173" s="5"/>
      <c r="D173" s="5">
        <f>-1809.55+1809.55</f>
        <v>0</v>
      </c>
      <c r="E173" s="52"/>
      <c r="F173" s="51"/>
      <c r="G173" s="150"/>
      <c r="H173" s="174"/>
      <c r="I173" s="177"/>
      <c r="J173" s="141"/>
      <c r="K173" s="37"/>
    </row>
    <row r="174" spans="2:11" x14ac:dyDescent="0.25">
      <c r="B174" s="36" t="s">
        <v>459</v>
      </c>
      <c r="C174" s="5"/>
      <c r="D174" s="5">
        <f>-23789.83+23789.83-474.81+474.81</f>
        <v>0</v>
      </c>
      <c r="E174" s="170"/>
      <c r="F174" s="176"/>
      <c r="G174" s="52"/>
      <c r="H174" s="51"/>
    </row>
    <row r="175" spans="2:11" x14ac:dyDescent="0.25">
      <c r="B175" s="33" t="s">
        <v>424</v>
      </c>
      <c r="C175" s="26"/>
      <c r="D175" s="26">
        <f>355.86-355.86</f>
        <v>0</v>
      </c>
      <c r="E175" s="150"/>
      <c r="F175" s="152"/>
      <c r="G175" s="150"/>
      <c r="H175" s="152"/>
    </row>
    <row r="176" spans="2:11" x14ac:dyDescent="0.25">
      <c r="B176" s="33" t="s">
        <v>479</v>
      </c>
      <c r="C176" s="5"/>
      <c r="D176" s="5">
        <f>-9074.41+9074.41</f>
        <v>0</v>
      </c>
      <c r="E176" s="141"/>
      <c r="F176" s="27"/>
      <c r="G176" s="148"/>
      <c r="H176" s="153"/>
    </row>
    <row r="177" spans="2:8" x14ac:dyDescent="0.25">
      <c r="B177" s="36" t="s">
        <v>516</v>
      </c>
      <c r="C177" s="5"/>
      <c r="D177" s="5">
        <f>-355.86+355.86</f>
        <v>0</v>
      </c>
      <c r="E177" s="150"/>
      <c r="F177" s="152"/>
      <c r="G177" s="151"/>
    </row>
    <row r="178" spans="2:8" x14ac:dyDescent="0.25">
      <c r="B178" s="36" t="s">
        <v>540</v>
      </c>
      <c r="C178" s="5">
        <f>+-166.65-98.32-1173.5-1776.5-444-348.6</f>
        <v>-4007.57</v>
      </c>
      <c r="D178" s="5">
        <f>-27838.06-7547.62-2304.47-8072.34-1194.9-1460.65+7547.62+27838.06+1194.9+1460.65+8072.34+2304.47</f>
        <v>-5.0022208597511053E-12</v>
      </c>
      <c r="E178" s="285"/>
      <c r="F178" s="286"/>
      <c r="G178" s="170"/>
    </row>
    <row r="179" spans="2:8" x14ac:dyDescent="0.25">
      <c r="B179" s="36" t="s">
        <v>541</v>
      </c>
      <c r="C179" s="5"/>
      <c r="D179" s="5">
        <f>-5712.59-40589.69-17319.64-1799.66-6352.42+40589.69+17319.64+5712.59+6352.42+1799.66</f>
        <v>2.0463630789890885E-12</v>
      </c>
      <c r="E179" s="141"/>
      <c r="F179" s="37"/>
      <c r="G179" s="170"/>
    </row>
    <row r="180" spans="2:8" x14ac:dyDescent="0.25">
      <c r="B180" s="36" t="s">
        <v>542</v>
      </c>
      <c r="C180" s="197"/>
      <c r="D180" s="5">
        <f>-502.38-2146.49+2146.49+502.38</f>
        <v>0</v>
      </c>
      <c r="E180" s="176"/>
      <c r="F180" s="171"/>
      <c r="G180" s="271"/>
    </row>
    <row r="181" spans="2:8" x14ac:dyDescent="0.25">
      <c r="B181" s="36" t="s">
        <v>486</v>
      </c>
      <c r="C181" s="197"/>
      <c r="D181" s="5">
        <f>-294.52+294.52</f>
        <v>0</v>
      </c>
      <c r="E181" s="176" t="s">
        <v>487</v>
      </c>
      <c r="F181" s="171" t="s">
        <v>488</v>
      </c>
    </row>
    <row r="182" spans="2:8" x14ac:dyDescent="0.25">
      <c r="B182" s="342" t="s">
        <v>573</v>
      </c>
      <c r="C182" s="343">
        <v>-6000</v>
      </c>
      <c r="D182" s="7">
        <f>-163.39-218-886.18-936.11+936.11+886.18</f>
        <v>-381.38999999999976</v>
      </c>
      <c r="E182" s="299" t="s">
        <v>489</v>
      </c>
      <c r="F182" s="293" t="s">
        <v>490</v>
      </c>
      <c r="G182" s="23"/>
    </row>
    <row r="183" spans="2:8" x14ac:dyDescent="0.25">
      <c r="B183" s="33" t="s">
        <v>576</v>
      </c>
      <c r="C183" s="197">
        <f>-170.5-170.5</f>
        <v>-341</v>
      </c>
      <c r="D183" s="5">
        <f>-770+770-218.4+218.4-253.5+253.5-253.5-468-63.37+253.5+468+63.37-1478.75-1394.25-253.5+1478.75+1394.25+253.5</f>
        <v>0</v>
      </c>
      <c r="E183" s="333" t="s">
        <v>577</v>
      </c>
      <c r="F183" s="142"/>
    </row>
    <row r="184" spans="2:8" x14ac:dyDescent="0.25">
      <c r="B184" s="33" t="s">
        <v>517</v>
      </c>
      <c r="C184" s="197"/>
      <c r="D184" s="5">
        <f>-500+500</f>
        <v>0</v>
      </c>
      <c r="E184" s="10"/>
      <c r="F184" s="108"/>
    </row>
    <row r="185" spans="2:8" x14ac:dyDescent="0.25">
      <c r="B185" s="33" t="s">
        <v>455</v>
      </c>
      <c r="C185" s="5"/>
      <c r="D185" s="5">
        <f>-8639.95+8639.95</f>
        <v>0</v>
      </c>
      <c r="E185" s="10" t="s">
        <v>383</v>
      </c>
      <c r="F185" s="108"/>
    </row>
    <row r="186" spans="2:8" x14ac:dyDescent="0.25">
      <c r="B186" s="36" t="s">
        <v>456</v>
      </c>
      <c r="C186" s="26"/>
      <c r="D186" s="26">
        <f>-1143.44+1143.44</f>
        <v>0</v>
      </c>
      <c r="E186" s="8">
        <v>-1143.44</v>
      </c>
      <c r="F186" s="43"/>
      <c r="G186" s="79"/>
      <c r="H186" s="79"/>
    </row>
    <row r="187" spans="2:8" x14ac:dyDescent="0.25">
      <c r="B187" s="36" t="s">
        <v>457</v>
      </c>
      <c r="C187" s="26"/>
      <c r="D187" s="26">
        <f>-840.77+840.77</f>
        <v>0</v>
      </c>
      <c r="E187" s="8">
        <v>-840.77</v>
      </c>
      <c r="F187" s="20"/>
    </row>
    <row r="188" spans="2:8" x14ac:dyDescent="0.25">
      <c r="B188" s="33" t="s">
        <v>458</v>
      </c>
      <c r="C188" s="5"/>
      <c r="D188" s="5">
        <f>-538.09+538.09</f>
        <v>0</v>
      </c>
      <c r="E188" s="8">
        <v>-538.09</v>
      </c>
      <c r="F188" s="20"/>
    </row>
    <row r="189" spans="2:8" x14ac:dyDescent="0.25">
      <c r="B189" s="33" t="s">
        <v>496</v>
      </c>
      <c r="C189" s="5"/>
      <c r="D189" s="5">
        <f>-292.66+292.66</f>
        <v>0</v>
      </c>
      <c r="E189" s="8">
        <v>-292.66000000000003</v>
      </c>
      <c r="F189" s="20"/>
    </row>
    <row r="190" spans="2:8" x14ac:dyDescent="0.25">
      <c r="B190" s="33" t="s">
        <v>252</v>
      </c>
      <c r="C190" s="5"/>
      <c r="D190" s="5"/>
      <c r="E190" s="6"/>
    </row>
    <row r="191" spans="2:8" x14ac:dyDescent="0.25">
      <c r="B191" s="33" t="s">
        <v>476</v>
      </c>
      <c r="C191" s="5"/>
      <c r="D191" s="5">
        <f>-137.48+137.48</f>
        <v>0</v>
      </c>
      <c r="E191" s="6"/>
    </row>
    <row r="192" spans="2:8" x14ac:dyDescent="0.25">
      <c r="B192" s="33"/>
      <c r="C192" s="5"/>
      <c r="D192" s="5"/>
      <c r="E192" s="6"/>
    </row>
    <row r="193" spans="2:5" x14ac:dyDescent="0.25">
      <c r="B193" s="35"/>
      <c r="C193" s="9"/>
      <c r="D193" s="7"/>
      <c r="E193" s="6"/>
    </row>
    <row r="194" spans="2:5" ht="12" customHeight="1" x14ac:dyDescent="0.25">
      <c r="B194" s="34" t="s">
        <v>2</v>
      </c>
      <c r="C194" s="7">
        <f>SUM(C5:C193)</f>
        <v>529840.01000000013</v>
      </c>
      <c r="D194" s="7"/>
      <c r="E194" s="6"/>
    </row>
    <row r="195" spans="2:5" ht="12" customHeight="1" x14ac:dyDescent="0.25">
      <c r="B195" s="33"/>
      <c r="C195" s="5"/>
      <c r="D195" s="5"/>
      <c r="E195" s="6"/>
    </row>
    <row r="196" spans="2:5" ht="12" customHeight="1" x14ac:dyDescent="0.25">
      <c r="B196" s="34" t="s">
        <v>3</v>
      </c>
      <c r="C196" s="7">
        <f>D196+C194</f>
        <v>553323.62000000011</v>
      </c>
      <c r="D196" s="7">
        <f>SUM(D7:D195)</f>
        <v>23483.609999999982</v>
      </c>
      <c r="E196" s="6"/>
    </row>
    <row r="198" spans="2:5" x14ac:dyDescent="0.25">
      <c r="B198" s="22"/>
      <c r="C198" s="11"/>
    </row>
    <row r="199" spans="2:5" x14ac:dyDescent="0.25">
      <c r="B199" s="106" t="s">
        <v>152</v>
      </c>
      <c r="C199" s="107">
        <v>43891</v>
      </c>
      <c r="D199" s="22">
        <v>7476</v>
      </c>
      <c r="E199" s="22"/>
    </row>
    <row r="200" spans="2:5" x14ac:dyDescent="0.25">
      <c r="B200" s="106" t="s">
        <v>153</v>
      </c>
      <c r="C200" s="107">
        <v>43922</v>
      </c>
      <c r="D200" s="22">
        <v>7476</v>
      </c>
      <c r="E200" s="22"/>
    </row>
    <row r="201" spans="2:5" x14ac:dyDescent="0.25">
      <c r="C201" s="107">
        <v>43952</v>
      </c>
      <c r="D201" s="22">
        <v>7476</v>
      </c>
      <c r="E201" s="22"/>
    </row>
    <row r="202" spans="2:5" x14ac:dyDescent="0.25">
      <c r="B202" s="10" t="s">
        <v>139</v>
      </c>
      <c r="C202" s="107">
        <v>43983</v>
      </c>
      <c r="D202" s="22">
        <v>7476</v>
      </c>
      <c r="E202" s="22"/>
    </row>
    <row r="203" spans="2:5" x14ac:dyDescent="0.25">
      <c r="B203" s="53" t="s">
        <v>154</v>
      </c>
      <c r="C203" s="107">
        <v>44013</v>
      </c>
      <c r="D203" s="22">
        <v>7476</v>
      </c>
      <c r="E203" s="22"/>
    </row>
    <row r="204" spans="2:5" x14ac:dyDescent="0.25">
      <c r="B204" s="40"/>
      <c r="C204" s="107">
        <v>44044</v>
      </c>
      <c r="D204" s="22">
        <v>7476</v>
      </c>
      <c r="E204" s="22">
        <f>D199+D200+D201+D202+D203+D204</f>
        <v>44856</v>
      </c>
    </row>
    <row r="205" spans="2:5" x14ac:dyDescent="0.25">
      <c r="D205" s="23"/>
      <c r="E205" s="23"/>
    </row>
    <row r="206" spans="2:5" x14ac:dyDescent="0.25">
      <c r="B206" s="144" t="s">
        <v>236</v>
      </c>
    </row>
    <row r="207" spans="2:5" x14ac:dyDescent="0.25">
      <c r="B207" s="139" t="s">
        <v>239</v>
      </c>
      <c r="C207" s="140"/>
      <c r="D207" s="42"/>
      <c r="E207" s="49"/>
    </row>
    <row r="208" spans="2:5" x14ac:dyDescent="0.25">
      <c r="B208" s="49"/>
      <c r="C208" s="68"/>
      <c r="D208" s="86"/>
      <c r="E208" s="42"/>
    </row>
    <row r="209" spans="2:5" x14ac:dyDescent="0.25">
      <c r="B209" s="52" t="s">
        <v>266</v>
      </c>
      <c r="C209" s="52"/>
      <c r="D209" s="52"/>
    </row>
    <row r="211" spans="2:5" x14ac:dyDescent="0.25">
      <c r="B211" s="170" t="s">
        <v>112</v>
      </c>
      <c r="C211" s="173" t="s">
        <v>111</v>
      </c>
      <c r="D211" s="173"/>
    </row>
    <row r="212" spans="2:5" x14ac:dyDescent="0.25">
      <c r="B212" s="170" t="s">
        <v>92</v>
      </c>
      <c r="C212" s="173" t="s">
        <v>111</v>
      </c>
      <c r="D212" s="173"/>
    </row>
    <row r="213" spans="2:5" x14ac:dyDescent="0.25">
      <c r="B213" s="170" t="s">
        <v>1</v>
      </c>
      <c r="C213" s="173"/>
      <c r="D213" s="173"/>
      <c r="E213" s="173"/>
    </row>
    <row r="216" spans="2:5" ht="11.25" customHeight="1" x14ac:dyDescent="0.25">
      <c r="B216" s="279" t="s">
        <v>408</v>
      </c>
      <c r="C216" s="274"/>
      <c r="D216" s="274"/>
    </row>
    <row r="217" spans="2:5" x14ac:dyDescent="0.25">
      <c r="B217" s="277" t="s">
        <v>410</v>
      </c>
      <c r="C217" s="278">
        <v>1204.44</v>
      </c>
      <c r="D217" s="274"/>
    </row>
    <row r="218" spans="2:5" x14ac:dyDescent="0.25">
      <c r="B218" s="277" t="s">
        <v>409</v>
      </c>
      <c r="C218" s="278">
        <v>1191.1099999999999</v>
      </c>
      <c r="D218" s="274"/>
    </row>
    <row r="219" spans="2:5" x14ac:dyDescent="0.25">
      <c r="B219" s="277" t="s">
        <v>411</v>
      </c>
      <c r="C219" s="278">
        <v>1694.44</v>
      </c>
      <c r="D219" s="274"/>
    </row>
    <row r="220" spans="2:5" x14ac:dyDescent="0.25">
      <c r="B220" s="277" t="s">
        <v>412</v>
      </c>
      <c r="C220" s="278">
        <v>356.4</v>
      </c>
      <c r="D220" s="274"/>
    </row>
  </sheetData>
  <printOptions horizontalCentered="1" verticalCentered="1"/>
  <pageMargins left="0" right="0" top="0.39370078740157483" bottom="0.3937007874015748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131" zoomScale="90" zoomScaleNormal="90" workbookViewId="0">
      <selection activeCell="K155" sqref="K155"/>
    </sheetView>
  </sheetViews>
  <sheetFormatPr baseColWidth="10" defaultRowHeight="12" x14ac:dyDescent="0.2"/>
  <cols>
    <col min="1" max="1" width="11.42578125" style="55"/>
    <col min="2" max="2" width="15.7109375" style="55" customWidth="1"/>
    <col min="3" max="3" width="11.42578125" style="55"/>
    <col min="4" max="4" width="5.7109375" style="55" customWidth="1"/>
    <col min="5" max="5" width="11.42578125" style="55"/>
    <col min="6" max="6" width="15.7109375" style="55" customWidth="1"/>
    <col min="7" max="7" width="11.42578125" style="55"/>
    <col min="8" max="8" width="5.7109375" style="55" customWidth="1"/>
    <col min="9" max="9" width="11.42578125" style="55" customWidth="1"/>
    <col min="10" max="10" width="15.7109375" style="55" customWidth="1"/>
    <col min="11" max="16384" width="11.42578125" style="55"/>
  </cols>
  <sheetData>
    <row r="1" spans="1:11" x14ac:dyDescent="0.2">
      <c r="A1" s="307" t="s">
        <v>142</v>
      </c>
      <c r="B1" s="307"/>
      <c r="C1" s="307"/>
      <c r="D1" s="87"/>
      <c r="E1" s="308" t="s">
        <v>143</v>
      </c>
      <c r="F1" s="308"/>
      <c r="G1" s="308"/>
      <c r="H1" s="87"/>
      <c r="I1" s="309" t="s">
        <v>144</v>
      </c>
      <c r="J1" s="309"/>
      <c r="K1" s="309"/>
    </row>
    <row r="3" spans="1:11" x14ac:dyDescent="0.2">
      <c r="A3" s="69">
        <v>43494</v>
      </c>
      <c r="B3" s="87" t="s">
        <v>122</v>
      </c>
      <c r="C3" s="70">
        <v>25029.17</v>
      </c>
      <c r="E3" s="69">
        <v>43501</v>
      </c>
      <c r="F3" s="87" t="s">
        <v>123</v>
      </c>
      <c r="G3" s="70">
        <v>686.56</v>
      </c>
      <c r="H3" s="87"/>
      <c r="I3" s="89">
        <v>43545</v>
      </c>
      <c r="J3" s="90" t="s">
        <v>71</v>
      </c>
      <c r="K3" s="91">
        <v>24800</v>
      </c>
    </row>
    <row r="4" spans="1:11" x14ac:dyDescent="0.2">
      <c r="A4" s="92">
        <v>43487</v>
      </c>
      <c r="B4" s="93">
        <v>43466</v>
      </c>
      <c r="C4" s="94">
        <v>34802.410000000003</v>
      </c>
      <c r="E4" s="95">
        <v>43515</v>
      </c>
      <c r="F4" s="96">
        <v>43466</v>
      </c>
      <c r="G4" s="97">
        <v>-2290.06</v>
      </c>
      <c r="H4" s="87"/>
    </row>
    <row r="5" spans="1:11" x14ac:dyDescent="0.2">
      <c r="A5" s="87"/>
      <c r="B5" s="87"/>
      <c r="C5" s="70"/>
      <c r="E5" s="95">
        <v>43515</v>
      </c>
      <c r="F5" s="96">
        <v>43466</v>
      </c>
      <c r="G5" s="97">
        <f>4317.92</f>
        <v>4317.92</v>
      </c>
      <c r="H5" s="87"/>
      <c r="I5" s="69">
        <v>43572</v>
      </c>
      <c r="J5" s="87" t="s">
        <v>48</v>
      </c>
      <c r="K5" s="70">
        <v>7428.18</v>
      </c>
    </row>
    <row r="6" spans="1:11" x14ac:dyDescent="0.2">
      <c r="A6" s="92">
        <v>43522</v>
      </c>
      <c r="B6" s="93">
        <v>43497</v>
      </c>
      <c r="C6" s="94">
        <v>34802.410000000003</v>
      </c>
      <c r="E6" s="95">
        <v>43522</v>
      </c>
      <c r="F6" s="96">
        <v>43497</v>
      </c>
      <c r="G6" s="97">
        <v>4317.92</v>
      </c>
      <c r="H6" s="87"/>
      <c r="I6" s="72"/>
      <c r="J6" s="73"/>
      <c r="K6" s="70"/>
    </row>
    <row r="7" spans="1:11" x14ac:dyDescent="0.2">
      <c r="A7" s="74"/>
      <c r="B7" s="87"/>
      <c r="C7" s="70"/>
      <c r="H7" s="87"/>
      <c r="I7" s="69"/>
      <c r="J7" s="87"/>
      <c r="K7" s="70"/>
    </row>
    <row r="8" spans="1:11" x14ac:dyDescent="0.2">
      <c r="A8" s="92">
        <v>43550</v>
      </c>
      <c r="B8" s="93">
        <v>43525</v>
      </c>
      <c r="C8" s="94">
        <v>36384.19</v>
      </c>
      <c r="E8" s="95">
        <v>43532</v>
      </c>
      <c r="F8" s="98" t="s">
        <v>124</v>
      </c>
      <c r="G8" s="97">
        <v>2290.06</v>
      </c>
      <c r="H8" s="87"/>
      <c r="I8" s="75">
        <v>43643</v>
      </c>
      <c r="J8" s="76" t="s">
        <v>49</v>
      </c>
      <c r="K8" s="70">
        <v>83351</v>
      </c>
    </row>
    <row r="9" spans="1:11" x14ac:dyDescent="0.2">
      <c r="A9" s="87"/>
      <c r="B9" s="87"/>
      <c r="C9" s="70"/>
      <c r="E9" s="95">
        <v>43550</v>
      </c>
      <c r="F9" s="96">
        <v>43525</v>
      </c>
      <c r="G9" s="97">
        <v>4514.1499999999996</v>
      </c>
      <c r="H9" s="87"/>
    </row>
    <row r="10" spans="1:11" x14ac:dyDescent="0.2">
      <c r="A10" s="92">
        <v>43585</v>
      </c>
      <c r="B10" s="93">
        <v>43556</v>
      </c>
      <c r="C10" s="94">
        <v>37784.31</v>
      </c>
      <c r="H10" s="87"/>
      <c r="I10" s="75"/>
      <c r="J10" s="76"/>
      <c r="K10" s="70"/>
    </row>
    <row r="11" spans="1:11" x14ac:dyDescent="0.2">
      <c r="E11" s="95">
        <v>43595</v>
      </c>
      <c r="F11" s="96">
        <v>43556</v>
      </c>
      <c r="G11" s="97">
        <v>4383.33</v>
      </c>
      <c r="H11" s="87"/>
      <c r="I11" s="69"/>
      <c r="J11" s="87"/>
      <c r="K11" s="70"/>
    </row>
    <row r="12" spans="1:11" x14ac:dyDescent="0.2">
      <c r="A12" s="69">
        <v>43600</v>
      </c>
      <c r="B12" s="87" t="s">
        <v>122</v>
      </c>
      <c r="C12" s="70">
        <v>26302.48</v>
      </c>
      <c r="E12" s="95">
        <v>43607</v>
      </c>
      <c r="F12" s="96">
        <v>43586</v>
      </c>
      <c r="G12" s="97">
        <v>4383.33</v>
      </c>
      <c r="H12" s="87"/>
      <c r="I12" s="87"/>
      <c r="J12" s="87"/>
      <c r="K12" s="70"/>
    </row>
    <row r="13" spans="1:11" x14ac:dyDescent="0.2">
      <c r="A13" s="92">
        <v>43607</v>
      </c>
      <c r="B13" s="93" t="s">
        <v>125</v>
      </c>
      <c r="C13" s="94">
        <v>34403.79</v>
      </c>
      <c r="H13" s="87"/>
      <c r="I13" s="87"/>
      <c r="J13" s="87"/>
      <c r="K13" s="70"/>
    </row>
    <row r="14" spans="1:11" x14ac:dyDescent="0.2">
      <c r="E14" s="69">
        <v>43633</v>
      </c>
      <c r="F14" s="87" t="s">
        <v>47</v>
      </c>
      <c r="G14" s="70">
        <v>27000</v>
      </c>
      <c r="H14" s="87"/>
      <c r="I14" s="98" t="s">
        <v>126</v>
      </c>
      <c r="J14" s="97">
        <f>G4+G5+G6+G8+G9+G11+G12+G15+G18+G19+G21+G23+G24+G26+G27+G29</f>
        <v>62435.69000000001</v>
      </c>
      <c r="K14" s="70"/>
    </row>
    <row r="15" spans="1:11" x14ac:dyDescent="0.2">
      <c r="A15" s="92">
        <v>43641</v>
      </c>
      <c r="B15" s="93">
        <v>43617</v>
      </c>
      <c r="C15" s="94">
        <v>38573.339999999997</v>
      </c>
      <c r="E15" s="95">
        <v>43641</v>
      </c>
      <c r="F15" s="96">
        <v>43617</v>
      </c>
      <c r="G15" s="97">
        <v>4383.33</v>
      </c>
      <c r="H15" s="87"/>
      <c r="I15" s="87"/>
      <c r="J15" s="87"/>
      <c r="K15" s="70"/>
    </row>
    <row r="16" spans="1:11" x14ac:dyDescent="0.2">
      <c r="H16" s="87"/>
      <c r="I16" s="90" t="s">
        <v>127</v>
      </c>
      <c r="J16" s="91">
        <f>K3</f>
        <v>24800</v>
      </c>
    </row>
    <row r="17" spans="1:11" x14ac:dyDescent="0.2">
      <c r="A17" s="92">
        <v>43662</v>
      </c>
      <c r="B17" s="93">
        <v>43647</v>
      </c>
      <c r="C17" s="94">
        <v>36820</v>
      </c>
      <c r="E17" s="69">
        <v>43655</v>
      </c>
      <c r="F17" s="87" t="s">
        <v>122</v>
      </c>
      <c r="G17" s="70">
        <v>939.71</v>
      </c>
      <c r="H17" s="87"/>
      <c r="I17" s="87"/>
      <c r="J17" s="87"/>
      <c r="K17" s="70"/>
    </row>
    <row r="18" spans="1:11" x14ac:dyDescent="0.2">
      <c r="E18" s="95">
        <v>43655</v>
      </c>
      <c r="F18" s="98" t="s">
        <v>128</v>
      </c>
      <c r="G18" s="97">
        <v>2851.95</v>
      </c>
      <c r="H18" s="87"/>
      <c r="I18" s="99" t="s">
        <v>129</v>
      </c>
      <c r="J18" s="94">
        <f>C4+C6+C8+C10+C13+C15+C17+C19+C22+C23+C25+C26+C29</f>
        <v>441327.95</v>
      </c>
      <c r="K18" s="70"/>
    </row>
    <row r="19" spans="1:11" x14ac:dyDescent="0.2">
      <c r="A19" s="92">
        <v>43698</v>
      </c>
      <c r="B19" s="93" t="s">
        <v>130</v>
      </c>
      <c r="C19" s="94">
        <v>38647.89</v>
      </c>
      <c r="E19" s="95">
        <v>43662</v>
      </c>
      <c r="F19" s="96">
        <v>43647</v>
      </c>
      <c r="G19" s="97">
        <v>5260</v>
      </c>
      <c r="H19" s="87"/>
      <c r="I19" s="70"/>
      <c r="J19" s="87"/>
      <c r="K19" s="70"/>
    </row>
    <row r="20" spans="1:11" x14ac:dyDescent="0.2">
      <c r="A20" s="69">
        <v>43699</v>
      </c>
      <c r="B20" s="87" t="s">
        <v>78</v>
      </c>
      <c r="C20" s="70">
        <v>32900</v>
      </c>
      <c r="H20" s="87"/>
      <c r="I20" s="87"/>
      <c r="J20" s="87"/>
      <c r="K20" s="70"/>
    </row>
    <row r="21" spans="1:11" x14ac:dyDescent="0.2">
      <c r="E21" s="95">
        <v>43698</v>
      </c>
      <c r="F21" s="98" t="s">
        <v>130</v>
      </c>
      <c r="G21" s="97">
        <v>5494.17</v>
      </c>
      <c r="H21" s="87"/>
      <c r="I21" s="87"/>
      <c r="J21" s="87"/>
      <c r="K21" s="70"/>
    </row>
    <row r="22" spans="1:11" x14ac:dyDescent="0.2">
      <c r="A22" s="92">
        <v>43747</v>
      </c>
      <c r="B22" s="93">
        <v>43709</v>
      </c>
      <c r="C22" s="94">
        <v>36820</v>
      </c>
      <c r="H22" s="87"/>
      <c r="I22" s="87"/>
      <c r="J22" s="87"/>
      <c r="K22" s="70"/>
    </row>
    <row r="23" spans="1:11" x14ac:dyDescent="0.2">
      <c r="A23" s="92">
        <v>43761</v>
      </c>
      <c r="B23" s="93">
        <v>43739</v>
      </c>
      <c r="C23" s="94">
        <v>36820</v>
      </c>
      <c r="E23" s="95">
        <v>43747</v>
      </c>
      <c r="F23" s="96">
        <v>43709</v>
      </c>
      <c r="G23" s="97">
        <v>5260</v>
      </c>
      <c r="H23" s="87"/>
      <c r="K23" s="56"/>
    </row>
    <row r="24" spans="1:11" x14ac:dyDescent="0.2">
      <c r="A24" s="69"/>
      <c r="B24" s="87"/>
      <c r="C24" s="70"/>
      <c r="E24" s="95">
        <v>43761</v>
      </c>
      <c r="F24" s="96">
        <v>43739</v>
      </c>
      <c r="G24" s="97">
        <v>5260</v>
      </c>
      <c r="I24" s="100"/>
      <c r="J24" s="70"/>
      <c r="K24" s="70"/>
    </row>
    <row r="25" spans="1:11" x14ac:dyDescent="0.2">
      <c r="A25" s="92">
        <v>43774</v>
      </c>
      <c r="B25" s="99" t="s">
        <v>128</v>
      </c>
      <c r="C25" s="94">
        <v>3506.68</v>
      </c>
      <c r="K25" s="56"/>
    </row>
    <row r="26" spans="1:11" x14ac:dyDescent="0.2">
      <c r="A26" s="92">
        <v>43795</v>
      </c>
      <c r="B26" s="93" t="s">
        <v>131</v>
      </c>
      <c r="C26" s="94">
        <v>34266.300000000003</v>
      </c>
      <c r="E26" s="95">
        <v>43782</v>
      </c>
      <c r="F26" s="98" t="s">
        <v>128</v>
      </c>
      <c r="G26" s="97">
        <v>1683.21</v>
      </c>
    </row>
    <row r="27" spans="1:11" x14ac:dyDescent="0.2">
      <c r="A27" s="69"/>
      <c r="C27" s="70"/>
      <c r="E27" s="95">
        <v>43795</v>
      </c>
      <c r="F27" s="96" t="s">
        <v>132</v>
      </c>
      <c r="G27" s="97">
        <v>4645.58</v>
      </c>
    </row>
    <row r="28" spans="1:11" x14ac:dyDescent="0.2">
      <c r="A28" s="69">
        <v>43812</v>
      </c>
      <c r="B28" s="87" t="s">
        <v>98</v>
      </c>
      <c r="C28" s="70">
        <v>14100</v>
      </c>
    </row>
    <row r="29" spans="1:11" x14ac:dyDescent="0.2">
      <c r="A29" s="92">
        <v>43826</v>
      </c>
      <c r="B29" s="93">
        <v>43800</v>
      </c>
      <c r="C29" s="94">
        <v>37696.629999999997</v>
      </c>
      <c r="E29" s="95">
        <v>43826</v>
      </c>
      <c r="F29" s="96">
        <v>43800</v>
      </c>
      <c r="G29" s="97">
        <v>5680.8</v>
      </c>
    </row>
    <row r="30" spans="1:11" x14ac:dyDescent="0.2">
      <c r="A30" s="69"/>
      <c r="C30" s="70"/>
      <c r="E30" s="69"/>
      <c r="G30" s="70"/>
    </row>
    <row r="32" spans="1:11" x14ac:dyDescent="0.2">
      <c r="A32" s="71">
        <v>43739</v>
      </c>
      <c r="B32" s="70">
        <v>37696.67</v>
      </c>
      <c r="C32" s="70">
        <v>-33146.74</v>
      </c>
      <c r="E32" s="70">
        <f>B32+C32</f>
        <v>4549.93</v>
      </c>
      <c r="G32" s="56"/>
    </row>
    <row r="33" spans="1:13" x14ac:dyDescent="0.2">
      <c r="A33" s="71">
        <v>43770</v>
      </c>
      <c r="B33" s="70">
        <v>37696.67</v>
      </c>
      <c r="C33" s="70">
        <v>-33027.910000000003</v>
      </c>
      <c r="E33" s="70">
        <f>B33+C33</f>
        <v>4668.7599999999948</v>
      </c>
      <c r="G33" s="56"/>
    </row>
    <row r="34" spans="1:13" x14ac:dyDescent="0.2">
      <c r="A34" s="71">
        <v>43800</v>
      </c>
      <c r="B34" s="70">
        <v>37696.629999999997</v>
      </c>
      <c r="C34" s="70">
        <v>-34439.89</v>
      </c>
      <c r="E34" s="70">
        <f>B34+C34</f>
        <v>3256.739999999998</v>
      </c>
      <c r="G34" s="56"/>
    </row>
    <row r="35" spans="1:13" x14ac:dyDescent="0.2">
      <c r="B35" s="70">
        <f>SUM(B32:B34)</f>
        <v>113089.97</v>
      </c>
      <c r="C35" s="70">
        <f>SUM(C32:C34)</f>
        <v>-100614.54</v>
      </c>
      <c r="E35" s="70">
        <f>SUM(E32:E34)</f>
        <v>12475.429999999993</v>
      </c>
      <c r="F35" s="70">
        <f>12475.43-6794.63</f>
        <v>5680.8</v>
      </c>
      <c r="G35" s="56"/>
    </row>
    <row r="36" spans="1:13" x14ac:dyDescent="0.2">
      <c r="B36" s="70"/>
      <c r="C36" s="70"/>
      <c r="E36" s="70"/>
      <c r="F36" s="70"/>
      <c r="G36" s="56"/>
    </row>
    <row r="37" spans="1:13" x14ac:dyDescent="0.2">
      <c r="B37" s="70"/>
      <c r="C37" s="70"/>
      <c r="E37" s="70"/>
      <c r="F37" s="70"/>
      <c r="G37" s="56"/>
    </row>
    <row r="38" spans="1:13" x14ac:dyDescent="0.2">
      <c r="B38" s="70"/>
      <c r="C38" s="70"/>
      <c r="E38" s="70"/>
      <c r="F38" s="70"/>
      <c r="G38" s="56"/>
    </row>
    <row r="39" spans="1:13" x14ac:dyDescent="0.2">
      <c r="B39" s="56"/>
      <c r="C39" s="56"/>
      <c r="E39" s="56"/>
      <c r="F39" s="56"/>
      <c r="G39" s="56"/>
    </row>
    <row r="40" spans="1:13" x14ac:dyDescent="0.2">
      <c r="A40" s="185"/>
      <c r="B40" s="187"/>
      <c r="C40" s="187"/>
      <c r="D40" s="185"/>
      <c r="E40" s="187"/>
      <c r="F40" s="187"/>
      <c r="G40" s="187"/>
      <c r="H40" s="185"/>
      <c r="I40" s="185"/>
      <c r="J40" s="185"/>
      <c r="K40" s="185"/>
      <c r="L40" s="185"/>
      <c r="M40" s="185"/>
    </row>
    <row r="41" spans="1:13" x14ac:dyDescent="0.2">
      <c r="A41" s="113"/>
      <c r="B41" s="114"/>
      <c r="C41" s="114"/>
      <c r="D41" s="113"/>
      <c r="E41" s="114"/>
      <c r="F41" s="114"/>
      <c r="G41" s="114"/>
      <c r="H41" s="113"/>
      <c r="I41" s="113"/>
      <c r="J41" s="113"/>
      <c r="K41" s="113"/>
    </row>
    <row r="42" spans="1:13" x14ac:dyDescent="0.2">
      <c r="A42" s="113"/>
      <c r="B42" s="114"/>
      <c r="C42" s="114"/>
      <c r="D42" s="113"/>
      <c r="E42" s="114"/>
      <c r="F42" s="114"/>
      <c r="G42" s="114"/>
      <c r="H42" s="113"/>
      <c r="I42" s="113"/>
      <c r="J42" s="113"/>
      <c r="K42" s="113"/>
    </row>
    <row r="43" spans="1:13" x14ac:dyDescent="0.2">
      <c r="A43" s="113"/>
      <c r="B43" s="114"/>
      <c r="C43" s="114"/>
      <c r="D43" s="113"/>
      <c r="E43" s="114"/>
      <c r="F43" s="114"/>
      <c r="G43" s="114"/>
      <c r="H43" s="113"/>
      <c r="I43" s="113"/>
      <c r="J43" s="113"/>
      <c r="K43" s="113"/>
    </row>
    <row r="44" spans="1:13" x14ac:dyDescent="0.2">
      <c r="A44" s="113"/>
      <c r="B44" s="114"/>
      <c r="C44" s="114"/>
      <c r="D44" s="113"/>
      <c r="E44" s="114"/>
      <c r="F44" s="114"/>
      <c r="G44" s="114"/>
      <c r="H44" s="113"/>
      <c r="I44" s="113"/>
      <c r="J44" s="113"/>
      <c r="K44" s="113"/>
    </row>
    <row r="45" spans="1:13" x14ac:dyDescent="0.2">
      <c r="A45" s="113"/>
      <c r="B45" s="114"/>
      <c r="C45" s="114"/>
      <c r="D45" s="113"/>
      <c r="E45" s="114"/>
      <c r="F45" s="114"/>
      <c r="G45" s="114"/>
      <c r="H45" s="113"/>
      <c r="I45" s="113"/>
      <c r="J45" s="113"/>
      <c r="K45" s="113"/>
    </row>
    <row r="46" spans="1:13" x14ac:dyDescent="0.2">
      <c r="A46" s="113"/>
      <c r="B46" s="114"/>
      <c r="C46" s="114"/>
      <c r="D46" s="113"/>
      <c r="E46" s="114"/>
      <c r="F46" s="114"/>
      <c r="G46" s="114"/>
      <c r="H46" s="113"/>
      <c r="I46" s="113"/>
      <c r="J46" s="113"/>
      <c r="K46" s="113"/>
    </row>
    <row r="47" spans="1:13" x14ac:dyDescent="0.2">
      <c r="A47" s="113"/>
      <c r="B47" s="114"/>
      <c r="C47" s="114"/>
      <c r="D47" s="113"/>
      <c r="E47" s="114"/>
      <c r="F47" s="114"/>
      <c r="G47" s="114"/>
      <c r="H47" s="113"/>
      <c r="I47" s="113"/>
      <c r="J47" s="113"/>
      <c r="K47" s="113"/>
    </row>
    <row r="48" spans="1:13" x14ac:dyDescent="0.2">
      <c r="A48" s="113"/>
      <c r="B48" s="114"/>
      <c r="C48" s="114"/>
      <c r="D48" s="113"/>
      <c r="E48" s="114"/>
      <c r="F48" s="114"/>
      <c r="G48" s="114"/>
      <c r="H48" s="113"/>
      <c r="I48" s="113"/>
      <c r="J48" s="113"/>
      <c r="K48" s="113"/>
    </row>
    <row r="49" spans="1:12" x14ac:dyDescent="0.2">
      <c r="A49" s="113"/>
      <c r="B49" s="114"/>
      <c r="C49" s="114"/>
      <c r="D49" s="113"/>
      <c r="E49" s="114"/>
      <c r="F49" s="114"/>
      <c r="G49" s="114"/>
      <c r="H49" s="113"/>
      <c r="I49" s="113"/>
      <c r="J49" s="113"/>
      <c r="K49" s="113"/>
    </row>
    <row r="50" spans="1:12" x14ac:dyDescent="0.2">
      <c r="A50" s="300" t="s">
        <v>160</v>
      </c>
      <c r="B50" s="300"/>
      <c r="C50" s="300"/>
      <c r="D50" s="111"/>
      <c r="E50" s="301" t="s">
        <v>161</v>
      </c>
      <c r="F50" s="301"/>
      <c r="G50" s="301"/>
      <c r="H50" s="111"/>
      <c r="I50" s="302" t="s">
        <v>162</v>
      </c>
      <c r="J50" s="302"/>
      <c r="K50" s="302"/>
    </row>
    <row r="51" spans="1:12" x14ac:dyDescent="0.2">
      <c r="B51" s="56"/>
      <c r="C51" s="56"/>
      <c r="E51" s="56"/>
      <c r="F51" s="56"/>
      <c r="G51" s="56"/>
    </row>
    <row r="52" spans="1:12" x14ac:dyDescent="0.2">
      <c r="A52" s="69">
        <v>43844</v>
      </c>
      <c r="B52" s="71">
        <v>43831</v>
      </c>
      <c r="C52" s="70">
        <v>37696.67</v>
      </c>
      <c r="E52" s="69">
        <v>43844</v>
      </c>
      <c r="F52" s="71">
        <v>43831</v>
      </c>
      <c r="G52" s="70">
        <v>5680.8</v>
      </c>
      <c r="I52" s="69">
        <v>43922</v>
      </c>
      <c r="J52" s="100" t="s">
        <v>165</v>
      </c>
      <c r="K52" s="70">
        <v>24800</v>
      </c>
    </row>
    <row r="53" spans="1:12" x14ac:dyDescent="0.2">
      <c r="E53" s="69">
        <v>43851</v>
      </c>
      <c r="F53" s="87" t="s">
        <v>121</v>
      </c>
      <c r="G53" s="70">
        <v>195.02</v>
      </c>
      <c r="I53" s="69">
        <v>43997</v>
      </c>
      <c r="J53" s="118" t="s">
        <v>166</v>
      </c>
      <c r="K53" s="70">
        <v>6200</v>
      </c>
    </row>
    <row r="54" spans="1:12" x14ac:dyDescent="0.2">
      <c r="A54" s="69">
        <v>43886</v>
      </c>
      <c r="B54" s="71">
        <v>43862</v>
      </c>
      <c r="C54" s="70">
        <f>37696.67-6794.63</f>
        <v>30902.039999999997</v>
      </c>
      <c r="E54" s="112"/>
      <c r="I54" s="69"/>
      <c r="J54" s="110"/>
      <c r="K54" s="70"/>
      <c r="L54" s="70">
        <f>K52+K53</f>
        <v>31000</v>
      </c>
    </row>
    <row r="55" spans="1:12" x14ac:dyDescent="0.2">
      <c r="A55" s="112"/>
      <c r="E55" s="69">
        <v>43886</v>
      </c>
      <c r="F55" s="71">
        <v>43862</v>
      </c>
      <c r="G55" s="101">
        <f>5680.8-5680.8</f>
        <v>0</v>
      </c>
      <c r="I55" s="69">
        <v>43994</v>
      </c>
      <c r="J55" s="118" t="s">
        <v>164</v>
      </c>
      <c r="K55" s="70">
        <v>32900</v>
      </c>
      <c r="L55" s="133"/>
    </row>
    <row r="56" spans="1:12" x14ac:dyDescent="0.2">
      <c r="A56" s="69">
        <v>43893</v>
      </c>
      <c r="B56" s="100" t="s">
        <v>135</v>
      </c>
      <c r="C56" s="101">
        <v>903</v>
      </c>
      <c r="E56" s="112"/>
      <c r="I56" s="120">
        <v>44116</v>
      </c>
      <c r="J56" s="121" t="s">
        <v>167</v>
      </c>
      <c r="K56" s="122">
        <v>14100</v>
      </c>
      <c r="L56" s="133"/>
    </row>
    <row r="57" spans="1:12" x14ac:dyDescent="0.2">
      <c r="A57" s="69">
        <v>43907</v>
      </c>
      <c r="B57" s="71">
        <v>43891</v>
      </c>
      <c r="C57" s="70">
        <v>38148.17</v>
      </c>
      <c r="L57" s="70">
        <f>K55+K56</f>
        <v>47000</v>
      </c>
    </row>
    <row r="58" spans="1:12" x14ac:dyDescent="0.2">
      <c r="A58" s="112"/>
      <c r="E58" s="69">
        <v>43907</v>
      </c>
      <c r="F58" s="71">
        <v>43891</v>
      </c>
      <c r="G58" s="70">
        <v>4607.3999999999996</v>
      </c>
      <c r="I58" s="69">
        <v>43901</v>
      </c>
      <c r="J58" s="118" t="s">
        <v>163</v>
      </c>
      <c r="K58" s="70">
        <v>40000</v>
      </c>
      <c r="L58" s="133"/>
    </row>
    <row r="59" spans="1:12" ht="12" customHeight="1" x14ac:dyDescent="0.2">
      <c r="A59" s="69">
        <v>43942</v>
      </c>
      <c r="B59" s="71" t="s">
        <v>122</v>
      </c>
      <c r="C59" s="70">
        <v>32094.28</v>
      </c>
      <c r="E59" s="112"/>
      <c r="I59" s="69"/>
      <c r="J59" s="132"/>
      <c r="L59" s="70">
        <f>K58</f>
        <v>40000</v>
      </c>
    </row>
    <row r="60" spans="1:12" x14ac:dyDescent="0.2">
      <c r="A60" s="112"/>
      <c r="E60" s="69">
        <v>43942</v>
      </c>
      <c r="F60" s="71" t="s">
        <v>122</v>
      </c>
      <c r="G60" s="70">
        <v>4142.87</v>
      </c>
      <c r="L60" s="133"/>
    </row>
    <row r="61" spans="1:12" ht="15" x14ac:dyDescent="0.25">
      <c r="A61" s="69">
        <v>43957</v>
      </c>
      <c r="B61" s="71">
        <v>43922</v>
      </c>
      <c r="C61" s="70">
        <v>38148.17</v>
      </c>
      <c r="E61" s="112"/>
      <c r="I61" s="305" t="s">
        <v>145</v>
      </c>
      <c r="J61" s="306"/>
      <c r="L61" s="181">
        <f>SUM(L54:L60)</f>
        <v>118000</v>
      </c>
    </row>
    <row r="62" spans="1:12" x14ac:dyDescent="0.2">
      <c r="A62" s="112"/>
      <c r="E62" s="69">
        <v>43957</v>
      </c>
      <c r="F62" s="71">
        <v>43922</v>
      </c>
      <c r="G62" s="70">
        <v>5323</v>
      </c>
    </row>
    <row r="63" spans="1:12" x14ac:dyDescent="0.2">
      <c r="A63" s="69">
        <v>44020</v>
      </c>
      <c r="B63" s="71">
        <v>43983</v>
      </c>
      <c r="C63" s="70">
        <v>39316.51</v>
      </c>
      <c r="I63" s="69">
        <v>43936</v>
      </c>
      <c r="J63" s="70">
        <v>25123.68</v>
      </c>
    </row>
    <row r="64" spans="1:12" x14ac:dyDescent="0.2">
      <c r="E64" s="69">
        <v>44020</v>
      </c>
      <c r="F64" s="71">
        <v>43983</v>
      </c>
      <c r="G64" s="70">
        <v>9192.34</v>
      </c>
      <c r="I64" s="69"/>
      <c r="J64" s="70"/>
    </row>
    <row r="65" spans="1:11" x14ac:dyDescent="0.2">
      <c r="A65" s="69">
        <v>44040</v>
      </c>
      <c r="B65" s="71">
        <v>44013</v>
      </c>
      <c r="C65" s="70">
        <v>38148.17</v>
      </c>
      <c r="I65" s="69">
        <v>43966</v>
      </c>
      <c r="J65" s="70">
        <v>70586.42</v>
      </c>
    </row>
    <row r="66" spans="1:11" x14ac:dyDescent="0.2">
      <c r="E66" s="69">
        <v>44040</v>
      </c>
      <c r="F66" s="71">
        <v>44013</v>
      </c>
      <c r="G66" s="70">
        <v>5323</v>
      </c>
      <c r="I66" s="69">
        <v>43978</v>
      </c>
      <c r="J66" s="70">
        <v>1898.75</v>
      </c>
    </row>
    <row r="67" spans="1:11" x14ac:dyDescent="0.2">
      <c r="A67" s="69">
        <v>44126</v>
      </c>
      <c r="C67" s="70">
        <v>21447.62</v>
      </c>
      <c r="I67" s="112"/>
    </row>
    <row r="68" spans="1:11" x14ac:dyDescent="0.2">
      <c r="E68" s="69">
        <v>44061</v>
      </c>
      <c r="G68" s="70">
        <v>1774.32</v>
      </c>
      <c r="I68" s="69">
        <v>43997</v>
      </c>
      <c r="J68" s="70">
        <v>36529.61</v>
      </c>
    </row>
    <row r="69" spans="1:11" x14ac:dyDescent="0.2">
      <c r="A69" s="69">
        <v>44187</v>
      </c>
      <c r="C69" s="70">
        <v>6805.5</v>
      </c>
    </row>
    <row r="70" spans="1:11" x14ac:dyDescent="0.2">
      <c r="E70" s="69">
        <v>44126</v>
      </c>
      <c r="G70" s="123">
        <v>4661.6099999999997</v>
      </c>
      <c r="I70" s="69">
        <v>44025</v>
      </c>
      <c r="J70" s="70">
        <v>30258.42</v>
      </c>
    </row>
    <row r="71" spans="1:11" x14ac:dyDescent="0.2">
      <c r="C71" s="134">
        <f>SUM(C52:C70)</f>
        <v>283610.12999999995</v>
      </c>
    </row>
    <row r="72" spans="1:11" x14ac:dyDescent="0.2">
      <c r="C72" s="70"/>
      <c r="E72" s="69">
        <v>44159</v>
      </c>
      <c r="G72" s="70">
        <v>5231.63</v>
      </c>
      <c r="I72" s="69">
        <v>44071</v>
      </c>
      <c r="J72" s="70">
        <v>18110.22</v>
      </c>
    </row>
    <row r="74" spans="1:11" x14ac:dyDescent="0.2">
      <c r="E74" s="120">
        <v>44187</v>
      </c>
      <c r="G74" s="70">
        <v>5766.62</v>
      </c>
      <c r="I74" s="69">
        <v>44095</v>
      </c>
      <c r="J74" s="70">
        <v>2007.47</v>
      </c>
    </row>
    <row r="75" spans="1:11" ht="15" x14ac:dyDescent="0.25">
      <c r="A75" s="303" t="s">
        <v>197</v>
      </c>
      <c r="B75" s="304"/>
      <c r="C75" s="304"/>
    </row>
    <row r="76" spans="1:11" x14ac:dyDescent="0.2">
      <c r="G76" s="135">
        <f>SUM(G52:G75)</f>
        <v>51898.61</v>
      </c>
      <c r="I76" s="69">
        <v>44110</v>
      </c>
      <c r="J76" s="70">
        <v>15938.4</v>
      </c>
    </row>
    <row r="77" spans="1:11" x14ac:dyDescent="0.2">
      <c r="A77" s="69">
        <v>44172</v>
      </c>
      <c r="B77" s="132" t="s">
        <v>196</v>
      </c>
      <c r="C77" s="70">
        <v>10000</v>
      </c>
    </row>
    <row r="78" spans="1:11" x14ac:dyDescent="0.2">
      <c r="A78" s="69">
        <v>44176</v>
      </c>
      <c r="B78" s="132" t="s">
        <v>196</v>
      </c>
      <c r="C78" s="70">
        <v>10000</v>
      </c>
      <c r="I78" s="69">
        <v>44131</v>
      </c>
      <c r="J78" s="70">
        <v>9467.5300000000007</v>
      </c>
      <c r="K78" s="125"/>
    </row>
    <row r="79" spans="1:11" x14ac:dyDescent="0.2">
      <c r="A79" s="69">
        <v>44196</v>
      </c>
      <c r="B79" s="132" t="s">
        <v>195</v>
      </c>
      <c r="C79" s="70">
        <v>40000</v>
      </c>
      <c r="J79" s="124"/>
    </row>
    <row r="80" spans="1:11" x14ac:dyDescent="0.2">
      <c r="I80" s="69">
        <v>44153</v>
      </c>
      <c r="J80" s="70">
        <v>191391.12</v>
      </c>
      <c r="K80" s="133" t="s">
        <v>208</v>
      </c>
    </row>
    <row r="81" spans="1:13" x14ac:dyDescent="0.2">
      <c r="C81" s="137">
        <f>SUM(C77:C80)</f>
        <v>60000</v>
      </c>
      <c r="J81" s="124"/>
    </row>
    <row r="82" spans="1:13" x14ac:dyDescent="0.2">
      <c r="I82" s="69">
        <v>44162</v>
      </c>
      <c r="J82" s="70">
        <v>12831.38</v>
      </c>
    </row>
    <row r="84" spans="1:13" x14ac:dyDescent="0.2">
      <c r="I84" s="69">
        <v>44173</v>
      </c>
      <c r="J84" s="70">
        <v>18216</v>
      </c>
      <c r="K84" s="133" t="s">
        <v>207</v>
      </c>
    </row>
    <row r="86" spans="1:13" x14ac:dyDescent="0.2">
      <c r="I86" s="69">
        <v>44187</v>
      </c>
      <c r="J86" s="70">
        <v>34030.69</v>
      </c>
    </row>
    <row r="88" spans="1:13" x14ac:dyDescent="0.2">
      <c r="J88" s="136">
        <f>SUM(J65:J86)</f>
        <v>441266.01</v>
      </c>
    </row>
    <row r="89" spans="1:13" x14ac:dyDescent="0.2">
      <c r="J89" s="149"/>
    </row>
    <row r="90" spans="1:13" x14ac:dyDescent="0.2">
      <c r="J90" s="149"/>
    </row>
    <row r="91" spans="1:13" x14ac:dyDescent="0.2">
      <c r="A91" s="185"/>
      <c r="B91" s="185"/>
      <c r="C91" s="185"/>
      <c r="D91" s="185"/>
      <c r="E91" s="185"/>
      <c r="F91" s="185"/>
      <c r="G91" s="185"/>
      <c r="H91" s="185"/>
      <c r="I91" s="185"/>
      <c r="J91" s="186"/>
      <c r="K91" s="185"/>
      <c r="L91" s="185"/>
      <c r="M91" s="185"/>
    </row>
    <row r="92" spans="1:13" x14ac:dyDescent="0.2">
      <c r="J92" s="149"/>
    </row>
    <row r="93" spans="1:13" x14ac:dyDescent="0.2">
      <c r="J93" s="149"/>
    </row>
    <row r="94" spans="1:13" x14ac:dyDescent="0.2">
      <c r="A94" s="300" t="s">
        <v>201</v>
      </c>
      <c r="B94" s="300"/>
      <c r="C94" s="300"/>
      <c r="D94" s="133"/>
      <c r="E94" s="301" t="s">
        <v>202</v>
      </c>
      <c r="F94" s="301"/>
      <c r="G94" s="301"/>
      <c r="H94" s="133"/>
      <c r="I94" s="302" t="s">
        <v>203</v>
      </c>
      <c r="J94" s="302"/>
      <c r="K94" s="302"/>
    </row>
    <row r="96" spans="1:13" x14ac:dyDescent="0.2">
      <c r="A96" s="69" t="s">
        <v>220</v>
      </c>
      <c r="C96" s="70">
        <v>26615</v>
      </c>
      <c r="E96" s="69">
        <v>44214</v>
      </c>
      <c r="F96" s="133"/>
      <c r="G96" s="70">
        <v>5766.58</v>
      </c>
      <c r="I96" s="69">
        <v>44214</v>
      </c>
      <c r="J96" s="133" t="s">
        <v>227</v>
      </c>
      <c r="K96" s="70">
        <v>1999.98</v>
      </c>
    </row>
    <row r="97" spans="1:12" x14ac:dyDescent="0.2">
      <c r="A97" s="133" t="s">
        <v>219</v>
      </c>
      <c r="B97" s="310" t="s">
        <v>226</v>
      </c>
      <c r="C97" s="70">
        <v>-3069.95</v>
      </c>
      <c r="E97" s="69" t="s">
        <v>223</v>
      </c>
      <c r="F97" s="133"/>
      <c r="G97" s="70">
        <v>5766.58</v>
      </c>
      <c r="I97" s="69">
        <v>44263</v>
      </c>
      <c r="J97" s="133" t="s">
        <v>204</v>
      </c>
      <c r="K97" s="70">
        <v>666.66</v>
      </c>
    </row>
    <row r="98" spans="1:12" x14ac:dyDescent="0.2">
      <c r="A98" s="133" t="s">
        <v>219</v>
      </c>
      <c r="B98" s="311"/>
      <c r="C98" s="70">
        <v>-23545.05</v>
      </c>
      <c r="E98" s="69" t="s">
        <v>224</v>
      </c>
      <c r="F98" s="310" t="s">
        <v>231</v>
      </c>
      <c r="G98" s="70">
        <v>-665.16</v>
      </c>
      <c r="I98" s="120">
        <v>44264</v>
      </c>
      <c r="J98" s="121" t="s">
        <v>228</v>
      </c>
      <c r="K98" s="122">
        <v>24800</v>
      </c>
    </row>
    <row r="99" spans="1:12" x14ac:dyDescent="0.2">
      <c r="A99" s="69">
        <v>44257</v>
      </c>
      <c r="B99" s="133"/>
      <c r="C99" s="70">
        <v>3065.59</v>
      </c>
      <c r="E99" s="133" t="s">
        <v>224</v>
      </c>
      <c r="F99" s="311"/>
      <c r="G99" s="70">
        <v>-5101.42</v>
      </c>
      <c r="I99" s="69">
        <v>44294</v>
      </c>
      <c r="J99" s="133" t="s">
        <v>240</v>
      </c>
      <c r="K99" s="70">
        <v>666.66</v>
      </c>
    </row>
    <row r="100" spans="1:12" x14ac:dyDescent="0.2">
      <c r="A100" s="69">
        <v>44257</v>
      </c>
      <c r="B100" s="133"/>
      <c r="C100" s="70">
        <v>26615</v>
      </c>
      <c r="E100" s="69">
        <v>44278</v>
      </c>
      <c r="F100" s="133"/>
      <c r="G100" s="70">
        <v>5766.58</v>
      </c>
      <c r="I100" s="69">
        <v>44309</v>
      </c>
      <c r="J100" s="133" t="s">
        <v>163</v>
      </c>
      <c r="K100" s="70">
        <v>32000</v>
      </c>
    </row>
    <row r="101" spans="1:12" x14ac:dyDescent="0.2">
      <c r="A101" s="133" t="s">
        <v>225</v>
      </c>
      <c r="B101" s="310" t="s">
        <v>226</v>
      </c>
      <c r="C101" s="70">
        <v>-2716.35</v>
      </c>
      <c r="E101" s="69">
        <v>44313</v>
      </c>
      <c r="F101" s="133"/>
      <c r="G101" s="70">
        <v>5766.58</v>
      </c>
      <c r="I101" s="69">
        <v>44320</v>
      </c>
      <c r="J101" s="133" t="s">
        <v>240</v>
      </c>
      <c r="K101" s="70">
        <v>666.66</v>
      </c>
    </row>
    <row r="102" spans="1:12" x14ac:dyDescent="0.2">
      <c r="A102" s="133" t="s">
        <v>225</v>
      </c>
      <c r="B102" s="311"/>
      <c r="C102" s="70">
        <v>-20833.060000000001</v>
      </c>
      <c r="E102" s="69">
        <v>44369</v>
      </c>
      <c r="F102" s="133"/>
      <c r="G102" s="70">
        <v>3162.02</v>
      </c>
      <c r="I102" s="69">
        <v>44350</v>
      </c>
      <c r="J102" s="133" t="s">
        <v>240</v>
      </c>
      <c r="K102" s="133">
        <v>666.66</v>
      </c>
    </row>
    <row r="103" spans="1:12" x14ac:dyDescent="0.2">
      <c r="A103" s="69">
        <v>44257</v>
      </c>
      <c r="B103" s="133" t="s">
        <v>229</v>
      </c>
      <c r="C103" s="70">
        <v>3065.59</v>
      </c>
      <c r="E103" s="69">
        <v>44398</v>
      </c>
      <c r="F103" s="133"/>
      <c r="G103" s="70">
        <v>5823.46</v>
      </c>
      <c r="I103" s="69">
        <v>44384</v>
      </c>
      <c r="J103" s="133" t="s">
        <v>240</v>
      </c>
      <c r="K103" s="70">
        <v>666.66</v>
      </c>
    </row>
    <row r="104" spans="1:12" x14ac:dyDescent="0.2">
      <c r="A104" s="69">
        <v>44278</v>
      </c>
      <c r="C104" s="70">
        <v>26615</v>
      </c>
      <c r="E104" s="69">
        <v>44432</v>
      </c>
      <c r="F104" s="133" t="s">
        <v>282</v>
      </c>
      <c r="G104" s="70">
        <v>7397.71</v>
      </c>
      <c r="I104" s="69">
        <v>44390</v>
      </c>
      <c r="J104" s="133" t="s">
        <v>255</v>
      </c>
      <c r="K104" s="70">
        <v>26320</v>
      </c>
      <c r="L104" s="55" t="s">
        <v>254</v>
      </c>
    </row>
    <row r="105" spans="1:12" x14ac:dyDescent="0.2">
      <c r="A105" s="69">
        <v>44313</v>
      </c>
      <c r="B105" s="133"/>
      <c r="C105" s="70">
        <v>26615</v>
      </c>
      <c r="E105" s="69">
        <v>44460</v>
      </c>
      <c r="F105" s="133"/>
      <c r="G105" s="70">
        <v>5823.46</v>
      </c>
      <c r="I105" s="69">
        <v>44411</v>
      </c>
      <c r="J105" s="133" t="s">
        <v>240</v>
      </c>
      <c r="K105" s="133">
        <v>666.66</v>
      </c>
    </row>
    <row r="106" spans="1:12" x14ac:dyDescent="0.2">
      <c r="A106" s="69">
        <v>44369</v>
      </c>
      <c r="C106" s="70">
        <v>1039.29</v>
      </c>
      <c r="E106" s="69">
        <v>44490</v>
      </c>
      <c r="F106" s="133" t="s">
        <v>122</v>
      </c>
      <c r="G106" s="70">
        <v>3459.95</v>
      </c>
      <c r="I106" s="69">
        <v>44446</v>
      </c>
      <c r="J106" s="133" t="s">
        <v>240</v>
      </c>
      <c r="K106" s="133">
        <v>666.66</v>
      </c>
    </row>
    <row r="107" spans="1:12" x14ac:dyDescent="0.2">
      <c r="A107" s="69">
        <v>44398</v>
      </c>
      <c r="C107" s="70">
        <v>26877.5</v>
      </c>
      <c r="E107" s="69">
        <v>44495</v>
      </c>
      <c r="F107" s="133"/>
      <c r="G107" s="133">
        <v>5823.46</v>
      </c>
      <c r="I107" s="69">
        <v>44475</v>
      </c>
      <c r="J107" s="133" t="s">
        <v>273</v>
      </c>
      <c r="K107" s="70">
        <v>20000</v>
      </c>
    </row>
    <row r="108" spans="1:12" x14ac:dyDescent="0.2">
      <c r="A108" s="69">
        <v>44404</v>
      </c>
      <c r="B108" s="133" t="s">
        <v>259</v>
      </c>
      <c r="C108" s="70">
        <v>22888.9</v>
      </c>
      <c r="E108" s="69">
        <v>44537</v>
      </c>
      <c r="G108" s="70">
        <v>7390.57</v>
      </c>
      <c r="I108" s="69">
        <v>44488</v>
      </c>
      <c r="J108" s="133" t="s">
        <v>274</v>
      </c>
      <c r="K108" s="70">
        <v>14100</v>
      </c>
    </row>
    <row r="109" spans="1:12" x14ac:dyDescent="0.2">
      <c r="A109" s="69">
        <v>44460</v>
      </c>
      <c r="B109" s="133"/>
      <c r="C109" s="70">
        <v>10290.25</v>
      </c>
      <c r="E109" s="69">
        <v>44551</v>
      </c>
      <c r="F109" s="133" t="s">
        <v>316</v>
      </c>
      <c r="G109" s="70">
        <v>5823.44</v>
      </c>
      <c r="I109" s="69">
        <v>44512</v>
      </c>
      <c r="J109" s="55" t="s">
        <v>287</v>
      </c>
      <c r="K109" s="70">
        <v>50000</v>
      </c>
    </row>
    <row r="110" spans="1:12" x14ac:dyDescent="0.2">
      <c r="A110" s="69">
        <v>44495</v>
      </c>
      <c r="B110" s="133"/>
      <c r="C110" s="70">
        <v>26877.5</v>
      </c>
      <c r="I110" s="69">
        <v>44519</v>
      </c>
      <c r="J110" s="133" t="s">
        <v>240</v>
      </c>
      <c r="K110" s="70">
        <v>1333.32</v>
      </c>
    </row>
    <row r="111" spans="1:12" x14ac:dyDescent="0.2">
      <c r="A111" s="69">
        <v>44551</v>
      </c>
      <c r="C111" s="70">
        <v>22427.08</v>
      </c>
      <c r="G111" s="183">
        <f>SUM(G96:G110)</f>
        <v>62003.81</v>
      </c>
      <c r="I111" s="69">
        <v>44537</v>
      </c>
      <c r="J111" s="133" t="s">
        <v>240</v>
      </c>
      <c r="K111" s="70">
        <v>666.66</v>
      </c>
    </row>
    <row r="112" spans="1:12" x14ac:dyDescent="0.2">
      <c r="C112" s="133"/>
      <c r="I112" s="69">
        <v>44537</v>
      </c>
      <c r="J112" s="133" t="s">
        <v>303</v>
      </c>
      <c r="K112" s="70">
        <v>12500</v>
      </c>
    </row>
    <row r="113" spans="1:13" x14ac:dyDescent="0.2">
      <c r="C113" s="182">
        <f>SUM(C96:C112)</f>
        <v>172827.28999999998</v>
      </c>
      <c r="I113" s="69"/>
      <c r="J113" s="133"/>
      <c r="K113" s="70"/>
    </row>
    <row r="114" spans="1:13" x14ac:dyDescent="0.2">
      <c r="K114" s="181">
        <f>SUM(K96:K113)</f>
        <v>188386.58000000005</v>
      </c>
    </row>
    <row r="115" spans="1:13" x14ac:dyDescent="0.2">
      <c r="A115" s="55" t="s">
        <v>327</v>
      </c>
      <c r="C115" s="70"/>
      <c r="E115" s="133" t="s">
        <v>331</v>
      </c>
      <c r="K115" s="149"/>
    </row>
    <row r="116" spans="1:13" x14ac:dyDescent="0.2">
      <c r="A116" s="211" t="s">
        <v>328</v>
      </c>
      <c r="C116" s="70"/>
      <c r="E116" s="133">
        <f>-3875.36-2568.1-1353.7</f>
        <v>-7797.16</v>
      </c>
      <c r="K116" s="149"/>
    </row>
    <row r="117" spans="1:13" x14ac:dyDescent="0.2">
      <c r="A117" s="55" t="s">
        <v>329</v>
      </c>
      <c r="C117" s="70"/>
      <c r="K117" s="149"/>
    </row>
    <row r="118" spans="1:13" x14ac:dyDescent="0.2">
      <c r="A118" s="55" t="s">
        <v>330</v>
      </c>
      <c r="C118" s="70"/>
      <c r="K118" s="149"/>
    </row>
    <row r="119" spans="1:13" x14ac:dyDescent="0.2">
      <c r="K119" s="149"/>
    </row>
    <row r="122" spans="1:13" ht="15" x14ac:dyDescent="0.25">
      <c r="A122" s="303" t="s">
        <v>324</v>
      </c>
      <c r="B122" s="315"/>
      <c r="C122" s="315"/>
      <c r="I122" s="305" t="s">
        <v>205</v>
      </c>
      <c r="J122" s="314"/>
      <c r="K122" s="314"/>
    </row>
    <row r="123" spans="1:13" x14ac:dyDescent="0.2">
      <c r="I123" s="69"/>
      <c r="J123" s="70"/>
    </row>
    <row r="124" spans="1:13" x14ac:dyDescent="0.2">
      <c r="A124" s="69">
        <v>44257</v>
      </c>
      <c r="B124" s="133" t="s">
        <v>222</v>
      </c>
      <c r="C124" s="70">
        <v>47170</v>
      </c>
      <c r="I124" s="69">
        <v>44222</v>
      </c>
      <c r="K124" s="70">
        <v>32564.13</v>
      </c>
    </row>
    <row r="125" spans="1:13" x14ac:dyDescent="0.2">
      <c r="A125" s="69">
        <v>44294</v>
      </c>
      <c r="B125" s="133" t="s">
        <v>242</v>
      </c>
      <c r="C125" s="70">
        <v>14000</v>
      </c>
      <c r="I125" s="69">
        <v>44222</v>
      </c>
      <c r="K125" s="70">
        <v>40107</v>
      </c>
      <c r="L125" s="133" t="s">
        <v>209</v>
      </c>
      <c r="M125" s="70" t="s">
        <v>210</v>
      </c>
    </row>
    <row r="126" spans="1:13" x14ac:dyDescent="0.2">
      <c r="A126" s="69">
        <v>44300</v>
      </c>
      <c r="B126" s="133" t="s">
        <v>222</v>
      </c>
      <c r="C126" s="70">
        <v>30301</v>
      </c>
      <c r="E126" s="120"/>
      <c r="F126" s="121"/>
      <c r="G126" s="122"/>
      <c r="I126" s="69">
        <v>44239</v>
      </c>
      <c r="K126" s="70">
        <v>11309.4</v>
      </c>
      <c r="L126" s="133" t="s">
        <v>211</v>
      </c>
      <c r="M126" s="133" t="s">
        <v>212</v>
      </c>
    </row>
    <row r="127" spans="1:13" x14ac:dyDescent="0.2">
      <c r="A127" s="69">
        <v>44320</v>
      </c>
      <c r="B127" s="133" t="s">
        <v>222</v>
      </c>
      <c r="C127" s="70">
        <v>37635</v>
      </c>
      <c r="I127" s="69" t="s">
        <v>218</v>
      </c>
      <c r="J127" s="312" t="s">
        <v>230</v>
      </c>
      <c r="K127" s="70">
        <v>-1304.5</v>
      </c>
      <c r="L127" s="133" t="s">
        <v>211</v>
      </c>
    </row>
    <row r="128" spans="1:13" x14ac:dyDescent="0.2">
      <c r="A128" s="69">
        <v>44334</v>
      </c>
      <c r="B128" s="133" t="s">
        <v>222</v>
      </c>
      <c r="C128" s="70">
        <v>46060</v>
      </c>
      <c r="I128" s="69" t="s">
        <v>218</v>
      </c>
      <c r="J128" s="313"/>
      <c r="K128" s="70">
        <v>-10004.9</v>
      </c>
      <c r="L128" s="133" t="s">
        <v>211</v>
      </c>
    </row>
    <row r="129" spans="1:13" x14ac:dyDescent="0.2">
      <c r="A129" s="69">
        <v>44368</v>
      </c>
      <c r="B129" s="133" t="s">
        <v>222</v>
      </c>
      <c r="C129" s="70">
        <v>15486</v>
      </c>
      <c r="I129" s="121" t="s">
        <v>237</v>
      </c>
      <c r="J129" s="121" t="s">
        <v>238</v>
      </c>
      <c r="K129" s="122">
        <v>31050.36</v>
      </c>
      <c r="L129" s="113"/>
    </row>
    <row r="130" spans="1:13" x14ac:dyDescent="0.2">
      <c r="A130" s="69">
        <v>44379</v>
      </c>
      <c r="B130" s="133" t="s">
        <v>222</v>
      </c>
      <c r="C130" s="70">
        <v>49395</v>
      </c>
      <c r="I130" s="120">
        <v>44285</v>
      </c>
      <c r="J130" s="70"/>
      <c r="K130" s="122">
        <v>26790.19</v>
      </c>
    </row>
    <row r="131" spans="1:13" x14ac:dyDescent="0.2">
      <c r="A131" s="69">
        <v>44432</v>
      </c>
      <c r="B131" s="133" t="s">
        <v>222</v>
      </c>
      <c r="C131" s="147">
        <v>26282</v>
      </c>
      <c r="I131" s="69">
        <v>44316</v>
      </c>
      <c r="J131" s="70"/>
      <c r="K131" s="70">
        <v>24400.639999999999</v>
      </c>
    </row>
    <row r="132" spans="1:13" x14ac:dyDescent="0.2">
      <c r="A132" s="69">
        <v>44468</v>
      </c>
      <c r="B132" s="133" t="s">
        <v>222</v>
      </c>
      <c r="C132" s="70">
        <v>6653</v>
      </c>
      <c r="I132" s="69">
        <v>44347</v>
      </c>
      <c r="K132" s="70">
        <v>23839.47</v>
      </c>
    </row>
    <row r="133" spans="1:13" x14ac:dyDescent="0.2">
      <c r="A133" s="69">
        <v>44475</v>
      </c>
      <c r="B133" s="133" t="s">
        <v>222</v>
      </c>
      <c r="C133" s="147">
        <v>69166</v>
      </c>
      <c r="I133" s="69">
        <v>44369</v>
      </c>
      <c r="K133" s="70">
        <v>16537.82</v>
      </c>
    </row>
    <row r="134" spans="1:13" x14ac:dyDescent="0.2">
      <c r="A134" s="120">
        <v>44505</v>
      </c>
      <c r="B134" s="121" t="s">
        <v>317</v>
      </c>
      <c r="C134" s="122">
        <v>25000</v>
      </c>
      <c r="I134" s="69">
        <v>44407</v>
      </c>
      <c r="K134" s="70">
        <v>16135.68</v>
      </c>
    </row>
    <row r="135" spans="1:13" x14ac:dyDescent="0.2">
      <c r="A135" s="69">
        <v>44533</v>
      </c>
      <c r="B135" s="133" t="s">
        <v>242</v>
      </c>
      <c r="C135" s="70">
        <v>30000</v>
      </c>
      <c r="I135" s="69">
        <v>44411</v>
      </c>
      <c r="K135" s="70">
        <v>32835</v>
      </c>
      <c r="L135" s="133" t="s">
        <v>261</v>
      </c>
    </row>
    <row r="136" spans="1:13" x14ac:dyDescent="0.2">
      <c r="I136" s="69">
        <v>44439</v>
      </c>
      <c r="K136" s="70">
        <v>10626.36</v>
      </c>
    </row>
    <row r="137" spans="1:13" x14ac:dyDescent="0.2">
      <c r="C137" s="137">
        <f>SUM(C124:C136)</f>
        <v>397148</v>
      </c>
      <c r="I137" s="69">
        <v>44474</v>
      </c>
      <c r="K137" s="70">
        <v>8187.36</v>
      </c>
    </row>
    <row r="138" spans="1:13" x14ac:dyDescent="0.2">
      <c r="I138" s="69">
        <v>44495</v>
      </c>
      <c r="J138" s="133"/>
      <c r="K138" s="70">
        <v>17070</v>
      </c>
      <c r="L138" s="133" t="s">
        <v>279</v>
      </c>
    </row>
    <row r="139" spans="1:13" x14ac:dyDescent="0.2">
      <c r="C139" s="149"/>
      <c r="I139" s="69">
        <v>44516</v>
      </c>
      <c r="J139" s="133"/>
      <c r="K139" s="70">
        <v>7979.35</v>
      </c>
    </row>
    <row r="141" spans="1:13" x14ac:dyDescent="0.2">
      <c r="K141" s="184">
        <f>SUM(K124:K140)</f>
        <v>288123.36</v>
      </c>
    </row>
    <row r="144" spans="1:13" x14ac:dyDescent="0.2">
      <c r="A144" s="185"/>
      <c r="B144" s="185"/>
      <c r="C144" s="185"/>
      <c r="D144" s="185"/>
      <c r="E144" s="185"/>
      <c r="F144" s="185"/>
      <c r="G144" s="185"/>
      <c r="H144" s="185"/>
      <c r="I144" s="185"/>
      <c r="J144" s="186"/>
      <c r="K144" s="185"/>
      <c r="L144" s="185"/>
      <c r="M144" s="185"/>
    </row>
    <row r="147" spans="1:14" x14ac:dyDescent="0.2">
      <c r="A147" s="300" t="s">
        <v>320</v>
      </c>
      <c r="B147" s="300"/>
      <c r="C147" s="300"/>
      <c r="D147" s="133"/>
      <c r="E147" s="301" t="s">
        <v>321</v>
      </c>
      <c r="F147" s="301"/>
      <c r="G147" s="301"/>
      <c r="H147" s="133"/>
      <c r="I147" s="302" t="s">
        <v>322</v>
      </c>
      <c r="J147" s="302"/>
      <c r="K147" s="302"/>
    </row>
    <row r="149" spans="1:14" x14ac:dyDescent="0.2">
      <c r="A149" s="69">
        <v>44579</v>
      </c>
      <c r="C149" s="70">
        <v>27470</v>
      </c>
      <c r="E149" s="69">
        <v>44564</v>
      </c>
      <c r="G149" s="70">
        <v>1451.41</v>
      </c>
      <c r="I149" s="69">
        <v>44564</v>
      </c>
      <c r="J149" s="133" t="s">
        <v>240</v>
      </c>
      <c r="K149" s="70">
        <v>666.66</v>
      </c>
    </row>
    <row r="150" spans="1:14" x14ac:dyDescent="0.2">
      <c r="A150" s="69">
        <v>44614</v>
      </c>
      <c r="C150" s="70">
        <v>29759.17</v>
      </c>
      <c r="E150" s="69">
        <v>44586</v>
      </c>
      <c r="G150" s="70">
        <v>1094.3900000000001</v>
      </c>
      <c r="I150" s="69">
        <v>44586</v>
      </c>
      <c r="J150" s="133" t="s">
        <v>326</v>
      </c>
      <c r="K150" s="70">
        <v>10000</v>
      </c>
    </row>
    <row r="151" spans="1:14" x14ac:dyDescent="0.2">
      <c r="A151" s="69">
        <v>44643</v>
      </c>
      <c r="C151" s="70">
        <v>29759.17</v>
      </c>
      <c r="E151" s="69">
        <v>44593</v>
      </c>
      <c r="G151" s="70">
        <v>938.3</v>
      </c>
      <c r="I151" s="69">
        <v>44595</v>
      </c>
      <c r="J151" s="133" t="s">
        <v>240</v>
      </c>
      <c r="K151" s="70">
        <v>666.66</v>
      </c>
    </row>
    <row r="152" spans="1:14" x14ac:dyDescent="0.2">
      <c r="A152" s="69">
        <v>44684</v>
      </c>
      <c r="C152" s="70">
        <v>29759.17</v>
      </c>
      <c r="E152" s="69">
        <v>44614</v>
      </c>
      <c r="G152" s="70">
        <v>6446.29</v>
      </c>
      <c r="I152" s="69">
        <v>44628</v>
      </c>
      <c r="J152" s="133" t="s">
        <v>240</v>
      </c>
      <c r="K152" s="70">
        <v>666.66</v>
      </c>
    </row>
    <row r="153" spans="1:14" x14ac:dyDescent="0.2">
      <c r="A153" s="69">
        <v>44714</v>
      </c>
      <c r="B153" s="133" t="s">
        <v>122</v>
      </c>
      <c r="C153" s="70">
        <v>29127.4</v>
      </c>
      <c r="E153" s="69">
        <v>44643</v>
      </c>
      <c r="G153" s="70">
        <v>6446.29</v>
      </c>
      <c r="I153" s="120">
        <v>44656</v>
      </c>
      <c r="J153" s="121" t="s">
        <v>357</v>
      </c>
      <c r="K153" s="122">
        <v>4640</v>
      </c>
      <c r="M153" s="272" t="s">
        <v>385</v>
      </c>
      <c r="N153" s="272" t="s">
        <v>384</v>
      </c>
    </row>
    <row r="154" spans="1:14" x14ac:dyDescent="0.2">
      <c r="A154" s="69">
        <v>44733</v>
      </c>
      <c r="C154" s="70">
        <v>24859.59</v>
      </c>
      <c r="E154" s="69">
        <v>44684</v>
      </c>
      <c r="G154" s="70">
        <v>6446.29</v>
      </c>
      <c r="I154" s="69">
        <v>44657</v>
      </c>
      <c r="J154" s="133" t="s">
        <v>240</v>
      </c>
      <c r="K154" s="70">
        <v>666.66</v>
      </c>
      <c r="M154" s="272"/>
      <c r="N154" s="272"/>
    </row>
    <row r="155" spans="1:14" x14ac:dyDescent="0.2">
      <c r="A155" s="133"/>
      <c r="C155" s="70"/>
      <c r="E155" s="69">
        <v>44714</v>
      </c>
      <c r="G155" s="70">
        <v>606.97</v>
      </c>
      <c r="I155" s="69">
        <v>44670</v>
      </c>
      <c r="J155" s="133" t="s">
        <v>362</v>
      </c>
      <c r="K155" s="70">
        <v>26320</v>
      </c>
      <c r="M155" s="272" t="s">
        <v>386</v>
      </c>
      <c r="N155" s="272" t="s">
        <v>384</v>
      </c>
    </row>
    <row r="156" spans="1:14" x14ac:dyDescent="0.2">
      <c r="A156" s="133"/>
      <c r="C156" s="70"/>
      <c r="E156" s="69">
        <v>44733</v>
      </c>
      <c r="F156" s="133" t="s">
        <v>122</v>
      </c>
      <c r="G156" s="70">
        <v>5519.29</v>
      </c>
      <c r="I156" s="69">
        <v>44686</v>
      </c>
      <c r="J156" s="133" t="s">
        <v>240</v>
      </c>
      <c r="K156" s="70">
        <v>666.66</v>
      </c>
    </row>
    <row r="157" spans="1:14" x14ac:dyDescent="0.2">
      <c r="A157" s="133"/>
      <c r="C157" s="70"/>
      <c r="E157" s="69">
        <v>44733</v>
      </c>
      <c r="G157" s="70">
        <v>6446.29</v>
      </c>
      <c r="I157" s="282">
        <v>44705</v>
      </c>
      <c r="J157" s="283" t="s">
        <v>419</v>
      </c>
      <c r="K157" s="284">
        <v>7539.6</v>
      </c>
    </row>
    <row r="158" spans="1:14" x14ac:dyDescent="0.2">
      <c r="A158" s="133"/>
      <c r="C158" s="70"/>
      <c r="E158" s="133"/>
      <c r="G158" s="70"/>
      <c r="I158" s="69">
        <v>44719</v>
      </c>
      <c r="J158" s="133" t="s">
        <v>481</v>
      </c>
      <c r="K158" s="70">
        <v>1333.32</v>
      </c>
    </row>
    <row r="159" spans="1:14" x14ac:dyDescent="0.2">
      <c r="A159" s="133"/>
      <c r="C159" s="70"/>
      <c r="E159" s="133"/>
      <c r="G159" s="70"/>
      <c r="I159" s="69">
        <v>44743</v>
      </c>
      <c r="J159" s="133" t="s">
        <v>574</v>
      </c>
      <c r="K159" s="70">
        <v>35000</v>
      </c>
    </row>
    <row r="160" spans="1:14" x14ac:dyDescent="0.2">
      <c r="A160" s="133"/>
      <c r="C160" s="70"/>
      <c r="E160" s="133"/>
      <c r="G160" s="70"/>
      <c r="I160" s="133"/>
      <c r="J160" s="133"/>
      <c r="K160" s="70"/>
    </row>
    <row r="161" spans="1:11" x14ac:dyDescent="0.2">
      <c r="A161" s="133"/>
      <c r="C161" s="70"/>
      <c r="E161" s="133"/>
      <c r="G161" s="70"/>
      <c r="I161" s="133"/>
      <c r="J161" s="133"/>
      <c r="K161" s="70"/>
    </row>
    <row r="163" spans="1:11" ht="15" x14ac:dyDescent="0.25">
      <c r="A163" s="303" t="s">
        <v>413</v>
      </c>
      <c r="B163" s="315"/>
      <c r="C163" s="315"/>
      <c r="I163" s="305" t="s">
        <v>323</v>
      </c>
      <c r="J163" s="314"/>
      <c r="K163" s="314"/>
    </row>
    <row r="164" spans="1:11" x14ac:dyDescent="0.2">
      <c r="A164" s="69">
        <v>44694</v>
      </c>
      <c r="B164" s="133" t="s">
        <v>414</v>
      </c>
      <c r="C164" s="70">
        <v>34690.550000000003</v>
      </c>
      <c r="I164" s="69">
        <v>44621</v>
      </c>
      <c r="J164" s="71">
        <v>44562</v>
      </c>
      <c r="K164" s="70">
        <v>8731.11</v>
      </c>
    </row>
    <row r="165" spans="1:11" x14ac:dyDescent="0.2">
      <c r="A165" s="69">
        <v>44694</v>
      </c>
      <c r="B165" s="133" t="s">
        <v>415</v>
      </c>
      <c r="C165" s="70">
        <v>25000</v>
      </c>
      <c r="I165" s="69">
        <v>44649</v>
      </c>
      <c r="J165" s="71">
        <v>44593</v>
      </c>
      <c r="K165" s="70">
        <v>8658.3799999999992</v>
      </c>
    </row>
    <row r="166" spans="1:11" x14ac:dyDescent="0.2">
      <c r="A166" s="69">
        <v>44697</v>
      </c>
      <c r="B166" s="133" t="s">
        <v>416</v>
      </c>
      <c r="C166" s="70">
        <v>3718</v>
      </c>
      <c r="I166" s="69">
        <v>44680</v>
      </c>
      <c r="J166" s="71">
        <v>44621</v>
      </c>
      <c r="K166" s="70">
        <v>6015.05</v>
      </c>
    </row>
    <row r="167" spans="1:11" x14ac:dyDescent="0.2">
      <c r="C167" s="56"/>
      <c r="I167" s="133"/>
      <c r="K167" s="70"/>
    </row>
    <row r="168" spans="1:11" x14ac:dyDescent="0.2">
      <c r="I168" s="133"/>
      <c r="K168" s="70"/>
    </row>
    <row r="169" spans="1:11" x14ac:dyDescent="0.2">
      <c r="I169" s="133"/>
      <c r="K169" s="70"/>
    </row>
    <row r="170" spans="1:11" x14ac:dyDescent="0.2">
      <c r="I170" s="133"/>
      <c r="K170" s="70"/>
    </row>
    <row r="171" spans="1:11" x14ac:dyDescent="0.2">
      <c r="I171" s="133"/>
      <c r="K171" s="70"/>
    </row>
    <row r="172" spans="1:11" x14ac:dyDescent="0.2">
      <c r="I172" s="133"/>
      <c r="K172" s="70"/>
    </row>
    <row r="173" spans="1:11" x14ac:dyDescent="0.2">
      <c r="K173" s="70"/>
    </row>
    <row r="174" spans="1:11" x14ac:dyDescent="0.2">
      <c r="K174" s="70"/>
    </row>
  </sheetData>
  <mergeCells count="22">
    <mergeCell ref="A147:C147"/>
    <mergeCell ref="E147:G147"/>
    <mergeCell ref="I147:K147"/>
    <mergeCell ref="A122:C122"/>
    <mergeCell ref="A163:C163"/>
    <mergeCell ref="I163:K163"/>
    <mergeCell ref="B97:B98"/>
    <mergeCell ref="B101:B102"/>
    <mergeCell ref="F98:F99"/>
    <mergeCell ref="J127:J128"/>
    <mergeCell ref="I122:K122"/>
    <mergeCell ref="A1:C1"/>
    <mergeCell ref="E1:G1"/>
    <mergeCell ref="I1:K1"/>
    <mergeCell ref="A50:C50"/>
    <mergeCell ref="E50:G50"/>
    <mergeCell ref="I50:K50"/>
    <mergeCell ref="A94:C94"/>
    <mergeCell ref="E94:G94"/>
    <mergeCell ref="I94:K94"/>
    <mergeCell ref="A75:C75"/>
    <mergeCell ref="I61:J61"/>
  </mergeCells>
  <printOptions horizontalCentered="1" verticalCentered="1"/>
  <pageMargins left="0" right="0" top="0.74803149606299213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40" workbookViewId="0">
      <selection activeCell="N55" sqref="N55"/>
    </sheetView>
  </sheetViews>
  <sheetFormatPr baseColWidth="10" defaultRowHeight="11.25" x14ac:dyDescent="0.2"/>
  <cols>
    <col min="1" max="1" width="11.42578125" style="158"/>
    <col min="2" max="2" width="15.7109375" style="158" customWidth="1"/>
    <col min="3" max="3" width="11.42578125" style="158"/>
    <col min="4" max="4" width="8.7109375" style="158" customWidth="1"/>
    <col min="5" max="5" width="11.42578125" style="158"/>
    <col min="6" max="6" width="15.7109375" style="158" customWidth="1"/>
    <col min="7" max="7" width="11.42578125" style="158"/>
    <col min="8" max="8" width="8.7109375" style="158" customWidth="1"/>
    <col min="9" max="9" width="11.42578125" style="158"/>
    <col min="10" max="10" width="15.7109375" style="158" customWidth="1"/>
    <col min="11" max="16384" width="11.42578125" style="158"/>
  </cols>
  <sheetData>
    <row r="1" spans="1:12" x14ac:dyDescent="0.2">
      <c r="J1" s="159"/>
    </row>
    <row r="2" spans="1:12" x14ac:dyDescent="0.2">
      <c r="J2" s="159"/>
    </row>
    <row r="3" spans="1:12" x14ac:dyDescent="0.2">
      <c r="A3" s="320" t="s">
        <v>201</v>
      </c>
      <c r="B3" s="320"/>
      <c r="C3" s="320"/>
      <c r="D3" s="160"/>
      <c r="E3" s="321" t="s">
        <v>202</v>
      </c>
      <c r="F3" s="321"/>
      <c r="G3" s="321"/>
      <c r="H3" s="160"/>
      <c r="I3" s="322" t="s">
        <v>203</v>
      </c>
      <c r="J3" s="322"/>
      <c r="K3" s="322"/>
    </row>
    <row r="5" spans="1:12" x14ac:dyDescent="0.2">
      <c r="A5" s="161" t="s">
        <v>220</v>
      </c>
      <c r="C5" s="162">
        <v>26615</v>
      </c>
      <c r="E5" s="161">
        <v>44214</v>
      </c>
      <c r="F5" s="160"/>
      <c r="G5" s="162">
        <v>5766.58</v>
      </c>
      <c r="I5" s="161">
        <v>44214</v>
      </c>
      <c r="J5" s="160" t="s">
        <v>227</v>
      </c>
      <c r="K5" s="162">
        <v>1999.98</v>
      </c>
    </row>
    <row r="6" spans="1:12" x14ac:dyDescent="0.2">
      <c r="A6" s="160" t="s">
        <v>219</v>
      </c>
      <c r="B6" s="319" t="s">
        <v>226</v>
      </c>
      <c r="C6" s="162">
        <v>-3069.95</v>
      </c>
      <c r="E6" s="161" t="s">
        <v>223</v>
      </c>
      <c r="F6" s="160"/>
      <c r="G6" s="162">
        <v>5766.58</v>
      </c>
      <c r="I6" s="161">
        <v>44263</v>
      </c>
      <c r="J6" s="160" t="s">
        <v>204</v>
      </c>
      <c r="K6" s="162">
        <v>666.66</v>
      </c>
    </row>
    <row r="7" spans="1:12" x14ac:dyDescent="0.2">
      <c r="A7" s="160" t="s">
        <v>219</v>
      </c>
      <c r="B7" s="319"/>
      <c r="C7" s="162">
        <v>-23545.05</v>
      </c>
      <c r="E7" s="161" t="s">
        <v>224</v>
      </c>
      <c r="F7" s="319" t="s">
        <v>231</v>
      </c>
      <c r="G7" s="162">
        <v>-665.16</v>
      </c>
      <c r="I7" s="163">
        <v>44264</v>
      </c>
      <c r="J7" s="164" t="s">
        <v>228</v>
      </c>
      <c r="K7" s="165">
        <v>24800</v>
      </c>
    </row>
    <row r="8" spans="1:12" x14ac:dyDescent="0.2">
      <c r="A8" s="161">
        <v>44257</v>
      </c>
      <c r="B8" s="160"/>
      <c r="C8" s="162">
        <v>3065.59</v>
      </c>
      <c r="E8" s="160" t="s">
        <v>224</v>
      </c>
      <c r="F8" s="319"/>
      <c r="G8" s="162">
        <v>-5101.42</v>
      </c>
      <c r="I8" s="161">
        <v>44294</v>
      </c>
      <c r="J8" s="160" t="s">
        <v>240</v>
      </c>
      <c r="K8" s="162">
        <v>666.66</v>
      </c>
    </row>
    <row r="9" spans="1:12" x14ac:dyDescent="0.2">
      <c r="A9" s="161">
        <v>44257</v>
      </c>
      <c r="B9" s="160"/>
      <c r="C9" s="162">
        <v>26615</v>
      </c>
      <c r="E9" s="161">
        <v>44278</v>
      </c>
      <c r="F9" s="160"/>
      <c r="G9" s="162">
        <v>5766.58</v>
      </c>
      <c r="I9" s="161">
        <v>44309</v>
      </c>
      <c r="J9" s="160" t="s">
        <v>163</v>
      </c>
      <c r="K9" s="162">
        <v>32000</v>
      </c>
    </row>
    <row r="10" spans="1:12" x14ac:dyDescent="0.2">
      <c r="A10" s="160" t="s">
        <v>225</v>
      </c>
      <c r="B10" s="319" t="s">
        <v>226</v>
      </c>
      <c r="C10" s="162">
        <v>-2716.35</v>
      </c>
      <c r="E10" s="161">
        <v>44313</v>
      </c>
      <c r="F10" s="160"/>
      <c r="G10" s="162">
        <v>5766.58</v>
      </c>
      <c r="I10" s="161">
        <v>44320</v>
      </c>
      <c r="J10" s="160" t="s">
        <v>240</v>
      </c>
      <c r="K10" s="162">
        <v>666.66</v>
      </c>
    </row>
    <row r="11" spans="1:12" x14ac:dyDescent="0.2">
      <c r="A11" s="160" t="s">
        <v>225</v>
      </c>
      <c r="B11" s="319"/>
      <c r="C11" s="162">
        <v>-20833.060000000001</v>
      </c>
      <c r="E11" s="161">
        <v>44369</v>
      </c>
      <c r="F11" s="160"/>
      <c r="G11" s="162">
        <v>3162.02</v>
      </c>
      <c r="I11" s="161">
        <v>44350</v>
      </c>
      <c r="J11" s="160" t="s">
        <v>240</v>
      </c>
      <c r="K11" s="160">
        <v>666.66</v>
      </c>
    </row>
    <row r="12" spans="1:12" x14ac:dyDescent="0.2">
      <c r="A12" s="161">
        <v>44257</v>
      </c>
      <c r="B12" s="160" t="s">
        <v>229</v>
      </c>
      <c r="C12" s="162">
        <v>3065.59</v>
      </c>
      <c r="E12" s="161">
        <v>44398</v>
      </c>
      <c r="F12" s="160"/>
      <c r="G12" s="162">
        <v>5823.46</v>
      </c>
      <c r="I12" s="161">
        <v>44384</v>
      </c>
      <c r="J12" s="160" t="s">
        <v>240</v>
      </c>
      <c r="K12" s="162">
        <v>666.66</v>
      </c>
    </row>
    <row r="13" spans="1:12" x14ac:dyDescent="0.2">
      <c r="A13" s="161">
        <v>44278</v>
      </c>
      <c r="C13" s="162">
        <v>26615</v>
      </c>
      <c r="E13" s="161">
        <v>44432</v>
      </c>
      <c r="F13" s="160" t="s">
        <v>282</v>
      </c>
      <c r="G13" s="162">
        <v>7397.71</v>
      </c>
      <c r="I13" s="161">
        <v>44390</v>
      </c>
      <c r="J13" s="160" t="s">
        <v>255</v>
      </c>
      <c r="K13" s="162">
        <v>26320</v>
      </c>
      <c r="L13" s="158" t="s">
        <v>254</v>
      </c>
    </row>
    <row r="14" spans="1:12" x14ac:dyDescent="0.2">
      <c r="A14" s="161">
        <v>44313</v>
      </c>
      <c r="B14" s="160"/>
      <c r="C14" s="162">
        <v>26615</v>
      </c>
      <c r="E14" s="161">
        <v>44460</v>
      </c>
      <c r="F14" s="160"/>
      <c r="G14" s="162">
        <v>5823.46</v>
      </c>
      <c r="I14" s="161">
        <v>44411</v>
      </c>
      <c r="J14" s="160" t="s">
        <v>240</v>
      </c>
      <c r="K14" s="160">
        <v>666.66</v>
      </c>
    </row>
    <row r="15" spans="1:12" x14ac:dyDescent="0.2">
      <c r="A15" s="161">
        <v>44369</v>
      </c>
      <c r="C15" s="162">
        <v>1039.29</v>
      </c>
      <c r="E15" s="161">
        <v>44490</v>
      </c>
      <c r="F15" s="160" t="s">
        <v>122</v>
      </c>
      <c r="G15" s="162">
        <v>3459.95</v>
      </c>
      <c r="I15" s="161">
        <v>44446</v>
      </c>
      <c r="J15" s="160" t="s">
        <v>240</v>
      </c>
      <c r="K15" s="160">
        <v>666.66</v>
      </c>
    </row>
    <row r="16" spans="1:12" x14ac:dyDescent="0.2">
      <c r="A16" s="161">
        <v>44398</v>
      </c>
      <c r="C16" s="162">
        <v>26877.5</v>
      </c>
      <c r="E16" s="161">
        <v>44495</v>
      </c>
      <c r="F16" s="160"/>
      <c r="G16" s="196">
        <v>5823.46</v>
      </c>
      <c r="I16" s="161">
        <v>44475</v>
      </c>
      <c r="J16" s="160" t="s">
        <v>273</v>
      </c>
      <c r="K16" s="162">
        <v>20000</v>
      </c>
    </row>
    <row r="17" spans="1:12" x14ac:dyDescent="0.2">
      <c r="A17" s="161">
        <v>44404</v>
      </c>
      <c r="B17" s="160" t="s">
        <v>259</v>
      </c>
      <c r="C17" s="162">
        <v>22888.9</v>
      </c>
      <c r="E17" s="161">
        <v>44537</v>
      </c>
      <c r="G17" s="162">
        <v>7390.57</v>
      </c>
      <c r="I17" s="161">
        <v>44488</v>
      </c>
      <c r="J17" s="160" t="s">
        <v>274</v>
      </c>
      <c r="K17" s="162">
        <v>14100</v>
      </c>
    </row>
    <row r="18" spans="1:12" x14ac:dyDescent="0.2">
      <c r="A18" s="161">
        <v>44460</v>
      </c>
      <c r="B18" s="160"/>
      <c r="C18" s="162">
        <v>10290.25</v>
      </c>
      <c r="E18" s="161">
        <v>44551</v>
      </c>
      <c r="F18" s="160" t="s">
        <v>316</v>
      </c>
      <c r="G18" s="162">
        <v>5823.44</v>
      </c>
      <c r="I18" s="161">
        <v>44512</v>
      </c>
      <c r="J18" s="160" t="s">
        <v>287</v>
      </c>
      <c r="K18" s="162">
        <v>50000</v>
      </c>
      <c r="L18" s="158" t="s">
        <v>296</v>
      </c>
    </row>
    <row r="19" spans="1:12" x14ac:dyDescent="0.2">
      <c r="A19" s="161">
        <v>44495</v>
      </c>
      <c r="B19" s="160"/>
      <c r="C19" s="162">
        <v>26877.5</v>
      </c>
      <c r="G19" s="189"/>
      <c r="I19" s="161">
        <v>44519</v>
      </c>
      <c r="J19" s="160" t="s">
        <v>240</v>
      </c>
      <c r="K19" s="162">
        <v>1333.32</v>
      </c>
    </row>
    <row r="20" spans="1:12" x14ac:dyDescent="0.2">
      <c r="A20" s="161">
        <v>44551</v>
      </c>
      <c r="C20" s="162">
        <v>22427.08</v>
      </c>
      <c r="G20" s="192">
        <f>SUM(G5:G19)</f>
        <v>62003.81</v>
      </c>
      <c r="I20" s="161">
        <v>44537</v>
      </c>
      <c r="J20" s="160" t="s">
        <v>240</v>
      </c>
      <c r="K20" s="162">
        <v>666.66</v>
      </c>
    </row>
    <row r="21" spans="1:12" x14ac:dyDescent="0.2">
      <c r="I21" s="161">
        <v>44537</v>
      </c>
      <c r="J21" s="160" t="s">
        <v>303</v>
      </c>
      <c r="K21" s="162">
        <v>12500</v>
      </c>
    </row>
    <row r="22" spans="1:12" x14ac:dyDescent="0.2">
      <c r="C22" s="191">
        <f>SUM(C5:C21)</f>
        <v>172827.28999999998</v>
      </c>
      <c r="I22" s="161"/>
      <c r="J22" s="160"/>
      <c r="K22" s="162"/>
    </row>
    <row r="23" spans="1:12" x14ac:dyDescent="0.2">
      <c r="C23" s="190"/>
      <c r="I23" s="161"/>
      <c r="J23" s="160"/>
      <c r="K23" s="193">
        <f>SUM(K5:K22)</f>
        <v>188386.58000000005</v>
      </c>
    </row>
    <row r="24" spans="1:12" x14ac:dyDescent="0.2">
      <c r="A24" s="219" t="s">
        <v>327</v>
      </c>
      <c r="B24" s="219"/>
      <c r="C24" s="220"/>
      <c r="D24" s="219"/>
      <c r="E24" s="221" t="s">
        <v>331</v>
      </c>
    </row>
    <row r="25" spans="1:12" x14ac:dyDescent="0.2">
      <c r="A25" s="222" t="s">
        <v>328</v>
      </c>
      <c r="B25" s="219"/>
      <c r="C25" s="220"/>
      <c r="D25" s="219"/>
      <c r="E25" s="221">
        <f>-3875.36-2568.1-1353.7</f>
        <v>-7797.16</v>
      </c>
    </row>
    <row r="26" spans="1:12" x14ac:dyDescent="0.2">
      <c r="A26" s="219" t="s">
        <v>329</v>
      </c>
      <c r="B26" s="219"/>
      <c r="C26" s="220"/>
      <c r="D26" s="219"/>
      <c r="E26" s="219"/>
    </row>
    <row r="27" spans="1:12" x14ac:dyDescent="0.2">
      <c r="A27" s="219" t="s">
        <v>330</v>
      </c>
      <c r="B27" s="219"/>
      <c r="C27" s="220"/>
      <c r="D27" s="219"/>
      <c r="E27" s="219"/>
    </row>
    <row r="29" spans="1:12" x14ac:dyDescent="0.2">
      <c r="I29" s="316" t="s">
        <v>205</v>
      </c>
      <c r="J29" s="317"/>
      <c r="K29" s="317"/>
    </row>
    <row r="30" spans="1:12" x14ac:dyDescent="0.2">
      <c r="I30" s="161"/>
      <c r="J30" s="162"/>
    </row>
    <row r="31" spans="1:12" x14ac:dyDescent="0.2">
      <c r="A31" s="318" t="s">
        <v>221</v>
      </c>
      <c r="B31" s="318"/>
      <c r="C31" s="318"/>
      <c r="I31" s="161">
        <v>44222</v>
      </c>
      <c r="K31" s="162">
        <v>32564.13</v>
      </c>
    </row>
    <row r="32" spans="1:12" x14ac:dyDescent="0.2">
      <c r="H32" s="162" t="s">
        <v>210</v>
      </c>
      <c r="I32" s="161">
        <v>44222</v>
      </c>
      <c r="K32" s="162">
        <v>40107</v>
      </c>
      <c r="L32" s="160" t="s">
        <v>209</v>
      </c>
    </row>
    <row r="33" spans="1:12" x14ac:dyDescent="0.2">
      <c r="A33" s="161">
        <v>44257</v>
      </c>
      <c r="B33" s="160" t="s">
        <v>222</v>
      </c>
      <c r="C33" s="162">
        <v>47170</v>
      </c>
      <c r="E33" s="163"/>
      <c r="F33" s="164"/>
      <c r="G33" s="165"/>
      <c r="H33" s="160" t="s">
        <v>212</v>
      </c>
      <c r="I33" s="161">
        <v>44239</v>
      </c>
      <c r="K33" s="162">
        <v>11309.4</v>
      </c>
      <c r="L33" s="160" t="s">
        <v>211</v>
      </c>
    </row>
    <row r="34" spans="1:12" x14ac:dyDescent="0.2">
      <c r="A34" s="161">
        <v>44294</v>
      </c>
      <c r="B34" s="160" t="s">
        <v>242</v>
      </c>
      <c r="C34" s="162">
        <v>14000</v>
      </c>
      <c r="I34" s="161" t="s">
        <v>218</v>
      </c>
      <c r="J34" s="319" t="s">
        <v>230</v>
      </c>
      <c r="K34" s="162">
        <v>-1304.5</v>
      </c>
      <c r="L34" s="160" t="s">
        <v>211</v>
      </c>
    </row>
    <row r="35" spans="1:12" x14ac:dyDescent="0.2">
      <c r="A35" s="161">
        <v>44300</v>
      </c>
      <c r="B35" s="160" t="s">
        <v>222</v>
      </c>
      <c r="C35" s="162">
        <v>30301</v>
      </c>
      <c r="I35" s="161" t="s">
        <v>218</v>
      </c>
      <c r="J35" s="319"/>
      <c r="K35" s="162">
        <v>-10004.9</v>
      </c>
      <c r="L35" s="160" t="s">
        <v>211</v>
      </c>
    </row>
    <row r="36" spans="1:12" x14ac:dyDescent="0.2">
      <c r="A36" s="161">
        <v>44320</v>
      </c>
      <c r="B36" s="160" t="s">
        <v>222</v>
      </c>
      <c r="C36" s="162">
        <v>37635</v>
      </c>
      <c r="F36" s="158" t="s">
        <v>31</v>
      </c>
      <c r="I36" s="164" t="s">
        <v>237</v>
      </c>
      <c r="J36" s="164" t="s">
        <v>238</v>
      </c>
      <c r="K36" s="179">
        <v>31050.36</v>
      </c>
      <c r="L36" s="166"/>
    </row>
    <row r="37" spans="1:12" x14ac:dyDescent="0.2">
      <c r="A37" s="161">
        <v>44334</v>
      </c>
      <c r="B37" s="160" t="s">
        <v>222</v>
      </c>
      <c r="C37" s="162">
        <v>46060</v>
      </c>
      <c r="I37" s="163">
        <v>44285</v>
      </c>
      <c r="J37" s="162"/>
      <c r="K37" s="179">
        <v>26790.19</v>
      </c>
    </row>
    <row r="38" spans="1:12" x14ac:dyDescent="0.2">
      <c r="A38" s="161">
        <v>44368</v>
      </c>
      <c r="B38" s="160" t="s">
        <v>222</v>
      </c>
      <c r="C38" s="162">
        <v>15486</v>
      </c>
      <c r="I38" s="161">
        <v>44316</v>
      </c>
      <c r="J38" s="162"/>
      <c r="K38" s="180">
        <v>24400.639999999999</v>
      </c>
    </row>
    <row r="39" spans="1:12" x14ac:dyDescent="0.2">
      <c r="A39" s="161">
        <v>44379</v>
      </c>
      <c r="B39" s="160" t="s">
        <v>222</v>
      </c>
      <c r="C39" s="162">
        <v>49395</v>
      </c>
      <c r="I39" s="161">
        <v>44347</v>
      </c>
      <c r="K39" s="180">
        <v>23839.47</v>
      </c>
    </row>
    <row r="40" spans="1:12" x14ac:dyDescent="0.2">
      <c r="A40" s="161">
        <v>44432</v>
      </c>
      <c r="B40" s="160" t="s">
        <v>222</v>
      </c>
      <c r="C40" s="167">
        <v>26282</v>
      </c>
      <c r="I40" s="161">
        <v>44369</v>
      </c>
      <c r="K40" s="180">
        <v>16537.82</v>
      </c>
    </row>
    <row r="41" spans="1:12" x14ac:dyDescent="0.2">
      <c r="A41" s="161">
        <v>44468</v>
      </c>
      <c r="B41" s="160" t="s">
        <v>222</v>
      </c>
      <c r="C41" s="162">
        <v>6653</v>
      </c>
      <c r="I41" s="161">
        <v>44407</v>
      </c>
      <c r="K41" s="180">
        <v>16135.68</v>
      </c>
    </row>
    <row r="42" spans="1:12" x14ac:dyDescent="0.2">
      <c r="A42" s="161">
        <v>44475</v>
      </c>
      <c r="B42" s="160" t="s">
        <v>222</v>
      </c>
      <c r="C42" s="167">
        <v>69166</v>
      </c>
      <c r="I42" s="161">
        <v>44411</v>
      </c>
      <c r="K42" s="162">
        <v>32835</v>
      </c>
      <c r="L42" s="160" t="s">
        <v>261</v>
      </c>
    </row>
    <row r="43" spans="1:12" x14ac:dyDescent="0.2">
      <c r="A43" s="163">
        <v>44505</v>
      </c>
      <c r="B43" s="164" t="s">
        <v>317</v>
      </c>
      <c r="C43" s="165">
        <v>25000</v>
      </c>
      <c r="I43" s="161">
        <v>44439</v>
      </c>
      <c r="K43" s="180">
        <v>10626.36</v>
      </c>
    </row>
    <row r="44" spans="1:12" x14ac:dyDescent="0.2">
      <c r="A44" s="161">
        <v>44533</v>
      </c>
      <c r="B44" s="160" t="s">
        <v>242</v>
      </c>
      <c r="C44" s="162">
        <v>30000</v>
      </c>
      <c r="I44" s="161">
        <v>44474</v>
      </c>
      <c r="K44" s="180">
        <v>8187.36</v>
      </c>
    </row>
    <row r="45" spans="1:12" x14ac:dyDescent="0.2">
      <c r="I45" s="161">
        <v>44495</v>
      </c>
      <c r="J45" s="160"/>
      <c r="K45" s="180">
        <v>17070</v>
      </c>
      <c r="L45" s="160" t="s">
        <v>279</v>
      </c>
    </row>
    <row r="46" spans="1:12" x14ac:dyDescent="0.2">
      <c r="C46" s="194">
        <f>SUM(C33:C45)</f>
        <v>397148</v>
      </c>
      <c r="I46" s="161">
        <v>44516</v>
      </c>
      <c r="J46" s="160"/>
      <c r="K46" s="180">
        <v>7979.35</v>
      </c>
    </row>
    <row r="48" spans="1:12" x14ac:dyDescent="0.2">
      <c r="K48" s="195">
        <f>SUM(K31:K47)</f>
        <v>288123.36</v>
      </c>
    </row>
    <row r="50" spans="1:13" ht="12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6"/>
      <c r="K50" s="185"/>
      <c r="L50" s="185"/>
      <c r="M50" s="113"/>
    </row>
    <row r="51" spans="1:13" ht="12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55"/>
    </row>
    <row r="52" spans="1:13" ht="12" x14ac:dyDescent="0.2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55"/>
    </row>
    <row r="53" spans="1:13" ht="12" x14ac:dyDescent="0.2">
      <c r="A53" s="323" t="s">
        <v>320</v>
      </c>
      <c r="B53" s="323"/>
      <c r="C53" s="323"/>
      <c r="D53" s="216"/>
      <c r="E53" s="324" t="s">
        <v>321</v>
      </c>
      <c r="F53" s="324"/>
      <c r="G53" s="324"/>
      <c r="H53" s="216"/>
      <c r="I53" s="325" t="s">
        <v>322</v>
      </c>
      <c r="J53" s="325"/>
      <c r="K53" s="325"/>
      <c r="L53" s="215"/>
      <c r="M53" s="55"/>
    </row>
    <row r="54" spans="1:13" ht="12" x14ac:dyDescent="0.2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55"/>
    </row>
    <row r="55" spans="1:13" ht="12" x14ac:dyDescent="0.2">
      <c r="A55" s="217">
        <v>44579</v>
      </c>
      <c r="B55" s="215"/>
      <c r="C55" s="218">
        <v>27470</v>
      </c>
      <c r="D55" s="215"/>
      <c r="E55" s="217">
        <v>44564</v>
      </c>
      <c r="F55" s="215"/>
      <c r="G55" s="218">
        <v>1451.41</v>
      </c>
      <c r="H55" s="215"/>
      <c r="I55" s="217">
        <v>44564</v>
      </c>
      <c r="J55" s="216" t="s">
        <v>240</v>
      </c>
      <c r="K55" s="218">
        <v>666.66</v>
      </c>
      <c r="L55" s="215"/>
      <c r="M55" s="55"/>
    </row>
    <row r="56" spans="1:13" ht="12" x14ac:dyDescent="0.2">
      <c r="A56" s="161">
        <v>44614</v>
      </c>
      <c r="C56" s="162">
        <v>29759.17</v>
      </c>
      <c r="D56" s="215"/>
      <c r="E56" s="217">
        <v>44586</v>
      </c>
      <c r="F56" s="215"/>
      <c r="G56" s="218">
        <v>1094.3900000000001</v>
      </c>
      <c r="H56" s="215"/>
      <c r="I56" s="217">
        <v>44586</v>
      </c>
      <c r="J56" s="216" t="s">
        <v>326</v>
      </c>
      <c r="K56" s="218">
        <v>10000</v>
      </c>
      <c r="L56" s="215"/>
      <c r="M56" s="55"/>
    </row>
    <row r="57" spans="1:13" ht="12" x14ac:dyDescent="0.2">
      <c r="A57" s="161">
        <v>44643</v>
      </c>
      <c r="C57" s="162">
        <v>29759.17</v>
      </c>
      <c r="D57" s="215"/>
      <c r="E57" s="217">
        <v>44593</v>
      </c>
      <c r="F57" s="215"/>
      <c r="G57" s="218">
        <v>938.3</v>
      </c>
      <c r="H57" s="215"/>
      <c r="I57" s="217">
        <v>44595</v>
      </c>
      <c r="J57" s="216" t="s">
        <v>240</v>
      </c>
      <c r="K57" s="218">
        <v>666.66</v>
      </c>
      <c r="L57" s="215"/>
      <c r="M57" s="55"/>
    </row>
    <row r="58" spans="1:13" ht="12" x14ac:dyDescent="0.2">
      <c r="A58" s="161">
        <v>44684</v>
      </c>
      <c r="C58" s="162">
        <v>29759.17</v>
      </c>
      <c r="D58" s="215"/>
      <c r="E58" s="161">
        <v>44614</v>
      </c>
      <c r="G58" s="162">
        <v>6446.29</v>
      </c>
      <c r="H58" s="215"/>
      <c r="I58" s="161">
        <v>44628</v>
      </c>
      <c r="J58" s="196" t="s">
        <v>240</v>
      </c>
      <c r="K58" s="162">
        <v>666.66</v>
      </c>
      <c r="L58" s="215"/>
      <c r="M58" s="55"/>
    </row>
    <row r="59" spans="1:13" ht="12" x14ac:dyDescent="0.2">
      <c r="A59" s="161">
        <v>44714</v>
      </c>
      <c r="B59" s="196" t="s">
        <v>122</v>
      </c>
      <c r="C59" s="162">
        <v>29127.4</v>
      </c>
      <c r="D59" s="215"/>
      <c r="E59" s="161">
        <v>44643</v>
      </c>
      <c r="G59" s="162">
        <v>6446.29</v>
      </c>
      <c r="H59" s="215"/>
      <c r="I59" s="163">
        <v>44656</v>
      </c>
      <c r="J59" s="164" t="s">
        <v>357</v>
      </c>
      <c r="K59" s="165">
        <v>4640</v>
      </c>
      <c r="L59" s="215"/>
      <c r="M59" s="55"/>
    </row>
    <row r="60" spans="1:13" ht="12" x14ac:dyDescent="0.2">
      <c r="A60" s="161">
        <v>44733</v>
      </c>
      <c r="C60" s="162">
        <v>24859.59</v>
      </c>
      <c r="D60" s="215"/>
      <c r="E60" s="161">
        <v>44684</v>
      </c>
      <c r="G60" s="162">
        <v>6446.29</v>
      </c>
      <c r="H60" s="215"/>
      <c r="I60" s="161">
        <v>44657</v>
      </c>
      <c r="J60" s="196" t="s">
        <v>240</v>
      </c>
      <c r="K60" s="162">
        <v>666.66</v>
      </c>
      <c r="L60" s="215"/>
      <c r="M60" s="55"/>
    </row>
    <row r="61" spans="1:13" ht="12" x14ac:dyDescent="0.2">
      <c r="A61" s="215"/>
      <c r="B61" s="215"/>
      <c r="C61" s="215"/>
      <c r="D61" s="215"/>
      <c r="E61" s="161">
        <v>44714</v>
      </c>
      <c r="G61" s="162">
        <v>606.97</v>
      </c>
      <c r="H61" s="215"/>
      <c r="I61" s="161">
        <v>44670</v>
      </c>
      <c r="J61" s="196" t="s">
        <v>362</v>
      </c>
      <c r="K61" s="162">
        <v>26320</v>
      </c>
      <c r="L61" s="215"/>
      <c r="M61" s="55"/>
    </row>
    <row r="62" spans="1:13" ht="12" x14ac:dyDescent="0.2">
      <c r="A62" s="215"/>
      <c r="B62" s="215"/>
      <c r="C62" s="215"/>
      <c r="D62" s="215"/>
      <c r="E62" s="161">
        <v>44733</v>
      </c>
      <c r="F62" s="196" t="s">
        <v>122</v>
      </c>
      <c r="G62" s="162">
        <v>5519.29</v>
      </c>
      <c r="H62" s="215"/>
      <c r="I62" s="161">
        <v>44686</v>
      </c>
      <c r="J62" s="196" t="s">
        <v>240</v>
      </c>
      <c r="K62" s="162">
        <v>666.66</v>
      </c>
      <c r="L62" s="215"/>
      <c r="M62" s="55"/>
    </row>
    <row r="63" spans="1:13" ht="12" x14ac:dyDescent="0.2">
      <c r="A63" s="216"/>
      <c r="B63" s="215"/>
      <c r="C63" s="218"/>
      <c r="D63" s="215"/>
      <c r="E63" s="161">
        <v>44733</v>
      </c>
      <c r="G63" s="162">
        <v>6446.29</v>
      </c>
      <c r="H63" s="215"/>
      <c r="I63" s="288">
        <v>44705</v>
      </c>
      <c r="J63" s="289" t="s">
        <v>419</v>
      </c>
      <c r="K63" s="179">
        <v>7539.6</v>
      </c>
      <c r="L63" s="215"/>
      <c r="M63" s="55"/>
    </row>
    <row r="64" spans="1:13" ht="12" x14ac:dyDescent="0.2">
      <c r="A64" s="216"/>
      <c r="B64" s="215"/>
      <c r="C64" s="218"/>
      <c r="D64" s="215"/>
      <c r="E64" s="215"/>
      <c r="F64" s="215"/>
      <c r="G64" s="215"/>
      <c r="H64" s="215"/>
      <c r="I64" s="161">
        <v>44719</v>
      </c>
      <c r="J64" s="196" t="s">
        <v>481</v>
      </c>
      <c r="K64" s="162">
        <v>1333.32</v>
      </c>
      <c r="L64" s="215"/>
      <c r="M64" s="55"/>
    </row>
    <row r="65" spans="1:13" ht="12" x14ac:dyDescent="0.2">
      <c r="A65" s="216"/>
      <c r="B65" s="215"/>
      <c r="C65" s="218"/>
      <c r="D65" s="215"/>
      <c r="E65" s="215"/>
      <c r="F65" s="215"/>
      <c r="G65" s="215"/>
      <c r="H65" s="215"/>
      <c r="I65" s="161">
        <v>44743</v>
      </c>
      <c r="J65" s="196" t="s">
        <v>574</v>
      </c>
      <c r="K65" s="162">
        <v>35000</v>
      </c>
      <c r="L65" s="215"/>
      <c r="M65" s="55"/>
    </row>
    <row r="66" spans="1:13" ht="12" x14ac:dyDescent="0.2">
      <c r="A66" s="216"/>
      <c r="B66" s="215"/>
      <c r="C66" s="218"/>
      <c r="D66" s="215"/>
      <c r="E66" s="215"/>
      <c r="F66" s="215"/>
      <c r="G66" s="215"/>
      <c r="H66" s="215"/>
      <c r="I66" s="263"/>
      <c r="J66" s="263"/>
      <c r="K66" s="263"/>
      <c r="L66" s="215"/>
      <c r="M66" s="55"/>
    </row>
    <row r="67" spans="1:13" ht="12" x14ac:dyDescent="0.2">
      <c r="A67" s="216"/>
      <c r="B67" s="215"/>
      <c r="C67" s="218"/>
      <c r="D67" s="215"/>
      <c r="E67" s="215"/>
      <c r="F67" s="215"/>
      <c r="G67" s="215"/>
      <c r="H67" s="215"/>
      <c r="I67" s="263"/>
      <c r="J67" s="263"/>
      <c r="K67" s="263"/>
      <c r="L67" s="215"/>
      <c r="M67" s="55"/>
    </row>
    <row r="68" spans="1:13" ht="12" x14ac:dyDescent="0.2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55"/>
    </row>
    <row r="69" spans="1:13" ht="12" x14ac:dyDescent="0.2">
      <c r="A69" s="326" t="s">
        <v>413</v>
      </c>
      <c r="B69" s="319"/>
      <c r="C69" s="319"/>
      <c r="D69" s="215"/>
      <c r="E69" s="215"/>
      <c r="F69" s="215"/>
      <c r="G69" s="215"/>
      <c r="H69" s="215"/>
      <c r="I69" s="327" t="s">
        <v>323</v>
      </c>
      <c r="J69" s="328"/>
      <c r="K69" s="328"/>
      <c r="L69" s="215"/>
      <c r="M69" s="55"/>
    </row>
    <row r="70" spans="1:13" ht="12" x14ac:dyDescent="0.2">
      <c r="A70" s="161">
        <v>44694</v>
      </c>
      <c r="B70" s="196" t="s">
        <v>414</v>
      </c>
      <c r="C70" s="162">
        <v>34690.550000000003</v>
      </c>
      <c r="D70" s="215"/>
      <c r="E70" s="215"/>
      <c r="F70" s="215"/>
      <c r="G70" s="215"/>
      <c r="H70" s="215"/>
      <c r="I70" s="161">
        <v>44621</v>
      </c>
      <c r="J70" s="270">
        <v>44562</v>
      </c>
      <c r="K70" s="162">
        <v>8731.11</v>
      </c>
      <c r="L70" s="215"/>
      <c r="M70" s="55"/>
    </row>
    <row r="71" spans="1:13" ht="12" x14ac:dyDescent="0.2">
      <c r="A71" s="161">
        <v>44694</v>
      </c>
      <c r="B71" s="196" t="s">
        <v>415</v>
      </c>
      <c r="C71" s="162">
        <v>25000</v>
      </c>
      <c r="D71" s="215"/>
      <c r="E71" s="215"/>
      <c r="F71" s="215"/>
      <c r="G71" s="215"/>
      <c r="H71" s="215"/>
      <c r="I71" s="161">
        <v>44649</v>
      </c>
      <c r="J71" s="270">
        <v>44593</v>
      </c>
      <c r="K71" s="162">
        <v>8658.3799999999992</v>
      </c>
      <c r="L71" s="215"/>
      <c r="M71" s="55"/>
    </row>
    <row r="72" spans="1:13" ht="12" x14ac:dyDescent="0.2">
      <c r="A72" s="161">
        <v>44697</v>
      </c>
      <c r="B72" s="196" t="s">
        <v>416</v>
      </c>
      <c r="C72" s="162">
        <v>3718</v>
      </c>
      <c r="D72" s="215"/>
      <c r="E72" s="215"/>
      <c r="F72" s="215"/>
      <c r="G72" s="215"/>
      <c r="H72" s="215"/>
      <c r="I72" s="161">
        <v>44680</v>
      </c>
      <c r="J72" s="270">
        <v>44621</v>
      </c>
      <c r="K72" s="162">
        <v>6015.05</v>
      </c>
      <c r="L72" s="215"/>
      <c r="M72" s="55"/>
    </row>
    <row r="73" spans="1:13" ht="12" x14ac:dyDescent="0.2">
      <c r="A73" s="215"/>
      <c r="B73" s="215"/>
      <c r="C73" s="215"/>
      <c r="D73" s="215"/>
      <c r="E73" s="215"/>
      <c r="F73" s="215"/>
      <c r="G73" s="215"/>
      <c r="H73" s="215"/>
      <c r="I73" s="259"/>
      <c r="J73" s="259"/>
      <c r="K73" s="259"/>
      <c r="L73" s="215"/>
      <c r="M73" s="55"/>
    </row>
    <row r="74" spans="1:13" ht="12" x14ac:dyDescent="0.2">
      <c r="A74" s="215"/>
      <c r="B74" s="215"/>
      <c r="C74" s="215"/>
      <c r="D74" s="215"/>
      <c r="E74" s="215"/>
      <c r="F74" s="215"/>
      <c r="G74" s="215"/>
      <c r="H74" s="215"/>
      <c r="I74" s="259"/>
      <c r="J74" s="259"/>
      <c r="K74" s="259"/>
      <c r="L74" s="215"/>
      <c r="M74" s="55"/>
    </row>
    <row r="75" spans="1:13" ht="12" x14ac:dyDescent="0.2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55"/>
    </row>
    <row r="76" spans="1:13" ht="12" x14ac:dyDescent="0.2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55"/>
    </row>
    <row r="77" spans="1:13" ht="12" x14ac:dyDescent="0.2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55"/>
    </row>
    <row r="78" spans="1:13" ht="12" x14ac:dyDescent="0.2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55"/>
    </row>
    <row r="79" spans="1:13" ht="12" x14ac:dyDescent="0.2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55"/>
    </row>
    <row r="80" spans="1:13" ht="12" x14ac:dyDescent="0.2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55"/>
    </row>
    <row r="81" spans="1:13" ht="12" x14ac:dyDescent="0.2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55"/>
    </row>
    <row r="82" spans="1:13" ht="12" x14ac:dyDescent="0.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55"/>
    </row>
    <row r="83" spans="1:13" ht="12" x14ac:dyDescent="0.2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55"/>
    </row>
    <row r="84" spans="1:13" ht="12" x14ac:dyDescent="0.2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55"/>
    </row>
    <row r="85" spans="1:13" ht="12" x14ac:dyDescent="0.2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55"/>
    </row>
    <row r="86" spans="1:13" ht="12" x14ac:dyDescent="0.2">
      <c r="M86" s="55"/>
    </row>
    <row r="87" spans="1:13" ht="12" x14ac:dyDescent="0.2">
      <c r="M87" s="55"/>
    </row>
  </sheetData>
  <mergeCells count="14">
    <mergeCell ref="A53:C53"/>
    <mergeCell ref="E53:G53"/>
    <mergeCell ref="I53:K53"/>
    <mergeCell ref="A69:C69"/>
    <mergeCell ref="I69:K69"/>
    <mergeCell ref="I29:K29"/>
    <mergeCell ref="A31:C31"/>
    <mergeCell ref="J34:J35"/>
    <mergeCell ref="A3:C3"/>
    <mergeCell ref="E3:G3"/>
    <mergeCell ref="I3:K3"/>
    <mergeCell ref="B6:B7"/>
    <mergeCell ref="F7:F8"/>
    <mergeCell ref="B10:B11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L30" sqref="K30:L30"/>
    </sheetView>
  </sheetViews>
  <sheetFormatPr baseColWidth="10" defaultRowHeight="12" x14ac:dyDescent="0.2"/>
  <cols>
    <col min="1" max="16384" width="11.42578125" style="55"/>
  </cols>
  <sheetData>
    <row r="1" spans="1:9" ht="18" customHeight="1" x14ac:dyDescent="0.2">
      <c r="A1" s="57" t="s">
        <v>51</v>
      </c>
      <c r="B1" s="57"/>
      <c r="C1" s="57"/>
      <c r="D1" s="58"/>
      <c r="F1" s="57" t="s">
        <v>52</v>
      </c>
      <c r="G1" s="61"/>
      <c r="H1" s="57"/>
      <c r="I1" s="58"/>
    </row>
    <row r="2" spans="1:9" x14ac:dyDescent="0.2">
      <c r="A2" s="57"/>
      <c r="B2" s="58">
        <v>2016</v>
      </c>
      <c r="C2" s="59">
        <v>12766</v>
      </c>
      <c r="D2" s="60">
        <v>42660</v>
      </c>
      <c r="F2" s="57"/>
      <c r="G2" s="58">
        <v>2017</v>
      </c>
      <c r="H2" s="59">
        <v>3314</v>
      </c>
      <c r="I2" s="58" t="s">
        <v>50</v>
      </c>
    </row>
    <row r="3" spans="1:9" x14ac:dyDescent="0.2">
      <c r="A3" s="57"/>
      <c r="B3" s="58">
        <v>2017</v>
      </c>
      <c r="C3" s="59">
        <v>12989</v>
      </c>
      <c r="D3" s="60">
        <v>43031</v>
      </c>
      <c r="F3" s="57"/>
      <c r="G3" s="58">
        <v>2018</v>
      </c>
      <c r="H3" s="59">
        <v>3770</v>
      </c>
      <c r="I3" s="60">
        <v>43166</v>
      </c>
    </row>
    <row r="4" spans="1:9" x14ac:dyDescent="0.2">
      <c r="A4" s="57"/>
      <c r="B4" s="58">
        <v>2018</v>
      </c>
      <c r="C4" s="59">
        <v>13363</v>
      </c>
      <c r="D4" s="60">
        <v>43418</v>
      </c>
      <c r="F4" s="57"/>
      <c r="G4" s="58">
        <v>2019</v>
      </c>
      <c r="H4" s="59">
        <v>3708</v>
      </c>
      <c r="I4" s="60">
        <v>43580</v>
      </c>
    </row>
    <row r="5" spans="1:9" x14ac:dyDescent="0.2">
      <c r="A5" s="57"/>
      <c r="B5" s="58" t="s">
        <v>109</v>
      </c>
      <c r="C5" s="59">
        <v>6721</v>
      </c>
      <c r="D5" s="60">
        <v>43784</v>
      </c>
      <c r="G5" s="126">
        <v>2020</v>
      </c>
      <c r="H5" s="70">
        <v>3746</v>
      </c>
      <c r="I5" s="69">
        <v>44029</v>
      </c>
    </row>
    <row r="6" spans="1:9" x14ac:dyDescent="0.2">
      <c r="B6" s="82" t="s">
        <v>110</v>
      </c>
      <c r="C6" s="70">
        <v>6721</v>
      </c>
      <c r="D6" s="69">
        <v>43809</v>
      </c>
      <c r="G6" s="133">
        <v>2021</v>
      </c>
      <c r="H6" s="133"/>
      <c r="I6" s="133"/>
    </row>
    <row r="7" spans="1:9" x14ac:dyDescent="0.2">
      <c r="A7" s="113"/>
      <c r="B7" s="121" t="s">
        <v>178</v>
      </c>
      <c r="C7" s="122">
        <v>6861.5</v>
      </c>
      <c r="D7" s="120">
        <v>44155</v>
      </c>
    </row>
    <row r="8" spans="1:9" x14ac:dyDescent="0.2">
      <c r="A8" s="113"/>
      <c r="B8" s="121" t="s">
        <v>179</v>
      </c>
      <c r="C8" s="122">
        <v>6861.5</v>
      </c>
      <c r="D8" s="120">
        <v>44180</v>
      </c>
    </row>
    <row r="9" spans="1:9" x14ac:dyDescent="0.2">
      <c r="A9" s="113"/>
      <c r="B9" s="121">
        <v>2021</v>
      </c>
      <c r="C9" s="122"/>
      <c r="D9" s="120"/>
    </row>
    <row r="11" spans="1:9" ht="18" customHeight="1" x14ac:dyDescent="0.2">
      <c r="A11" s="57" t="s">
        <v>106</v>
      </c>
      <c r="B11" s="82"/>
      <c r="C11" s="70"/>
      <c r="D11" s="69"/>
      <c r="F11" s="57" t="s">
        <v>107</v>
      </c>
      <c r="G11" s="81"/>
      <c r="H11" s="70"/>
      <c r="I11" s="69"/>
    </row>
    <row r="12" spans="1:9" x14ac:dyDescent="0.2">
      <c r="B12" s="82" t="s">
        <v>103</v>
      </c>
      <c r="C12" s="70">
        <v>4249</v>
      </c>
      <c r="D12" s="69">
        <v>43271</v>
      </c>
      <c r="G12" s="81" t="s">
        <v>103</v>
      </c>
      <c r="H12" s="70">
        <v>2940</v>
      </c>
      <c r="I12" s="69">
        <v>43276</v>
      </c>
    </row>
    <row r="13" spans="1:9" x14ac:dyDescent="0.2">
      <c r="B13" s="82" t="s">
        <v>104</v>
      </c>
      <c r="C13" s="70">
        <v>4238</v>
      </c>
      <c r="D13" s="69">
        <v>43373</v>
      </c>
      <c r="G13" s="82" t="s">
        <v>104</v>
      </c>
      <c r="H13" s="70">
        <v>3426</v>
      </c>
      <c r="I13" s="69">
        <v>43461</v>
      </c>
    </row>
    <row r="14" spans="1:9" x14ac:dyDescent="0.2">
      <c r="B14" s="82"/>
      <c r="C14" s="56"/>
      <c r="D14" s="69"/>
      <c r="G14" s="82" t="s">
        <v>108</v>
      </c>
      <c r="H14" s="70">
        <v>14</v>
      </c>
      <c r="I14" s="69">
        <v>43465</v>
      </c>
    </row>
    <row r="15" spans="1:9" x14ac:dyDescent="0.2">
      <c r="B15" s="82" t="s">
        <v>102</v>
      </c>
      <c r="C15" s="70">
        <v>1167</v>
      </c>
      <c r="D15" s="69">
        <v>43466</v>
      </c>
      <c r="H15" s="56"/>
    </row>
    <row r="16" spans="1:9" x14ac:dyDescent="0.2">
      <c r="B16" s="82" t="s">
        <v>100</v>
      </c>
      <c r="C16" s="70">
        <v>2232</v>
      </c>
      <c r="D16" s="69">
        <v>43616</v>
      </c>
      <c r="G16" s="82" t="s">
        <v>100</v>
      </c>
      <c r="H16" s="70">
        <v>3183</v>
      </c>
      <c r="I16" s="69">
        <v>42548</v>
      </c>
    </row>
    <row r="17" spans="2:9" x14ac:dyDescent="0.2">
      <c r="B17" s="82" t="s">
        <v>105</v>
      </c>
      <c r="C17" s="70">
        <v>11</v>
      </c>
      <c r="D17" s="69">
        <v>43784</v>
      </c>
      <c r="G17" s="82" t="s">
        <v>101</v>
      </c>
      <c r="H17" s="70">
        <v>3537</v>
      </c>
      <c r="I17" s="69">
        <v>43826</v>
      </c>
    </row>
    <row r="18" spans="2:9" x14ac:dyDescent="0.2">
      <c r="B18" s="133" t="s">
        <v>241</v>
      </c>
      <c r="C18" s="70">
        <v>10584</v>
      </c>
      <c r="D18" s="69">
        <v>44299</v>
      </c>
      <c r="G18" s="126" t="s">
        <v>187</v>
      </c>
      <c r="H18" s="70"/>
      <c r="I18" s="69"/>
    </row>
    <row r="19" spans="2:9" x14ac:dyDescent="0.2">
      <c r="B19" s="133" t="s">
        <v>192</v>
      </c>
      <c r="C19" s="70">
        <v>843</v>
      </c>
      <c r="D19" s="69">
        <v>44456</v>
      </c>
      <c r="G19" s="82"/>
      <c r="H19" s="70"/>
      <c r="I19" s="69"/>
    </row>
    <row r="20" spans="2:9" ht="12" customHeight="1" x14ac:dyDescent="0.2">
      <c r="B20" s="133" t="s">
        <v>301</v>
      </c>
      <c r="C20" s="70">
        <v>2636</v>
      </c>
      <c r="D20" s="69">
        <v>44699</v>
      </c>
      <c r="G20" s="126" t="s">
        <v>192</v>
      </c>
      <c r="H20" s="70">
        <v>6758</v>
      </c>
      <c r="I20" s="69">
        <v>44193</v>
      </c>
    </row>
    <row r="21" spans="2:9" x14ac:dyDescent="0.2">
      <c r="B21" s="133" t="s">
        <v>450</v>
      </c>
      <c r="G21" s="126" t="s">
        <v>191</v>
      </c>
      <c r="H21" s="70">
        <v>1192</v>
      </c>
      <c r="I21" s="69">
        <v>44193</v>
      </c>
    </row>
    <row r="22" spans="2:9" x14ac:dyDescent="0.2">
      <c r="G22" s="133" t="s">
        <v>246</v>
      </c>
      <c r="H22" s="70">
        <v>3379</v>
      </c>
      <c r="I22" s="69">
        <v>44372</v>
      </c>
    </row>
    <row r="24" spans="2:9" x14ac:dyDescent="0.2">
      <c r="G24" s="133" t="s">
        <v>301</v>
      </c>
      <c r="H24" s="70">
        <v>3452</v>
      </c>
      <c r="I24" s="69">
        <v>44557</v>
      </c>
    </row>
    <row r="25" spans="2:9" x14ac:dyDescent="0.2">
      <c r="G25" s="133" t="s">
        <v>302</v>
      </c>
      <c r="H25" s="70">
        <v>1174</v>
      </c>
      <c r="I25" s="69">
        <v>44557</v>
      </c>
    </row>
    <row r="27" spans="2:9" x14ac:dyDescent="0.2">
      <c r="G27" s="133" t="s">
        <v>450</v>
      </c>
      <c r="H27" s="70">
        <v>3416</v>
      </c>
      <c r="I27" s="69">
        <v>44739</v>
      </c>
    </row>
    <row r="32" spans="2:9" x14ac:dyDescent="0.2">
      <c r="C32" s="56"/>
    </row>
    <row r="33" spans="3:3" x14ac:dyDescent="0.2">
      <c r="C33" s="56"/>
    </row>
    <row r="34" spans="3:3" x14ac:dyDescent="0.2">
      <c r="C34" s="5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0" workbookViewId="0">
      <selection activeCell="F59" sqref="F59"/>
    </sheetView>
  </sheetViews>
  <sheetFormatPr baseColWidth="10" defaultRowHeight="12.75" x14ac:dyDescent="0.2"/>
  <cols>
    <col min="1" max="1" width="11.42578125" style="104"/>
    <col min="2" max="2" width="30.7109375" style="103" customWidth="1"/>
    <col min="3" max="3" width="11.42578125" style="104"/>
    <col min="4" max="4" width="11.42578125" style="105"/>
    <col min="5" max="16384" width="11.42578125" style="103"/>
  </cols>
  <sheetData>
    <row r="1" spans="1:6" x14ac:dyDescent="0.2">
      <c r="A1" s="261" t="s">
        <v>134</v>
      </c>
    </row>
    <row r="2" spans="1:6" x14ac:dyDescent="0.2">
      <c r="A2" s="102">
        <v>43587</v>
      </c>
      <c r="B2" s="103" t="s">
        <v>67</v>
      </c>
      <c r="C2" s="116" t="s">
        <v>68</v>
      </c>
      <c r="D2" s="115">
        <v>500</v>
      </c>
    </row>
    <row r="3" spans="1:6" x14ac:dyDescent="0.2">
      <c r="A3" s="102">
        <v>43601</v>
      </c>
      <c r="B3" s="103" t="s">
        <v>243</v>
      </c>
      <c r="C3" s="116" t="s">
        <v>68</v>
      </c>
      <c r="D3" s="115">
        <v>2000</v>
      </c>
    </row>
    <row r="4" spans="1:6" x14ac:dyDescent="0.2">
      <c r="A4" s="102">
        <v>43609</v>
      </c>
      <c r="B4" s="103" t="s">
        <v>150</v>
      </c>
      <c r="C4" s="116" t="s">
        <v>68</v>
      </c>
      <c r="D4" s="115">
        <v>15000</v>
      </c>
    </row>
    <row r="5" spans="1:6" x14ac:dyDescent="0.2">
      <c r="A5" s="102">
        <v>43621</v>
      </c>
      <c r="B5" s="103" t="s">
        <v>172</v>
      </c>
      <c r="C5" s="117" t="s">
        <v>74</v>
      </c>
      <c r="D5" s="115">
        <v>4000</v>
      </c>
    </row>
    <row r="6" spans="1:6" x14ac:dyDescent="0.2">
      <c r="A6" s="102">
        <v>43662</v>
      </c>
      <c r="B6" s="103" t="s">
        <v>190</v>
      </c>
      <c r="C6" s="116" t="s">
        <v>68</v>
      </c>
      <c r="D6" s="115">
        <v>80</v>
      </c>
    </row>
    <row r="7" spans="1:6" x14ac:dyDescent="0.2">
      <c r="A7" s="102">
        <v>43721</v>
      </c>
      <c r="B7" s="103" t="s">
        <v>84</v>
      </c>
      <c r="C7" s="117" t="s">
        <v>74</v>
      </c>
      <c r="D7" s="115">
        <v>7500</v>
      </c>
    </row>
    <row r="8" spans="1:6" x14ac:dyDescent="0.2">
      <c r="A8" s="102">
        <v>43808</v>
      </c>
      <c r="B8" s="103" t="s">
        <v>173</v>
      </c>
      <c r="C8" s="116" t="s">
        <v>68</v>
      </c>
      <c r="D8" s="115">
        <v>1000</v>
      </c>
    </row>
    <row r="9" spans="1:6" x14ac:dyDescent="0.2">
      <c r="A9" s="102">
        <v>43815</v>
      </c>
      <c r="B9" s="103" t="s">
        <v>193</v>
      </c>
      <c r="C9" s="116" t="s">
        <v>68</v>
      </c>
      <c r="D9" s="115">
        <v>3600</v>
      </c>
    </row>
    <row r="10" spans="1:6" x14ac:dyDescent="0.2">
      <c r="A10" s="102">
        <v>43819</v>
      </c>
      <c r="B10" s="103" t="s">
        <v>99</v>
      </c>
      <c r="C10" s="116" t="s">
        <v>68</v>
      </c>
      <c r="D10" s="115">
        <v>4000</v>
      </c>
      <c r="E10" s="115">
        <f>D2+D3+D4+D5+D6+D7+D8+D9+D10</f>
        <v>37680</v>
      </c>
    </row>
    <row r="11" spans="1:6" x14ac:dyDescent="0.2">
      <c r="E11" s="115"/>
    </row>
    <row r="12" spans="1:6" x14ac:dyDescent="0.2">
      <c r="A12" s="102">
        <v>43823</v>
      </c>
      <c r="B12" s="103" t="s">
        <v>325</v>
      </c>
      <c r="C12" s="117" t="s">
        <v>74</v>
      </c>
      <c r="D12" s="115">
        <v>15000</v>
      </c>
      <c r="E12" s="115">
        <v>15000</v>
      </c>
      <c r="F12" s="115">
        <f>E10+E12</f>
        <v>52680</v>
      </c>
    </row>
    <row r="13" spans="1:6" x14ac:dyDescent="0.2">
      <c r="E13" s="115"/>
    </row>
    <row r="15" spans="1:6" x14ac:dyDescent="0.2">
      <c r="A15" s="261" t="s">
        <v>136</v>
      </c>
    </row>
    <row r="16" spans="1:6" x14ac:dyDescent="0.2">
      <c r="A16" s="102">
        <v>43920</v>
      </c>
      <c r="B16" s="103" t="s">
        <v>137</v>
      </c>
      <c r="C16" s="117" t="s">
        <v>74</v>
      </c>
      <c r="D16" s="115">
        <v>300</v>
      </c>
    </row>
    <row r="17" spans="1:6" x14ac:dyDescent="0.2">
      <c r="A17" s="102">
        <v>43920</v>
      </c>
      <c r="B17" s="103" t="s">
        <v>206</v>
      </c>
      <c r="C17" s="117" t="s">
        <v>74</v>
      </c>
      <c r="D17" s="115">
        <v>1000</v>
      </c>
    </row>
    <row r="18" spans="1:6" x14ac:dyDescent="0.2">
      <c r="A18" s="102">
        <v>43922</v>
      </c>
      <c r="B18" s="103" t="s">
        <v>173</v>
      </c>
      <c r="C18" s="117" t="s">
        <v>74</v>
      </c>
      <c r="D18" s="115">
        <v>1000</v>
      </c>
    </row>
    <row r="19" spans="1:6" x14ac:dyDescent="0.2">
      <c r="A19" s="102">
        <v>43923</v>
      </c>
      <c r="B19" s="103" t="s">
        <v>138</v>
      </c>
      <c r="C19" s="117" t="s">
        <v>74</v>
      </c>
      <c r="D19" s="115">
        <v>500</v>
      </c>
    </row>
    <row r="20" spans="1:6" x14ac:dyDescent="0.2">
      <c r="A20" s="102">
        <v>43932</v>
      </c>
      <c r="B20" s="103" t="s">
        <v>193</v>
      </c>
      <c r="C20" s="116" t="s">
        <v>68</v>
      </c>
      <c r="D20" s="115">
        <v>3000</v>
      </c>
    </row>
    <row r="21" spans="1:6" x14ac:dyDescent="0.2">
      <c r="A21" s="102">
        <v>43994</v>
      </c>
      <c r="B21" s="103" t="s">
        <v>172</v>
      </c>
      <c r="C21" s="117" t="s">
        <v>74</v>
      </c>
      <c r="D21" s="115">
        <v>3000</v>
      </c>
    </row>
    <row r="22" spans="1:6" x14ac:dyDescent="0.2">
      <c r="A22" s="102">
        <v>43997</v>
      </c>
      <c r="B22" s="103" t="s">
        <v>140</v>
      </c>
      <c r="C22" s="116" t="s">
        <v>68</v>
      </c>
      <c r="D22" s="115">
        <v>250</v>
      </c>
    </row>
    <row r="23" spans="1:6" x14ac:dyDescent="0.2">
      <c r="A23" s="102">
        <v>43997</v>
      </c>
      <c r="B23" s="103" t="s">
        <v>141</v>
      </c>
      <c r="C23" s="116" t="s">
        <v>68</v>
      </c>
      <c r="D23" s="115">
        <v>2000</v>
      </c>
    </row>
    <row r="24" spans="1:6" x14ac:dyDescent="0.2">
      <c r="A24" s="102">
        <v>43997</v>
      </c>
      <c r="B24" s="103" t="s">
        <v>243</v>
      </c>
      <c r="C24" s="116" t="s">
        <v>68</v>
      </c>
      <c r="D24" s="115">
        <v>2000</v>
      </c>
    </row>
    <row r="25" spans="1:6" x14ac:dyDescent="0.2">
      <c r="A25" s="102">
        <v>44112</v>
      </c>
      <c r="B25" s="103" t="s">
        <v>171</v>
      </c>
      <c r="C25" s="116" t="s">
        <v>68</v>
      </c>
      <c r="D25" s="115">
        <v>100</v>
      </c>
    </row>
    <row r="26" spans="1:6" x14ac:dyDescent="0.2">
      <c r="A26" s="102">
        <v>44144</v>
      </c>
      <c r="B26" s="103" t="s">
        <v>173</v>
      </c>
      <c r="C26" s="116" t="s">
        <v>68</v>
      </c>
      <c r="D26" s="115">
        <v>1000</v>
      </c>
    </row>
    <row r="27" spans="1:6" x14ac:dyDescent="0.2">
      <c r="A27" s="102">
        <v>44166</v>
      </c>
      <c r="B27" s="103" t="s">
        <v>180</v>
      </c>
      <c r="C27" s="117" t="s">
        <v>74</v>
      </c>
      <c r="D27" s="115">
        <v>2700</v>
      </c>
    </row>
    <row r="28" spans="1:6" x14ac:dyDescent="0.2">
      <c r="A28" s="102">
        <v>44167</v>
      </c>
      <c r="B28" s="103" t="s">
        <v>141</v>
      </c>
      <c r="C28" s="116" t="s">
        <v>68</v>
      </c>
      <c r="D28" s="115">
        <v>2000</v>
      </c>
    </row>
    <row r="29" spans="1:6" x14ac:dyDescent="0.2">
      <c r="A29" s="127">
        <v>44189</v>
      </c>
      <c r="B29" s="128" t="s">
        <v>190</v>
      </c>
      <c r="C29" s="129" t="s">
        <v>68</v>
      </c>
      <c r="D29" s="131">
        <v>1500</v>
      </c>
      <c r="E29" s="115"/>
    </row>
    <row r="30" spans="1:6" x14ac:dyDescent="0.2">
      <c r="A30" s="127">
        <v>44193</v>
      </c>
      <c r="B30" s="128" t="s">
        <v>193</v>
      </c>
      <c r="C30" s="129" t="s">
        <v>68</v>
      </c>
      <c r="D30" s="130">
        <v>5000</v>
      </c>
      <c r="E30" s="115">
        <f>D16+D17+D18+D19+D20+D21+D22+D23+D24+D25+D26+D27+D28+D30</f>
        <v>23850</v>
      </c>
    </row>
    <row r="31" spans="1:6" x14ac:dyDescent="0.2">
      <c r="E31" s="115"/>
    </row>
    <row r="32" spans="1:6" x14ac:dyDescent="0.2">
      <c r="A32" s="102">
        <v>44181</v>
      </c>
      <c r="B32" s="103" t="s">
        <v>325</v>
      </c>
      <c r="C32" s="117" t="s">
        <v>74</v>
      </c>
      <c r="D32" s="115">
        <v>5500</v>
      </c>
      <c r="E32" s="115">
        <v>5500</v>
      </c>
      <c r="F32" s="115">
        <f>E30+E32</f>
        <v>29350</v>
      </c>
    </row>
    <row r="33" spans="1:6" x14ac:dyDescent="0.2">
      <c r="D33" s="115"/>
      <c r="E33" s="115"/>
    </row>
    <row r="35" spans="1:6" x14ac:dyDescent="0.2">
      <c r="A35" s="261" t="s">
        <v>199</v>
      </c>
    </row>
    <row r="36" spans="1:6" x14ac:dyDescent="0.2">
      <c r="A36" s="102">
        <v>44207</v>
      </c>
      <c r="B36" s="103" t="s">
        <v>188</v>
      </c>
      <c r="C36" s="116" t="s">
        <v>68</v>
      </c>
      <c r="D36" s="115">
        <v>175</v>
      </c>
    </row>
    <row r="37" spans="1:6" x14ac:dyDescent="0.2">
      <c r="A37" s="102">
        <v>44223</v>
      </c>
      <c r="B37" s="103" t="s">
        <v>206</v>
      </c>
      <c r="C37" s="117" t="s">
        <v>74</v>
      </c>
      <c r="D37" s="115">
        <v>1000</v>
      </c>
    </row>
    <row r="38" spans="1:6" x14ac:dyDescent="0.2">
      <c r="A38" s="102">
        <v>44229</v>
      </c>
      <c r="B38" s="103" t="s">
        <v>213</v>
      </c>
      <c r="C38" s="117" t="s">
        <v>74</v>
      </c>
      <c r="D38" s="115">
        <v>3000</v>
      </c>
    </row>
    <row r="39" spans="1:6" x14ac:dyDescent="0.2">
      <c r="A39" s="102">
        <v>44230</v>
      </c>
      <c r="B39" s="103" t="s">
        <v>214</v>
      </c>
      <c r="C39" s="116" t="s">
        <v>68</v>
      </c>
      <c r="D39" s="115">
        <v>150</v>
      </c>
    </row>
    <row r="40" spans="1:6" x14ac:dyDescent="0.2">
      <c r="A40" s="102">
        <v>44231</v>
      </c>
      <c r="B40" s="103" t="s">
        <v>215</v>
      </c>
      <c r="C40" s="116" t="s">
        <v>68</v>
      </c>
      <c r="D40" s="115">
        <v>300</v>
      </c>
    </row>
    <row r="41" spans="1:6" x14ac:dyDescent="0.2">
      <c r="A41" s="102">
        <v>44231</v>
      </c>
      <c r="B41" s="103" t="s">
        <v>216</v>
      </c>
      <c r="C41" s="116" t="s">
        <v>68</v>
      </c>
      <c r="D41" s="115">
        <v>500</v>
      </c>
    </row>
    <row r="42" spans="1:6" x14ac:dyDescent="0.2">
      <c r="A42" s="102">
        <v>44320</v>
      </c>
      <c r="B42" s="103" t="s">
        <v>173</v>
      </c>
      <c r="C42" s="117" t="s">
        <v>74</v>
      </c>
      <c r="D42" s="115">
        <v>1000</v>
      </c>
    </row>
    <row r="43" spans="1:6" x14ac:dyDescent="0.2">
      <c r="A43" s="102">
        <v>44343</v>
      </c>
      <c r="B43" s="103" t="s">
        <v>243</v>
      </c>
      <c r="C43" s="116" t="s">
        <v>68</v>
      </c>
      <c r="D43" s="115">
        <v>1950</v>
      </c>
    </row>
    <row r="44" spans="1:6" x14ac:dyDescent="0.2">
      <c r="A44" s="102">
        <v>44349</v>
      </c>
      <c r="B44" s="103" t="s">
        <v>172</v>
      </c>
      <c r="C44" s="117" t="s">
        <v>74</v>
      </c>
      <c r="D44" s="115">
        <v>4000</v>
      </c>
    </row>
    <row r="45" spans="1:6" x14ac:dyDescent="0.2">
      <c r="A45" s="102">
        <v>44531</v>
      </c>
      <c r="B45" s="103" t="s">
        <v>173</v>
      </c>
      <c r="C45" s="117" t="s">
        <v>74</v>
      </c>
      <c r="D45" s="115">
        <v>1000</v>
      </c>
      <c r="E45" s="115"/>
    </row>
    <row r="46" spans="1:6" x14ac:dyDescent="0.2">
      <c r="A46" s="102">
        <v>44926</v>
      </c>
      <c r="B46" s="103" t="s">
        <v>315</v>
      </c>
      <c r="C46" s="116" t="s">
        <v>68</v>
      </c>
      <c r="D46" s="115">
        <v>500</v>
      </c>
      <c r="E46" s="115">
        <f>D35+D36+D37+D38+D39+D40+D41+D42+D43+D44+D45+D46</f>
        <v>13575</v>
      </c>
    </row>
    <row r="47" spans="1:6" x14ac:dyDescent="0.2">
      <c r="D47" s="115"/>
      <c r="E47" s="115"/>
    </row>
    <row r="48" spans="1:6" x14ac:dyDescent="0.2">
      <c r="A48" s="102">
        <v>44551</v>
      </c>
      <c r="B48" s="103" t="s">
        <v>325</v>
      </c>
      <c r="C48" s="117" t="s">
        <v>74</v>
      </c>
      <c r="D48" s="115">
        <v>1450</v>
      </c>
      <c r="E48" s="115">
        <v>1450</v>
      </c>
      <c r="F48" s="115">
        <f>E46+E48</f>
        <v>15025</v>
      </c>
    </row>
    <row r="49" spans="1:6" x14ac:dyDescent="0.2">
      <c r="D49" s="115"/>
      <c r="E49" s="115"/>
    </row>
    <row r="50" spans="1:6" x14ac:dyDescent="0.2">
      <c r="D50" s="115"/>
      <c r="F50" s="115"/>
    </row>
    <row r="52" spans="1:6" x14ac:dyDescent="0.2">
      <c r="A52" s="261" t="s">
        <v>319</v>
      </c>
    </row>
    <row r="53" spans="1:6" x14ac:dyDescent="0.2">
      <c r="A53" s="102">
        <v>44586</v>
      </c>
      <c r="B53" s="103" t="s">
        <v>326</v>
      </c>
      <c r="C53" s="117" t="s">
        <v>74</v>
      </c>
      <c r="D53" s="115">
        <v>10000</v>
      </c>
    </row>
    <row r="54" spans="1:6" x14ac:dyDescent="0.2">
      <c r="A54" s="102">
        <v>44586</v>
      </c>
      <c r="B54" s="103" t="s">
        <v>206</v>
      </c>
      <c r="C54" s="117" t="s">
        <v>74</v>
      </c>
      <c r="D54" s="115">
        <v>1000</v>
      </c>
    </row>
    <row r="55" spans="1:6" x14ac:dyDescent="0.2">
      <c r="A55" s="102">
        <v>44690</v>
      </c>
      <c r="B55" s="103" t="s">
        <v>387</v>
      </c>
      <c r="C55" s="117" t="s">
        <v>74</v>
      </c>
      <c r="D55" s="115">
        <v>3000</v>
      </c>
    </row>
    <row r="56" spans="1:6" x14ac:dyDescent="0.2">
      <c r="A56" s="102">
        <v>44705</v>
      </c>
      <c r="B56" s="103" t="s">
        <v>418</v>
      </c>
      <c r="C56" s="116" t="s">
        <v>68</v>
      </c>
      <c r="D56" s="115">
        <v>1600</v>
      </c>
    </row>
    <row r="57" spans="1:6" x14ac:dyDescent="0.2">
      <c r="A57" s="102">
        <v>44720</v>
      </c>
      <c r="B57" s="103" t="s">
        <v>492</v>
      </c>
      <c r="C57" s="117" t="s">
        <v>74</v>
      </c>
      <c r="D57" s="115">
        <v>4000</v>
      </c>
    </row>
    <row r="61" spans="1:6" x14ac:dyDescent="0.2">
      <c r="A61" s="261" t="s">
        <v>346</v>
      </c>
      <c r="B61" s="262" t="s">
        <v>347</v>
      </c>
    </row>
    <row r="62" spans="1:6" x14ac:dyDescent="0.2">
      <c r="A62" s="260">
        <v>44512</v>
      </c>
      <c r="B62" s="103" t="s">
        <v>348</v>
      </c>
      <c r="C62" s="117" t="s">
        <v>74</v>
      </c>
      <c r="D62" s="115">
        <v>50000</v>
      </c>
    </row>
    <row r="63" spans="1:6" x14ac:dyDescent="0.2">
      <c r="A63" s="260">
        <v>44572</v>
      </c>
      <c r="B63" s="103" t="s">
        <v>349</v>
      </c>
      <c r="C63" s="116" t="s">
        <v>68</v>
      </c>
      <c r="D63" s="115">
        <v>2589</v>
      </c>
    </row>
    <row r="64" spans="1:6" x14ac:dyDescent="0.2">
      <c r="A64" s="260">
        <v>44572</v>
      </c>
      <c r="B64" s="103" t="s">
        <v>349</v>
      </c>
      <c r="C64" s="116" t="s">
        <v>68</v>
      </c>
      <c r="D64" s="115">
        <v>100</v>
      </c>
    </row>
    <row r="65" spans="1:4" x14ac:dyDescent="0.2">
      <c r="A65" s="260">
        <v>44637</v>
      </c>
      <c r="B65" s="103" t="s">
        <v>345</v>
      </c>
      <c r="C65" s="117" t="s">
        <v>74</v>
      </c>
      <c r="D65" s="115">
        <v>9600</v>
      </c>
    </row>
  </sheetData>
  <printOptions horizontalCentered="1"/>
  <pageMargins left="0" right="0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5"/>
  <sheetViews>
    <sheetView topLeftCell="A64" workbookViewId="0">
      <selection activeCell="C88" sqref="C88"/>
    </sheetView>
  </sheetViews>
  <sheetFormatPr baseColWidth="10" defaultRowHeight="15" x14ac:dyDescent="0.25"/>
  <cols>
    <col min="1" max="1" width="45.7109375" style="188" customWidth="1"/>
    <col min="2" max="3" width="22.7109375" style="188" customWidth="1"/>
    <col min="4" max="16384" width="11.42578125" style="188"/>
  </cols>
  <sheetData>
    <row r="3" spans="1:3" x14ac:dyDescent="0.25">
      <c r="A3" s="198" t="s">
        <v>36</v>
      </c>
      <c r="B3" s="198"/>
      <c r="C3" s="199">
        <f>C4+C5+C6</f>
        <v>27930.309999999998</v>
      </c>
    </row>
    <row r="4" spans="1:3" x14ac:dyDescent="0.25">
      <c r="A4" s="200" t="s">
        <v>56</v>
      </c>
      <c r="B4" s="201" t="s">
        <v>35</v>
      </c>
      <c r="C4" s="199">
        <v>9300</v>
      </c>
    </row>
    <row r="5" spans="1:3" x14ac:dyDescent="0.25">
      <c r="A5" s="200" t="s">
        <v>57</v>
      </c>
      <c r="B5" s="201" t="s">
        <v>32</v>
      </c>
      <c r="C5" s="199">
        <v>9300</v>
      </c>
    </row>
    <row r="6" spans="1:3" x14ac:dyDescent="0.25">
      <c r="A6" s="200" t="s">
        <v>58</v>
      </c>
      <c r="B6" s="201" t="s">
        <v>33</v>
      </c>
      <c r="C6" s="199">
        <v>9330.31</v>
      </c>
    </row>
    <row r="7" spans="1:3" x14ac:dyDescent="0.25">
      <c r="A7" s="198" t="s">
        <v>38</v>
      </c>
      <c r="B7" s="202"/>
      <c r="C7" s="203"/>
    </row>
    <row r="9" spans="1:3" x14ac:dyDescent="0.25">
      <c r="A9" s="198" t="s">
        <v>39</v>
      </c>
      <c r="B9" s="198"/>
      <c r="C9" s="199">
        <f>C10+C11+C12</f>
        <v>27930.309999999998</v>
      </c>
    </row>
    <row r="10" spans="1:3" x14ac:dyDescent="0.25">
      <c r="A10" s="200" t="s">
        <v>59</v>
      </c>
      <c r="B10" s="201" t="s">
        <v>40</v>
      </c>
      <c r="C10" s="199">
        <v>9300</v>
      </c>
    </row>
    <row r="11" spans="1:3" x14ac:dyDescent="0.25">
      <c r="A11" s="200" t="s">
        <v>60</v>
      </c>
      <c r="B11" s="201" t="s">
        <v>41</v>
      </c>
      <c r="C11" s="199">
        <v>9300</v>
      </c>
    </row>
    <row r="12" spans="1:3" x14ac:dyDescent="0.25">
      <c r="A12" s="200" t="s">
        <v>61</v>
      </c>
      <c r="B12" s="201" t="s">
        <v>42</v>
      </c>
      <c r="C12" s="199">
        <v>9330.31</v>
      </c>
    </row>
    <row r="14" spans="1:3" x14ac:dyDescent="0.25">
      <c r="A14" s="198" t="s">
        <v>45</v>
      </c>
      <c r="B14" s="198"/>
      <c r="C14" s="199">
        <f>C15+C16+C17</f>
        <v>27930.309999999998</v>
      </c>
    </row>
    <row r="15" spans="1:3" x14ac:dyDescent="0.25">
      <c r="A15" s="200" t="s">
        <v>62</v>
      </c>
      <c r="B15" s="201" t="s">
        <v>46</v>
      </c>
      <c r="C15" s="199">
        <v>9300</v>
      </c>
    </row>
    <row r="16" spans="1:3" x14ac:dyDescent="0.25">
      <c r="A16" s="200" t="s">
        <v>66</v>
      </c>
      <c r="B16" s="201" t="s">
        <v>43</v>
      </c>
      <c r="C16" s="199">
        <v>9300</v>
      </c>
    </row>
    <row r="17" spans="1:3" x14ac:dyDescent="0.25">
      <c r="A17" s="200" t="s">
        <v>72</v>
      </c>
      <c r="B17" s="201" t="s">
        <v>44</v>
      </c>
      <c r="C17" s="199">
        <v>9330.31</v>
      </c>
    </row>
    <row r="18" spans="1:3" x14ac:dyDescent="0.25">
      <c r="A18" s="198" t="s">
        <v>63</v>
      </c>
      <c r="B18" s="202"/>
      <c r="C18" s="203"/>
    </row>
    <row r="20" spans="1:3" x14ac:dyDescent="0.25">
      <c r="A20" s="198" t="s">
        <v>73</v>
      </c>
      <c r="B20" s="198"/>
      <c r="C20" s="199">
        <f>C21+C22+C23</f>
        <v>28983.97</v>
      </c>
    </row>
    <row r="21" spans="1:3" x14ac:dyDescent="0.25">
      <c r="A21" s="200" t="s">
        <v>76</v>
      </c>
      <c r="B21" s="201" t="s">
        <v>53</v>
      </c>
      <c r="C21" s="199">
        <v>9600</v>
      </c>
    </row>
    <row r="22" spans="1:3" x14ac:dyDescent="0.25">
      <c r="A22" s="200" t="s">
        <v>77</v>
      </c>
      <c r="B22" s="201" t="s">
        <v>54</v>
      </c>
      <c r="C22" s="199">
        <v>9600</v>
      </c>
    </row>
    <row r="23" spans="1:3" x14ac:dyDescent="0.25">
      <c r="A23" s="200" t="s">
        <v>79</v>
      </c>
      <c r="B23" s="201" t="s">
        <v>55</v>
      </c>
      <c r="C23" s="199">
        <v>9783.9699999999993</v>
      </c>
    </row>
    <row r="25" spans="1:3" x14ac:dyDescent="0.25">
      <c r="A25" s="198" t="s">
        <v>80</v>
      </c>
      <c r="B25" s="198"/>
      <c r="C25" s="199">
        <f>C26+C27+C28</f>
        <v>28983.97</v>
      </c>
    </row>
    <row r="26" spans="1:3" x14ac:dyDescent="0.25">
      <c r="A26" s="200" t="s">
        <v>85</v>
      </c>
      <c r="B26" s="201" t="s">
        <v>81</v>
      </c>
      <c r="C26" s="199">
        <v>9600</v>
      </c>
    </row>
    <row r="27" spans="1:3" x14ac:dyDescent="0.25">
      <c r="A27" s="200" t="s">
        <v>88</v>
      </c>
      <c r="B27" s="201" t="s">
        <v>82</v>
      </c>
      <c r="C27" s="199">
        <v>9600</v>
      </c>
    </row>
    <row r="28" spans="1:3" x14ac:dyDescent="0.25">
      <c r="A28" s="200" t="s">
        <v>93</v>
      </c>
      <c r="B28" s="201" t="s">
        <v>83</v>
      </c>
      <c r="C28" s="199">
        <v>9783.9699999999993</v>
      </c>
    </row>
    <row r="29" spans="1:3" x14ac:dyDescent="0.25">
      <c r="A29" s="200" t="s">
        <v>89</v>
      </c>
      <c r="B29" s="201" t="s">
        <v>90</v>
      </c>
      <c r="C29" s="199">
        <v>6721</v>
      </c>
    </row>
    <row r="30" spans="1:3" x14ac:dyDescent="0.25">
      <c r="A30" s="200" t="s">
        <v>93</v>
      </c>
      <c r="B30" s="201" t="s">
        <v>91</v>
      </c>
      <c r="C30" s="199">
        <v>6721</v>
      </c>
    </row>
    <row r="32" spans="1:3" x14ac:dyDescent="0.25">
      <c r="A32" s="198" t="s">
        <v>94</v>
      </c>
      <c r="B32" s="198"/>
      <c r="C32" s="199">
        <f>C33+C34+C35</f>
        <v>28983.97</v>
      </c>
    </row>
    <row r="33" spans="1:3" x14ac:dyDescent="0.25">
      <c r="A33" s="200" t="s">
        <v>114</v>
      </c>
      <c r="B33" s="201" t="s">
        <v>95</v>
      </c>
      <c r="C33" s="199">
        <v>9600</v>
      </c>
    </row>
    <row r="34" spans="1:3" x14ac:dyDescent="0.25">
      <c r="A34" s="200" t="s">
        <v>133</v>
      </c>
      <c r="B34" s="201" t="s">
        <v>96</v>
      </c>
      <c r="C34" s="199">
        <v>9600</v>
      </c>
    </row>
    <row r="35" spans="1:3" x14ac:dyDescent="0.25">
      <c r="A35" s="200" t="s">
        <v>146</v>
      </c>
      <c r="B35" s="201" t="s">
        <v>97</v>
      </c>
      <c r="C35" s="199">
        <v>9783.9699999999993</v>
      </c>
    </row>
    <row r="37" spans="1:3" x14ac:dyDescent="0.25">
      <c r="A37" s="329" t="s">
        <v>170</v>
      </c>
      <c r="B37" s="330"/>
      <c r="C37" s="330"/>
    </row>
    <row r="38" spans="1:3" x14ac:dyDescent="0.25">
      <c r="A38" s="204"/>
      <c r="B38" s="205"/>
      <c r="C38" s="205"/>
    </row>
    <row r="39" spans="1:3" x14ac:dyDescent="0.25">
      <c r="A39" s="198" t="s">
        <v>168</v>
      </c>
      <c r="B39" s="206"/>
      <c r="C39" s="207">
        <f>C40+C41+C42</f>
        <v>29586.059999999998</v>
      </c>
    </row>
    <row r="40" spans="1:3" x14ac:dyDescent="0.25">
      <c r="A40" s="200" t="s">
        <v>151</v>
      </c>
      <c r="B40" s="201" t="s">
        <v>147</v>
      </c>
      <c r="C40" s="199">
        <v>9800</v>
      </c>
    </row>
    <row r="41" spans="1:3" x14ac:dyDescent="0.25">
      <c r="A41" s="200" t="s">
        <v>155</v>
      </c>
      <c r="B41" s="201" t="s">
        <v>148</v>
      </c>
      <c r="C41" s="199">
        <v>9800</v>
      </c>
    </row>
    <row r="42" spans="1:3" x14ac:dyDescent="0.25">
      <c r="A42" s="200" t="s">
        <v>156</v>
      </c>
      <c r="B42" s="201" t="s">
        <v>149</v>
      </c>
      <c r="C42" s="199">
        <v>9986.06</v>
      </c>
    </row>
    <row r="43" spans="1:3" x14ac:dyDescent="0.25">
      <c r="A43" s="208" t="s">
        <v>169</v>
      </c>
      <c r="B43" s="201" t="s">
        <v>136</v>
      </c>
      <c r="C43" s="199">
        <v>3746</v>
      </c>
    </row>
    <row r="45" spans="1:3" x14ac:dyDescent="0.25">
      <c r="A45" s="198" t="s">
        <v>174</v>
      </c>
      <c r="B45" s="198"/>
      <c r="C45" s="199">
        <f>C46+C47+C48</f>
        <v>29602.79</v>
      </c>
    </row>
    <row r="46" spans="1:3" x14ac:dyDescent="0.25">
      <c r="A46" s="200" t="s">
        <v>175</v>
      </c>
      <c r="B46" s="201" t="s">
        <v>157</v>
      </c>
      <c r="C46" s="199">
        <v>9860</v>
      </c>
    </row>
    <row r="47" spans="1:3" x14ac:dyDescent="0.25">
      <c r="A47" s="209" t="s">
        <v>177</v>
      </c>
      <c r="B47" s="201" t="s">
        <v>158</v>
      </c>
      <c r="C47" s="199">
        <v>9860</v>
      </c>
    </row>
    <row r="48" spans="1:3" x14ac:dyDescent="0.25">
      <c r="A48" s="200" t="s">
        <v>181</v>
      </c>
      <c r="B48" s="201" t="s">
        <v>159</v>
      </c>
      <c r="C48" s="199">
        <v>9882.7900000000009</v>
      </c>
    </row>
    <row r="49" spans="1:3" x14ac:dyDescent="0.25">
      <c r="A49" s="200" t="s">
        <v>176</v>
      </c>
      <c r="B49" s="201"/>
      <c r="C49" s="199">
        <v>6861.5</v>
      </c>
    </row>
    <row r="50" spans="1:3" x14ac:dyDescent="0.25">
      <c r="A50" s="200" t="s">
        <v>182</v>
      </c>
      <c r="B50" s="201"/>
      <c r="C50" s="199">
        <v>6861.5</v>
      </c>
    </row>
    <row r="52" spans="1:3" x14ac:dyDescent="0.25">
      <c r="A52" s="198" t="s">
        <v>183</v>
      </c>
      <c r="B52" s="198"/>
      <c r="C52" s="199">
        <f>C53+C54+C55</f>
        <v>29602.79</v>
      </c>
    </row>
    <row r="53" spans="1:3" x14ac:dyDescent="0.25">
      <c r="A53" s="200" t="s">
        <v>200</v>
      </c>
      <c r="B53" s="201" t="s">
        <v>184</v>
      </c>
      <c r="C53" s="199">
        <v>9867</v>
      </c>
    </row>
    <row r="54" spans="1:3" x14ac:dyDescent="0.25">
      <c r="A54" s="209" t="s">
        <v>217</v>
      </c>
      <c r="B54" s="201" t="s">
        <v>186</v>
      </c>
      <c r="C54" s="199">
        <v>9867</v>
      </c>
    </row>
    <row r="55" spans="1:3" x14ac:dyDescent="0.25">
      <c r="A55" s="200" t="s">
        <v>232</v>
      </c>
      <c r="B55" s="201" t="s">
        <v>185</v>
      </c>
      <c r="C55" s="199">
        <v>9868.7900000000009</v>
      </c>
    </row>
    <row r="57" spans="1:3" x14ac:dyDescent="0.25">
      <c r="A57" s="198" t="s">
        <v>248</v>
      </c>
      <c r="B57" s="198"/>
      <c r="C57" s="199">
        <f>C58+C59+C60</f>
        <v>29602.43</v>
      </c>
    </row>
    <row r="58" spans="1:3" x14ac:dyDescent="0.25">
      <c r="A58" s="200" t="s">
        <v>244</v>
      </c>
      <c r="B58" s="201" t="s">
        <v>233</v>
      </c>
      <c r="C58" s="199">
        <v>9867</v>
      </c>
    </row>
    <row r="59" spans="1:3" x14ac:dyDescent="0.25">
      <c r="A59" s="209" t="s">
        <v>245</v>
      </c>
      <c r="B59" s="201" t="s">
        <v>234</v>
      </c>
      <c r="C59" s="199">
        <v>9867</v>
      </c>
    </row>
    <row r="60" spans="1:3" x14ac:dyDescent="0.25">
      <c r="A60" s="200" t="s">
        <v>247</v>
      </c>
      <c r="B60" s="201" t="s">
        <v>235</v>
      </c>
      <c r="C60" s="199">
        <v>9868.43</v>
      </c>
    </row>
    <row r="62" spans="1:3" x14ac:dyDescent="0.25">
      <c r="A62" s="198" t="s">
        <v>253</v>
      </c>
      <c r="B62" s="198"/>
      <c r="C62" s="199">
        <f>C63+C64+C65</f>
        <v>29602.43</v>
      </c>
    </row>
    <row r="63" spans="1:3" x14ac:dyDescent="0.25">
      <c r="A63" s="200" t="s">
        <v>256</v>
      </c>
      <c r="B63" s="201" t="s">
        <v>249</v>
      </c>
      <c r="C63" s="199">
        <v>9867</v>
      </c>
    </row>
    <row r="64" spans="1:3" x14ac:dyDescent="0.25">
      <c r="A64" s="209" t="s">
        <v>262</v>
      </c>
      <c r="B64" s="201" t="s">
        <v>250</v>
      </c>
      <c r="C64" s="199">
        <v>9867</v>
      </c>
    </row>
    <row r="65" spans="1:3" x14ac:dyDescent="0.25">
      <c r="A65" s="200" t="s">
        <v>267</v>
      </c>
      <c r="B65" s="201" t="s">
        <v>251</v>
      </c>
      <c r="C65" s="199">
        <v>9868.43</v>
      </c>
    </row>
    <row r="67" spans="1:3" x14ac:dyDescent="0.25">
      <c r="A67" s="198" t="s">
        <v>275</v>
      </c>
      <c r="B67" s="210"/>
      <c r="C67" s="199">
        <f>C68+C69+C70</f>
        <v>30459.940000000002</v>
      </c>
    </row>
    <row r="68" spans="1:3" x14ac:dyDescent="0.25">
      <c r="A68" s="200" t="s">
        <v>278</v>
      </c>
      <c r="B68" s="201" t="s">
        <v>269</v>
      </c>
      <c r="C68" s="199">
        <v>10153</v>
      </c>
    </row>
    <row r="69" spans="1:3" x14ac:dyDescent="0.25">
      <c r="A69" s="209" t="s">
        <v>88</v>
      </c>
      <c r="B69" s="201" t="s">
        <v>270</v>
      </c>
      <c r="C69" s="199">
        <v>10153</v>
      </c>
    </row>
    <row r="70" spans="1:3" x14ac:dyDescent="0.25">
      <c r="A70" s="200" t="s">
        <v>305</v>
      </c>
      <c r="B70" s="201" t="s">
        <v>271</v>
      </c>
      <c r="C70" s="199">
        <v>10153.94</v>
      </c>
    </row>
    <row r="72" spans="1:3" x14ac:dyDescent="0.25">
      <c r="A72" s="198" t="s">
        <v>318</v>
      </c>
      <c r="B72" s="198"/>
      <c r="C72" s="199">
        <f>C73+C74+C75</f>
        <v>30459.940000000002</v>
      </c>
    </row>
    <row r="73" spans="1:3" x14ac:dyDescent="0.25">
      <c r="A73" s="200" t="s">
        <v>200</v>
      </c>
      <c r="B73" s="201" t="s">
        <v>306</v>
      </c>
      <c r="C73" s="199">
        <v>10153</v>
      </c>
    </row>
    <row r="74" spans="1:3" x14ac:dyDescent="0.25">
      <c r="A74" s="209" t="s">
        <v>341</v>
      </c>
      <c r="B74" s="201" t="s">
        <v>307</v>
      </c>
      <c r="C74" s="199">
        <v>10153</v>
      </c>
    </row>
    <row r="75" spans="1:3" x14ac:dyDescent="0.25">
      <c r="A75" s="200" t="s">
        <v>353</v>
      </c>
      <c r="B75" s="201" t="s">
        <v>308</v>
      </c>
      <c r="C75" s="199">
        <v>10153.94</v>
      </c>
    </row>
    <row r="77" spans="1:3" x14ac:dyDescent="0.25">
      <c r="A77" s="198" t="s">
        <v>360</v>
      </c>
      <c r="B77" s="198"/>
      <c r="C77" s="199">
        <f>C78+C79+C80</f>
        <v>30322.300000000003</v>
      </c>
    </row>
    <row r="78" spans="1:3" x14ac:dyDescent="0.25">
      <c r="A78" s="200" t="s">
        <v>361</v>
      </c>
      <c r="B78" s="201" t="s">
        <v>354</v>
      </c>
      <c r="C78" s="199">
        <v>10108</v>
      </c>
    </row>
    <row r="79" spans="1:3" x14ac:dyDescent="0.25">
      <c r="A79" s="209" t="s">
        <v>245</v>
      </c>
      <c r="B79" s="201" t="s">
        <v>355</v>
      </c>
      <c r="C79" s="199">
        <v>10107.15</v>
      </c>
    </row>
    <row r="80" spans="1:3" x14ac:dyDescent="0.25">
      <c r="A80" s="200" t="s">
        <v>518</v>
      </c>
      <c r="B80" s="201" t="s">
        <v>356</v>
      </c>
      <c r="C80" s="199">
        <v>10107.15</v>
      </c>
    </row>
    <row r="82" spans="1:3" x14ac:dyDescent="0.25">
      <c r="A82" s="198" t="s">
        <v>581</v>
      </c>
      <c r="B82" s="198"/>
      <c r="C82" s="199">
        <f>C83+C84+C85</f>
        <v>20215.150000000001</v>
      </c>
    </row>
    <row r="83" spans="1:3" x14ac:dyDescent="0.25">
      <c r="A83" s="200" t="s">
        <v>582</v>
      </c>
      <c r="B83" s="201" t="s">
        <v>521</v>
      </c>
      <c r="C83" s="199">
        <v>10108</v>
      </c>
    </row>
    <row r="84" spans="1:3" x14ac:dyDescent="0.25">
      <c r="A84" s="209" t="s">
        <v>583</v>
      </c>
      <c r="B84" s="201" t="s">
        <v>522</v>
      </c>
      <c r="C84" s="199">
        <v>10107.15</v>
      </c>
    </row>
    <row r="85" spans="1:3" x14ac:dyDescent="0.25">
      <c r="A85" s="200" t="s">
        <v>584</v>
      </c>
      <c r="B85" s="201" t="s">
        <v>523</v>
      </c>
      <c r="C85" s="199"/>
    </row>
  </sheetData>
  <mergeCells count="1">
    <mergeCell ref="A37:C3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2" sqref="G22"/>
    </sheetView>
  </sheetViews>
  <sheetFormatPr baseColWidth="10" defaultRowHeight="15" x14ac:dyDescent="0.25"/>
  <cols>
    <col min="1" max="1" width="14.7109375" customWidth="1"/>
  </cols>
  <sheetData>
    <row r="1" spans="1:6" x14ac:dyDescent="0.25">
      <c r="A1" s="168"/>
      <c r="B1" s="168"/>
      <c r="C1" s="168"/>
      <c r="D1" s="168"/>
      <c r="E1" s="168"/>
      <c r="F1" s="168"/>
    </row>
    <row r="2" spans="1:6" x14ac:dyDescent="0.25">
      <c r="A2" s="12" t="s">
        <v>6</v>
      </c>
      <c r="B2" s="12"/>
      <c r="C2" s="12"/>
      <c r="D2" s="12"/>
      <c r="E2" s="12"/>
      <c r="F2" s="169"/>
    </row>
    <row r="3" spans="1:6" x14ac:dyDescent="0.25">
      <c r="A3" s="12" t="s">
        <v>118</v>
      </c>
      <c r="B3" s="6">
        <v>22936</v>
      </c>
      <c r="C3" s="13" t="s">
        <v>120</v>
      </c>
      <c r="D3" s="12" t="s">
        <v>119</v>
      </c>
      <c r="E3" s="12"/>
      <c r="F3" s="169"/>
    </row>
    <row r="4" spans="1:6" x14ac:dyDescent="0.25">
      <c r="A4" s="15" t="s">
        <v>7</v>
      </c>
      <c r="B4" s="16">
        <v>2000</v>
      </c>
      <c r="C4" s="17" t="s">
        <v>12</v>
      </c>
      <c r="D4" s="18">
        <v>42811</v>
      </c>
      <c r="E4" s="15" t="s">
        <v>115</v>
      </c>
      <c r="F4" s="19"/>
    </row>
    <row r="5" spans="1:6" x14ac:dyDescent="0.25">
      <c r="A5" s="15" t="s">
        <v>8</v>
      </c>
      <c r="B5" s="16">
        <v>3000</v>
      </c>
      <c r="C5" s="17" t="s">
        <v>13</v>
      </c>
      <c r="D5" s="17" t="s">
        <v>18</v>
      </c>
      <c r="E5" s="15" t="s">
        <v>115</v>
      </c>
      <c r="F5" s="19"/>
    </row>
    <row r="6" spans="1:6" x14ac:dyDescent="0.25">
      <c r="A6" s="15" t="s">
        <v>9</v>
      </c>
      <c r="B6" s="16">
        <v>2500</v>
      </c>
      <c r="C6" s="17" t="s">
        <v>14</v>
      </c>
      <c r="D6" s="18">
        <v>42909</v>
      </c>
      <c r="E6" s="15" t="s">
        <v>20</v>
      </c>
      <c r="F6" s="19"/>
    </row>
    <row r="7" spans="1:6" x14ac:dyDescent="0.25">
      <c r="A7" s="15" t="s">
        <v>10</v>
      </c>
      <c r="B7" s="16">
        <v>1000</v>
      </c>
      <c r="C7" s="17" t="s">
        <v>15</v>
      </c>
      <c r="D7" s="18">
        <v>42997</v>
      </c>
      <c r="E7" s="15" t="s">
        <v>115</v>
      </c>
      <c r="F7" s="19"/>
    </row>
    <row r="8" spans="1:6" x14ac:dyDescent="0.25">
      <c r="A8" s="15" t="s">
        <v>11</v>
      </c>
      <c r="B8" s="16">
        <v>350</v>
      </c>
      <c r="C8" s="17" t="s">
        <v>16</v>
      </c>
      <c r="D8" s="17" t="s">
        <v>19</v>
      </c>
      <c r="E8" s="15" t="s">
        <v>21</v>
      </c>
      <c r="F8" s="19"/>
    </row>
    <row r="9" spans="1:6" x14ac:dyDescent="0.25">
      <c r="A9" s="15" t="s">
        <v>9</v>
      </c>
      <c r="B9" s="16">
        <v>2500</v>
      </c>
      <c r="C9" s="17" t="s">
        <v>17</v>
      </c>
      <c r="D9" s="18">
        <v>43236</v>
      </c>
      <c r="E9" s="15" t="s">
        <v>75</v>
      </c>
      <c r="F9" s="19"/>
    </row>
    <row r="10" spans="1:6" x14ac:dyDescent="0.25">
      <c r="A10" s="83" t="s">
        <v>9</v>
      </c>
      <c r="B10" s="84">
        <v>2500</v>
      </c>
      <c r="C10" s="85" t="s">
        <v>116</v>
      </c>
      <c r="D10" s="64" t="s">
        <v>117</v>
      </c>
      <c r="E10" s="83"/>
      <c r="F10" s="48"/>
    </row>
    <row r="11" spans="1:6" x14ac:dyDescent="0.25">
      <c r="A11" s="41" t="s">
        <v>7</v>
      </c>
      <c r="B11" s="6">
        <v>2000</v>
      </c>
      <c r="C11" s="6" t="s">
        <v>289</v>
      </c>
      <c r="D11" s="14">
        <v>43369</v>
      </c>
      <c r="E11" s="169"/>
      <c r="F11" s="169"/>
    </row>
    <row r="12" spans="1:6" x14ac:dyDescent="0.25">
      <c r="A12" s="65" t="s">
        <v>34</v>
      </c>
      <c r="B12" s="66">
        <v>500</v>
      </c>
      <c r="C12" s="67" t="s">
        <v>290</v>
      </c>
      <c r="D12" s="64" t="s">
        <v>70</v>
      </c>
      <c r="E12" s="169"/>
      <c r="F12" s="169"/>
    </row>
    <row r="13" spans="1:6" x14ac:dyDescent="0.25">
      <c r="A13" s="15" t="s">
        <v>64</v>
      </c>
      <c r="B13" s="16">
        <v>2395.1999999999998</v>
      </c>
      <c r="C13" s="17" t="s">
        <v>291</v>
      </c>
      <c r="D13" s="17" t="s">
        <v>65</v>
      </c>
      <c r="E13" s="169"/>
      <c r="F13" s="169"/>
    </row>
    <row r="14" spans="1:6" x14ac:dyDescent="0.25">
      <c r="A14" s="65" t="s">
        <v>86</v>
      </c>
      <c r="B14" s="66">
        <v>1962</v>
      </c>
      <c r="C14" s="13" t="s">
        <v>87</v>
      </c>
      <c r="D14" s="78">
        <v>43781</v>
      </c>
      <c r="E14" s="169"/>
      <c r="F14" s="169"/>
    </row>
    <row r="15" spans="1:6" x14ac:dyDescent="0.25">
      <c r="A15" s="12" t="s">
        <v>64</v>
      </c>
      <c r="B15" s="6">
        <v>3000</v>
      </c>
      <c r="C15" s="13" t="s">
        <v>292</v>
      </c>
      <c r="D15" s="14">
        <v>43850</v>
      </c>
      <c r="E15" s="168"/>
      <c r="F15" s="168"/>
    </row>
    <row r="16" spans="1:6" x14ac:dyDescent="0.25">
      <c r="A16" s="12" t="s">
        <v>64</v>
      </c>
      <c r="B16" s="6">
        <v>3000</v>
      </c>
      <c r="C16" s="13" t="s">
        <v>293</v>
      </c>
      <c r="D16" s="14">
        <v>44186</v>
      </c>
      <c r="E16" s="168"/>
      <c r="F16" s="168"/>
    </row>
    <row r="17" spans="1:6" x14ac:dyDescent="0.25">
      <c r="A17" s="15" t="s">
        <v>263</v>
      </c>
      <c r="B17" s="16">
        <v>2000</v>
      </c>
      <c r="C17" s="17" t="s">
        <v>294</v>
      </c>
      <c r="D17" s="18">
        <v>44434</v>
      </c>
      <c r="E17" s="19" t="s">
        <v>288</v>
      </c>
      <c r="F17" s="19"/>
    </row>
    <row r="18" spans="1:6" x14ac:dyDescent="0.25">
      <c r="A18" s="12" t="s">
        <v>7</v>
      </c>
      <c r="B18" s="6">
        <v>2000</v>
      </c>
      <c r="C18" s="6" t="s">
        <v>295</v>
      </c>
      <c r="D18" s="13" t="s">
        <v>286</v>
      </c>
      <c r="E18" s="168"/>
      <c r="F18" s="168"/>
    </row>
    <row r="19" spans="1:6" x14ac:dyDescent="0.25">
      <c r="A19" s="63" t="s">
        <v>297</v>
      </c>
      <c r="B19" s="156">
        <v>150</v>
      </c>
      <c r="C19" s="213" t="s">
        <v>338</v>
      </c>
      <c r="D19" s="85" t="s">
        <v>286</v>
      </c>
      <c r="E19" s="168"/>
      <c r="F19" s="168"/>
    </row>
    <row r="20" spans="1:6" x14ac:dyDescent="0.25">
      <c r="A20" s="83" t="s">
        <v>263</v>
      </c>
      <c r="B20" s="6">
        <v>10000</v>
      </c>
      <c r="C20" s="13" t="s">
        <v>405</v>
      </c>
      <c r="D20" s="280" t="s">
        <v>417</v>
      </c>
      <c r="E20" s="168"/>
      <c r="F20" s="168"/>
    </row>
    <row r="21" spans="1:6" x14ac:dyDescent="0.25">
      <c r="A21" s="63" t="s">
        <v>420</v>
      </c>
      <c r="B21" s="156">
        <v>1500</v>
      </c>
      <c r="C21" s="213" t="s">
        <v>421</v>
      </c>
      <c r="D21" s="78">
        <v>44699</v>
      </c>
      <c r="E21" s="168"/>
      <c r="F21" s="168"/>
    </row>
    <row r="22" spans="1:6" x14ac:dyDescent="0.25">
      <c r="A22" s="168"/>
      <c r="B22" s="168"/>
      <c r="C22" s="168"/>
      <c r="D22" s="168"/>
      <c r="E22" s="168"/>
      <c r="F22" s="168"/>
    </row>
    <row r="23" spans="1:6" x14ac:dyDescent="0.25">
      <c r="A23" s="168"/>
      <c r="B23" s="168"/>
      <c r="C23" s="168"/>
      <c r="D23" s="168"/>
      <c r="E23" s="168"/>
      <c r="F23" s="1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Global</vt:lpstr>
      <vt:lpstr>Détail</vt:lpstr>
      <vt:lpstr>ASP 2019à2022</vt:lpstr>
      <vt:lpstr>ASP-récap-JD</vt:lpstr>
      <vt:lpstr>Taxes</vt:lpstr>
      <vt:lpstr>Dons</vt:lpstr>
      <vt:lpstr>Loyer</vt:lpstr>
      <vt:lpstr>Cautions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Destruel</dc:creator>
  <cp:lastModifiedBy>Elisabeth DESTRUEL</cp:lastModifiedBy>
  <cp:lastPrinted>2022-09-02T09:22:17Z</cp:lastPrinted>
  <dcterms:created xsi:type="dcterms:W3CDTF">2018-09-07T11:05:03Z</dcterms:created>
  <dcterms:modified xsi:type="dcterms:W3CDTF">2022-09-12T10:16:57Z</dcterms:modified>
</cp:coreProperties>
</file>